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DA51D3C3-7EE9-4AA3-832D-798F1DD5C5FF}"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492" i="2" l="1"/>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<sst xmlns="http://schemas.openxmlformats.org/spreadsheetml/2006/main" count="80578" uniqueCount="22650">
  <si>
    <t>Índice onomástico anual · Gacetas oficiales de 1812</t>
  </si>
  <si>
    <t>Del 1 de enero al 31 de diciembre de 1812 · Gaceta de Madrid, Gazeta de la Regencia de España e Indias, Gazeta de la Regencia de las Españas, Gazeta de Madrid bajo el Gobierno de la Regencia</t>
  </si>
  <si>
    <t>Aviso: índice generado a partir del OCR de facsímiles históricos. Las grafías y lecturas dudosas deben cotejarse con la página enlazada.</t>
  </si>
  <si>
    <t>8840 menciones · 488 archivos oficiales · 2856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</si>
  <si>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</si>
  <si>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</si>
  <si>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</si>
  <si>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</si>
  <si>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</si>
  <si>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</si>
  <si>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</si>
  <si>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</si>
  <si>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</si>
  <si>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</si>
  <si>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</si>
  <si>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A'egre, Josef</t>
  </si>
  <si>
    <t>Josef A'egre</t>
  </si>
  <si>
    <t>Operaciones o servicios militares</t>
  </si>
  <si>
    <t>Noticias militares</t>
  </si>
  <si>
    <t>Gaceta de Madrid n.º 185</t>
  </si>
  <si>
    <t>4</t>
  </si>
  <si>
    <t>Nombre detectado automáticamente; cotejar si se va a citar</t>
  </si>
  <si>
    <t>tiempo se ha mandado reunir no gran cuer­ Alvarez Posadilla , y para jueces á D. Vicente Li­ po de tropas de reserva en los alrededores de Chas- sa , D. Josef A'egre , D. Josef Beneito y Chaume chao , adonde han recibido orden de marchar los y D. Manuel Chiva, alcaldes de la referida au­ príncipes de Hesse-Hamburgo y Philipst…</t>
  </si>
  <si>
    <t>Lectura OCR</t>
  </si>
  <si>
    <t>A, Félix</t>
  </si>
  <si>
    <t>Félix A</t>
  </si>
  <si>
    <t>Mención en noticia o disposición</t>
  </si>
  <si>
    <t>Noticias y disposiciones</t>
  </si>
  <si>
    <t>Gaceta de Madrid n.º 107</t>
  </si>
  <si>
    <t>PDF p. 8</t>
  </si>
  <si>
    <t>Lectura automática dudosa; cotejar el facsímil</t>
  </si>
  <si>
    <t>Diputados seculares Diputado eclesiástico D. Gregorio Uriondo. D. Juan Meti&gt;'a. . .. D. Angel de Di-go. Diputados seculares D. Francisco de Santiago. D. Félix A var z VilLt. .ó. Secretario . D. Juan Josef Rubio. D. Vicente M., ri* Teraya. D. Jostf Carranza. .. ; . &gt;4 ¿j. Secretario BARRIO DB MIRA Mí RIO. D. Lúeas Escolar. •••…</t>
  </si>
  <si>
    <t>Revisar OCR</t>
  </si>
  <si>
    <t>A, JLatnuriímere</t>
  </si>
  <si>
    <t>JLatnuriímere A</t>
  </si>
  <si>
    <t>Gazeta de la Regencia de las Españas n.º 44</t>
  </si>
  <si>
    <t>PDF p. 3</t>
  </si>
  <si>
    <t>to teadrán. siempre á sus ©jos gran me-» reciiBieoto; y soa los que mas anecia ea'las circunstaacias aéiaííes.—- ¿f,¿ generaly gefe del estado mayor, barón JLatnuriímere A e&amp;toa cmiosüs documentos puede agregarse otro, que se copia de la gaceta del gobierno francés de Viscaya, y prueba el espíriia de lealtad y de resistencia …</t>
  </si>
  <si>
    <t>A, José</t>
  </si>
  <si>
    <t>José A</t>
  </si>
  <si>
    <t>Gazeta de la Regencia de las Españas n.º 71</t>
  </si>
  <si>
    <t>592</t>
  </si>
  <si>
    <t>so; y de fusile­ ros, á D. Manuel Ortiz de Villa te, D. Francisco Mendoza, D. Ra­ fael López, D Manuel C &gt;h?.ro y T^gle, D. Andrés Sánchez de Q iros, D. José A nez-aga, D. Manuel'Antoai© de P.;ctido, D, Fraacisco de la Casa y Piedra , D. Joan B/ucíe ta Enea . D. Pedro Ca­ bero y Tcgle, D. Manuel I). Juan EfznUle, D. Toma? Ugr…</t>
  </si>
  <si>
    <t>A, Lorenzo</t>
  </si>
  <si>
    <t>Lorenzo A</t>
  </si>
  <si>
    <t>1</t>
  </si>
  <si>
    <t>o Herrera. Diputado eclesiástico Diputados seculares D..................... vacante. D. Andrés dei Peral. Diputados seculares D. Ramón Ballesteros. ! D. Lorenzo A raín.yo.'D. Gregorio Espala. D. Miguel Calderón. Secretario Secretario D. Manuel Arce. D. Francisco Marchámalo. BARRIO DEL AMOR D« DIOS* BARRIO BE SAN PASCUAL. Alca…</t>
  </si>
  <si>
    <t>A, Luis</t>
  </si>
  <si>
    <t>Luis A</t>
  </si>
  <si>
    <t>Nombramiento o servicio público</t>
  </si>
  <si>
    <t>Gazeta de la Regencia de España e Indias n.º 3</t>
  </si>
  <si>
    <t>lor es superior á todo elogio, al igual de los otros que le acompañaron en sus divisiones, como el coronel D. Pablo Astcte, y los tenientes coroneles D. Luis A siete y D. Mariano Lechuga; y tan­ to á dicho Sr. Ramírez, como á los nombrados, he concedido escu­ dos de premio para que se perpetúe su honor y constancia. „No caben…</t>
  </si>
  <si>
    <t>A, Manuel</t>
  </si>
  <si>
    <t>Manuel A</t>
  </si>
  <si>
    <t>Gazeta de la Regencia de las Españas n.º 73</t>
  </si>
  <si>
    <t>608</t>
  </si>
  <si>
    <t>anzano, D. J .sé Lorenzo López y D. J é Mumei Listem; y de alférez de las de cabsterí*, á D. M'murí Ferrar, Q Antonio Gutiér­ rez, D. Esteban Gabejo, D. Manuel A ¿dama, D. Joié Ignacio Eca­ saba!, D. Juan Pablo Morales, ÍX J &gt;sé Ignacio Arcaya, D. José de la Cruz Arcava y D J &gt;¿é Dámaso M irabes; habiendo concedido al porpio …</t>
  </si>
  <si>
    <t>Gaceta de Madrid n.º 200</t>
  </si>
  <si>
    <t>6</t>
  </si>
  <si>
    <t>malidades arriba prescriptas á los maestros ar­ D. Nicolás Berroya y Aíviz, D. jos^f Fernandez meros ; pero no podrán de modo alguno vender, Mayoral, D. Manuel A: vatez deSorribis, D. Pedro comprar ni negociar armas usadas. Bermudez y Riobó, D. Antonio Pellico, D. Pedro 10. Las personas particulares que hubieren P.-iItco , D.…</t>
  </si>
  <si>
    <t>A, Miguel</t>
  </si>
  <si>
    <t>Miguel A</t>
  </si>
  <si>
    <t>Gazeta de la Regencia de las Españas n.º 14</t>
  </si>
  <si>
    <t>PDF p. 10</t>
  </si>
  <si>
    <t>fantería del infante D. C-drlos; D. José Carlier , y Don Francisco de Paula Piazaola, cadetes y alumnos de la academia mili­ tar de la isla de León ; D. Miguel A fouso Villagomez, cadete de Or­ denes Militares y alumno de la referida academia ; D. Diego Galvez cadete y alumno de la misma ; D Francisco Luque, cadete del regimi…</t>
  </si>
  <si>
    <t>A, Ramón</t>
  </si>
  <si>
    <t>Ramón A</t>
  </si>
  <si>
    <t>Actuación administrativa o judicial</t>
  </si>
  <si>
    <t>Gaceta de Madrid n.º 31</t>
  </si>
  <si>
    <t>o Xavier Mantilla, de tiradores. j.° Las justicias darán á los individuos disperD. Josef López. SOi , que se presenten y pidan retirarse á sus casas, D. Ramón A i uro. . el seguro correspondiente, precedido el txámeo de D. D .go E u¡&gt;. las circunstancias que previene el citado decreto de D. Joaquín P-ayon. 14 de enero. -D. Fr…</t>
  </si>
  <si>
    <t>A, Tomas</t>
  </si>
  <si>
    <t>Tomas A</t>
  </si>
  <si>
    <t>Gazeta de la Regencia de las Españas n.º 106</t>
  </si>
  <si>
    <t>878</t>
  </si>
  <si>
    <t>ayo, cñok.fee de caballe­ ría , que fu*nv-? lo» primero#, de esta, arma que acometieron al enemi­ ga : irurImpute q'ce del subteniente de- la Eiisraa D. Tomas A y cea que quitó k \m k uceares sucesiva mente hasta 7 lanzas', repartiéndo­ las k ?o* soldad-.-s que le seguían ;. y del soldado de ia segunda comrafíi:.': dd cegando…</t>
  </si>
  <si>
    <t>A-Roso, Francisco</t>
  </si>
  <si>
    <t>Francisco A-Roso</t>
  </si>
  <si>
    <t>Gazeta de la Regencia de las Españas n.º 56</t>
  </si>
  <si>
    <t>470</t>
  </si>
  <si>
    <t>adas de Matanzas, á capitales del escuadrón desmontado á D. Dloiiisio Martínez y D. Rafael Caraballo•; á tenientes del mismo á Dan José María Chaves, D. Francisco A-Roso, D Vicente del Junco, y á subtenientes á D. Manuel del Junco, D. José María de Torres, D. Francisco Robayna y D. José Gómez ; y en e1 escuadro^ monta­ do, á …</t>
  </si>
  <si>
    <t>A-tete, José Gabriel</t>
  </si>
  <si>
    <t>José Gabriel A-tete</t>
  </si>
  <si>
    <t>Actividad económica o mercantil</t>
  </si>
  <si>
    <t>Gazeta de la Regencia de las Españas n.º 76</t>
  </si>
  <si>
    <t>634</t>
  </si>
  <si>
    <t>Daule , 505 y 1. El de Balsar , 61 y ti y medio. D. Gabriel García Gómez, 7*2. El adminis­ trador, contador y empleados en la renta de tabacos, 178. D. José Gabriel A-tete ,11 y 2. D. Manuel Aviles , 9t&gt;. La provincia de Portoviejo, por ma­ no de D. José Moran, 14-22 y i. El pueblo de Yahuache , por mano de Don Juan Bautista …</t>
  </si>
  <si>
    <t>Aadrade, Agustín</t>
  </si>
  <si>
    <t>Agustín Aadrade</t>
  </si>
  <si>
    <t>Gazeta de la Regencia de España e Indias n.º 6</t>
  </si>
  <si>
    <t>48</t>
  </si>
  <si>
    <t>ebastian Hurtado, 100. D. Manuel Villar, 100. D. Manuel Salazar, administrador de alcabalas 60. D. Fernando Ximenez, notario del santo ofi­ cio , 25. D. Agustín Aadrade, alcalde de españoles, 25. D. José Perez , ca-; pitan del regimiento provincial de dicha villa, 25. D. Ignacio Fernandez, ayudante del mismo regimiento, 25. D…</t>
  </si>
  <si>
    <t>Aadria, J Jté</t>
  </si>
  <si>
    <t>J Jté Aadria</t>
  </si>
  <si>
    <t>Gazeta de la Regencia de las Españas n.º 78</t>
  </si>
  <si>
    <t>646</t>
  </si>
  <si>
    <t>sacarse del rio; 160 fusiles, 39 quintales de pólvora, algunas ba?as de varios calibres, y haber represado el bergantín español de la pro* piedad de D. J Jté Aadria, apresádoles todos sus buques, excep­ to los que fueron quemados, contándose entre todos 31, inclusa una g lleta ingesa que venia para esta capital y fue detenida…</t>
  </si>
  <si>
    <t>Aafcwrlh</t>
  </si>
  <si>
    <t>631</t>
  </si>
  <si>
    <t>o puedo dexar de meacionaT ia firmeza y hueca disciplina del sexto regimiento portugués, y de las dos compañías del regimiente 60, á las órdenes ctei Coronel Aafcwrlh, que formaban ía reserva de este aüque. ^Favoreció macho nuestras operaciones en este sit’o una diver»ion hecha por el teniente general Chcwne con las tropas de…</t>
  </si>
  <si>
    <t>Aagusto</t>
  </si>
  <si>
    <t>Gaceta de Madrid n.º 146</t>
  </si>
  <si>
    <t>181</t>
  </si>
  <si>
    <t>salido d* ,,Todos nuestros fieles súbditos, y principal­ Petersburgo. mente todos nuestros empleados en las oficinas de Ha llegado á esta capital el príncipe Aagusto impuestos y en las adoanas de las fronteras, debe­ de Oldenbourg» teniente general y gobernador de rán conformarse en la parte que les concierne con Rcvel. lo di…</t>
  </si>
  <si>
    <t>Aba, Fernando</t>
  </si>
  <si>
    <t>Fernando Aba</t>
  </si>
  <si>
    <t>Noticia política o diplomática</t>
  </si>
  <si>
    <t>13</t>
  </si>
  <si>
    <t>2. D. M t o Tapia, 2. D. Felipe Saenz , 2. D. Fedto Bernuy, 2. D. Agustín Vaides, 2. D. liste van Avila , 2. D. Francisco Villegas , 1. El Sr. virey D. Fernando Aba cal , lOtiOO. D. Simón R-óbago , secretario tlcl virey nato ocr sí y su espesa Doña Manuela Avelia Fuerte, 1200. D. José Mu-</t>
  </si>
  <si>
    <t>Abacia, Joié</t>
  </si>
  <si>
    <t>Joié Abacia</t>
  </si>
  <si>
    <t>Gazeta de la Regencia de las Españas n.º 128</t>
  </si>
  <si>
    <t>1050</t>
  </si>
  <si>
    <t>ndiar y demoler los dos fuertes que mis soldados y los paisa nos cumplieron coa toda cslerldad y dureza, á tiempo que el teniente coronel, de húsares D. Joié Abacia me dió parte de haber atacado en la misma tarde una escolta de 509 infantes y 40 caballos que con­ ducían un correo, quienes con bastante pérdida sé retiraron has…</t>
  </si>
  <si>
    <t>Abad, Agustina Carlota</t>
  </si>
  <si>
    <t>Agustina Carlota Abad</t>
  </si>
  <si>
    <t>Fallecimiento, herencia o memoria</t>
  </si>
  <si>
    <t>Gazeta de Madrid bajo el Gobierno de la Regencia n.º 38</t>
  </si>
  <si>
    <t>16</t>
  </si>
  <si>
    <t>ancia D. Francisco Asín, y por la escribanía del número de D. Juan Antonio de Urraza, penden Jos autos de abintestato forma­ dos por fallecimiento de Doña Agustina Carlota Abad, vecina que fue de esta corte, de estado honesto, que vivía en la calle deSilva, casa número 19, manzana 456, natura! que era de esta corte, é hija de…</t>
  </si>
  <si>
    <t>Abad, Francisco</t>
  </si>
  <si>
    <t>Francisco Abad</t>
  </si>
  <si>
    <t>Gazeta de la Regencia de las Españas n.º 12</t>
  </si>
  <si>
    <t>107</t>
  </si>
  <si>
    <t>l Bonillo, habiéndose dirigido Baca desde Viveros, Villanueya de la Fuente y Aibadalejo hacia Anda­ lucía por Sierra Morena y Barranco hondo, ínterin D. Francisco Abad llamaba la atención por esta parte á los enemigos, y evitaba se p sesionasen de los puntos por donde debia retirarse; llegó á las inmediaciones de Santiestéban…</t>
  </si>
  <si>
    <t>Gazeta de la Regencia de las Españas n.º 109</t>
  </si>
  <si>
    <t>3</t>
  </si>
  <si>
    <t>ice al Sr. guíe del estilo mayor general desde su cuartal general de Valencia de Alcántara, con fecha de 5 dei actual 5 lo que sigue: „ Exorno. Sr. : D. Francisco Abad, comandante de loa escuadro­ nes de húsares francos de Valdepeñas, me dice con fecha de 19 de juno intimo desde Yébenes lo que copio : — Exento. Sr. : Evacuad …</t>
  </si>
  <si>
    <t>Abad, Roque</t>
  </si>
  <si>
    <t>Roque Abad</t>
  </si>
  <si>
    <t>Gaceta de Madrid n.º 96</t>
  </si>
  <si>
    <t>PDF p. 4</t>
  </si>
  <si>
    <t>tos , qne mantienen . . Y para la de Domingo Perez, en el propio ar­ Innumerables rebaños, ofrece ya. á los viageroi zobispado, que obtuvo el ¡seglar D. Roque Abad, un espectáculo que los llena de admiración y de al ex-agustino descalzo;D. .Antonio de Céspedes. asombro. .;~s ‘' ■1 - ‘ Vi .. i....... ESPAÑA. Antonio Sánchez, d…</t>
  </si>
  <si>
    <t>Abadejo, Manuel</t>
  </si>
  <si>
    <t>Manuel Abadejo</t>
  </si>
  <si>
    <t>Suplemento</t>
  </si>
  <si>
    <t>Gazeta de la Regencia de las Españas n.º 82 (suplemento)</t>
  </si>
  <si>
    <t>20</t>
  </si>
  <si>
    <t>. . A .•« CastrcpoL Capitán. .. D. Fernando, YiUaamü. . p •. '] /nr ( Oapitd.n • •« D. Ceiareo García., • *,. i Cangas. . 1 c ¿l. . . ° ( buot^’mente D. Manuel Abadejo • ••-». • « _ • C Teniente . . D. ToribioPela^z. *.,. .. o 1 5 ídem.......... D. Valentín García .. .f. • « 1 ' \ * abielden te D. José VilIaviuoY; . • ... * *…</t>
  </si>
  <si>
    <t>Abadía</t>
  </si>
  <si>
    <t>Gaceta de Madrid n.º 8</t>
  </si>
  <si>
    <t>PDF p. 2</t>
  </si>
  <si>
    <t>de noviembre á su nie­ acaba de llegar de la Cornña, trae la noti . ia de to en la pila bautismal, y L hi puesto por nom­ que el cuerpo que manda el general Abadía se bre Maximiliano Josef : aquella noche dó el señor halla no solo desnudo, sino también sin víveres; de Montgelas, primer ministro, nna función mag­ por io qual s…</t>
  </si>
  <si>
    <t>Gazeta de la Regencia de las Españas n.º 22</t>
  </si>
  <si>
    <t>198</t>
  </si>
  <si>
    <t>leguas de Astorga, sobre cuya ciudad y el Orbigo se bailaban sus avanzadas. Todo el exército está en movimiento. E! 28 por la mañana había salido el general Abadía para hacer un recono­ cimiento sobre Astorga. Valencia de Alcántara 7 de febrero. El 29 de diciembre próximo pasado fueron ahorcados en esta plaza, el soldado invá…</t>
  </si>
  <si>
    <t>Gazeta de la Regencia de las Españas n.º 28</t>
  </si>
  <si>
    <t>243</t>
  </si>
  <si>
    <t>iguiente, desde su cuartel gene­ ral de Fremeda con fecha de 12 de febrero : ,,No he recibido los detalles del movimiento que hizo desde Ga­ licia el general Abadía. Creo que intentaba atacar á Astorga ; pero se retiró á Viliafrauca á principios de este mes, y el general Cabrera que se habla adelantado hasta Labañeza, retroce…</t>
  </si>
  <si>
    <t>Gazeta de la Regencia de las Españas n.º 61</t>
  </si>
  <si>
    <t>505</t>
  </si>
  <si>
    <t>. ,,Interin se reunían para esta operación las tropas que forman el exército llamado de Portugal, me participa el capitán general Cas­ taños , que el general Abadía había mandado á las tropas españolas de Asturias que se moviesen sobre Leoa, donde el brigadier Moreno habia obtenido algunas ventajas sobre un destacamento frunc…</t>
  </si>
  <si>
    <t>Abadía, Francisco Xavier</t>
  </si>
  <si>
    <t>Francisco Xavier Abadía</t>
  </si>
  <si>
    <t>Gazeta de la Regencia de las Españas n.º 79</t>
  </si>
  <si>
    <t>658</t>
  </si>
  <si>
    <t>658 ecjo de guerra y marina; D. Francisco Xavier Abadía, mariscal de campo de I03 reales exércitos, y D. José Vázquez F.gueroa, secre­ tario interino de estado y délos despachos de marina y hacienda; ha venido en elegir y nombrar secretario de e</t>
  </si>
  <si>
    <t>Abadía, Ignacio</t>
  </si>
  <si>
    <t>Ignacio Abadía</t>
  </si>
  <si>
    <t>Gazeta de Madrid bajo el Gobierno de la Regencia n.º 24</t>
  </si>
  <si>
    <t>35</t>
  </si>
  <si>
    <t>D. Juan Josef Barrios, cura de Sta. María. D. Rafael Oseñalde, id. de S. Andrés. D. Rafael Hernández, id. de S. Sebastian. Seculares. D. Ignacio Abadía. 35. Antonio Garniz. D. Diego Palacio. D. Marcelo S. Román. [■ D. Paulino Sofia. D. Narciso Gonzalo del Rio. Y para que el público pueda entenderse con dicha ¡unta, y no padez…</t>
  </si>
  <si>
    <t>Abadía, Pedro</t>
  </si>
  <si>
    <t>Pedro Abadía</t>
  </si>
  <si>
    <t>r; tenencias de granaderos á D. Juan Quintanilia, D. José Garrea y D. Antonio Taranco, de cazadores, á D. Jo­ sé Francisco de Isasi, y de fusileros á D. Pedro Abadía, D. José de la Riva Agüero , D Jacinto de Ximeno , D. Juan de Irigoyen, Don Angel Aifaro, D. Manuel Raíz de Burgos, D. Antonio Raras, Don Tornas de la Casa y Pie…</t>
  </si>
  <si>
    <t>Abadía, Xavier</t>
  </si>
  <si>
    <t>Xavier Abadía</t>
  </si>
  <si>
    <t>Gazeta de la Regencia de las Españas n.º 15</t>
  </si>
  <si>
    <t>137</t>
  </si>
  <si>
    <t>tiroteo , cu el que sabemos que el enemigo tuvo algunos heridos. Del mariscal de campo D. Xavier .Losada, al comándenle gene* ral del sexto exército D. Xavier Abadía.— Cvartel general de Inclan 2 de enero de 1812.—Ei subteniente del regimiento de ía Corona O. Ra­ món de Llanos, destinado por raí á obrar con \in destacamento s…</t>
  </si>
  <si>
    <t>Abarrátegui, Juana</t>
  </si>
  <si>
    <t>Juana Abarrátegui</t>
  </si>
  <si>
    <t>Gaceta de Madrid n.º 178</t>
  </si>
  <si>
    <t>14</t>
  </si>
  <si>
    <t>.. 602 26 En los tiempos del Reí que rabió no había en D. Antonio Belben...................... 5948 22 todo Miguel-Turra ni en muchas leguas á la re­ Doña Juana Abarrátegui, como donda mas qne un espejo. Tráxolo al lugar un cura, madre de los hijos y herede­ que lo puso en la sacristía para aliñarse la perilla , y ros de D. B…</t>
  </si>
  <si>
    <t>Abas, José Fernando</t>
  </si>
  <si>
    <t>José Fernando Abas</t>
  </si>
  <si>
    <t>Gazeta de la Regencia de las Españas n.º 50</t>
  </si>
  <si>
    <t>418</t>
  </si>
  <si>
    <t>á instan­ cia del ayuntamiento de la ciudad de Lima íes ha hecho la Regen­ cia del r yoo, han venido en conceder, cono por el presente conce­ den , á D. José Fernando Abas cal la gracia de tí tu1 o de Castilla con }.a denominación de marques de la Concordia-españoló del Perú, li­ ebre de lanzas y medias anatas por solo su vid…</t>
  </si>
  <si>
    <t>Abasca, Vicente</t>
  </si>
  <si>
    <t>Vicente Abasca</t>
  </si>
  <si>
    <t>Gaceta de Madrid n.º 47</t>
  </si>
  <si>
    <t>88</t>
  </si>
  <si>
    <t>ia princesa juez primero á D. Manuel León de la Huerta: se­ Cariota. gundo á D. Pedro Texerina : tercero á D. Manuel ESPAÑA. Duro y Vizmanos: quarto D. Vicente Abasca!. art. iv. Nuestro ministro de la Justicia cui­ Barcelona g de enero. dará de la execucion del presente decreto. =: Firmado=YO EL REI.ss Por S. M., el ministro …</t>
  </si>
  <si>
    <t>Abaxo, Francisco</t>
  </si>
  <si>
    <t>Francisco Abaxo</t>
  </si>
  <si>
    <t>Publicación o actividad intelectual</t>
  </si>
  <si>
    <t>Gaceta de Madrid n.º 201</t>
  </si>
  <si>
    <t>lación mui diferente en un periódico de esa D. Miguel Nicasio Galvez , id.............. í...... 2200 ciudad.___Piensen los periodistas quánto mal ha­ D. Francisco Abaxo, diácono, id.............. 2200 cen en engañar al pueblo; quánto perjudican á la D. Félix Bayon,id. enVillanueva ó Aldea buena cansa con sus elogios desmedido…</t>
  </si>
  <si>
    <t>Abba</t>
  </si>
  <si>
    <t>Gazeta de la Regencia de las Españas n.º 60</t>
  </si>
  <si>
    <t>498</t>
  </si>
  <si>
    <t>niciones de boca y guer­ ra, Los batallones segundo y tercero, posesionados dd país, se resol­ vieron á perecer.; pero colocado yo á su cabeza, vi al general Abba con 4500 infantes y 200 caballos en Ochagavia: á Damonstier con 3000 de los primeros y ¿00 de los segundos en Lurabier : á Laferriere con 3000 de la primera arma y …</t>
  </si>
  <si>
    <t>Abbas</t>
  </si>
  <si>
    <t>Noticias extranjeras</t>
  </si>
  <si>
    <t>Gaceta de Madrid n.º 103</t>
  </si>
  <si>
    <t>1812</t>
  </si>
  <si>
    <t>Rosembnrgo. , • Malí mound-Schah, Rei de los aíghanes, acaba ' PRUSIA. . de publicar un indulto general, con el qual ha tranquilizado sus estados. El príncipe Abbas, so Berlín 23 de febrero. rival, que aspiraba á quitarle la corona, ha caído en su poder, y el Rci ha mandado sacarle los ojos, ' Hace algunos dias que va ganando…</t>
  </si>
  <si>
    <t>Abbé</t>
  </si>
  <si>
    <t>Gazeta de la Regencia de las Españas n.º 33</t>
  </si>
  <si>
    <t>283</t>
  </si>
  <si>
    <t>no. „Escmo. §i\: La división navarra se ha cubierto de gloria en la batalla de esta tarde junto á esta ciudad. El orgulloso enemigo, man­ dado por el general Abbé, gobernador que se dice de Pamplona, con la mayor parte de sus tropas se presentó á la derecha del rio Ara­ gón : los batallones de voluntarios , en columnas de ata…</t>
  </si>
  <si>
    <t>46</t>
  </si>
  <si>
    <t>rzo de 1812.— Francisco Espoz y Mina.” III. „Excmo. Sr. : El coronel D. Gregorio Cruchaga, en oficio del 15 me dice lo que copío. — Muy Sr. raio : el general Abbé con su columna de 3000 infantes y 300 cabellos se presentó la mañana del 13 á las puertas de Estelfa, cuando yo salía con los batallones prime­ ro y cuarto formados…</t>
  </si>
  <si>
    <t>465</t>
  </si>
  <si>
    <t>n inmobles en sus puestos, sin manifes­ tar el menor disgusto por ía penuria de víveres y cabido, ni por la inclemencia del tiempo. Es regular que el general Abbé vea muchos de sus soldados tan cansados que se conduela de otras dos marchas semejantes. Recomiendo la bizarría y serenidad de la primera com­ pañía del primer bata…</t>
  </si>
  <si>
    <t>de observación de Urroz; mandé salir todos los heridos y enfermos, dirigiéndome la noche del 24 por el pueblo de Rurgui al de Lobera. El 26 entró el general Abbé en ei valle, é incendio la casa del coronel D. Gregorio Cruchaga coa otras 13 del pueblo de Urzaingui, y sin detenerse siguió mi retaguar­ dia, estrechándome Laferri…</t>
  </si>
  <si>
    <t>Gazeta de la Regencia de las Españas n.º 65</t>
  </si>
  <si>
    <t>536</t>
  </si>
  <si>
    <t>franceses conductores del convoy, pero cargados por 2 compañías lo abandonaron, fugándose vergonzosamente hasta Pam­ plona. „Al mismo tiempo salió el general Abbé con SO caballos y 700 in­ fantes á reforzar los primeros, que batidos y en desorden se retiraban». Nuestra posición, que sin valor y resolución hubiera sid&lt; 'do des…</t>
  </si>
  <si>
    <t>Gazeta de la Regencia de las Españas n.º 83</t>
  </si>
  <si>
    <t>180</t>
  </si>
  <si>
    <t>, que juraron costaría muy caro á Napoleón el brazo de Cruchaga. A i es que infatigables , despreciando las marchas , hambre y des­ calcez, vieron al general Abbé que se dirigía contra el quinto ba­ tallón y estante en S. Vicente Aran , á las órdenes de su comandante D..S ebastian Fernandez. Este los recibió á vivo fuego la t…</t>
  </si>
  <si>
    <t>Gazeta de Madrid bajo el Gobierno de la Regencia n.º 18</t>
  </si>
  <si>
    <t>7</t>
  </si>
  <si>
    <t>á V. E. á los comandan­ tes, oficíale; y soldados que se batieron el 29 : dia tan temible á la oficiali­ dad francesa, que ha dado lugar á negarle al gobernador Abbé á salir á ha­ cer leña, que lo solicitaba, dicicndols del modo mas terminante que se ex-; ponía toda su división, si se verificaba otra salida, á ser destrozada,…</t>
  </si>
  <si>
    <t>Gazeta de la Regencia de las Españas n.º 135</t>
  </si>
  <si>
    <t>9</t>
  </si>
  <si>
    <t>aís* piona por la falta de granos, y tanto mi empeño en que no Ies con­ duzcan oponiéndome incesantemente á sus intenciones y esfuerzos, que el mismo gobernador Abbé se vio en la precisión de hacer una tentativa en la mañana del 16, dcxñado su palacio para salir á por­ diosear acompañado de 1200 infantes, 200 caballos y 2 pie…</t>
  </si>
  <si>
    <t>Gazeta de la Regencia de las Españas n.º 141</t>
  </si>
  <si>
    <t>V. í). á los comandantes, oficiales y soldados que sé* batieron él-2Í), di.a tari temible á la oficialidad francesa, que lia dádé lugar á negarse id gobernador Abbé á salir á hacer leña, qué lo so­ licitaba , diciéndole del modo mas terminante, que se exponía toda su división, si sé verificaba otra salida, á ser destrozada, y…</t>
  </si>
  <si>
    <t>Gazeta de la Regencia de las Españas n.º 160</t>
  </si>
  <si>
    <t>316</t>
  </si>
  <si>
    <t>. muchos años. Puente la Rey na y Octu­ bre 6 de 1812. — Ffancisco Fspos y Mina. — Exento. Sr. D. Ga­ briel de Mondizabal ” 2.° ,,El 11 se hallaba el general Abbé en la ciudad de Tafalla, adonde habla baxado desde. Pamplona con 3500 infantes , 5 piezas de catión y 250 caballos. Había mandado anticipadamente acopiar granos , y…</t>
  </si>
  <si>
    <t>Abercrombie</t>
  </si>
  <si>
    <t>Gaceta de Madrid n.º 84</t>
  </si>
  <si>
    <t>del partido de la oposición de triotismo, iguales á los del gobernado: de Pcñísla cámara alta. cola , imitasen su conducta , y no respirase en to­ El general Abercrombie ha sido nombrado co­ da la península otr¡ voz que la de patria en una­ mandante en gefe de Madras. nimidad, la del olvido general de los males pro­ Ei conde …</t>
  </si>
  <si>
    <t>Áberttuci</t>
  </si>
  <si>
    <t>Gaceta de Madrid n.º 40</t>
  </si>
  <si>
    <t>nes; el capitán Di z, del Se construirá en el mismo sitio en que en 1797 regimiento de Castilla, y el capitau de gendarmes murió tan gloriosamente el general Áberttuci. Sacristán. La exportación de granos y de ganados para Francia continúa oon mucha actividad. Se han depositado en las arcas del estado 48® francos, procedentes…</t>
  </si>
  <si>
    <t>Abregu, Bernardo</t>
  </si>
  <si>
    <t>Bernardo Abregu</t>
  </si>
  <si>
    <t>Gazeta de la Regencia de las Españas n.º 27</t>
  </si>
  <si>
    <t>24</t>
  </si>
  <si>
    <t>octavo, 41. D. Eugenio Galarza, portero , D. Ig« O tiacio Ayllon , escribano, 12 Conductores del número. D. José Marín, 40. D. G regorio Teran , 40. D Bernardo Abregu , 4l&gt;. D. Juan Luis Pere.z , 40. D José Ascue , 40 D. Nicolás León , 40. D. Bern udino groa , 40, Don Melchor Lamas, 4-0'. D. Estanislao Alzamora , 40. i). Manu…</t>
  </si>
  <si>
    <t>Acdsta, Manuel</t>
  </si>
  <si>
    <t>Manuel Acdsta</t>
  </si>
  <si>
    <t>2</t>
  </si>
  <si>
    <t>. D. Francisco Perez , 2. D. Ma­ riano Tello, 1. D. Sebastian Daga, 2. IX Ramón Acuña, 4. D. Andrés Melendez, 1. D. Pablo Piñan, 1. D. José Serna, l. D. Manuel Acdsta, 1. Teniente de milicias de Tarma IX Juan Echevarría, 100. Procurador de la ciudad-IX Pe­ dro Espinosa , 10. Capitán D. .Esteban Solis , 2. Id. D. Esteban Ximen…</t>
  </si>
  <si>
    <t>Ace, José Díaz</t>
  </si>
  <si>
    <t>José Díaz Ace</t>
  </si>
  <si>
    <t>n Roa, D. Xavier Morios, D. Pedro Astarloa, D. Juan Esteban Cueto, Don Manuel Carrera, D. José María Medina, D. Podro Jo mi Alcina, D. Manuel U&amp;bina, D. José Díaz Ace vedo v D. J nan Cádos nez ; el mismo ele caballería, á D José M dalles, D. Podro Luís Icteupi, D. Miguel Primero, D. Antonio Urblna, D. Earique Fu­ rias, D. Jua…</t>
  </si>
  <si>
    <t>Acebo</t>
  </si>
  <si>
    <t>Gaceta de Madrid n.º 131</t>
  </si>
  <si>
    <t>teniente,ácapitaq de la ticos que aconsejan para esta clase de enfermeda­ primera compañía del ptimeút, batallón. ....... des ei método curativo del doctor Acebo ; pero mi . . D. .Cristóbal de Medina, capitán retirado, á dictamen es que .no debe seguirse sino en ciertos capitan.de la tercera compañía, de dicho batallón. casos…</t>
  </si>
  <si>
    <t>Acero, José</t>
  </si>
  <si>
    <t>José Acero</t>
  </si>
  <si>
    <t>alumnos de la referida academia militar de la isla de León, O. Eugenio Carrasco, D Sebastian Villaniieva, D Facundo Arte ga , D. Eulogio Santa Cruz , D. José Acero, D. Juan Tena, Don José López Montoya , D. Juan Ramón Llórente, O J uan Muril!o, O. Francisco Benito, D. Francisco Alameda, D. Pedro Panla­ gua, D. Luis Muñoz?, D.…</t>
  </si>
  <si>
    <t>Aceytuno, Pedro</t>
  </si>
  <si>
    <t>Pedro Aceytuno</t>
  </si>
  <si>
    <t>Gazeta de la Regencia de las Españas n.º 23</t>
  </si>
  <si>
    <t>203</t>
  </si>
  <si>
    <t>Moníalvan; se cree que cor» su llegada se secuestrarán los bienes de todos los que han abandonado el puebla, así como ya lo están de su orden los de D. Pedro Aceytuno, Doña Antonia Coca , D. Pedro Maza y ca­ nónigo Ubago. Alicante 7 de febrero. Según una relación que acaba de recibirse, habiendo entrado el brigadier Espoz y M…</t>
  </si>
  <si>
    <t>Achard</t>
  </si>
  <si>
    <t>Gaceta de Madrid n.º 235</t>
  </si>
  <si>
    <t>943</t>
  </si>
  <si>
    <t>21 fue ata­ tra las baterías enejnigas. Este movimiento, execucado el regimiento 3.0 de cazadores por la vanguar­ tado prontamente, y dirigido por el coronel Achard, dia de Bagration, que quería ocupar esta plaza im * del io8.°, influyó mucho en la izqujerda del ene­ portante. El regimiento se retiro después de haber, migo, q…</t>
  </si>
  <si>
    <t>Achucarro, Juan</t>
  </si>
  <si>
    <t>Juan Achucarro</t>
  </si>
  <si>
    <t>Gaceta de Madrid n.º 76</t>
  </si>
  <si>
    <t>riquez, D. Juan Manuel Errazqoin, D. Juan Bau­ tista Montes, D. Domingo Urdagarin, D. Juan ,,Vuestra villa de Requena, comprehendida Antonio Ozamiz, D. Juan Achucarro, D, Josef en la prefectura de Valencia, no ha esperado ni Colmenares , D. Josef Mendía , D. Pablo Romeo el exemplo ni las órdenes de aqnella capital para y D. A…</t>
  </si>
  <si>
    <t>Acnña, Felipe</t>
  </si>
  <si>
    <t>Felipe Acnña</t>
  </si>
  <si>
    <t>Gaceta de Madrid n.º 152</t>
  </si>
  <si>
    <t>oldados y generales que tú dices, ¡qué caballería de Cuenca , teniente del esqnadron de es lo que hacen sino destruir sin provecho de nadie? Avila; á D. Felipe Acnña, subteniente del regi­ Bien que á la verdad no es sin provecho de nadie , pues i todos esos mandones mui bien Ies sale la cuenta. miento núm. 3.0 de cazadores á …</t>
  </si>
  <si>
    <t>Acosta, Francisco</t>
  </si>
  <si>
    <t>Francisco Acosta</t>
  </si>
  <si>
    <t>Gazeta de la Regencia de las Españas n.º 147</t>
  </si>
  <si>
    <t>1200</t>
  </si>
  <si>
    <t>ctor Casasola , D. Pascual del Rey , D. Miguel Parrales, D. Francisco Ay uso, D. Miguel González, D. Antonio (González, D. Angel Liare, D. José Uiloa,D Francisco Acosta, D. Justo Clemente, D. José Sánchez, D. Eustaquio Hidalgo, D. Basilio Aguado, D. Tomas Aparicio, Don Fernando Villanueva, D. Antonio Ansaldo , D. Sebastian de…</t>
  </si>
  <si>
    <t>Gazeta de Madrid bajo el Gobierno de la Regencia n.º 36</t>
  </si>
  <si>
    <t>366</t>
  </si>
  <si>
    <t>ctor Casasola, D. Pascual del Rey, D. Miguel Parrales, D. Francis­ co Ayuso, D. Miguel González, D. Antonio González, D. Angel Llave, D. Josef Ulloa, D. Francisco Acosta, D. Justo Clemente, D. Josef Sánchez, D. Eustaquio Hidalgo, D. Basilio Aguado, D. Tomas Aparicio, D, Fernando Villanueva, D. Antonio Ansaldo, D. Sebastian de…</t>
  </si>
  <si>
    <t>Acosta, Juan Hernande</t>
  </si>
  <si>
    <t>Juan Hernande Acosta</t>
  </si>
  <si>
    <t>España</t>
  </si>
  <si>
    <t>Gazeta de la Regencia de las Españas n.º 113 (extraordinaria)</t>
  </si>
  <si>
    <t>932</t>
  </si>
  <si>
    <t>drés Lesama, por 2, 18. D. José Marcial &lt; e Echarri, id., 18. D. Manuel Mas, por uno, 9. D. Do* mingo Cabrera , id., 9, D. Joaquín Goycourva, id,, 9. D. Juan Hernande* Acosta, id., 9. (Se continuará.) CADIZ: EN LA IMPRENTA REAL.</t>
  </si>
  <si>
    <t>Ado</t>
  </si>
  <si>
    <t>Gaceta de Madrid n.º 79</t>
  </si>
  <si>
    <t>acante de Don erónimo , para el beneficia de la parroquia de San Noel Antonio Sassary; D. Pedro Milliard , subte­ niente , á teniente en reemplazo de D. Ado lio LáS ’ablo de Ubeda, diócesis de Jaén, vacante por fa­ llecimiento de D. Miguel de Aguayo, y por re­ zaro Couturier; D. Esteban Forestier , subtenien­ nuncia que hizo …</t>
  </si>
  <si>
    <t>Adurriaga, Francisco María</t>
  </si>
  <si>
    <t>Francisco María Adurriaga</t>
  </si>
  <si>
    <t>Gazeta de la Regencia de las Españas n.º 20</t>
  </si>
  <si>
    <t>esús, María y Caridad , por sí , 100 ps. D. Fernando Bermudez , id. de Ntra. Sra. de la Paz , por sí, JOO. José Márquez, escribano cíe cofradías, 20. D. Francisco María Adurriaga, cura de Pachas , y vicario de Huamalies , 200. D. Bernardo Briceño , cura de Llamellin , 100. D. Lorenzo Cos, 12. Tres niñas solteras, y otros indi…</t>
  </si>
  <si>
    <t>Ágaiclinación, Andrés</t>
  </si>
  <si>
    <t>Andrés Ágaiclinación</t>
  </si>
  <si>
    <t>Gaceta de Madrid n.º 2</t>
  </si>
  <si>
    <t>de Mirse­ infantería de línea , mayor del regimiento de Se­ lla), sn ascensión recta era de 67o y 15', y su de­ villa , 3.0 de infantería de línea; á D. Andrés Ágaiclinación de 25o 58' y austral. De donde se infiere lar, cadete que fue del regimiento da Granada, que el movimiento aparente de ascensión recta del subteniente ab…</t>
  </si>
  <si>
    <t>Agapito</t>
  </si>
  <si>
    <t>Gaceta de Madrid n.º 75</t>
  </si>
  <si>
    <t>................. 6750 P. Fernando de Beiogoecbea.......... 20561 18 P. Juan de Santiago, como padre y administrador de los bienes de su txatkq. hijo D. Agapito.......................... 16382 2 En el del Principo, i las siete de la noche, se re­ P. Vicente Saiocci, habilitado ju­ presentará por la compañía española la comedi…</t>
  </si>
  <si>
    <t>Agilitar, Juan</t>
  </si>
  <si>
    <t>Juan Agilitar</t>
  </si>
  <si>
    <t>s á B. Gabriel Menoeal y D. Joaquín Ekmii ; á subtenientes de granaderos - á O. Francisco Valera y D. Carlos Laurent, á subtenien­ tes de fusileros á D. Juan Agilitar, D. Lorenzo de Avila, 0. Salva­ dor Morejon y D Francisco Seidel; y á subtenientes de bandera á D. Faustino Figueroa , D. Francisco Viamonte, D. Francisco Corta…</t>
  </si>
  <si>
    <t>Agnew</t>
  </si>
  <si>
    <t>196</t>
  </si>
  <si>
    <t>och , brigadier y ge fe del'estado mayor, con poderes de Jansens*. para tratar de capitulación, y habiendo el genera! ingles nombrado por su parte al coronel Agnew, se concluyó el ajuste aquel mismo día: por la tarde se m?rehó Koch , para traer la aprobación de su gene­ ral, el cual se negó á hacerlo' hasta que viendo la firm…</t>
  </si>
  <si>
    <t>Agnilar, Estanislao</t>
  </si>
  <si>
    <t>Estanislao Agnilar</t>
  </si>
  <si>
    <t>Gaceta de Madrid n.º 66</t>
  </si>
  <si>
    <t>cisco de Torres. D. Gonzalo de Valenznela, de granaderos. D. Juan Martin de la Torre, de tiradores. Subtenientes. D. Pedro Morales. D. Josef Ximenez. D. Estanislao Agnilar. D. Juan de Ortega Luengo. D. Miguel Parraverde. art. v. En la villa de Espejo se formarán dos D. Josef Joaquín de Priego. compañías. D. Gerónimo Montilla.…</t>
  </si>
  <si>
    <t>Agredano, Manuel</t>
  </si>
  <si>
    <t>Manuel Agredano</t>
  </si>
  <si>
    <t>Gaceta de Madrid n.º 177</t>
  </si>
  <si>
    <t>1100</t>
  </si>
  <si>
    <t>el anterior artícelo la pensión que le va señalada, D. Antonio Aguilar , residente en Jodar... 2200 mientras no goce otra renta ó sueldo eqüivdente. D. Manuel Agredano, id. en Linares......... 2200 ART. ili. Nuestros ministros de N gooins ecle­ siásticos y de Hacienda quedan em-rgad.os de la Ex-capuchinos. execocion de! prese…</t>
  </si>
  <si>
    <t>Aguado, Basilio</t>
  </si>
  <si>
    <t>Basilio Aguado</t>
  </si>
  <si>
    <t>D. Miguel González, D. Antonio (González, D. Angel Liare, D. José Uiloa,D Francisco Acosta, D. Justo Clemente, D. José Sánchez, D. Eustaquio Hidalgo, D. Basilio Aguado, D. Tomas Aparicio, Don Fernando Villanueva, D. Antonio Ansaldo , D. Sebastian de Moya, D. Antonio María Portaz, D. Antonio Moreno, D. Andrés Rodrí­ guez, D. J…</t>
  </si>
  <si>
    <t>Miguel González, D. Antonio González, D. Angel Llave, D. Josef Ulloa, D. Francisco Acosta, D. Justo Clemente, D. Josef Sánchez, D. Eustaquio Hidalgo, D. Basilio Aguado, D. Tomas Aparicio, D, Fernando Villanueva, D. Antonio Ansaldo, D. Sebastian de Moya, D. Antonio Ma­ ría Portaz, D. Antonio Moreno, D. Andrés Rodríguez, D. Jos…</t>
  </si>
  <si>
    <t>Aguado, Eugenio</t>
  </si>
  <si>
    <t>Eugenio Aguado</t>
  </si>
  <si>
    <t>■ dé-barrio Diputados seculares D. Agustín Pascual. ¡ D. Andrés ladeo Perez. Diputado -eclesiástico D. Francisco Rodríguez. D. Manuel de la Torre.. i D. Eugenio Aguado. Dipul ados seculares , y el último secretario Secretario interino, D. Pedro Irig^üen. D. Josef Villar. . &gt; D. Juan de S. Miguel. BARRIO DE LA TRINIDAD. D. Fra…</t>
  </si>
  <si>
    <t>Aguado, Fernando</t>
  </si>
  <si>
    <t>Fernando Aguado</t>
  </si>
  <si>
    <t>PDF p. 6</t>
  </si>
  <si>
    <t>tasio García. D. Joaquín Hevia. QUARTEL DE MARAVILLAS. Secretario BARRIO DE SAN BASILIO. D. Pedro Gil y Muro. Alcalde de barrio BARRIO DE SAN MARCOS. D. Fernando Aguado. Alcalde de barrio Diputado eclesiástico D. Josef Laguera. D. Antonio Liaño. Diputado eclesiástico y secretario Diputados seculares D. Josef Antonio lbarrola.…</t>
  </si>
  <si>
    <t>Aguado, Juan</t>
  </si>
  <si>
    <t>Juan Aguado</t>
  </si>
  <si>
    <t>utado eclesiástico En nuestro palacio de Madrid á 7. de abril D. Manuel Ruiz. de 1812. Diputados seculares Don Josef Napoleón por la gráéla de Dios y D. Juan Aguado. por la constitución del estado, REI de las Españas D. Santiago Infanzón. y de las Indias. D. Veotura López. » Visto el informe de nuestro ministro de lo Secretar…</t>
  </si>
  <si>
    <t>Aguayo, Diego Sánchez</t>
  </si>
  <si>
    <t>Diego Sánchez Aguayo</t>
  </si>
  <si>
    <t>Gaceta de Madrid n.º 203</t>
  </si>
  <si>
    <t>...... ........................... 22co D. Manuel de Huertas, id.............................. 2200 J&gt;. Francisco Díaz, residente eti Córdoba.. ’22oa D. Diego Sánchez Aguayo , id...................... 22C0 D. Francisco Solano de Navas , ¡d................ 2200 D. Jostf Navarro , residente en Mootilla... 2200 D. Josef Muñoz, i…</t>
  </si>
  <si>
    <t>Agüero, Domingo</t>
  </si>
  <si>
    <t>Domingo Agüero</t>
  </si>
  <si>
    <t>Gaceta de Madrid n.º 227</t>
  </si>
  <si>
    <t>a su execución. Asi.que,.-el exér­ mino., juez de las juntas .de -negocios contenciosos, cito ha hecho largas marchas, -pata llegar mani­ presidente; D. Domingo Agüero, D. Manuel Silobrando hasta el Dwina; .pujes i&amp;te -vio dista del vela y D. Francisco Itutribarría, alcaldes de corte; Vístula mas que Mpscow- y-Petersbtfrgo de…</t>
  </si>
  <si>
    <t>Agüero, José de la Riva</t>
  </si>
  <si>
    <t>José de la Riva Agüero</t>
  </si>
  <si>
    <t>ranaderos á D. Juan Quintanilia, D. José Garrea y D. Antonio Taranco, de cazadores, á D. Jo­ sé Francisco de Isasi, y de fusileros á D. Pedro Abadía, D. José de la Riva Agüero , D Jacinto de Ximeno , D. Juan de Irigoyen, Don Angel Aifaro, D. Manuel Raíz de Burgos, D. Antonio Raras, Don Tornas de la Casa y Piedra , D. Domingo …</t>
  </si>
  <si>
    <t>Agui, Antonio</t>
  </si>
  <si>
    <t>Antonio Agui</t>
  </si>
  <si>
    <t>Gazeta de la Regencia de España e Indias n.º 7</t>
  </si>
  <si>
    <t>10</t>
  </si>
  <si>
    <t>D. Hipólito Lisarraga , 17. Felipe Guzman , 17. Domingo Nieto , 12. Antonio Acosta, 10. Ig­ nacio Ratera , 10. José Reynoso , 10. Ignacio'Urias , 10. D. Antonio Agui­ la!*, S. Manuel Travitaso , 8. José Cruz , (3. Manuel Cáceres, 6. Francisco Faustos , G. Agustín Martínez , G. Francisco Román, 6. Escolástico Sánchez, o. D. Ma…</t>
  </si>
  <si>
    <t>Aguilar, Antonio</t>
  </si>
  <si>
    <t>Antonio Aguilar</t>
  </si>
  <si>
    <t>Estados- D. Gerónimo Aguilar. Unidos, contiene una relacÍGn v*rdadera y exácta D. Miguel Arjooa. de las circunstancias ocurridas en el encuentro en­ D. Antonio Aguilar. tre la fragata de los Estados-Unidos el Presidente D. Josef Várgas. y el navio de M. británica el Pequeño Belt. D. Cristóbal Figueroa. Ei tribunal se separó p…</t>
  </si>
  <si>
    <t>úblico deberá satisfacer á Ex-trinitarios descalzos. cada uno de los individuos compretundidos en el anterior artícelo la pensión que le va señalada, D. Antonio Aguilar , residente en Jodar... 2200 mientras no goce otra renta ó sueldo eqüivdente. D. Manuel Agredano, id. en Linares......... 2200 ART. ili. Nuestros ministros de…</t>
  </si>
  <si>
    <t>Aguilar, Femando Agustín</t>
  </si>
  <si>
    <t>Femando Agustín Aguilar</t>
  </si>
  <si>
    <t>: la de cañón dió en su palo mayor, otra en el de Capitanes. mesana, y se cortaron algunas de sus xarcias. 18. Que la carta del conmódoro Rodgers, de D. Femando Agustín Aguilar, de granadero*. fecha del dia 23 de mayo último en la altura de D. Marcos Casrriilo, de tiradores. Sandy-Hook, dirigida al ilustre secretario de Es­ D…</t>
  </si>
  <si>
    <t>Aguilar, Gerónimo</t>
  </si>
  <si>
    <t>Gerónimo Aguilar</t>
  </si>
  <si>
    <t>Marcos Casrriilo, de tiradores. Sandy-Hook, dirigida al ilustre secretario de Es­ D. Antonio Martel. tado por el-ministerio de Marina de los Estados- D. Gerónimo Aguilar. Unidos, contiene una relacÍGn v*rdadera y exácta D. Miguel Arjooa. de las circunstancias ocurridas en el encuentro en­ D. Antonio Aguilar. tre la fragata de…</t>
  </si>
  <si>
    <t>Aguilar, Manuel Mana</t>
  </si>
  <si>
    <t>Manuel Mana Aguilar</t>
  </si>
  <si>
    <t>Gazeta de la Regencia de las Españas n.º 166</t>
  </si>
  <si>
    <t>1366</t>
  </si>
  <si>
    <t>junta provisional de agravios de Aragón. El 28,. se leyó el testimonio de haber jurado la constitución el encargado de negocios.de España en 'Sicilia D. Manuel Mana Aguilar. El 29, del gobernador y subdelegado de Málaga; del gefe y dependientes de rentas de Jaén ; del administrador principal de Oviedo:; de los empleados de ha…</t>
  </si>
  <si>
    <t>Aguilar, Ventura</t>
  </si>
  <si>
    <t>Ventura Aguilar</t>
  </si>
  <si>
    <t>Gazeta de la Regencia de España e Indias n.º 2</t>
  </si>
  <si>
    <t>cisco Celeueyra, 41, Idem D. Santiago del Aguila, 41. — Almacenes de pólvora. Fiel de almacenes Don Luis Drliz , 66. D Manuvl Lauiarca , guarda , 20. D. Ventura Aguilar , ensa­ yador mayor interino , 150. D. Pablo Patrón, capitán retirado del estado ma­ yor de esta plaza , 145. (Se continuará.) CADIZ : EN LA IMPRENTA REAL.</t>
  </si>
  <si>
    <t>Aguillo, Antonio</t>
  </si>
  <si>
    <t>Antonio Aguillo</t>
  </si>
  <si>
    <t>á que Requena y lugares de tonio Irigoyen y D. Aniceto Aranguren agraciados su comprehension deseaban penetrar hasta su So­ de la villa de Placencia; D. Antonio Aguillo, berano , hallar en 6i el centro de la justicia, el D. Josef Ramón Zomalave, D. Pedro LarrUmbe protector da sns vasallos, y el reparo de los males y D. Josef …</t>
  </si>
  <si>
    <t>Aguinacable, Xavier</t>
  </si>
  <si>
    <t>Xavier Aguinacable</t>
  </si>
  <si>
    <t>Já {ja. D. Jo-é Ignacio ¡Moreno , cura de Huancayo , 100. D. Pablo González , id. de SicaFa , 50. D. Juan Evangelista Espejo, id. de Sapallanga, 50. D. Xavier Aguinacable , id. de Jauja , 50. Don Faustino Perez , id. de Concepción , 50. D. Manuel llamos, 30.* 1). Francisco Benito Suarez , 12. Fr. Carlos Sánchez ,1?. D. José G…</t>
  </si>
  <si>
    <t>Aguirre, José Garci</t>
  </si>
  <si>
    <t>José Garci Aguirre</t>
  </si>
  <si>
    <t>Gazeta de la Regencia de las Españas n.º 55</t>
  </si>
  <si>
    <t>45</t>
  </si>
  <si>
    <t>lón de in« fardería íixo de Go&amp;temala , compañía de ganaderos á D. An« Ionio María, y de fusileros á D. José María Palomar ; tenencia de granaderos á D. José Garci- Aguirre, y de fusileros á O. Maca* rio Sánchez; subtenencia de granaderos á D. Femando Sánchez, y de fusileros á O. Ramón Muniz. En el batallón de milicias discip…</t>
  </si>
  <si>
    <t>Aguirre, Manuel Ignacio</t>
  </si>
  <si>
    <t>Manuel Ignacio Aguirre</t>
  </si>
  <si>
    <t>Gazeta de la Regencia de las Españas n.º 91</t>
  </si>
  <si>
    <t>62</t>
  </si>
  <si>
    <t>ragones voluntarios de dicho cuerpo , 1023. El pro­ curador D. Manuel de Aguirre,(i. D. José Correa, 30, D. Nicolás Angulo, 25. D. Juan Madriñan, 30. D. Manuel Ignacio Aguirre, 10 D. Francisco Ortias , 20. D. Miguel Guerrero , 10. D. Pedro Díaz, 25 D. Juan Bautista Sán­ chez, 6. Juan Al varado, 8. D. Vicente Sánchez, 6 D. Man…</t>
  </si>
  <si>
    <t>Aguirre, Manuel Ubalde</t>
  </si>
  <si>
    <t>Manuel Ubalde Aguirre</t>
  </si>
  <si>
    <t>Gazeta de la Regencia de las Españas n.º 100</t>
  </si>
  <si>
    <t>825</t>
  </si>
  <si>
    <t>uarniciones que ántes oprimían las- provincias inmediata*, no les obliga á vio-ge muy l¿irgo. La gaceta del 18 pone bus nombre» en estos términos : ,,D. Manuel Ubalde Aguirre, capelbm que fué del Buen-suceso ; D. Pablo F guerea , cfíckl retirado de merma , natu­ ral de Vi 'lacenas ; D. Joté Amat, teniente coronel retirado, sa…</t>
  </si>
  <si>
    <t>Aguirre, Manuel Ubaldo</t>
  </si>
  <si>
    <t>Manuel Ubaldo Aguirre</t>
  </si>
  <si>
    <t>n de este reglamento, sujetos al gobierno de S. M. acompañando á su solicitud una razón exacta é in­ dividual de las armas que tienen en sil poder, y D. Manuel Ubaldo Aguirre, capellán que fae de los sugetos á quienes pertenezcan. del Buen-Suceso. 4.0 Los maestros armeros que obtuvieren la D. Publo Figueroa, oficial retirado …</t>
  </si>
  <si>
    <t>Agustín</t>
  </si>
  <si>
    <t>Gaceta de Madrid n.º 25</t>
  </si>
  <si>
    <t>al gran consu­ al conde de Cancelada consiliario da ¡a junta de mo de hilo de acero que se hace en Francia en el hospitales civiles de la mtsmr ; y á D. Agustín dia, traten los Chicantes de elaborarlo, y dar Carretero , D. Pedro Joset Valiente y D. F. ancis­ abasto á su consumo. Pero la sociedad de fomento, co MorJes individu…</t>
  </si>
  <si>
    <t>Gaceta de Madrid n.º 78</t>
  </si>
  <si>
    <t>l Silvestre (D. Vicente), médico comultor del excrtribunal criminal de GuadaUxara. cito. Monasterio Díaz ( Ó. Leandro ) f presbítero, ex- St. Priest (D. Agustín), comandante de eíqoadron bcnedictioo, administrador de varia* eocomiea- del regimiento oú n. 4.a de cazadores á caballo. dat de la Orden Real de España. Tilly (coadc…</t>
  </si>
  <si>
    <t>quellas ' provincias , á pesar de ser las mas coreanas á Francia, y las que ocupa nías activamente el enemigo. 5) Vitoria 16 de enero de 1812.—Al Sr. D. Agustín &amp;foz de Arewja , caballero de ¡a real orden de Espava, chantre de la catedral de Vitoria 7/ presidente del clero de Alara, ,,Os "suplico, Si. presidente, que bagáis s…</t>
  </si>
  <si>
    <t>Gaceta de Madrid n.º 175</t>
  </si>
  <si>
    <t>708</t>
  </si>
  <si>
    <t>y traido­ fantería de línea , 4 comandante en el regimiento res de todas las situaciones? ¿No se confirmarán de Castilla, t.“ de infantería ligera; 4 D. Agustín mas y mas los pueblos de Valencia en las ideas Vallancourr , capitán de granaderos del regimiento que ya tienen de su perversidad quando vean que de Toledo , 2.° de i…</t>
  </si>
  <si>
    <t>Agustín, Ambrosio</t>
  </si>
  <si>
    <t>Ambrosio Agustín</t>
  </si>
  <si>
    <t>456</t>
  </si>
  <si>
    <t>s, de granaderos á D. Bartolomé Carvajal, y de fusileros á Don Juan González de Caldas, D. Ignacio Cal?o, D. Alexandro de ios Reyes , D José Viangui, D. Ambrosio Agustín, D. José de los Ríos y D. Manuel Aivarez de Navia; subtenencia de granaderos á D. José: González; de fusileros á D. José Ramón Moreno, D. José Benito Mendez,…</t>
  </si>
  <si>
    <t>Agustin, Francisco</t>
  </si>
  <si>
    <t>Francisco Agustin</t>
  </si>
  <si>
    <t>UERTA DE SEGQVLA.-- . D;1 Joan Balboa. Alcalde de Harria' . a ' Dipittados seculares D. Cár!os:Bosch. &gt; -i D. Pedro Perez García. Diputados seculares D. Francisco Agustin, Crespo. D. Tomas Peña. - D. Francisco Santíüsté. D. Tomas Zapalena. Secretario D. Manuel Medina. D. Josef Ibarra. Secretaria D. Rafael Oarrichena. ' “■ QUA…</t>
  </si>
  <si>
    <t>Ahumada, Juan</t>
  </si>
  <si>
    <t>Juan Ahumada</t>
  </si>
  <si>
    <t>Gaceta de Madrid n.º 81</t>
  </si>
  <si>
    <t>bre. D. Ignacio G irmcndia. D. M:ga.l Crok. D. Sar.ti ,go Polidura. D. Timoteo Magnamara.' D. Ignacio' Hermosa. D. Lu ¡s Caballero. D. Joan de Camuo. D. Juan Ahumada.D. Juan de la Torre Pner. Contador. . . D. Josef Molina Fernandez. D. Francisco Peredo. D. Juan de Gálvez Huesman. D. Antonio Perez Dávila. Secretario. D. Guille…</t>
  </si>
  <si>
    <t>Ai, Josef</t>
  </si>
  <si>
    <t>Josef Ai</t>
  </si>
  <si>
    <t>Gaceta de Madrid n.º 77</t>
  </si>
  <si>
    <t>8</t>
  </si>
  <si>
    <t>la Semana Santa y Semana de Pascua en Parts rj3 de febrero. castellano, y con el texto latino, traducido é ilustra­ do con varias notas por el mismo D. Josef Ai gu.il, Hace unos 30 años que el señor Ostertag refu-' ^15 rs. en papel, 18 en p^sta, y 40 en tafilete. Venr tó la opinión general que atribuía la invención de dense e…</t>
  </si>
  <si>
    <t>Áibear, Josef María</t>
  </si>
  <si>
    <t>Josef María Áibear</t>
  </si>
  <si>
    <t>Gaceta de Madrid n.º 202</t>
  </si>
  <si>
    <t>813</t>
  </si>
  <si>
    <t>po visitaría al teiu &gt; oc Valencia, D. Jt. an Moreno , id.........................;............. 2200 como lo había hecho con otras provincias Oc Es­ D. Josef María Áibear, residente en Mon­ paña, pues sus deseos eran los de conocer us ne­ tóla.............................. ......................... ........ 2200 cesidades y …</t>
  </si>
  <si>
    <t>Aidaieo, Manuel</t>
  </si>
  <si>
    <t>Manuel Aidaieo</t>
  </si>
  <si>
    <t>ano, 2. Id. IX Eulalio Egoavil, 4. Id. TX José Xarvarte , 2. Id. D. Antonio Zavala , 2 Subteniente IX Diego Adalid, 25. Jd. D. José Espinosa, 25. Id. D. Manuel Aidaieo , i. Id. D. Tadeo Rozas , 2. Sargento n»ayor D. Juan Duran , 4. Capitán D. Se­ bastian A costa, 4. Subteniente D. José Ralao, 1. Id. D. Antonio Pardave, 2,—- P…</t>
  </si>
  <si>
    <t>AÍdao, José de Safa y Bussy y D Manuel</t>
  </si>
  <si>
    <t>José de Safa y Bussy y D Manuel AÍdao</t>
  </si>
  <si>
    <t>Gazeta de la Regencia de las Españas n.º 158</t>
  </si>
  <si>
    <t>1303</t>
  </si>
  <si>
    <t>. I). Di mingo &gt; e Mofvtver*re. „Contestación dada á las últimas proposiciones que le han he­ cho los comisionados por parte de las tropas caraqueñas D. José de Safa y Bussy y D Manuel AÍdao, en la conferencia acerca de los medios de evitar la efusión ele sangre y demás calamidades de la presente guerra. Primera. La entrega s…</t>
  </si>
  <si>
    <t>Aiegre, Manuel</t>
  </si>
  <si>
    <t>Manuel Aiegre</t>
  </si>
  <si>
    <t>Gazeta de la Regencia de las Españas n.º 49</t>
  </si>
  <si>
    <t>io; renaí la caballería llamada de Pesoduro, al R i ndo leí digno gefe í&gt;. Jet é Fri*, y luego se incorporó la guerri­ lla del Cantarero, al mando de D. Manuel Aiegre. E;to3 gefes, seguir he everguado, se han conducido con honor; pero D. Jote Fris me­ rece todo elogio por su honradez, pericia y valor. Empecé á difun­ dir el e…</t>
  </si>
  <si>
    <t>Aíereereutz</t>
  </si>
  <si>
    <t>Gazeta de la Regencia de las Españas n.º 121</t>
  </si>
  <si>
    <t>; rdo trepas y efectos expedicionarios. Ei príncipe hereditario, que saldrá á la cabfza de esta expedi­ ción , ha nombrado gefe de su estado mayor al barón Aíereereutz, y por comandantes subalternos á ios oficiales mas disíiwgiiídoi, de suerte que puede asegurarse que no tenemos un oficial de mérito que no vsté empleado en el…</t>
  </si>
  <si>
    <t>Ailer, Antonio</t>
  </si>
  <si>
    <t>Antonio Ailer</t>
  </si>
  <si>
    <t>G maro Vinaeía.............. O iro.. . . . D. José Ginuz Amigo.... J. /i i. . i Canitan. . . O. P edro Pierrs. 0 1 • Galicia. .d „ . . f Subteniente D. Antonio Ailer................. 0 • 1 TU»! | 4|T8T 8 | 1 L. j</t>
  </si>
  <si>
    <t>Aímodovar, José</t>
  </si>
  <si>
    <t>José Aímodovar</t>
  </si>
  <si>
    <t>Gazeta de la Regencia de las Españas n.º 86</t>
  </si>
  <si>
    <t>719</t>
  </si>
  <si>
    <t>ecomendando al mismo tiempo el mérito del direc­ tor y de los maestros, los capitanes D. Andrés Rodríguez y D. Juan G rardo Fochs , el ayudante mayor D. José Aímodovar, y les te­ nientes D* Lorenzo Novella, D Juan Hormachea y D. Ignacio Gas­ cón. El dia siguiente revistó las escuelas de sargentos , cabos, tam­ bores , pitos y…</t>
  </si>
  <si>
    <t>Ains, Juan Manuel</t>
  </si>
  <si>
    <t>Juan Manuel Ains</t>
  </si>
  <si>
    <t>Agustín Michel. Diputados seculares j .q D. Juan. Antonio de Sujse. D. Luis Gi¡ N,r.apjo.. Secretario interino D. Pedro Acevedo»; ,■=&gt; , '■■malí .&lt;£ D. Juan Manuel Ains. D. Cristóbal Olmedo. S?tííeiarie J-* I/IAb».-» D. Julián Alvarez de ia,Torre¿'¡ &lt; « QUARTEL DE SAN FRANCISCO. . k BARRIO DE LAS VISTILLAS- .■ r&gt; V ojíícfi».'…</t>
  </si>
  <si>
    <t>Aiq</t>
  </si>
  <si>
    <t>400</t>
  </si>
  <si>
    <t>de &amp; y i 0 leguas entre lodazales , humbre-y falta de cal­ zado me hicieren detener. A b en que el 25 se me presentó ocasión de nue va vergavza. ,,Ei barón Aiq in ccn 1800 infantes de gendarmería imperial y 200 caballos avanzó, sobre Cruz mandé a! quinto baiallca ocupar el puerta de Arquijes, y les espesé con seles ei primero…</t>
  </si>
  <si>
    <t>Aitieri</t>
  </si>
  <si>
    <t>Gaceta de Madrid n.º 9</t>
  </si>
  <si>
    <t>d.ima la condesa de Brignole, madama REINO DE ITALIA. la condesa Van de Poli. Por madama la princesa Aldobrandlni, madama Ancóna i o de noviembre. la princesa Aitieri. Desde el 14 de este mes hasta el día de hoi Por madama la condesa de Boaillí, madama da han entrado en este puerto 19 barcos mercantes Narbonne- Lava. entre ch…</t>
  </si>
  <si>
    <t>Aivarado, Pedr</t>
  </si>
  <si>
    <t>Pedr Aivarado</t>
  </si>
  <si>
    <t>Gazeta de la Regencia de las Españas n.º 32</t>
  </si>
  <si>
    <t>280</t>
  </si>
  <si>
    <t>los que dure la guerra , 100. D. José Mier, minero de Pasco , en cada un año de los que dure la guerra , 100. D. Juan Reymundez, cura de Laraos, 100. D. Pedr» Aivarado, cura de Atunyaugos , 50. D. José Potau y D. Lorenzo Tomas de Al­ calá, curas de S. Sebastian , 100. I^a congregación de seglares de nuestra Sra. de la O, 1200…</t>
  </si>
  <si>
    <t>Ajuria, Francisco</t>
  </si>
  <si>
    <t>Francisco Ajuria</t>
  </si>
  <si>
    <t>Gazeta de la Regencia de las Españas n.º 105</t>
  </si>
  <si>
    <t>872</t>
  </si>
  <si>
    <t>uis Alfonso, por 6 en un año y des­ pués 3 , á reserva de aumentar los que pueda, 54. Él oidor D. Andrés Alvarez Calderón, por 2 (durante sn año) 18. D. Francisco Ajuria, por 2, durante un año, y en adelante por «no, 18. D. Juan de la Sierra, por uno (un año) 9. D. Francisco Xavier Pedroso , por 3, durante la guerra, 27. Í&gt;. …</t>
  </si>
  <si>
    <t>Ákxdndro</t>
  </si>
  <si>
    <t>Gazeta de la Regencia de las Españas n.º 154</t>
  </si>
  <si>
    <t>1266</t>
  </si>
  <si>
    <t>Sí ; las naciones ge­ nerosas se complacen en volver el bien por el mal. — AlexmulroT Partes útl general en gefe Kutusczvde 10 y 16 de Setiembre, al emperador Ákxdndro. - , . , , !.° La batalla del 7 ha sido do las rúas sangrientas que*-se han dado en los tiempos modernos. Después de ella quedamos dueños del campo de batalla …</t>
  </si>
  <si>
    <t>Al, Agustín</t>
  </si>
  <si>
    <t>Agustín Al</t>
  </si>
  <si>
    <t>Gazeta de la Regencia de las Españas n.º 38</t>
  </si>
  <si>
    <t>e de las Lagunas , 200. El común de indios del pueblo de Layhuaytambo , -38. D. Juan Macho y su hermano D. Antonio , 1000. D. Fran­ cisco Roxas , 50. D. Agustín Al vare Apuninahuacra , 12. — Varios indivi­ duos de artiUeria fuera de Lima. El capitán I). Antonio Quevedo , guarda almacén de artillería de Truxillo, 100, y cada a…</t>
  </si>
  <si>
    <t>Al, Felipe</t>
  </si>
  <si>
    <t>Felipe Al</t>
  </si>
  <si>
    <t>cio de Alcázar , 50. Y otra tanta cantidad anualmente hasta la venida del rey. Doña Francisca Borda, 500. D. Francisco Velazquez , cura de Ornas, 13. D. Felipe Al varad o, 100. El presbítero D. José Fernandez, 25. Doña Ines Villalta, viuda , 100. Doña Teresa Villata, marquesa viuda de Villablanca, 100. D. José López Molero, c…</t>
  </si>
  <si>
    <t>Al, José</t>
  </si>
  <si>
    <t>José Al</t>
  </si>
  <si>
    <t>0 D. Nicolás León , 40. D. Bern udino groa , 40, Don Melchor Lamas, 4-0'. D. Estanislao Alzamora , 40. i). Manuel Quodros , 40. D. Ignacio Silva, 40. D. José Al gal ovo , 40. D. Juan Punce, 40. D. Ma­ riano Diaz , 40. Carrera de Valles. Administrador de Chancay D. Nicolás Romero , 12. Id. de Huaura D. Tomas Fernandez , 25. Id…</t>
  </si>
  <si>
    <t>Al, Pablo</t>
  </si>
  <si>
    <t>Pablo Al</t>
  </si>
  <si>
    <t>.......... ................... .. 2 ioo 0. Ildefonso Milla, id................................ 2200 D. Miguel Toraozo , id. de Vlllaíufre....... 2200 D. Pablo Al varee , id..................................... 2200 D; Antonio de Torre , id. del lugar de Ma- D. Mariano García , id................................... 2200 tienzo…</t>
  </si>
  <si>
    <t>Al, Pedro</t>
  </si>
  <si>
    <t>Pedro Al</t>
  </si>
  <si>
    <t>132</t>
  </si>
  <si>
    <t>rísima de S. Fe­ lipe Neri, por sí, 200. D. Manuel Fernandez de los Ríos , mayordomo de las cofradías de Remedios , de Burgos y Piedad , por sí, 400. D. Pedro Al­ ta ro y Aiquedas , mayordomo de la de Soledad y Tránsito, por- sí, 200. Don Justo Figuerola, id. del Corazón de Jesús , por sí, 100. (Se continuará.) CADIZ : EN LA …</t>
  </si>
  <si>
    <t>Al, Pedro Gaeij</t>
  </si>
  <si>
    <t>Pedro Gaeij Al</t>
  </si>
  <si>
    <t>Gaceta de Madrid n.º 122</t>
  </si>
  <si>
    <t>é co­ Por realei decretos del a8 del corriente se ha ró de la colegiata de Xerez de !a Frd'dtéré í &gt;á¿ servido S. M. nombrar cante por exóneración de D. Pedro Gaeij^” Al ex»carmelita descal*o:DÍr Fraocíiéó^e EePara curatos del obispado de Salamanca. garreta para el beneficio de la áftteiglesíá dejEJofMeri la provincia de Vizc…</t>
  </si>
  <si>
    <t>Al, Tiburcio</t>
  </si>
  <si>
    <t>Tiburcio Al</t>
  </si>
  <si>
    <t>Gaceta de Madrid n.º 27</t>
  </si>
  <si>
    <t>700</t>
  </si>
  <si>
    <t>imera instancia , y por la escriba­ tirá, siendo arreglada. nía de provincia de D. Valdomero Morales, y en vir­ tud de facultad real, que ha obtenido D. Tiburcio Al­ iare , vecino de esta corte, y poseedor de los vínculos que en el lugar de Villaverde fundó el presbítero Don TB ATROS. Pedro Alfaro, se han formado autos sobre …</t>
  </si>
  <si>
    <t>Alai</t>
  </si>
  <si>
    <t>Gazeta de la Regencia de España e Indias n.º 4</t>
  </si>
  <si>
    <t>32</t>
  </si>
  <si>
    <t>José Caseda , 10. El subteniente D. José López Merino , ade­ mas de ofrecerse á servir á su costa en lo que se ie ocupare , 500. El de la misma clase D. Alai tiu José de Osiolaza , 25. El de id. I). Manuel Caye­ tano Martínez de Piaillos , 25. El de id. D. José Antonio Solis, 25. El de id. TJ. Juan José Martínez Piadlos , 17.…</t>
  </si>
  <si>
    <t>Alameda, Francisco</t>
  </si>
  <si>
    <t>Francisco Alameda</t>
  </si>
  <si>
    <t>Arte ga , D. Eulogio Santa Cruz , D. José Acero, D. Juan Tena, Don José López Montoya , D. Juan Ramón Llórente, O J uan Muril!o, O. Francisco Benito, D. Francisco Alameda, D. Pedro Panla­ gua, D. Luis Muñoz?, D. Vicente Ortiz, D. Manuel Benito, D. Pe­ dro Latorre, D. Melchor Buba, D. Francisco Alvarez , D. Luis Angel García, …</t>
  </si>
  <si>
    <t>Alarco, Toribio</t>
  </si>
  <si>
    <t>Toribio Alarco</t>
  </si>
  <si>
    <t>Gazeta de la Regencia de las Españas n.º 31</t>
  </si>
  <si>
    <t>279</t>
  </si>
  <si>
    <t>a­ nuel León, D. Diego Noriega , 8. D. Juan de üfeían, 8. D. Juan José Qui­ ñones, 8. D. Manuel Urquiju, 8. D. Manuel Crias, 8 D. Pedro Truxillo, 12. D. Toribio Alarco , 7 y 7 rs. D. Anselmo Peña , 8. I). Isidoro Caraved» , 8. t&gt;. Luis Obregoso , 8 D. Martin Garro , 8. D. Juan Vázquez , 8. D. Francis­ co Casas,-8. D. Hipólito…</t>
  </si>
  <si>
    <t>Alarcon, Andrés</t>
  </si>
  <si>
    <t>Andrés Alarcon</t>
  </si>
  <si>
    <t>220</t>
  </si>
  <si>
    <t>2tpo D. Manuel de Caseto Villareju, id. en BuEx-carmelitas calzados. ¡alance................................................................... 22c© D. Andrés Alarcon, residente en Castro P. Diego .{«lindo , id. en Benamexí........... 2200</t>
  </si>
  <si>
    <t>Alarcon, Bernardo</t>
  </si>
  <si>
    <t>Bernardo Alarcon</t>
  </si>
  <si>
    <t>bien conocidos. Pregó 1 té­ ro , á subteniente. En el regimiento segundo de seles , y se verá la grosera mentira de la regencia, cazadores á caballo D. Bernardo Alarcon, ayu­ y Ja verdad de qaanto aqui se dice. ¿Pero de qué dante mayor, 4 capitán , y á D. Luis García Tre- otras armas pueden servirse uuos hombres vendi­ viño, …</t>
  </si>
  <si>
    <t>Alarcon, Juan Pedro</t>
  </si>
  <si>
    <t>Juan Pedro Alarcon</t>
  </si>
  <si>
    <t>........................ 2200 D. Rafael Navarra , id.............. ....... ................ 2200 D. Diego Fernandez y Roxas, id................. 2200 D. Juan Pedro Alarcon, id..................... neo D. Juaii Herrero, residente en Rute.......... 2200 D. Blas López Cordobés, id........ .................. 2200 D. Juan Antonio …</t>
  </si>
  <si>
    <t>Alava</t>
  </si>
  <si>
    <t>122</t>
  </si>
  <si>
    <t>s oficios siguientes del ma­ riscal general lord vizconde Wellington. Gallegos 21 de enero de 1 Sí2 — Señor : Tengo el honor de trans­ mitir , por el brigadier Alava, copia de mi despacho al secretario de estado, dando cuenta de la toma de Ciudad- Rodrigo. — El bri­ gadier Alava , que ha estado conmigo durante estas operacion…</t>
  </si>
  <si>
    <t>Albear</t>
  </si>
  <si>
    <t>Gazeta de la Regencia de las Españas n.º 93</t>
  </si>
  <si>
    <t>775</t>
  </si>
  <si>
    <t>l, Granada y otros puntos para pcdtr hacer frente al exército t spañol. Evacuada Almería por el enemigo, desembarcaron los español, s mandados por el coronel Albear ¿ y ha­ biendo* tornado pueden de la plaza, se apoderaron de 3 buques que estaban en el puerto, destruyeron las obras de defensa que habían construido Ies frances…</t>
  </si>
  <si>
    <t>Alberga, Manuel</t>
  </si>
  <si>
    <t>Manuel Alberga</t>
  </si>
  <si>
    <t>5</t>
  </si>
  <si>
    <t>* • • • O ro ..... O. Ramón Piad**.................. 1 Ot •(£...#« D. Antonio de Torr. 1 Sitóte n unte O. Diego Aboban............. • f Cepita* ,. .. D. Manuel Alberga ti..... . 1 1 Ot^o..... Guardias v Oteo •. .... D. J v.é Ignacio Ter;-. • • • . 1 Español*. Pr.no i lev . D. M&amp;nuei Zorrilla....... 1 D. Fernando Sal*m i ca...…</t>
  </si>
  <si>
    <t>Albornoz, Bernardino</t>
  </si>
  <si>
    <t>Bernardino Albornoz</t>
  </si>
  <si>
    <t>Gazeta de la Regencia de España e Indias n.º 1</t>
  </si>
  <si>
    <t>egundo D. José Gutiérrez , 50. El tercero D. José Bravo de Rueda, 20. El cuarto D. Baltasar Maza, 15. El quinto D. Francisco Barron, 15. El amanuense D. Bernardino Albornoz , 8. El escribano D. Santiago Martel, 17. D. Andrés Gallo, comandante de resguardo del Callao, 500. El intendente de esta provincia D. Juan María Galvez, …</t>
  </si>
  <si>
    <t>Albuerne, Manuel</t>
  </si>
  <si>
    <t>Manuel Albuerne</t>
  </si>
  <si>
    <t>Gaceta de Madrid n.º 21</t>
  </si>
  <si>
    <t>84</t>
  </si>
  <si>
    <t>eguida con­ éxecutar, no puede sostenerse. {Semanario pa­ tra ti marques de las Hormazas, D. Esteban Fer­ triótico números 8j y 84.) nandez de León y D. Manuel Albuerne &amp;c. ¿ce. El general Lapeña ha hecho también una re­ Madrid 20 de enero. presentación ai congreso, quejándose de que el consejo de regencia le habia despojado …</t>
  </si>
  <si>
    <t>Albuin, Saturnino</t>
  </si>
  <si>
    <t>Saturnino Albuin</t>
  </si>
  <si>
    <t>Gaceta de Madrid n.º 163</t>
  </si>
  <si>
    <t>tades, acompañadas de un viento furioso y de un te solo hemos perdido tres húsares de ia compañía aguacero, que duró hasta las quatro de la tarde, de D. Saturnino Albuin ; y el capitaa ViUagarcia que empezó á nevar, y por la noche cayó una ha sido gravemente herido en el brazo izquierdo. fuerte helada , de modo que íioi todos…</t>
  </si>
  <si>
    <t>Album, Saturnino</t>
  </si>
  <si>
    <t>Saturnino Album</t>
  </si>
  <si>
    <t>Gaceta de Madrid n.º 109</t>
  </si>
  <si>
    <t>444</t>
  </si>
  <si>
    <t>. »da no interceptara ¡os benéficos inflnxos d:l meart. 11. Nombramos por capitán de esta com­ «jor'de los Reyes, del mas amable de todos los pañía a D. Saturnino Album, y subteniente á Don «Soberanos. ¡Oh pueblos! ¡qué distinta seria ahoRafael Saugar. 11 ra vuestra suerte si esta obstinación desastrosa art. m. La antigüedad …</t>
  </si>
  <si>
    <t>Alcalde</t>
  </si>
  <si>
    <t>o Villa. c '■ R. Domingo del Valle y Cano.-' D. Josef Ti ridw. BARRI® DE LA PANADERIA;’ ■ D. Juaoi Antonio Oortabarría. ; r&gt;t • - ■ f&gt; • &lt; : ; i ¿t'i Secretario Alcalde de barrio D. Jorge María de Ancos. i ■ D. Tomas Roxo. &gt;. Diputado eclesiástico BARRIO DE LA PUERTA DE SEGQVLA.-- . D;1 Joan Balboa. Alcalde de Harria' . a ' D…</t>
  </si>
  <si>
    <t>Alcalde, Pedro</t>
  </si>
  <si>
    <t>Pedro Alcalde</t>
  </si>
  <si>
    <t>de abril, Gerónimo Ramírez, sargento del batallón de Jaén, hombre de mu­ cha reputación por su valor, de que tenia dadas repetidas pruebas al lado de D. Pedro Alcalde, habia salido con 9 hombres á hacer un (l) Según otro oficio de lord TVellington desde Fuente-G uináldo á 29 de abril, el enemigo continuaba retirándose, y el g…</t>
  </si>
  <si>
    <t>Alcalde, Rafael</t>
  </si>
  <si>
    <t>Rafael Alcalde</t>
  </si>
  <si>
    <t>Gazeta de la Regencia de las Españas n.º 152</t>
  </si>
  <si>
    <t>1255</t>
  </si>
  <si>
    <t>la parte de la venta de Pavía , al capitán graduado de teniente coronel D. Serafín del Rincón, que estuvo eri la acción de S. Vicente, y al teniente D. Rafael Alcalde.” ,,I as tropas inglesas arriba citadas se portaron con heroísmo , y tuvieron mas pérdida en razón de su mayor número.” • * La Regencia del reyrio se ha servido…</t>
  </si>
  <si>
    <t>Alcalde, Ventura</t>
  </si>
  <si>
    <t>Ventura Alcalde</t>
  </si>
  <si>
    <t>de.barrio Diputado eclesiástico D. Bernardo Roger. D........................... Diputado eclesiástico . Diputados seculares D. Juan Mauuul Domínguez. D. Ventura Alcalde. -.Diputados seculares D. Juan Antonio García. D. Mariano López. D. Josef Rico Pablo. D. Juan P.trdo. D. Josef Prado. D. Manuel de Venayas. Secretario Secreta…</t>
  </si>
  <si>
    <t>Alcaraz, Manuel</t>
  </si>
  <si>
    <t>Manuel Alcaraz</t>
  </si>
  <si>
    <t>Donativo, suscripción o relación nominal</t>
  </si>
  <si>
    <t>inmortal Weilington. Continúan los donativos dd Perú. El administrador de correos de Hualianca D. Baltasar Pacheco, 85 pesos fuertes. Id. de Huan-uco D. Manuel Alcaraz, 50. El administrador de ren­ tas de la villa de Chancay D. José Eugenio Iverico , 50. El guarda de di­ cha administración D. Clemente Tixero, 6. El futurario …</t>
  </si>
  <si>
    <t>Alcayua, Vicente</t>
  </si>
  <si>
    <t>Vicente Alcayua</t>
  </si>
  <si>
    <t>Gazeta de la Regencia de las Españas n.º 13</t>
  </si>
  <si>
    <t>iaccr, uno de ellos, á un francés, y de haber alarmado á los enemigos que desde los parapetos inmediatos les lucieron mucho fuego.—En la propia tarde D. Vicente Alcayua, comandante de la quinta partida, pasó el rio, desalojó á los enemigos de algunos parapetos , hirió á 3 ó 4, y los persiguió hasta mas allá de' camino hondo. …</t>
  </si>
  <si>
    <t>Alcázar, Juan</t>
  </si>
  <si>
    <t>Juan Alcázar</t>
  </si>
  <si>
    <t>Gaceta de Madrid n.º 102</t>
  </si>
  <si>
    <t>e lograse excluir de; stiLtc-nieute de ia primera compañía del segundo rodos los mares al comercio americano , el resulta­ batallón , en reemplazo de D. Juan Alcázar. do de esto seria que un número de buques , cuyo Por otro decreto del mismo día se ha dignado porte total es de dos millones de toneladas y 140© S. M. igualmente…</t>
  </si>
  <si>
    <t>Alcina, Pedro Juan</t>
  </si>
  <si>
    <t>Pedro Juan Alcina</t>
  </si>
  <si>
    <t>sar del fue­ go vivo, aunque mal dirigido, que sufríamos y que no produxo ctro de ño que herirnos levemente á 2 cazadores de marina. £1 sub­ teniente D. Pedro Juan Alcina con algunos de sus soldados sacó con gran peligro y trabajo un cañencito que se nos habla volcado en una quebrada, y el sargento de artillería José Nativida…</t>
  </si>
  <si>
    <t>Alcoba, Josef</t>
  </si>
  <si>
    <t>Josef Alcoba</t>
  </si>
  <si>
    <t>2200 D. Josef Mendez, id.......................................... 2200 D. Josef Qnesada, id.......................... 2200 Ex-carmelitas descalzof. D. Josef Alcoba, id............................................' 2200 D. Juan Clavero, residente en Córdoba-. 22po D, Aíanuel Fernandez, residente en Orche D. Diego Pozuelo y B &gt;…</t>
  </si>
  <si>
    <t>Alcocer, Mannei</t>
  </si>
  <si>
    <t>Mannei Alcocer</t>
  </si>
  <si>
    <t>................ 2200 &gt; Ex-mínimos. D. Bernardo Garcia, residente en Arjona.. 2200 Ex-franciscanos. D. Juan .Estrella, id. en Torreximeno..... . 2200 D. Mannei Alcocer, residente en CovarB- D. Manuel MontíjaDC........................ ......... 2zoo bias, provincia de Burgos......................... 2200, D. Antonio Sánchez, i…</t>
  </si>
  <si>
    <t>Alcxindrn</t>
  </si>
  <si>
    <t>Gaceta de Madrid n.º 72</t>
  </si>
  <si>
    <t>ran de franco- ) para que fuesen destinados á vario* S ñor, y que se está esperando ¡a respuesta del usos de uinidad pública, y confió su administra­ Emperador Alcxindrn. Mr. Canning , ministro de ción á un, dirección particular, cuyo gefe es el lng.aterra , no perdona medio para indagar el es­ si ñor CUssen, consejero íntimo…</t>
  </si>
  <si>
    <t>Aldana, Domingo</t>
  </si>
  <si>
    <t>Domingo Aldana</t>
  </si>
  <si>
    <t>Edición extraordinaria</t>
  </si>
  <si>
    <t>ía Caraballo , id., 9. D. Raytnundo Marnefo Valdes , id., 9. D. Jo.'é Sequevra y Palma , id., 9. D. Antonio Blauco, id., 9. D. Pedro Ponce , id. , 9. D. Domingo Aldana , id., 9. El capitán D. Rafael O-farrilI , por 6,54. D. Juan de ¿4.1calá, por 2, 18. D, Manuel de la Holia, por uno, 9. D. Juan de la Casa Nueva, id., 9. D. Pe…</t>
  </si>
  <si>
    <t>Aldavez, Josef</t>
  </si>
  <si>
    <t>Josef Aldavez</t>
  </si>
  <si>
    <t>stico Alcalde de barrio D. J uan José: Moreno. D. Francisco Rubio. Diputados seculares Diputado eclesiástico D. Rafael Echartea. . D. Clemente Rubio. D. Josef Aldavez. Diputados seculares D Manuel Nieto. D. A ntonio Laiidaluce. Secretario D. Agustin Viilánuéva. D. Matías Elias López. Secretario D. Pedro NoLsco Escribano. BARR…</t>
  </si>
  <si>
    <t>Aldayturriaga, Juan Bautista</t>
  </si>
  <si>
    <t>Juan Bautista Aldayturriaga</t>
  </si>
  <si>
    <t>ores, maestro de la escuela de Bellavista , 10 pesos fuer­ tes. I&gt;. Domiqg* Villaverde , oficial reformado , 25. D. José Leandro Alvarez, id., 9 y o. D. Juan Bautista Aldayturriaga , 9 y 3. El monasterio de la Con­ cepción, 400. D'. José Antonio Via, citra Je la doctrina de Paseo, 500. D. Ma­ nuel Hilario Sancliez, cura de la…</t>
  </si>
  <si>
    <t>Aldobrandlni</t>
  </si>
  <si>
    <t>t, particularidades accesorias. madama de Bourke. Por tn.id.ima la condesa de Brignole, madama REINO DE ITALIA. la condesa Van de Poli. Por madama la princesa Aldobrandlni, madama Ancóna i o de noviembre. la princesa Aitieri. Desde el 14 de este mes hasta el día de hoi Por madama la condesa de Boaillí, madama da han entrado e…</t>
  </si>
  <si>
    <t>Ale</t>
  </si>
  <si>
    <t>, por sí y por la botica de la Bueña-muerte , 25. D. José Gil , 25. D, Fran­ cia o 5 lo mes , 25. D. Mariano Egoaguirre , IG. D. Luis Q, ni ros , 12. D. Ale* x andró Boh urques , 12. i). José Isidoro Alcedo, 12. D. Mariano Espino'a, 10. 1). Luis Sánchez Baharuonde, 10. D. Marcelino Velarde , 10. I&gt;. José María Frevre , íi). D…</t>
  </si>
  <si>
    <t>Gaceta de Madrid n.º 138</t>
  </si>
  <si>
    <t>defender la María Retz, mayores del real cuerpo de ingenie­ fe, podía ser que Dios Ies hubiese tocado en el ros , coroneles del mismo real coerpo; á D. Ale­ corazón, y que se hubiesen convergido. Y eso ¿qué jandro Rivacoba y D. Manuel Sánchez, coman­ importa? dixo el barbero; defiéndannos ellos , y dantes de batallón del real…</t>
  </si>
  <si>
    <t>Gaceta de Madrid n.º 170</t>
  </si>
  <si>
    <t>690</t>
  </si>
  <si>
    <t>bien sean mo­ te coniiouando en Francia con universal acepta­ vidos por el agua, ó bien por animales, bombas ción de naciona'es y extrangeros por el conde Ale­ simples y compuestas para sacar agna de qualquier jandro de ia B ►rde Pero faltaba una obra que profundidad , ó para elevarla á qualquier altura, diese á conocer tos m…</t>
  </si>
  <si>
    <t>Gazeta de Madrid bajo el Gobierno de la Regencia n.º 6</t>
  </si>
  <si>
    <t>49</t>
  </si>
  <si>
    <t>ones y discursos. Mr. Speranski, secretario interino imperial, habia sido elevado á esta eminente dignidad por el favor especial que le dispensaba el Emperador Ale­ jandro. Se sospechaba, hace ya tiempo, que Bonaparte mantenía en esta corte espías y agentes que le comunicaban los secretos del estado , y confir-rmaba la sospec…</t>
  </si>
  <si>
    <t>Gaceta de Madrid n.º 229</t>
  </si>
  <si>
    <t>911</t>
  </si>
  <si>
    <t>entrando, como una Se ha alarmado Smolensko, y todo se abandona de las partes mas principales en el sistema del con­ hasta Moskow. Un oficial, que ei Emperador Ale­ tinente , trabaje con sus fuerzas en la destrucción jandro enviaba para hacer evacuar los almacenes de Inglaterra, separándose' de" todo comercio y de Orcha, qued…</t>
  </si>
  <si>
    <t>Aleará, Francisco</t>
  </si>
  <si>
    <t>Francisco Aleará</t>
  </si>
  <si>
    <t>Gaceta de Madrid n.º 184</t>
  </si>
  <si>
    <t>74</t>
  </si>
  <si>
    <t>l ex-franciscano; vacantes la primera por fallecimien­ solo enseña delirios y engaños (i).’* to de D. Francisco Patino, y la segunda por as­ censo de D. Francisco Aleará. G azeta de la regencia del 4 de junio. Y para qne sirvan en encomienda los beneficios que se expresan á los ex-regulares siguientes: „E1 eapitau Buida y el …</t>
  </si>
  <si>
    <t>Aleara, Hermenegildo</t>
  </si>
  <si>
    <t>Hermenegildo Aleara</t>
  </si>
  <si>
    <t>Gaceta de Madrid n.º 205</t>
  </si>
  <si>
    <t>han vualto. ¿No es cierto qne so Martin , segundo teniente de la propia, á prí+ saben ya la muerte de muchas, la prisión de olios, mer teniente ; y á D. Hermenegildo Aleara*, sub­ y el embarco de no pocos ? ¿ Pues qné mayores teniente de infantería, á segundo teniente de la males les sucederían si se hubieran estádo tranqui­ …</t>
  </si>
  <si>
    <t>Aledioa, Rafael</t>
  </si>
  <si>
    <t>Rafael Aledioa</t>
  </si>
  <si>
    <t>sco Gordillo, id...*........................... 2200 D. JosefRafael Rodríguez, id...................... 2200 D. Manuel Fernandez , residente en Alón— D. Rafael Aledioa , id........................................ 2200 toro.................................................................... . 2200 D. Josef Cupe , id...........…</t>
  </si>
  <si>
    <t>Alegre</t>
  </si>
  <si>
    <t>Gazeta de la Regencia de las Españas n.º 124</t>
  </si>
  <si>
    <t>1010</t>
  </si>
  <si>
    <t>eral; pero ambos se habían ya refugiado al castillo, dsxándpsa parte de sn equipage, el cual con mucho dinero fué cogido por nuestros sol­ dados.— El comandante Alegre con sus buegas disposiciones ha con­ tribuido al buen éxito de esta empresa, como asimismo sus ttop s. — La compañía de cazadores de Ultonia qu¿ tengo á mis or…</t>
  </si>
  <si>
    <t>Alegre, José</t>
  </si>
  <si>
    <t>José Alegre</t>
  </si>
  <si>
    <t>Gazeta de la Regencia de las Españas n.º 92</t>
  </si>
  <si>
    <t>770</t>
  </si>
  <si>
    <t>o Palma, 2. D. Antonio Ramírez, 2. D. José Mexia, 2. D. Hilario Olivera, 10. D. Ma­ nuel de Torres, 10. D. Carlos Villa-Chica, 8. D. José Sánchez, 6. D. José Alegre, 10. D. Mariano Lucar, 6. D. Toribio Echeverría, 6. D. Lino Figueroa , 2. D. Tomas Collas, 2. D. Domingo Sánchez , 6. D. Feliciano Eche­ varría , 2. D. Calixto Ló…</t>
  </si>
  <si>
    <t>Alegre, Josef</t>
  </si>
  <si>
    <t>Josef Alegre</t>
  </si>
  <si>
    <t>Gaceta de Madrid n.º 139</t>
  </si>
  <si>
    <t>11</t>
  </si>
  <si>
    <t>............. 22500 D. Josef Benito de Cuellar.................... 33007 12 Brusélás i% de abril. D. Felipe Fernandez Badillo.................. 45000 D. Josef Alegre........................................... 90001 26 El dia 4 de este mes llegó á esta ciudad el se­ ñor conde de-Merode, senador, é inspector gene­ Por imposicio…</t>
  </si>
  <si>
    <t>Gaceta de Madrid n.º 219</t>
  </si>
  <si>
    <t>79</t>
  </si>
  <si>
    <t>87193 s para resistir á los turcos, han abandonado sas ho­ D. Jum BiUtista Estayeck........ 18^3 10 gares iecogie-do lo mas precioso que tenían, y se D. Josef Alegre......................... . 53 53 21 han retirado á otros pueblos de la misma provincia La duqueia de F ¡&lt;s............. ....... 53499 i8 distantes de la frontera…</t>
  </si>
  <si>
    <t>Alejandro</t>
  </si>
  <si>
    <t>Gazeta de Madrid bajo el Gobierno de la Regencia n.º 5</t>
  </si>
  <si>
    <t>as baxo están sumamente descontentos de ella. Tenemos fundamentos seguros para hablar de esta manera. (The Sun*) Cofia de la proclama dirigida por el Emperador Alejandro, „Las tropas francesas han pasado las fronteras de nuestro imperio: este pérfido ataque es la recompensa de haber observado nuestra alianza. He apurado quant…</t>
  </si>
  <si>
    <t>Alemán</t>
  </si>
  <si>
    <t>Gaceta de Madrid n.º 151</t>
  </si>
  <si>
    <t>tana española y otros géneros , que habiéndose cambiado el viento á N. N. E., el vi- venia de Gibraltar; ó iba á Bristol: su c.rg imeme ce-almirante conde Alemán, comandante de ta es­ valia 330® francos , y la goleta fue quemada. quadra de Lorient , compuesta de quatro navios y El 20 se quemaron las das presas que hifco la do…</t>
  </si>
  <si>
    <t>Alenos</t>
  </si>
  <si>
    <t>Gaceta de Madrid n.º 228</t>
  </si>
  <si>
    <t>ciones de un modo tan Emperador entró en W ilna el 28. El primer exér­ roble, que nosotros no dexaremos de aprovechar­ cito del Oeste, mandado por el Emperador Alenos de ellas. xandro, se compone de nueve divisiones de infan­ tería y quatro de caballería. Arrojado y persegui­ do de posición en posición, ocupa en el dia el cam…</t>
  </si>
  <si>
    <t>Alense, Manuel</t>
  </si>
  <si>
    <t>Manuel Alense</t>
  </si>
  <si>
    <t>1051</t>
  </si>
  <si>
    <t>niente y subteniente de húsares D. Mariano Garigcita y D. Francisco Bricne* que recomiendo á V. E. muy par­ tículas me nts; el subteniente de húsares D. Manuel Alense, el capitán con funciones de sargento mayor del primero D. Pedro Gallegos, el CRpim de granaderos del mismo D. Lorenzo Oitízds Villalba, y el capitán y teniente…</t>
  </si>
  <si>
    <t>Ales</t>
  </si>
  <si>
    <t>Gaceta de Madrid n.º 64</t>
  </si>
  <si>
    <t>s noticias relativas al nau­ Cádiz 2.0 de enero. fragio de la fragata inglesa llamada Manila, que acaba de perderse en estas aguas. El buen tiempo El general Ales, gobernador de Ceuta, consi­ volvió mui pronto; pero i pesar de esto el ene­ derando la miseria á que está reducida la guarnimigo no oyó ninguna de las señales de l…</t>
  </si>
  <si>
    <t>Alevio, Manuel</t>
  </si>
  <si>
    <t>Manuel Alevio</t>
  </si>
  <si>
    <t>Gaceta de Madrid n.º 179</t>
  </si>
  <si>
    <t>72</t>
  </si>
  <si>
    <t>os D. Joaquín Sánchez, teniente, á ayudante se­ relatores; y los consejeros de Estado Hoftmaon y gundo. Schultz Estará á cargo de dicha junta todo lo D. Manuel Alevio, ayudante segundo, á te­ concerniente á los establecimientos de ventas del niente de ia décima compañía. estado, ladeada pública, las loterías, las casas D. Ped…</t>
  </si>
  <si>
    <t>Alex</t>
  </si>
  <si>
    <t>a y la Rusia era un tia'a ’o de alianza t.festiva cei tra fi1 I glaterra. Al volver Y. M. de las cci tenen­ cias celebradas sobre el Niemen en que el emperador Alex&amp;ndro cixo á Y. M. que lo serviría de segundo contra la Inglaterra, fié &lt;u8iuio determinó Y. M. sacrificar las ventejas que la victoria le habia dedo, y pasar rápi…</t>
  </si>
  <si>
    <t>Aléx</t>
  </si>
  <si>
    <t>Gaceta de Madrid n.º 233</t>
  </si>
  <si>
    <t>española padeció tanto con la suspensión del co­ mos anunciado ya mui .próximo, qne hará conocer mercio; en breve van á perderse todos sus géneros ni Emperador Aléx.tndró roda su imprudencia, y de exportación. En ninguna otra parre eran los es­ corregirá para siempre su mala fe , y que deberá res­ pañoles tan orgullosos-, est…</t>
  </si>
  <si>
    <t>Alexaadro</t>
  </si>
  <si>
    <t>ento de fusileros de la que lo recobrarán sus legítimos dueños. Ibamos á guardia real. ■ v ahorcar á uno de estos viles quicio supimos que Aldíguien (D. Alexaadro) , capitán de granaderos había tropa á corta distancia , y resolvimos reti­ de la guardia real. rarnos. Alexandre (D. María Robert Estanislao}, capitán „N, B. Los h…</t>
  </si>
  <si>
    <t>Alexaiidro</t>
  </si>
  <si>
    <t>Gazeta de la Regencia de las Españas n.º 130</t>
  </si>
  <si>
    <t>1057</t>
  </si>
  <si>
    <t>Núm. ISO. 1057 GACETA DE LA REGENCIA DE LAS ESPAÑAS DEL JUEVES 24 DE SETIEMBRE DE 1812. RUSIA. Petersburgo 24 de julio. Proclama del emperador Alexaiidro, publicada en la orden del exército por el comandante en gefe el general Benningsen. „ i Rusos ! el enemigo ha pasado eí. Duna manifestando su inten­ ción de presentarnos ba…</t>
  </si>
  <si>
    <t>Alexan</t>
  </si>
  <si>
    <t>e la mayor parte de yectos, y separado y alejado del exército grande, sus individuos, y si se quiere ; se compone de lama* éste, mandado por el mismo Emperador Alexan- sana; y vmd. sabe mui bien qué es lo que desea la dro, se retiraba hácia el Dwina. El 14 el general mayoría. Recorramos los pueblos, y visitemos las Sebastiani…</t>
  </si>
  <si>
    <t>Alexanaro</t>
  </si>
  <si>
    <t>Gazeta de la Regencia de las Españas n.º 172</t>
  </si>
  <si>
    <t>á la campaña para acuartelarse, contra lo que dixo el príncipe Kutusow á Lauriston ; pero si ai contrano estos le persi­ guen , como da á entender el emperador Alexanaro en su proclania ; qué suerte le aguarda en la retirada? De Smolensko a Wima hay 73 leguas : los caminos están intransitables, por coiiresion^ del mismo Bonap…</t>
  </si>
  <si>
    <t>Alexandr</t>
  </si>
  <si>
    <t>Gaceta de Madrid n.º 150</t>
  </si>
  <si>
    <t>e la compañía Ja honesta Cecilia, con un bailete nacional: se toe irá franca de Madrid. un concierto á dos flautas exectitado por una señorita Arici (D. Alexandr»), abanderado del regimiento jóven de 15 años y su padre, ¿ando fin con un gra­ Real Extrangero. cioso sainete. EN LA IMPRENTA REAL.</t>
  </si>
  <si>
    <t>AlexandrHdes, Demetrio</t>
  </si>
  <si>
    <t>Demetrio AlexandrHdes</t>
  </si>
  <si>
    <t>707</t>
  </si>
  <si>
    <t>mperatriz de Francia no se de­ Vierta 7 de mayo. tendrían en Francfort, y que pensaban detenerse algunas horas en Asch^ff.mburgo. S. A. R. el gran Ef doctor Demetrio AlexandrHdes, antrír de duque de Francfort ha ido también á última ua diccionario turco y de una gramática griega, ciudad. Quando salió el correo de A-mbaftetibu…</t>
  </si>
  <si>
    <t>Alexandrides, Demetrio</t>
  </si>
  <si>
    <t>Demetrio Alexandrides</t>
  </si>
  <si>
    <t>333</t>
  </si>
  <si>
    <t>de modo que es mayor el coste que de los buques qne habían naufragado. La violencia la ganancia. de la tempestad arrancó el bauprés del S. Jorge, El doctor Demetrio Alexandrides , editor del V lo arrojó á la costa. Esta mañana se ha avistado Telégrafo griego que se publica en esta capital, tra­ un buque de guerra ingles al su…</t>
  </si>
  <si>
    <t>Alexandro</t>
  </si>
  <si>
    <t>54</t>
  </si>
  <si>
    <t>ue conti­ núan las negociaciones de paz entre rusos y turcos, y que se supo­ nen firmados ya los preliminares; llega por un lado la noticia de que el emperador Alexandro ha expedido un ukase, mandando levantar 100000 hombres en sus estados para completar sus exércitos., y por otro la de que el senado conservador francés ha pu…</t>
  </si>
  <si>
    <t>de Mafia y ), comisario de Policía acción ha sido la libertad de 17 hombres de la .de Madrid. compañía franca de Getafe, que se hallaban ea teuvage (D. Alexandro), tirador dé la guardia poder de Fermín. reai. Sóbmitt ( D. Antonio ) , soldado de caballos lige­ TBATRO. ros de la goardia real. En el del Príncipe, d las siete de …</t>
  </si>
  <si>
    <t>Gazeta de la Regencia de las Españas n.º 37</t>
  </si>
  <si>
    <t>518</t>
  </si>
  <si>
    <t>e las cuales eran de las que había en España. Aquí en Madrid, para alucinar a las gentes, han esparcido los franceses y afrancesado- la voz de que el emperador Alexandro ha pedido á Napoleón una con­ ferencia para ajustar amigablemente sus desavenencias : y al mismo tiempo dicen que e! lord Weüington , por no sé que contestac…</t>
  </si>
  <si>
    <t>323</t>
  </si>
  <si>
    <t>ro á pesar de ello, el conjunto de las noticias recien llega.las del continente no permite dudar que se aproxima el rompimiento entre Bonaparte y .el emperador Alexandro ; y a i lo persuaden los movimientos de las tropas francesas que marchan de varios puntos sobre Dantcik y Varsovia, y el embargo hecho intimamente en H unbur…</t>
  </si>
  <si>
    <t>Gaceta de Madrid n.º 101</t>
  </si>
  <si>
    <t>40</t>
  </si>
  <si>
    <t>ituación tal que sus enemigos no puedan acome­ haber sido destinado este último á otro pueso-.. El terle por su retaguardia quando llegue á entrar eu Emperador Alexandro le ha enviado las insignias la Vah.quia. de ia orden de S. Jorge de segunda clase. H» ge­ Después de la denunciación del armisticio ha neral Richeiieu manda …</t>
  </si>
  <si>
    <t>imer batallón á D. Juan de Palma; tenen­ cias, de granaderos á D. Bartolomé Carvajal, y de fusileros á Don Juan González de Caldas, D. Ignacio Cal?o, D. Alexandro de ios Reyes , D José Viangui, D. Ambrosio Agustín, D. José de los Ríos y D. Manuel Aivarez de Navia; subtenencia de granaderos á D. José: González; de fusileros á …</t>
  </si>
  <si>
    <t>Gazeta de la Regencia de las Españas n.º 75</t>
  </si>
  <si>
    <t>ciones y discursos. Mr. Speranski, secretario íntimo imperial, habla sido elevado á esta eminente dignidad por el favor especial que le dispensaba el emperador Alexandro. Se sospechaba, hace ya tiempo, que Bonaparte mantenía en esta corte espías y agentes que le comunicaban los secretos del estado; y confirmaba la sospecha, l…</t>
  </si>
  <si>
    <t>21</t>
  </si>
  <si>
    <t>Al mismo tiempo, con corta diferencia, que se ha sabido la marcha del emperador Alexandro, que salió de Petersburgo el 21 del pasado para el cuaTtel general de su exército en Wilna , donde hay reunidos 135000 rusos ; se ha sabido también que Bonaparte sa­ lió el 10 del corriente</t>
  </si>
  <si>
    <t>652</t>
  </si>
  <si>
    <t>652 é izquierda, y que dirigirá las operaciones el emperador Alexandro, asistido de un consejo de 7 generales, á cuya cabeza estará el geno* ral Bennigsen. Escriben del continente que la escasez del pan ha ocasionado al; junas turbulencias en Copenhague. PORTU</t>
  </si>
  <si>
    <t>Gaceta de Madrid n.º 187</t>
  </si>
  <si>
    <t>ha llegado á Sto. Tomas, Wilna 2 j de abril. aprovechándose de la obscuridad de la noche para 00 caer en poder de dichas fragatas, dice que estas El Emperador Alexandro llegó ayer &amp; esta se hallaban á ios 22o de latitud y 61 de longitud. ciudad. S. M. h i dado audiencia ai conde Barclay La misma noticia ha confirmado un schoo…</t>
  </si>
  <si>
    <t>Gaceta de Madrid n.º 189</t>
  </si>
  <si>
    <t>paso á distancia de nueve -y el mariscal del imperio duque de tíeliune el no* ’Utrstas de aquí. veno cuerpo. Pskoff 24 de abril. GALLÍTZIA. S. M. ej Emperador Alexandro ha pasado re­ vista á los destacamentos de artillería qne se.halla- íemberg 2 de mayo. ban aquí al tiempo de la llegada de S. M. El Em­ perador ha convidado á…</t>
  </si>
  <si>
    <t>772</t>
  </si>
  <si>
    <t>, en calidad de embaxador extraordinario da Bonap&amp;rte. El conde Narbona, que había sido enviado á Wiina por Binaparte para abrir negociaciones con el emperador Alexandro, y no pudo conseguir el objeto de su comisión * ha sido arrestado á su vuel­ ta , baxo el pretexto de que ha tardado demasiado en el viage, y que no ha desem…</t>
  </si>
  <si>
    <t>ndaba un exército en la frontera, se resolvió á detener un correo que.caminaba á Pa­ rís con pliegos para Bonaparte , sellados con el mismo sello del Emperador Alexandro: los abrió sin respetar el sello imperial, y hallo que contenían una descripción del plan adoptado para la próxima campaña, y una relación circunstanciada de…</t>
  </si>
  <si>
    <t>Gazeta de Madrid bajo el Gobierno de la Regencia n.º 11</t>
  </si>
  <si>
    <t>ie­ men está cubierto de botes. „ El pasage del Niemen se verificó el 24, y el Emperador entró en W'ilna el 28. El exército del oeste, mandado por el Emperador Alexandro, se compone de nueve divisiones de infantería y quatro de caballería. Arrojado de puesto en puesto, ocupa actualmente el campo atrincherado de Dressa, á cuyo…</t>
  </si>
  <si>
    <t>Gazeta de Madrid bajo el Gobierno de la Regencia n.º 12</t>
  </si>
  <si>
    <t>50 millones de habitantes, que se hallan resueltos á continuar la guerra hasta el último aliento por la independencia y honra de su nación. S. M. el Emperador Alexandro me encarga ofrezca á todos los valientes sol­ dados y oficiales alemanes que emigraren buen acogimiento, y ascensos en la legión alemana. Serán mandados por u…</t>
  </si>
  <si>
    <t>Gazeta de la Regencia de las Españas n.º 122</t>
  </si>
  <si>
    <t>il Iones de súbditos dct« r ninades á ha cer 1, guerra h^sfr* el uí-vao alient** pam m;.nt -:i«r ¿a independen­ cia y ei hár-ícr de la Rada. S. M. el emperador Alexandro me ha en­ cargado que ofrezca ptez-is en ia legión ¿*;.e-m.r¿a¿ á todos ios valientes oficiales y,soIlaio*:qu¡5 se p isen á sus bandejas. Os mandará uno de l…</t>
  </si>
  <si>
    <t>Gazeta de Madrid bajo el Gobierno de la Regencia n.º 15</t>
  </si>
  <si>
    <t>37</t>
  </si>
  <si>
    <t>Núm. i). *37 GAZETA DE MADRID DEL JUEVES 17 DE SETIEMBRE DE 1S12 BAXO EL GOBIERNO DE LA REGENCIA DE LAS ESPANAS. BBBB RUSIA. Proclama del Emperador Alexandro. (Publicada en la 6rden del exírcito por el comandante en gefe el general Beningsen.) „ Rusos: el enemigo pasó el Dwina, y manifestó la intención de présentarnos batalla…</t>
  </si>
  <si>
    <t>Gazeta de Madrid bajo el Gobierno de la Regencia n.º 17</t>
  </si>
  <si>
    <t>s­ tros; pero todavía no se ha traslucido nada sobre el objeto de su comisión. Se han recibido noticias de Petersburgo, por las quales se sabe que él Emperador Alexandro habia pasado á Moscow, y que continuaria su viage visitando las ciudades grandes de su imperio, con el fin de animar á sus va­ sallos, aunque felizmente rey …</t>
  </si>
  <si>
    <t>do que al fin decidió por la guerra. El oficial ruso que ha llegado últimamente á este pais es el barón Bra•kell, teniente coronel de la guardia, del Emperador Alexandro. Es un caba­ llero muy distinguido en su pais, y,según se dice ha sido el portador de una carta del Emperador Alexandro, escrita de puño propio ai Príncipe R…</t>
  </si>
  <si>
    <t>Gazeta de la Regencia de las Españas n.º 132</t>
  </si>
  <si>
    <t>1074</t>
  </si>
  <si>
    <t>1074 que los franceses acometieron, al paso qne los rusos estaban resguardados con las murallas y parapetos. Indica también el boletín qne el emperador Alexandro había da* do orden de arriesgar una batalla para defender á Smolenske ; pero qne sus generales se decidieron por lo contras i ?. Por lo demas ¿a ciu­ dad , tanto por…</t>
  </si>
  <si>
    <t>o -%• ’á GAZETA DE MADRID DEL JUEVES 8 DE OCTUBRE DE i8i* BAXO EL GOBIERNO DE LA REGENCIA DE LAS ESPANAS, RUSIA. Petersburgo $ de agosto* S. M. el Emperador Alexandro salió .de Witepsk á últimos de julio con dirección á Moscow. Esta jornada la ocasionó la oferta patriótica y laudable i]uc hizo el" gobernador de esta ciudad de…</t>
  </si>
  <si>
    <t>248</t>
  </si>
  <si>
    <t>ma de ios caprichos de su alto aliado. Siendo cierto aquel acontecimiento, es también un nuevo dispertador para la Rusia, un nuevo motivo para que el Emperador Alexandro siga con sus bien meditados planes, y un estímulo para que sus vasallos continúen gus­ tosos en la lucha quedes promete los mejores resultados. Por tanto las…</t>
  </si>
  <si>
    <t>Gazeta de la Regencia de las Españas n.º 138</t>
  </si>
  <si>
    <t>los comerciantes se lisonjean con la esperanza de que los puertos de Dinamarca se abrirán muy pronto ai comérm­ elo ingles. StockolmoSl de Agosto* El emperador Alexandro ha tenido una larga conferencia en Abo con el principe lUr&amp;sd^tte, cuyo objeto no se ha hecho todavía público; siendo entre tanto de notar que después de dic…</t>
  </si>
  <si>
    <t>Gazeta de Madrid bajo el Gobierno de la Regencia n.º 28</t>
  </si>
  <si>
    <t>­ ñalado había de estar hecha la paz entre las dos naciones. En la conferencia que tuvo en Abo el Príncipe hereditario de Suecia ( Bernadotte) con el Emperador Alexandro, S. M. I. lo recibid con las ma­ yores distinciones, y fue condecorado por el mismo Emperador con las in­ signias de las ordenes militares mas superiores de …</t>
  </si>
  <si>
    <t>286</t>
  </si>
  <si>
    <t>286 la expedición sueca se demoró de intento hasta que se verifícase la conferen­ cia para que el Emperador Alexandro restituyese la Finlandia, baxo condi­ ción de que la Suecia auxiliarla al Emperador con 20© hombres, haciéndo­ los maniobrar por la retaguardia del exército francés. El Príncipe hereditario de Suecia se hallab…</t>
  </si>
  <si>
    <t>Gazeta de Madrid bajo el Gobierno de la Regencia n.º 30</t>
  </si>
  <si>
    <t>tunamente su zelo, no desmereciendo que se íes iguale á los mas ancia­ nos Guerreros-----: Soy sinceramente &amp;c. ==■ Firmado = Catarina. Respuefta del Emperador Alexandro, escrita de su propio puño. „ Acepto esta proposición con el mas vivo reconocimiento. = Firmado = ALEXAXDRO.” SUECIA. Estockolmo de agosto. Todos los habitan…</t>
  </si>
  <si>
    <t>Álexandro</t>
  </si>
  <si>
    <t>Gazeta de la Regencia de las Españas n.º 142</t>
  </si>
  <si>
    <t>1153</t>
  </si>
  <si>
    <t>francés de St. Petersburgo se ha man • dado cerrar, y los actores han sido conducidos é otras provincias lejanas. Los esfuerzos que está haciendo el emperador Álexandro contra; el perturbador del mundo, no dimanan de resentimiento por las fal­ sas promesas de este, ni son obra de un ánimo desesperado que re­ siste porque en l…</t>
  </si>
  <si>
    <t>Gazeta de la Regencia de las Españas n.º 146</t>
  </si>
  <si>
    <t>1183</t>
  </si>
  <si>
    <t>uyendo dos; boletines del. general K&gt;utusow sobre las acciones del 5 , 6 y 7 ; los cuales se recibieron en -aquella capital el dia del cumpleaños del emperador Alexandro., y .fueron leídos públicamente en la catedral con asistencia de^SS MM. Dice el* vizconde de Gathcart, después de : hablar- también: sobre. el conte­ nido de…</t>
  </si>
  <si>
    <t>Gaceta de Madrid n.º 224</t>
  </si>
  <si>
    <t>bit entre h Francia f el conde Daru. la Rusia era un tratado de alianza ofensiva contra C.,mpo imperial de Gumbinen 21 de junio de la Inglaierr.t. El Emperador Alexandro, al regreso 1S12. de !.rc&lt;inferencia del Niemen, habla d:cho á V. M. Napoleón, Emperador de los franceses, Rei de que quería ser. su segundo contra la Inglat…</t>
  </si>
  <si>
    <t>1265</t>
  </si>
  <si>
    <t>Núm. 154. 1265 GACETA DE LA REGENCIA DE LAS ESPAflAS DEL JUEVES 19 DE NOVIEMBRE DE 1S12. GRAN-BRETAÑA. Londres 19 de Octubre. Proclama del emperador Alexandro después de la pérfida de 3L skczsr. Con el mas profundo sentimiento nos vemos en la necesidad de manifestar á todos los habitantes de este imperio que el enemigo entró …</t>
  </si>
  <si>
    <t>Gaceta de Madrid n.º 230</t>
  </si>
  <si>
    <t>9 24 KI Emperador Alexandro estaba el 19 en Wi- n&lt;1 /•. , . -tepsk.■' En el mismo día el conde Nansouty frente de BOLETIN 9.0 DEL EXERCITO GRANDE. Polotsk. El Reí de Nápoles paso el Dwina el 20, 6 Tcchekoviski 2 f de juÜo. El Emperador tras­ in</t>
  </si>
  <si>
    <t>Gaceta de Madrid n.º 232</t>
  </si>
  <si>
    <t>18</t>
  </si>
  <si>
    <t>te, solo pudieran ser- Ayer á las 10 de la noche nos llegó por el cor­ « vir para desconcertar mejor su imperio , aumen- reo un pliego de S. A. R. el duque Alexandro de «tar los rezelos de la gran tempestad que le ame- Wurtemberg, gobernador de la Rusia Blanca , con i) naza, y corromper, digámoslo asi, y destruir Iá fecha de …</t>
  </si>
  <si>
    <t>Gazeta de la Regencia de las Españas n.º 163</t>
  </si>
  <si>
    <t>53</t>
  </si>
  <si>
    <t>como prisionero de guerra, á menos que no haya prestado juramento de fidelidad.” GRAN-BRETAÑA. Londres 27 de Octubre. La determinación tomada por el emperador Alexandro de trans­ portar la escuadra rusa á un puerto de Inglaterra, manifiesta su fir­ me é invariable resolución de llevar la guerra hasta el extremo. Al mismo tiem…</t>
  </si>
  <si>
    <t>Gaceta de Madrid n.º 237</t>
  </si>
  <si>
    <t>ral ruso Knorring temen no llegar á Moskow para asistir al Te Deum, ha perdido las dos piernas. porque este himno de acción de gracias lia llegado El Emperador Alexandro había dado orden de á ser'para los rusos el cantar de la muerte, y hace que se defendiese Smolensko hasta el último •trance; ya las veces del De profundis. p…</t>
  </si>
  <si>
    <t>Alexantentativas</t>
  </si>
  <si>
    <t>Gaceta de Madrid n.º 26</t>
  </si>
  <si>
    <t>reto, postura á la expresada casa , acuda al juzgado de dicho ó bien en el de xarabe. Aunque ya se han hecho señor Guitart y escribanía del número de D. Alexantentativas con este fin, los resultados que se haa dro Gutiérrez , donde se admitirán las que se hagan, obtenido no han sido mui satisfactorios. La so­ liendo justas y …</t>
  </si>
  <si>
    <t>Alexaudro</t>
  </si>
  <si>
    <t>Gazeta de Madrid bajo el Gobierno de la Regencia n.º 13</t>
  </si>
  <si>
    <t>tersburgo de julio. En e¿te mismo momento acaba de llegar la noticia de haberse ratificado el tratado de paz concluido entre la Rusia y la Puerta. El Emperador Alexaudro mandó celebrar un Te Deum en acción de gracias. ESPAÑA. Madrid ii de setiembre. El día 4 del corriente desembarcó en Alicante el general D. Francisco Xavier …</t>
  </si>
  <si>
    <t>Alexrtn</t>
  </si>
  <si>
    <t>Gaceta de Madrid n.º 37</t>
  </si>
  <si>
    <t>hasta ..hora han sido El célebre escultor Martas tiene casi concluido para él un manautial de grandes y considerables el monumento de la difunta gran duquesa Alexrtn- utilidades. drina. Todos los que lo han visto lo celebran in­ 3.0 Que en virtud de la' funesta pero poderosa finito ; este monumento debe adornar los jardines p…</t>
  </si>
  <si>
    <t>Alfáiran, Pedro</t>
  </si>
  <si>
    <t>Pedro Alfáiran</t>
  </si>
  <si>
    <t>ada; y de bandera á D. Juan López y D. José Benito Azcuénaga. En la compañía de infantería de voluntarios de Madrid de nueva creación , subtenencia á D. Pedro Alfáiran. En el regimiento de dragones de Buenos * Ay res * ayudantía á D. Marcos Sobremonte; tenencias á D. Manuel Cuervo, D. Manuel Suarez y D. Prudencio</t>
  </si>
  <si>
    <t>Alférez, Pedro Delgado</t>
  </si>
  <si>
    <t>Pedro Delgado Alférez</t>
  </si>
  <si>
    <t>Ilervoso , 6. D. Simón Hurtado, 6. D. Narciso Aponte , 6. D. Juan José Herdoyza, 4. D. Andrés Orive , 4. D. J*sé Alien , 4. D. Juan Laisequilla , 4. D. Pedro Delgado Alférez., 6. D. Florencio López , 2. D. Antonio López , 2 y 2. D. Manuel de Villar, 1Q0O. D. Antonio Alvarez de Villar, alcalde ordi­ nario de -esta ciudad , 100…</t>
  </si>
  <si>
    <t>Alfonso</t>
  </si>
  <si>
    <t>. Joaquín), consejero de ia prefectura Truxillo (D. Mánnel)., subteniente del regimien­ de Córdoba. to de Castilla, i.° de infantería ligera. Parejo (D. Alfonso), sargento de'húsares de la Vellart ( D. Santiago), sargento segundo del re­ guardia real. gimiento 4.0 de cazadores á c-,bailo. Patullo (D. Luis), cabo del regimieat…</t>
  </si>
  <si>
    <t>Alfonso, Gonzalo Luis</t>
  </si>
  <si>
    <t>Gonzalo Luis Alfonso</t>
  </si>
  <si>
    <t>núan los donativos mensuales de la isla de Cuba. D. Nicolás del Valle, proto-medico regente , por un soldado, durante la guerra, 9 ps. fs. mensuales. D. Gonzalo Luis Alfonso, por 6 en un año y des­ pués 3 , á reserva de aumentar los que pueda, 54. Él oidor D. Andrés Alvarez Calderón, por 2 (durante sn año) 18. D. Francisco Aj…</t>
  </si>
  <si>
    <t>Alfonso, Luis</t>
  </si>
  <si>
    <t>Luis Alfonso</t>
  </si>
  <si>
    <t>an Valdivia , 3. D. Tomas Palacios, 1. D. Fernando Bao Calderón , 1. 1). José Antonio Martínez, 1. D. Tomas Castro , l. D. Juan Antonio Cainacho , 1. D. Luis Alfonso , capellán de Sta. Rosa , 2. D. Bernabé de Tamarjcia, 25. D. Manuel Concha,!. D. Gabriel Oroviogoitia, 6. D. Manuel de la Daga , 10. D. Francisco Moreno , 1. — D…</t>
  </si>
  <si>
    <t>Alga, Fraocisco Perez</t>
  </si>
  <si>
    <t>Fraocisco Perez Alga</t>
  </si>
  <si>
    <t>Gaceta de Madrid n.º 108</t>
  </si>
  <si>
    <t>si­ mismo promovidos. TRATAOS. D. Francisco Solano de Agnilar Tablada á ca­ En el del Príncipe, i las siete y media de la no­ pitao , en reemplazo de D. Fraocisco Perez Alga va. che, se representará por la compañía española la co­ D. Gerónimo Castellano i teniente, en b va- media en dos actos titulada el Café , y el sainete l…</t>
  </si>
  <si>
    <t>Algaba, Juan Perez</t>
  </si>
  <si>
    <t>Juan Perez Algaba</t>
  </si>
  <si>
    <t>sidente en Lu- P. Juan de Zafra , id....................... 2200 ............................................................................... 2200 D. Juan Perez Algaba, id................................ 22co D. Miguel Diaz, id. en Ecija......................... 2200 P. Rafael Serrano , id..................................…</t>
  </si>
  <si>
    <t>Algu</t>
  </si>
  <si>
    <t>26</t>
  </si>
  <si>
    <t>de 1500 hombres. Muchas perso­ nas , entre otras uno de los curas de la ciudad , habían tenido avisos de lo que se tramaba, y dado noticia de ello al magistrado Algu­ nos dias antes , un negro, criado de M. Pitaut, que no quiso entrar en !a conspiración , avisó á su amo, y denunció á un sirviente de madama 1 ournioís , que fu…</t>
  </si>
  <si>
    <t>Aliaras, Juan Bernardo</t>
  </si>
  <si>
    <t>Juan Bernardo Aliaras</t>
  </si>
  <si>
    <t>Gazeta de la Regencia de las Españas n.º 47</t>
  </si>
  <si>
    <t>594</t>
  </si>
  <si>
    <t>José Gutiérrez de la Parra ,400 Doit José de Lizarralde , 500. D. Domingo González Castañeda , 200, y otros tan­ tos en cada año que dure la guerra. D. Juan Bernardo Aliaras y su hermano, 100. D. .i uau Francisco Azpiroz y hermanos , 300. D. Andrés de Larra paga, 100. D. Francisco Hacines, 100. D. Juan Nicasio Sotomavor, -UKI…</t>
  </si>
  <si>
    <t>Alien</t>
  </si>
  <si>
    <t>Gazeta de la Regencia de las Españas n.º 101 (extraordinaria)</t>
  </si>
  <si>
    <t>gada portuguesa del coronel Stubbs. EL enemigo huyó con pérdida de muchos muertos y heridos, y habiendo perseguido la brigada de caballería del mayor general Alien á los fugitivos, les hizo 240 prisioneros. „En estos dias se distinguieron el teniente general Colé , el ma­ yor general Alten, el mayor general Anson, el teniente…</t>
  </si>
  <si>
    <t>Allende, Mariano</t>
  </si>
  <si>
    <t>Mariano Allende</t>
  </si>
  <si>
    <t>Gazeta de la Regencia de las Españas n.º 82</t>
  </si>
  <si>
    <t>rillo, 10. D. Juan..... .. 50. D. Guillermo Gutiérrez, 4. D. Ignacio de Vera, 6. D. Ignacio Govostiza, por algunos vecinos de la ciu­ dad Vieja , 22. D. Mariano Allende , 10. D. Antonio Vallejo por el pueblo d« Balao, 1G. D. Carlos Lagomasin, 200. D. Luis Molina , 10. D. Damian Bodero , 4. Feliciano Avecilla por sí , y los ra…</t>
  </si>
  <si>
    <t>Almagro, José</t>
  </si>
  <si>
    <t>José Almagro</t>
  </si>
  <si>
    <t>Gazeta de la Regencia de las Españas n.º 119</t>
  </si>
  <si>
    <t>PDF p. 7</t>
  </si>
  <si>
    <t>D. José Almagro. La junta militar del colegio al adjudicar Iba pre­ mios á eitDS alumno* , mandó que mientras permanecí!sen en el colegio los premiados, llevasen en ei ojal de la casaca una cinta que en lo</t>
  </si>
  <si>
    <t>Almeg, Anaclcto</t>
  </si>
  <si>
    <t>Anaclcto Almeg</t>
  </si>
  <si>
    <t>Gaceta de Madrid n.º 80</t>
  </si>
  <si>
    <t>bí miento genérál'de las "al sargento primero,del regiinieuto de Granada, persona? de ambos sexós eoovrdadas á éste fió. 4.a de infaaterin. de líuea, D. Anaclcto Almeg i Ayer se digucS ignjjinaore el REI' admitir á " sUbVeníente dé la .compañía de cazadores de monjurar ante su real Persona á los geotileshóniBrl-s de ' taña de…</t>
  </si>
  <si>
    <t>Almirante</t>
  </si>
  <si>
    <t>15</t>
  </si>
  <si>
    <t>gantín de guerra Alerta. — Pora Una: fragata N. Sra. de Iciar, alias la Xa viera.— Pitra Cu a y Sta. Martai goleta Feria. — Para Poniente: mísiieodel rey Almirante.</t>
  </si>
  <si>
    <t>Gazeta de la Regencia de las Españas n.º 51</t>
  </si>
  <si>
    <t>426</t>
  </si>
  <si>
    <t>kan recogido correspondencia en la administración de correos de Cádiz durante la semana finalizada en 18 del corriente. Poj'a Poniente : místico del rey Almirante. — Para Algecir&amp;s: místico del rey el Bruno. — Para Cataluña y Mallorca : laúd S. An­ tonio. CADIZ : EN LA IMPRENTA REAL*</t>
  </si>
  <si>
    <t>Gazeta de la Regencia de las Españas n.º 63</t>
  </si>
  <si>
    <t>526</t>
  </si>
  <si>
    <t>n recogido correspondencia en la administración de correos de. Cádiz durante la semana que finalizó en 16 del corriente. Bara. Poniente : místico dei rey Almirante. — Para Mallorca j/ demas pardos de Levante : polacra correo la Paz- — Para Algeceras: místico Bruno, barca Caiman y falucho-correo S. Francisco de Pau­ la. — Para…</t>
  </si>
  <si>
    <t>Gazeta de la Regencia de las Españas n.º 70</t>
  </si>
  <si>
    <t>ido correspondencia en la administración dt correos de Cádiz durante la semana finalizada en 30 de mayo próxi­ mo pasado. Para Poniente: místicos del rey Almirante y 8. Cayetano. ™ Pa­ ra Ceuta, Alicante y Mallorca : jabeque N. Sra. del Cálmen. —Para Algeciras: laúd-correo Sía. Marta. CÁDIZ i EN LA IMPRENTA REAL.</t>
  </si>
  <si>
    <t>Almiron, Mariano</t>
  </si>
  <si>
    <t>Mariano Almiron</t>
  </si>
  <si>
    <t>, 416. El oficial primero Don. Félix Saenz de Tejada, 200. El segundo D. Francisco Torres Esquivel, 125. El tercero D. Cários Ortiz , 100. El cuarto D. Mariano Almiron , 100. El quinto D Juan Ensebio Punentel, 83. El sexto D. Miguel de Jaras, 83. El séptimo D. Matías Gallardo , 83. El octavo D. Pedro José Carrillo , 66. El no…</t>
  </si>
  <si>
    <t>Almo, Mariano</t>
  </si>
  <si>
    <t>Mariano Almo</t>
  </si>
  <si>
    <t>Gazeta de la Regencia de las Españas n.º 30</t>
  </si>
  <si>
    <t>Huanta 13. José Escovar , 25. Id. de Andaguailas D u José del Campo , 25. Id. de Abane ay D. Esteban de Ares , 13. Maestro de postas de íiuancabelica D. Mariano Almo ñau , 12. Id. de Cotay D Marcos Jara , 4. Id. de Parcos I). Juan Antonio Uavila , 5. Id. de Marcas D. Grego­ rio Dávila , 5. Carrera de Pitaco. Administrador de …</t>
  </si>
  <si>
    <t>Alon</t>
  </si>
  <si>
    <t>do muchos' primer teniente dé la primera compañía de zapa­ otros (a* mismas por irse á buscarlos, y qué res­ dores , á capitán segundo de la misma; á D. Alon­ pondan qoáotos han vualto. ¿No es cierto qne so Martin , segundo teniente de la propia, á prí+ saben ya la muerte de muchas, la prisión de olios, mer teniente ; y á D. …</t>
  </si>
  <si>
    <t>de los Sres. D. Isidoro Antillon y D. Lorenzo Calvo de Rozas : el 7, de D. Antonio Panadero, alcalde de Miguel-Esteban, y de D. Alon­ so de Castro por sí y en nombre de varios pueblos de la provincia de Orense : el 11 , del juez de primera instancia del Puerto de San­ ta María, Sr. Lleopart, del ayuntamiento del mismo pueblo …</t>
  </si>
  <si>
    <t>Alonso</t>
  </si>
  <si>
    <t>Gaceta de Madrid n.º 1</t>
  </si>
  <si>
    <t>de Cartago, no pocos de óuyos vocales , miran­ que ocupada pot los moros , la cercó sin fruto el do las operaciones de Aníbal como una infracción Reí D. Alonso xi, 001179 (ií); que la ganó el del tratado, le reputaron digno de castigo; mas Reí D. Jaime el Conquistador en 1239 (13); que preponderando la facción Barcina &gt; amiga…</t>
  </si>
  <si>
    <t>Alonso, Benito</t>
  </si>
  <si>
    <t>Benito Alonso</t>
  </si>
  <si>
    <t>ha Real.. 2200 D. Manuel Sevillano, id.-en-Jaén................ 2a00 Ex-ntercenarlos descalzos. D. Josef de Torres , diácono , id............... 3200 D. Benito Alonso, residente en Madrid..... 2200 D. Juan Perez, id...................... 2200 D. Márcos Guerra, lego, id. en Alcalá.... non, D. Josef Lechuga , id............. 22…</t>
  </si>
  <si>
    <t>Alonso, Bernardo</t>
  </si>
  <si>
    <t>Bernardo Alonso</t>
  </si>
  <si>
    <t>s , presbítero, ! que se ha dignado conftarle. ' para una capellanía de Reyes nuevos de Toledo, ¡ vacante por fallecimiento de.D. Bmolomé.de Cañas. A D. Bernardo Alonso, presbítero, ex-fr-mPor decretos dext,x^,t7yi8 del cortien- ciscano, para una canongía de la colegiata de To- 1 te se ha servido elREI nombrar ro, diócesis de…</t>
  </si>
  <si>
    <t>Alonso, Joaquín</t>
  </si>
  <si>
    <t>Joaquín Alonso</t>
  </si>
  <si>
    <t>de la plaza, los diferen­ nel dt la misma arma; ;í los capitanes deí real tes cuerpos d&lt; i-i gü. roí.icn^ los oficiales genera­ cuerpo de ingenieros D. Joaquín Alonso deViado les y particulares español y extt^ngeros, los in­ y?JC). Mateo Hurtado, y á los de infantería Do» dividuos de los tribunales de esta'corte, el corre­ ^A…</t>
  </si>
  <si>
    <t>Alonso, Lorenzo</t>
  </si>
  <si>
    <t>Lorenzo Alonso</t>
  </si>
  <si>
    <t>Gazeta de la Regencia de las Españas n.º 107</t>
  </si>
  <si>
    <t>90</t>
  </si>
  <si>
    <t>ruebas de fvalor y disciplina: pero debo elogiar señaladamente á ios capitanes D. Mariano Marques y D. Angel Perez, á los tenientes D. José La­ tas», D. Lorenzo Alonso, D. Gregorio Bea y D. Pedro Ferraz, al subteniente D. Francisco Navarro, y el celo y puntualidad del pa­ dre capellán D.-José M.cr&amp;ta.”— .Lista de ios'presos q…</t>
  </si>
  <si>
    <t>Alonso, Luis</t>
  </si>
  <si>
    <t>Luis Alonso</t>
  </si>
  <si>
    <t>an, ni consejos que A D. Josef Vicente Muriel para el de Peña- ro me piden. Mi intento es ú nica raen re apuntar al­ randilla , vacante por muerte de D. Luis Alonso. gunas reflexiones, qne me ha sugerido eftihevo re­ A D. Rafael Rodríguez para el de Pereña, glamento hecho sobre este punto por los g'oberoan-* vacante por falle…</t>
  </si>
  <si>
    <t>Alonso, Manuel</t>
  </si>
  <si>
    <t>Manuel Alonso</t>
  </si>
  <si>
    <t>. . D. ToribioPela^z. *.,. .. o 1 5 ídem.......... D. Valentín García .. .f. • « 1 ' \ * abielden te D. José VilIaviuoY; . • ... * * &lt; 1 \ ídem... .. D. Manuel Alonso. • o1 Coronel, el brigadier. D. Manuel uatDpn.... '* • , 1 Capitán. • . D. Francisco Soto.. ... f t 9 » 1 Lena . .. ^ Teniente . . D. Francisco Diaz...... * » ,…</t>
  </si>
  <si>
    <t>Alrxsndro</t>
  </si>
  <si>
    <t>Gazeta de la Regencia de las Españas n.º 133</t>
  </si>
  <si>
    <t>1081</t>
  </si>
  <si>
    <t>I.» DE OCTUBRE DE 1812. GRAN-BRETAÑA. Londres 9 de Setiembre. Escriben de Gotemburgo ci 26 del pasado que en Abo (en Fin­ landia) debían reunirá© «i emperador Alrxsndro , el principe real de Suecia, y el erabaxador británico lord Cathcsrt; y que el rej de Bnecia habla comunicado á la dieta de Orcbro la celebración j ra­ tific…</t>
  </si>
  <si>
    <t>Alten</t>
  </si>
  <si>
    <t>Gazeta de la Regencia de las Españas n.º 57</t>
  </si>
  <si>
    <t>472</t>
  </si>
  <si>
    <t>n rimero de las tropas que ha­ bía allí, levantaron el campo y marcharon hacia Sabugal, adonde creo que el general Marmont fue en persona. „Ei mayor general Alten, á quien yo había mandado permtnecer en frente de Ciudad-Rodrigo con el regimiento primero de húsares hacía ti es de maizo, fué seguido, á alguna distancia, al trav…</t>
  </si>
  <si>
    <t>n de los riachuelos , y ma­ nifestó su intención de caer sobre nuestra izquierda, y entrar en el valle de Cañizal. La brigada de caballería del mayor general Alten, sostenida por el tercero de dragones , se hallaba ya empeñada con la caballería enemiga, y había hecho prisionero, entre otros, al general francés Carriel , por l…</t>
  </si>
  <si>
    <t>829</t>
  </si>
  <si>
    <t>por Cantalpino, y quedó acampado en Cabeza-Vellosa, quedando sobre el Tórmes en Alcíealengua la sexta división y la brigada de caba­ llería del mayor general Alten. — Durante estos movimientos ha ha­ bido cañoneos seguidos en varias ocasiones, pero sin pérdida por nuestra parte. —- Esta mañana he movido la izquierda del exérc…</t>
  </si>
  <si>
    <t>Gazeta de Madrid bajo el Gobierno de la Regencia n.º 4</t>
  </si>
  <si>
    <t>riachuelos, é indicó querer dirigirse sobre nuestra izquierda, y entrar en el valle de Cañizal. Ya en este tiempo la brigada de caballería del mayor general Alten se ha­ llaba sostenida por el regimiento de dragones num. 3.0 combatiendo con la ca­ ballería enemiga, y hablamos cogido prisionero, entre otros, al general francés…</t>
  </si>
  <si>
    <t>27</t>
  </si>
  <si>
    <t>hácia su derecha por Cantalpino, y en la mis­ ma noche se acampó en Cabeza-vellosa , hallándose la sexta división y briga­ da de caballería del mayor general Alten sobre el Tormes en Aldealu^nga. Durante estos movimientos se tiraron alternativamente algunos cañonazos, pero sin pérdida por nuestra parte. Esta mañana he movido …</t>
  </si>
  <si>
    <t>Altusioff</t>
  </si>
  <si>
    <t>Gazeta de la Regencia de las Españas n.º 169</t>
  </si>
  <si>
    <t>s primeras descargas á nuestro valeroso compañero ei te­ niente general Bstkavute , por cuya muerte recayd el mando del des­ tacamento en el teniente general Altusioff. „A1 mismo tiempo salió de los bosques con tres regimientos el general Ostermau,. quien tenia órden de tomar otra colina , apo­ yado perla artillería gruesa, m…</t>
  </si>
  <si>
    <t>Alva, José</t>
  </si>
  <si>
    <t>José Alva</t>
  </si>
  <si>
    <t>Gazeta de la Regencia de las Españas n.º 40</t>
  </si>
  <si>
    <t>ía del Infante; D. Antonio Ta­ hona , del batallón de la Victoria ; D. Francisco Gamboa, del regi­ miento de Sigilenza, graduado de teniente coronel; D José Alva­ res Guerra , del extinguido de cazadores de Zafra ; D. Manuel Bau­ sa , del de la Princesa ; O. Juan Echavarría, del de Aragón; Don Marcelo Baeza, del'batallón dé v…</t>
  </si>
  <si>
    <t>Alvares, Josef</t>
  </si>
  <si>
    <t>Josef Alvares</t>
  </si>
  <si>
    <t>inta compañía. ciones por escrito. „ En todo lo demás quedan en su fuerza las dis­ Décimo batallón, posiciones del decreto de .27 de octubre de 1810. D. Josef Alvares, subteniente, á abanderado. ,, Confio en vuestro zelo que haréis exccotar B. Juan Antonio Gayoso, sargento primero, á todo lo dispuesto en esta órden. subtenien…</t>
  </si>
  <si>
    <t>Alvares, Santiago</t>
  </si>
  <si>
    <t>Santiago Alvares</t>
  </si>
  <si>
    <t>gorio Sánchez. .be'»' . ,-•/ . D. Antonio G-ircía Cano. D. Roque de Lema. ,j\ , , ; ‘ , Diputados seculares Secretario ¡ D. Manuel Antonio Rodríguez. D. Santiago Alvares. D. Juan Tarquis, substituto de alcalde. BARRIO DE MONSERRAfB, 1 Secretario D. Alexandío Moya. &lt;■ f &lt; Alcalde de barrio " D. Nicolás Ptrez. .. BARRIO DEL ROS…</t>
  </si>
  <si>
    <t>Alvarez</t>
  </si>
  <si>
    <t>Gaceta de Madrid n.º 240</t>
  </si>
  <si>
    <t>66</t>
  </si>
  <si>
    <t>cos. Una patrulla de 150 dragones de Ja guardia, partida de'los lanceros de D. Julián , mandada por al mando del coronel Marthod, ha caido en una el capitán Alvarez , bien conocido en el pais : otro emboscada de cosacos entre la ruta de Moskow y oficial del estado mayor de la misma división, y al­ Kalouga. Los dragones acuchi…</t>
  </si>
  <si>
    <t>Alvarez, Antonio</t>
  </si>
  <si>
    <t>Antonio Alvarez</t>
  </si>
  <si>
    <t>Gaceta de Madrid n.º 141</t>
  </si>
  <si>
    <t>oña María AriaULuiz de Estenoz..... 90090 D. Angel de Urruehi............................. 11520 D. Antonio de ¡Medíene lo..................... 18000 D. Antonio Alvarez.............................. 20412 D. Sebastian de 'Alolliuedo..... ............. 18000 D. Josef López de Arcos...................... 60750 D. Clemente deíPe…</t>
  </si>
  <si>
    <t>Alvarez, Custodio</t>
  </si>
  <si>
    <t>Custodio Alvarez</t>
  </si>
  <si>
    <t>rmanos , 300. D. Andrés de Larra paga, 100. D. Francisco Hacines, 100. D. Juan Nicasio Sotomavor, -UKI. D. Juan Ergniaga, 100. D. Juan de Vivas, 400, D. Custodio Alvarez, 100. D. Pabl® Bj ingas, 200, (Se continuará.) CADIZ s EN LA IMPRENTA REAL.</t>
  </si>
  <si>
    <t>Alvarez, Francisco</t>
  </si>
  <si>
    <t>Francisco Alvarez</t>
  </si>
  <si>
    <t>Francisco Benito, D. Francisco Alameda, D. Pedro Panla­ gua, D. Luis Muñoz?, D. Vicente Ortiz, D. Manuel Benito, D. Pe­ dro Latorre, D. Melchor Buba, D. Francisco Alvarez , D. Luis Angel García, O. Pedio Toruno, D Antonio Rosado, D. Ildefon­ so Sierra, D Vicente Herrera, D. José C.uóps, D. Manuel L no, D. Pedro Rueda, D. Sant…</t>
  </si>
  <si>
    <t>capitán D. José Ruiz y al tenien­ te D. Carlos Peirano, del regimiento de Tres Villas; y entre los he­ ridos al subteniente del regimiento de México D. Francisco Alvarez; al capitán D. Francisco Hidalgo ; al ayudante mayor veterano Don Narciso Arascot, y al subteniente D. Francisco Soberon, del regi­ miento de las Tres Villas…</t>
  </si>
  <si>
    <t>Alvarez, José Leandro</t>
  </si>
  <si>
    <t>José Leandro Alvarez</t>
  </si>
  <si>
    <t>s donativos del Perú. D. Francisco Flores, maestro de la escuela de Bellavista , 10 pesos fuer­ tes. I&gt;. Domiqg* Villaverde , oficial reformado , 25. D. José Leandro Alvarez, id., 9 y o. D. Juan Bautista Aldayturriaga , 9 y 3. El monasterio de la Con­ cepción, 400. D'. José Antonio Via, citra Je la doctrina de Paseo, 500. D. …</t>
  </si>
  <si>
    <t>Alvarez, Julián</t>
  </si>
  <si>
    <t>Julián Alvarez</t>
  </si>
  <si>
    <t>D. Luis Gi¡ N,r.apjo.. Secretario interino D. Pedro Acevedo»; ,■=&gt; , '■■malí .&lt;£ D. Juan Manuel Ains. D. Cristóbal Olmedo. S?tííeiarie J-* I/IAb».-» D. Julián Alvarez de ia,Torre¿'¡ &lt; « QUARTEL DE SAN FRANCISCO. . k BARRIO DE LAS VISTILLAS- .■ r&gt; V ojíícfi».' í ,&lt;s Alcalde de barrio En virtud de providencia déj !)r, p.Leon de…</t>
  </si>
  <si>
    <t>Alvarez, Manuel</t>
  </si>
  <si>
    <t>Manuel Alvarez</t>
  </si>
  <si>
    <t>Gazeta de Madrid bajo el Gobierno de la Regencia n.º 39</t>
  </si>
  <si>
    <t>599</t>
  </si>
  <si>
    <t>el Tritón y la Nereyda de la fuente que mira á la puerta de Atocha, y el Oso y el Dragón de la de la Cibeles: el Apolo que dexó sin acabar el célebre D. Manuel Alvarez está concluido por su mano: en Cuenca la imagen de nuestra Señora de las Mercedesen su iglesia: en la catedral de Sevilla las quatro estatuas de S. Miguel, S. …</t>
  </si>
  <si>
    <t>Alvarez, Melchor</t>
  </si>
  <si>
    <t>Melchor Alvarez</t>
  </si>
  <si>
    <t>mal; comparad los me­ te-l'elayo................ ............................. ........... 2200 dios con los efectos, y no hagais caso de las perso­ D. Melchor Alvarez , id. en Segovia........... 2 zoo nas , sino de las cosas , sin que dirija vuestra plu­ D. Cirilo G arcín &gt; id-, en id............................. 2200 ma amo…</t>
  </si>
  <si>
    <t>Alvarez, Miguel</t>
  </si>
  <si>
    <t>Miguel Alvarez</t>
  </si>
  <si>
    <t>nuel Santalla , id. de segundo voto , 50. D. Eugenio de Burtubay , 500. D. José Lago y Lemus , 100, y ofrece )o mis­ mo anualmente durante la guerra. D. Miguel Alvarez , 50. D. Juan Manuel Quirós , 400. El marques de la real Confianza , 200. Doña Francisca Querejazi* y su hijo D. Pablo Avellafuerte , 500. D José Gutiérrez de …</t>
  </si>
  <si>
    <t>Alvaro</t>
  </si>
  <si>
    <t>Gazeta de la Regencia de las Españas n.º 165</t>
  </si>
  <si>
    <t>1356</t>
  </si>
  <si>
    <t>, Casas de D. Gómez, Malpartida, Viandar,. Monte-hermoso, Burguillos, Zafra, Fuente de Cantos, La­ te rre , Oliva, Val verde de Leganes, Torreiuayor, D. Alvaro, Puer­ to dé Sta.. Cruz Encintóla , Puerto raéral, Chiclana , Sevilla, Xe* nez, Ronda, Va'verde , el Burgo Galaroza , Conillos dependien­ tes del juzgado eclesi; stico…</t>
  </si>
  <si>
    <t>Alvatez, Diego</t>
  </si>
  <si>
    <t>Diego Alvatez</t>
  </si>
  <si>
    <t>Gazeta de la Regencia de las Españas n.º 39</t>
  </si>
  <si>
    <t>1600</t>
  </si>
  <si>
    <t>e IJitonia á D. Juan Antonio Fábregas; del de Mataró á I). Gerónimo de la Concha; del de S. Fernando á D. Antonio VijaJonrnar ; del de Fernando VII á D. Diego Alvatez; del de Ausoim á D. Mariano Villaespesa ; del de Leales Manresanos á D. Pa­ blo Miró ; y del de Barcelona á D. Jasé Mambrilla. Comandancias de tercer batallón :…</t>
  </si>
  <si>
    <t>Alzamora, Estanislao</t>
  </si>
  <si>
    <t>Estanislao Alzamora</t>
  </si>
  <si>
    <t>an , 40. D Bernardo Abregu , 4l&gt;. D. Juan Luis Pere.z , 40. D José Ascue , 40 D. Nicolás León , 40. D. Bern udino groa , 40, Don Melchor Lamas, 4-0'. D. Estanislao Alzamora , 40. i). Manuel Quodros , 40. D. Ignacio Silva, 40. D. José Al gal ovo , 40. D. Juan Punce, 40. D. Ma­ riano Diaz , 40. Carrera de Valles. Administrador …</t>
  </si>
  <si>
    <t>Alzamora, José Calixto</t>
  </si>
  <si>
    <t>José Calixto Alzamora</t>
  </si>
  <si>
    <t>no Villegas , 2. D. Pedro Martínez , 1. Don Gerónimo Arnal, capellán del monasterio de Sta. Clara , 17. D. Manuel de A iba , 2. D. José AUuzarra , 2. D. José Calixto Alzamora , 2, D. Miguel IraTnategui , G. D. Diego Rey lia , capellán del monasterio de Trinitarias ,8 y 4. D. Antonio de Almoguera , capellán del monasterio de D…</t>
  </si>
  <si>
    <t>Alzaybar, Juan</t>
  </si>
  <si>
    <t>Juan Alzaybar</t>
  </si>
  <si>
    <t>ntilhombre de cámara, y á'D. Gabriel Y para obtener en encomienda á. los ex-regu­ de "Vial y Asenjo, hijo del difunto coronel Vial. lares siguientes: D. Juan Alzaybar, presbítero, ex-mercenario Por decreto de xx del niismo S. M. ha promo­ calzado, para la prestamerade Cevico de la Tor­ vido en el regimiento de caballos ligero…</t>
  </si>
  <si>
    <t>Amable, Manuel</t>
  </si>
  <si>
    <t>Manuel Amable</t>
  </si>
  <si>
    <t>os de D. Julio AWarez, D ñi ?daría Luisa, Doña Mariana y D. Diego Mayoli, id., 9. Don Miguel Pascual de la Peña, id., 9. D. Vicente Santurio, id., 9. D. Manuel Amable , id., 9. D. José Rabeyro, por 4 , 36. D* Manuel Ruiz y compañía, por uno, 9. D. Francisco Delgado Vetez, id., 9. D. Manuel Urueta, por 4, 36. D. Francisco Polo…</t>
  </si>
  <si>
    <t>Amador, Antonio</t>
  </si>
  <si>
    <t>Antonio Amador</t>
  </si>
  <si>
    <t>Gaceta de Madrid n.º 11</t>
  </si>
  <si>
    <t>ara alimentar un gran nú­ lix Trapero; para ayudante á D. Francisco Mon­ mero de españoles y de portugueses. ¡ Perspectiva tero , y para abanderado á D. Antonio Amador. albagüeña en un tiempo en que el precio del pan Para capitanes y oficiales de la segunda y ter­ es tan excesivo , y que es probable que cada dia lo cera compa…</t>
  </si>
  <si>
    <t>Amador, Esteban José</t>
  </si>
  <si>
    <t>Esteban José Amador</t>
  </si>
  <si>
    <t>hategui, 100. D. Dionisio Faxardo , 12. El maestro mayor del gremio de barberos ,29 y 5. D. Pedro Alcántara Bruno , 100. D. Juan Mi* guel Germán , 4. D. Esteban José Amador, 100. D. Lupercio Robles, 10. D. José Gorostiza y Garzón , 25. D. Miguel Terrario va y Aviles , 12. D Vi­ cente Aviles , 20. í&gt;. Manuel Andrade , 25. D, A…</t>
  </si>
  <si>
    <t>Amador, José</t>
  </si>
  <si>
    <t>José Amador</t>
  </si>
  <si>
    <t>elino Velarde , 10. I&gt;. José María Frevre , íi). D. Guillermo Geraldino , 10. D. Lorenzo Barba , 10. Don Manuel Palacios , 10. D. Pedro Tijaite , 10. D. José Amador, 6. D. Julián Fi res , 4 l&gt;. José Capotillo, 4. — Sangradores y barberos. Manuel Chaves, proiobarbero , 25. José Asóla , 10. Martin Palacios , 8. Pablo .Miranda ,…</t>
  </si>
  <si>
    <t>Amat, Joté</t>
  </si>
  <si>
    <t>Joté Amat</t>
  </si>
  <si>
    <t>os términos : ,,D. Manuel Ubalde Aguirre, capelbm que fué del Buen-suceso ; D. Pablo F guerea , cfíckl retirado de merma , natu­ ral de Vi 'lacenas ; D. Joté Amat, teniente coronel retirado, satura! de Bi*rce!ona; D. Manuel Lozano, oficial de la secretaría del pa­ tronato de Nueva-.España, natural de Borja; D. José Naxera , H…</t>
  </si>
  <si>
    <t>Amat, Lorenzo</t>
  </si>
  <si>
    <t>Lorenzo Amat</t>
  </si>
  <si>
    <t>tavo D. Pedro José Carrillo , 66. El noveno D. Marcos Palma, 66. El décimo D. Francisco Chacón , 60. El un­ décimo D. Tomas Doblado, 50. El duodécimo D. Lorenzo Amat, 50. El agregado D. Domingo Gangutia , 66. El escribiente primero D. Luis Calvo, 41. El segundo 3). Francisco Calderón , 41. El tercero D. Francisco Menentlez Ca…</t>
  </si>
  <si>
    <t>Ambrosio, Nicolás</t>
  </si>
  <si>
    <t>Nicolás Ambrosio</t>
  </si>
  <si>
    <t>me ha sugerido eftihevo re­ A D. Rafael Rodríguez para el de Pereña, glamento hecho sobre este punto por los g'oberoan-* vacante por fallecimiento de D. Nicolás Ambrosio tes de Cádiz, y hacer ver que la libertad de la de la Plaza. imprenta es una de las machas engañifas con que A D. Gerónimo Gil para el de Arcediano, va­ han …</t>
  </si>
  <si>
    <t>Amedey, Luis</t>
  </si>
  <si>
    <t>Luis Amedey</t>
  </si>
  <si>
    <t>Gazeta de la Regencia de las Españas n.º 103</t>
  </si>
  <si>
    <t>852</t>
  </si>
  <si>
    <t>oaquín Recio y Torio por 2, 18. El teniente coronel D. Pedro Valverde por uno , 9. D. Joaquín Madan por uno , 9. Doña María Dolores Velez por uno, 9. D. Luis Amedey por uno , 9. D. Ramiro Hervías por 2 , 18. Doña Monserrate Chacón por uno , 9. D. José Matías de Azebal por 2 , 18. D. Ignacio Pedroso , durante la guerra por 4 ,…</t>
  </si>
  <si>
    <t>Amesroi, Vicente</t>
  </si>
  <si>
    <t>Vicente Amesroi</t>
  </si>
  <si>
    <t>Gaceta de Madrid n.º 30</t>
  </si>
  <si>
    <t>que enviaban por mar al enemigo; do* yetano Rodríguez, al bentficiado mas antiguo de boques que hacían parte de él, cargados de sardi­ dicha iglesia D. Vicente Amesroi. nas y harina, han sido arrojados por Tas olas al puer­ Para el medio beneficio , vacante por ascenso to , y sus cargamentos se han depositado en los al­ de Am…</t>
  </si>
  <si>
    <t>Ameta, Francisco</t>
  </si>
  <si>
    <t>Francisco Ameta</t>
  </si>
  <si>
    <t>D. Vicente Pena, oficial mayor, 30. D. Manuel Celis, 25. D. José Domínguez , 33 y 2 y medio. D. Francisco Taramona, 10. D. Pablo Antonio Moreno , 10. D. Francisco Ameta f oficial mayor jubi­ lado, 25. D. Marcelo Laclara, contador de moneda, 10. El portero Don Domingo Chene, 10. D, José Risco , receptor, 12. D. Antonio Flores …</t>
  </si>
  <si>
    <t>ÁmeUer, Garlos Francisco</t>
  </si>
  <si>
    <t>Garlos Francisco ÁmeUer</t>
  </si>
  <si>
    <t>­ neral D. Carlos Doylc y gefes del depósito militar de la Isla de León, poT sí y á nombre de las respectivas clases de aquel establecimiento. Ei 14, D. Garlos Francisco ÁmeUer, director del real colegio de me­ dicina y cirugía de esta ciudad, por sí y á nombre del cuerpo de catedráticos. El 18, los individuas de que se compo…</t>
  </si>
  <si>
    <t>Amey</t>
  </si>
  <si>
    <t>Gaceta de Madrid n.º 252</t>
  </si>
  <si>
    <t>Las personas qüé no se conformen con ;honor al general conde de Wrede, que la ha diri­ las disposiciones precedentes, serán tratadas como gido, y al general Amey , que tan felizmente le ha enemigos-públicos. ayudado. • , ’ art. m. Los grandes de España ó títulos da 1 Debo el mayor elogio á la buena conducta de Castilla que hu…</t>
  </si>
  <si>
    <t>Ámezaga, Andrés</t>
  </si>
  <si>
    <t>Andrés Ámezaga</t>
  </si>
  <si>
    <t>Gazeta de la Regencia de España e Indias n.º ?</t>
  </si>
  <si>
    <t>30</t>
  </si>
  <si>
    <t>al del consulado por lo colectado de varios individuos del comercio, 15.570 y 1. — Oficiales de la secretaría de cámara. D. Manuel Gallegos, 143 y 2. D. Andrés Ámezaga, 95 y 4. D. Francisco Montoya, 79 y 5. D. Dionisio Parían,, 71 y 5. D. Manuel Vera, 63 y 7. D. José Ureta, 55 y 5. D. José Castillo , 47 y 6. D. José. Cicilia,…</t>
  </si>
  <si>
    <t>Amezaga, Antonio</t>
  </si>
  <si>
    <t>Antonio Amezaga</t>
  </si>
  <si>
    <t>o Rolando., id* 6. D. José Navarrete , id. , 6. D. José Tacaño, id., 12. D. Felipe Cárdenas, 4 y 2- rs?. D. Miguel Mascare, S. I). Manuel Tejada, '8. D. Antonio Amezaga , 35. D. José Peña, 13. D. José Dámaso Árgueda, 8. D. Matías pastor, 8. D. Manuel Fuente, 8. D. Isidro Guillen, 8. í). Santiago León , 6. D. Jacinto Ríos , 8.…</t>
  </si>
  <si>
    <t>Amezaga, José</t>
  </si>
  <si>
    <t>José Amezaga</t>
  </si>
  <si>
    <t>ntonio Urrutia , 8. D. Manuel Rio, 8. D. Luis Gamio , 8, JD. Mariano Albiuri, 8. D. Blas Cabrera, 8.1). Francisco Delgado, 8. Don Manuel Herrera , 6. D. José Amezaga , 35. D. Francisco León , 5. D. Ma­ nuel León, D. Diego Noriega , 8. D. Juan de üfeían, 8. D. Juan José Qui­ ñones, 8. D. Manuel Urquiju, 8. D. Manuel Crias, 8 D…</t>
  </si>
  <si>
    <t>Amezaga, Pedro</t>
  </si>
  <si>
    <t>Pedro Amezaga</t>
  </si>
  <si>
    <t>llana , id., 25. D. José Freyre , id. 0 -25. D. José Ostolaza, regente y vice-rector honorario , 25. D. Francisco Pas­ tor , capellán y maestro , 12. D. Pedro Amezaga, id., 12. D. José Beltran, id., 6. D. Redro Rolando., id* 6. D. José Navarrete , id. , 6. D. José Tacaño, id., 12. D. Felipe Cárdenas, 4 y 2- rs?. D. Miguel Mas…</t>
  </si>
  <si>
    <t>Amigo, José Ginuz</t>
  </si>
  <si>
    <t>José Ginuz Amigo</t>
  </si>
  <si>
    <t>'-"•¡.'Sr:: D. Gerónimo Media?......... &gt;• 7 • 8 abteniente D. Angel Calbelo.............. Otro . . . . D. G maro Vinaeía.............. O iro.. . . . D. José Ginuz Amigo.... J. /i i. . i Canitan. . . O. P edro Pierrs. 0 1 • Galicia. .d „ . . f Subteniente D. Antonio Ailer................. 0 • 1 TU»! | 4|T8T 8 | 1 L. j</t>
  </si>
  <si>
    <t>Amnt, Josef</t>
  </si>
  <si>
    <t>Josef Amnt</t>
  </si>
  <si>
    <t>Madrid ly de julio* . „ .D. Josef Amnt, teniente coronel retirado, natmai de Bircelona. S. M. ha celebrado hoi consejo de ministros* D, Manuel Lozano, oficial de la secretaría del patronato de Nueva- Esp-ñ ;, natura! de J3 *r j</t>
  </si>
  <si>
    <t>Amo</t>
  </si>
  <si>
    <t>los concur­ Sánchez Yebra; para ayudante primero á D. Dio­ rentes que no todas las especies de remolachas dan nisio Sobrinos; para ayudante seguedo á D. Amo­ la misma cantidad Je azúc.r, ni cor» tanta facili­ nio Molinero, y para abanderado á D. Manuel dad. En los ensayos que se bao h cho en París la Tuero. remolacha empleada…</t>
  </si>
  <si>
    <t>Amo, Juan</t>
  </si>
  <si>
    <t>Juan Amo</t>
  </si>
  <si>
    <t>826</t>
  </si>
  <si>
    <t>, capitán del navio Piedad , 52 y 4. Su tripulación , 14 y 4. D. Agustín de Subiilaga, capitán de la fragata Guadalupe , 35. Su tripulación , 30 y 4. D. Juan Amo­ nio Mtyo, capítau de la fragata Fama, 10. Su tripulación , 14. D. José Fer­ nandez Padilla, capitán del ber gantín Aranzazu, 15. Su tripulación , 12. La tripulación…</t>
  </si>
  <si>
    <t>Amonio</t>
  </si>
  <si>
    <t>Gaceta de Madrid n.º 60</t>
  </si>
  <si>
    <t>gasros de D. Josef Cano subteniente de caballería de línea, purificación jo francos. Total 275 francos, dedu­ y al subteniente de caballería de línea D. Amonio ciendo el valor del melote ó 100 francos , quedan Salgado teniente de la misma arma. *75 francos para cada ico libras de azúcar puri­ ficado. •Suponiendo el azúcar sin…</t>
  </si>
  <si>
    <t>Amor, Bartolomé</t>
  </si>
  <si>
    <t>Bartolomé Amor</t>
  </si>
  <si>
    <t>Gazeta de la Regencia de España e Indias n.º 11</t>
  </si>
  <si>
    <t>96</t>
  </si>
  <si>
    <t>fueron rotos, y huyeron desordenadamente hacia Soria, siguiendo los nuestros el alcance hasta una legua de la ciudad Se han señalado los comandantes D. Bartolomé Amor, de la caballería, D. Domingo Murcia , de la artillería , y D. Juan Antonio Tabuenca, del batallón de Rioja : llenaron sus deberes los comandantes An­ téalas y …</t>
  </si>
  <si>
    <t>Gazeta de la Regencia de las Españas n.º 16</t>
  </si>
  <si>
    <t>yo con mi división, y formado en el llano 3 columnas que iban avanzando hacia el enemigo , descendió y le hizo retroceder. Mi caballería, mandada por D. Bartolomé Amor, cortó una guer­ rilla francesa de 16 hombres, de los cuales 6 quedaron prisioneros, y los demas muertos. Los cañones enemigos dirigían su fuego contra mi caba…</t>
  </si>
  <si>
    <t>Amores, Francisco</t>
  </si>
  <si>
    <t>Francisco Amores</t>
  </si>
  <si>
    <t>Gazeta de la Regencia de las Españas n.º 137</t>
  </si>
  <si>
    <t>1119</t>
  </si>
  <si>
    <t>l regimiento de Cargas de Tineo, D. Miguel Valiejo, espitan del se­ gundo de Soria, D. Melchor Andarlo, tenients con gr&amp;do de espitan de! de Navarra, D. Francisco Amores, capitán del de Chinchilla, D. Jasé Masañes, capitán ccn grado de teniente coronel de las com­ pañías de zapadores de Cataluña, D. Ramón González, capitán de…</t>
  </si>
  <si>
    <t>Amors, Francisco</t>
  </si>
  <si>
    <t>Francisco Amors</t>
  </si>
  <si>
    <t>5 30 y la señora Justa, su ama y su legítima y universal D. Josef Martínez de Bastos...... *3593 r4 heredera, cargó con el espejo, y se lo llevó á su D. Francisco Amors.................. 19857 12 casa. El espejo del cura de Miguel-Totra era la D. Josef Marquina Galindo......... 22273 14 envidia de las ricotas de todos los pue…</t>
  </si>
  <si>
    <t>Ampudia, Manuela</t>
  </si>
  <si>
    <t>Manuela Ampudia</t>
  </si>
  <si>
    <t>Gazeta de la Regencia de las Españas n.º 48</t>
  </si>
  <si>
    <t>402</t>
  </si>
  <si>
    <t>ancisco Frevre, 100. D. losé Torres , 50. D. Espíritu Arrieta , 50. Doña Do ninga Lacuriaga, 20. Doña Faus’tina Gutiérrez, 4. Dona Inés Barrera , 10. Doña Manuela Ampudia, 12. Do­ ña Margarita. Armciiones, 4. Doña Mercedes X i menea, 10. Doña Francisca Berasíegui , 25. — Dependientes de minas. D. José España , 10. D. Francisc…</t>
  </si>
  <si>
    <t>An, Femando</t>
  </si>
  <si>
    <t>Femando An</t>
  </si>
  <si>
    <t>Gazeta de la Regencia de las Españas n.º 42</t>
  </si>
  <si>
    <t>356</t>
  </si>
  <si>
    <t>olo 60 caballos úiiles. Siento mi pérdida, que no ocultaré ; he tenido 30 muertos, y 200 heridos en la infantería, siendo de los primeros el teniente D. Femando An­ sa, el subteniente abanderado del segundo batallón D. Bernardo Zabala, y D. Fermín Azcárate, subteniente de la cuarta del cuaTto : de los segundos D. Marcelino Or…</t>
  </si>
  <si>
    <t>An, José Antonio</t>
  </si>
  <si>
    <t>José Antonio An</t>
  </si>
  <si>
    <t>e ha servido promover á subtenientes del real cuerpo de ingenieros, á D. Fernando Carnicero subtenien­ te agregado al regimiento segundo de Sevilla ; D. José Antonio An­ drés, subteniente del de Africa: ü. Francisco Xavier de Mariatcgui, subteniente agregado al segunda de Soria; O. Bisiiio Roldan y Go* diuez, subteniente agre…</t>
  </si>
  <si>
    <t>An, Juan</t>
  </si>
  <si>
    <t>Juan An</t>
  </si>
  <si>
    <t>arda de di­ cha administración D. Clemente Tixero, 6. El futurario D. Manuel Pereas Vuelta, 15. Los tres curas rectores del sagrario de esta catedral D. Juan An­ tonio Iglesias , D. Juan Marin, y D. Mariano Tagle, 500. Real Convictorio Carolina, Rector D. Toribio Rodriguez de Mendoza ofrece 100 pesos en cada -tir: año de ios …</t>
  </si>
  <si>
    <t>An, Juan González</t>
  </si>
  <si>
    <t>Juan González An</t>
  </si>
  <si>
    <t>Gazeta de la Regencia de las Españas n.º 84</t>
  </si>
  <si>
    <t>709</t>
  </si>
  <si>
    <t>ión ha merecido mi segundo el coronel Don Gabriel Lesenne, que la ceiiduxo á ia carga. Asimismo es señalada la conducta del comandante de coraceros , D. Juan González An’eo, del mayor Dewitte, del capitán Padilla, y del ayudante mayor Don Ramón María Ramírez ; este último fué herido muy gravemente. No debo omitir tampoco la b…</t>
  </si>
  <si>
    <t>An, Manuel</t>
  </si>
  <si>
    <t>Manuel An</t>
  </si>
  <si>
    <t>, 6. Id. D. Joté Villalobos, 12. El portaguión D. Silvestre Rodríguez, 25. El cadete. Don José María de las Muñecas, 4. Id. D. Santiago Burga, G. Id. D. Manuel An­ tonio Quiñones , 2. Id. D. José María Quiñones , 4. Los individuos de la dé­ cima compañía , 8. D. Tomas Ausejo , comandante militar de lea , 200. (Se continuará.)…</t>
  </si>
  <si>
    <t>Ana</t>
  </si>
  <si>
    <t>Gaceta de Madrid n.º 97</t>
  </si>
  <si>
    <t>se halla el gobierno ingles á compañía de bS. A A. los grandes duques Nicolás revocar las órdenes de¡ consc joa La declaración del y Miguel y la gran duquesa Ana. El ministro de gobierno francés h.i sido un acto solemne y obli­ Instrucción pública y U bibliotecario mayor bagatorio , y acreedor por lo tanto á que las otras Xar…</t>
  </si>
  <si>
    <t>Ana, Domingo Nacdin y Deña</t>
  </si>
  <si>
    <t>Domingo Nacdin y Deña Ana</t>
  </si>
  <si>
    <t>Gazeta de la Regencia de las Españas n.º 80</t>
  </si>
  <si>
    <t>ho el donativo de 200 rs. va. con destino aV alimento de los españoles que persiguen á los enemigos, y en obsequio de la buena memoria de sus padres D Domingo Nacdin y Deña Ana Del­ gado ; y ía Regencia del reyno ha mandado se le den gracias, anun­ ciándose en ia gaceta. - ■ijf-**— CADIZ : EN LA IMPRENTA REAL.</t>
  </si>
  <si>
    <t>Anaya, Santiago</t>
  </si>
  <si>
    <t>Santiago Anaya</t>
  </si>
  <si>
    <t>.................................... 2 200 F&gt;. Juan Zurro, id. en id............................... 2200 D. Ramón Perez Roldan, id. de Cartes... 2200 D. Santiago Anaya , diácono, id. en id...... 2200 D-Josef Al varez , id. de Hinojosa , pro- ’ D. Pedro G reí» González,.id. en id.......... 2200 vincÍ3 de Ciudad-Rodrigo........…</t>
  </si>
  <si>
    <t>Ancolia</t>
  </si>
  <si>
    <t>la vela al si­ la de supernumerario á D. Francisco Di^z Montes; guiente dia con dos barcos armados y 20 marine­ y para la de examinador de farmacia á D. Ancolia ros escogidos, y que marchase á Mataró. Al mis­ Herranz. mo tiempo mandó que 500 hombres de infantería Por otro decreto de la misma fecha se ha dig­ y un destacamento…</t>
  </si>
  <si>
    <t>Ancona, José</t>
  </si>
  <si>
    <t>José Ancona</t>
  </si>
  <si>
    <t>­ tallón de Castilla, íixo de Campeche, tenencia de fusileros á D. An­ tonio Cuatreras ; subtenencia de granaderos á D. Juan Mar-rufo, y de bandera á D. José Ancona. En el batallón veterano de Chiloe, compañía de granaderos á D. Francisco Arenas, y de fusileros á D. Juan José Huidobro ; ayudantía á D. Francisco Soriano ; tene…</t>
  </si>
  <si>
    <t>Andarlo, Melchor</t>
  </si>
  <si>
    <t>Melchor Andarlo</t>
  </si>
  <si>
    <t>de dragones deNumancia, D. Miguel Apciinario Fesnandez, capitán del regimiento de Cargas de Tineo, D. Miguel Valiejo, espitan del se­ gundo de Soria, D. Melchor Andarlo, tenients con gr&amp;do de espitan de! de Navarra, D. Francisco Amores, capitán del de Chinchilla, D. Jasé Masañes, capitán ccn grado de teniente coronel de las c…</t>
  </si>
  <si>
    <t>Anderos, Ramón</t>
  </si>
  <si>
    <t>Ramón Anderos</t>
  </si>
  <si>
    <t>10. D. Vicente Pastrana , 10. — Estudiantes de medicina. D. Mariano Campero, 17. D. Mariano Murga, 8. D. Norberto Ve­ ga , 4. D. Isidro Andrade , 4. D. Ramón Anderos, 4. D. José Pequeño , 4. D. Juan Fernandez, 2. D. José Gordilio , 2. D. José Cañizares, 2. D. Juan Melgar , 2. D. Lorenzo Vargas , 2. D. José Ramírez , 2. D. Jua…</t>
  </si>
  <si>
    <t>Anderson</t>
  </si>
  <si>
    <t>es, y el teniente coronel Iíervey del 14 de dragones ligeros , el teniente coronel Maclean del 27 y el mayor Archdall del 40 , el coronel Stubbs , el teniente coronel Anderson, que manda el 11, y el mayor de Acereda, que manda el re­ gimiento portugués núm. 23. „El enemigo no hizo otra tentativa contra nuestra izquierda ; per…</t>
  </si>
  <si>
    <t>Andrade, Isidro</t>
  </si>
  <si>
    <t>Isidro Andrade</t>
  </si>
  <si>
    <t>10. D. Manuel Moreno , 10. D. Vicente Pastrana , 10. — Estudiantes de medicina. D. Mariano Campero, 17. D. Mariano Murga, 8. D. Norberto Ve­ ga , 4. D. Isidro Andrade , 4. D. Ramón Anderos, 4. D. José Pequeño , 4. D. Juan Fernandez, 2. D. José Gordilio , 2. D. José Cañizares, 2. D. Juan Melgar , 2. D. Lorenzo Vargas , 2. D. J…</t>
  </si>
  <si>
    <t>Andrade, Luis</t>
  </si>
  <si>
    <t>Luis Andrade</t>
  </si>
  <si>
    <t>, ca-; pitan del regimiento provincial de dicha villa, 25. D. Ignacio Fernandez, ayudante del mismo regimiento, 25. D. Cipriano Laos , teniente , 25. D. Luis Andrade , administrador del ingenio de Huaura, 25. D. x\ntonio Manrique, cirujano, 25. D. Lorenzo Cepeda, guarda de la renta de alcabalas, 20. Don José Salvador , comand…</t>
  </si>
  <si>
    <t>Andrade, Pedro</t>
  </si>
  <si>
    <t>Pedro Andrade</t>
  </si>
  <si>
    <t>é Huidobro ; ayudantía á D. Francisco Soriano ; tenen­ cia de granaderos á D Francisco Xavier.Veiazquez, y de fusile­ ros á O. Antonio María Alvarez, D. Pedro Andrade, D. Antonio Yelazquez y D. José Yelazquez; subtenencia de granaderos á D. Mi­ guel Vaienza, y de fusileros á D. Francisco Xavier Vargas , D. Eusebio Teiíez , D.…</t>
  </si>
  <si>
    <t>Andrea, Manuel</t>
  </si>
  <si>
    <t>Manuel Andrea</t>
  </si>
  <si>
    <t>n los donativos del Perú, El juez ele aguas D. Juan Mena, 10 ps. fe. El secretario de cabildo T&gt;. celas Atiza, 12. Capitán D. Antonio Lafurt, 10. Id. D. Manuel Andrea, 10. Id. D. Juna José Ruiz, 4. Id. D. Manuel Talancha, 6. Teniente B Martin Arquiseña, G. Subteniente D. Alfonso Mejorada,. 100. TX José González, 12. D. Jo­ sé…</t>
  </si>
  <si>
    <t>Andreosi</t>
  </si>
  <si>
    <t>772 El general Andreosi salió á principios de mayo pira Coastanti* nopla, en calidad de embaxador extraordinario da Bonap&amp;rte. El conde Narbona, que había sido enviado á Wiina por Binaparte para abrir negociaciones con el emperador Alexandro, y no pudo conseguir</t>
  </si>
  <si>
    <t>una vez los periodistas de Cádiz. ;Quiénes.seTraunicfi, en la Bosnia, j$ de julio. » rán pues los traidores ? ¿Quiénes habrán vendido Sabemos qxe el conde Andreosi , embaxador de «su país? ¿Quiénes serán los verdaderos enemigos Francia en Constantinopla, llegó el 8 á Sarajevo, y «de hf patria, que les dio la naturaleza y el’s…</t>
  </si>
  <si>
    <t>Andrés</t>
  </si>
  <si>
    <t>reai. Sóbmitt ( D. Antonio ) , soldado de caballos lige­ TBATRO. ros de la goardia real. En el del Príncipe, d las siete de la npehe, se re* Sckener (D. Andrés) , soldado de ídem. presentará por la compañía española la comedia nueva Senel ( D. Antonio}., granadero del regimiento en prosa en tres actos titulada la Escuela de i…</t>
  </si>
  <si>
    <t>rrio D. Mariano Sánchez. BARRIO DE' LAS CALESAS. Diputado eclesiástico D. Andes Banitez. Alcalde■ dé-barrio Diputados seculares D. Agustín Pascual. ¡ D. Andrés ladeo Perez. Diputado -eclesiástico D. Francisco Rodríguez. D. Manuel de la Torre.. i D. Eugenio Aguado. Dipul ados seculares , y el último secretario Secretario inter…</t>
  </si>
  <si>
    <t>Andrés, Francisco</t>
  </si>
  <si>
    <t>Francisco Andrés</t>
  </si>
  <si>
    <t>................ 2200 en Madrid.......................... ........................ 2200 D. Joan Colosno, id..................................... 2200 D. Francisco Andrés, residente en Vicál- D. Juan Sánchez, id...................................... 2200 varo.......................... 2200 D. Juan de Ortega, id................…</t>
  </si>
  <si>
    <t>Andró</t>
  </si>
  <si>
    <t>Gaceta de Madrid n.º 83</t>
  </si>
  <si>
    <t>33</t>
  </si>
  <si>
    <t>x."de abril de 1812 mía política. El Mesperits Ó papel divertido ó ins­ acompañando los billetes de banco, que reciban el tructivo, publicado por el consejero Andró, cor­ total de estos billetes en billetes de amortización. responde bastante bien á su título. K¡ Conserva­ ,,Los que han entregado,sin haber presentado dor [Somm…</t>
  </si>
  <si>
    <t>Anduxar, Juan</t>
  </si>
  <si>
    <t>Juan Anduxar</t>
  </si>
  <si>
    <t>Gazeta de Madrid bajo el Gobierno de la Regencia n.º 23</t>
  </si>
  <si>
    <t>244</t>
  </si>
  <si>
    <t>las Carretas: su precio tres reales. Breve ¡dea de la masonería española, y refutación del primer discurso que pro­ nunció en la gran logia de Madrid D. Juan Anduxar. Se hallará en la librería de Ránz, calle de la Cruz, 4 dos reales. El Amigo de las leyes, papel periódico, que se publicará los martes y vier­ nes: número i.°: …</t>
  </si>
  <si>
    <t>Angelina, Francisco</t>
  </si>
  <si>
    <t>Francisco Angelina</t>
  </si>
  <si>
    <t>o, id. D. Luí- Bastillo, residente en Ecija.......... 2200 en Córdoba................. 1100 D. Antonio Fcioandez , íd........................... 2200 D. Francisco Angelina ", id...’......................... 22C0 D. Josef Angelina, id.......'............................ 2200 Ex-bernardoi. D. Francisco González , id............…</t>
  </si>
  <si>
    <t>Angelina, Josef</t>
  </si>
  <si>
    <t>Josef Angelina</t>
  </si>
  <si>
    <t>Córdoba................. 1100 D. Antonio Fcioandez , íd........................... 2200 D. Francisco Angelina ", id...’......................... 22C0 D. Josef Angelina, id.......'............................ 2200 Ex-bernardoi. D. Francisco González , id........................... 320a De Alberico Hortet, residente en Plañóles…</t>
  </si>
  <si>
    <t>Angepla</t>
  </si>
  <si>
    <t>Gaceta de Madrid n.º 129</t>
  </si>
  <si>
    <t>etr Andri- te tan atroz empresa , pues ha dexado mochos hom­ riópolis , y se está formando otro en Constántino- bres muertos por los legionarios. El capitán Angepla. La Piietti ha redoblado Su actividad en Jos lis , qtie ínándaba'estos últimos, mató á un ingles aróiamentóS marítimos desde la instalación del nue­ por su piropi…</t>
  </si>
  <si>
    <t>Angulo, Antonio</t>
  </si>
  <si>
    <t>Antonio Angulo</t>
  </si>
  <si>
    <t>Gaceta de Madrid n.º 153</t>
  </si>
  <si>
    <t>618</t>
  </si>
  <si>
    <t>andez y Fernandez sub­ chos escritores antiguos sobre los estragos horribles teniente. hechos por estos insectos ea ciertas épocas y paí­ En Arbolete D. Antonio Angulo teniente. ses. Quando están vivos talan los campos; no hai En Maracena D. Francisco Mirtinez teniente. yerba por donde pasen que no quede comida ó En Cuentar D…</t>
  </si>
  <si>
    <t>Angulo, Francisco</t>
  </si>
  <si>
    <t>Francisco Angulo</t>
  </si>
  <si>
    <t>Gaceta de Madrid n.º 46</t>
  </si>
  <si>
    <t>ji..... .......... J co en este particular en el tdrniiuo de un añp, que se Excmo. Sr. D. Gonzalo O Farrill,...... jeo ]&gt;a !ic.ido arriba. Excmo. Sr. D. Francisco Angulo......... 500 ‘o.° ,, Asi como aseguramos por las presentes 4 Excmo. Sr. duque de Saota-Fe............ . ypp todos nuestros fieles súbditos nuestra soberana p…</t>
  </si>
  <si>
    <t>Angulo, Josef María</t>
  </si>
  <si>
    <t>Josef María Angulo</t>
  </si>
  <si>
    <t>, D. Agustín Molina, D. Asensio Cabrera y Gonzá­ lez, D. Carlos María Godinez, D. Rafael Piñuela, y á los subtenientes gra­ duados D. Juan Díaz Pino, D. Josef María Angulo, D. Diego Padilla, Don Pedro la Llave, y D. Juan Gil de Montes: todos alumnos de la academia mi­ litar del quarto exército. Renovación de vales. Aunque por…</t>
  </si>
  <si>
    <t>Angulo, Miguel</t>
  </si>
  <si>
    <t>Miguel Angulo</t>
  </si>
  <si>
    <t>Torres... • • 1 'Coronel. . . D. Francisco Heno............. • • 1 Sarg. mayor / el coronel. D. Manuel Bayena............. • 1 Cádiz. 1 j Teniente. . D. Miguel Angulo....... • ■ Subteniente D. Hipólito Salgúese?.... • • 1 0 ^Ofcro .... D. José Fernandez...... • • 1 ¡ C Primer cap. D. Luis Huerga........ 1 • • ■\ | ídem. . . .…</t>
  </si>
  <si>
    <t>Angulo, Nicolás</t>
  </si>
  <si>
    <t>Nicolás Angulo</t>
  </si>
  <si>
    <t>ncisco Ufarte, 10.— Los sargentos , cabos y dragones voluntarios de dicho cuerpo , 1023. El pro­ curador D. Manuel de Aguirre,(i. D. José Correa, 30, D. Nicolás Angulo, 25. D. Juan Madriñan, 30. D. Manuel Ignacio Aguirre, 10 D. Francisco Ortias , 20. D. Miguel Guerrero , 10. D. Pedro Díaz, 25 D. Juan Bautista Sán­ chez, 6. Ju…</t>
  </si>
  <si>
    <t>Anmategui, Isabel</t>
  </si>
  <si>
    <t>Isabel Anmategui</t>
  </si>
  <si>
    <t>Lorenzo Berro* cal, procurador de la real audiencia, 12.— Individuos de mar. El capitán de fragata de la real armada D. Joaquín Asunsolo y su esposa Doña Isabel Anmategui, 200. E! capitán de la lancha cañonera Justicia , 25. Su tripulación, 14. El capitán déla lancha cañonera Fortaleza, 25. Su tripulación, 10. El capitán de l…</t>
  </si>
  <si>
    <t>Ansaldo, Antonio</t>
  </si>
  <si>
    <t>Antonio Ansaldo</t>
  </si>
  <si>
    <t>sé Uiloa,D Francisco Acosta, D. Justo Clemente, D. José Sánchez, D. Eustaquio Hidalgo, D. Basilio Aguado, D. Tomas Aparicio, Don Fernando Villanueva, D. Antonio Ansaldo , D. Sebastian de Moya, D. Antonio María Portaz, D. Antonio Moreno, D. Andrés Rodrí­ guez, D. José Martínez, D. José Muñoz Silleros, D. Agustín Moli­ na, IX A…</t>
  </si>
  <si>
    <t>Ulloa, D. Francisco Acosta, D. Justo Clemente, D. Josef Sánchez, D. Eustaquio Hidalgo, D. Basilio Aguado, D. Tomas Aparicio, D, Fernando Villanueva, D. Antonio Ansaldo, D. Sebastian de Moya, D. Antonio Ma­ ría Portaz, D. Antonio Moreno, D. Andrés Rodríguez, D. Josef Martínez, D. Josef Muñoz Silleros, D. Agustín Molina, D. Ase…</t>
  </si>
  <si>
    <t>AnsenaJc</t>
  </si>
  <si>
    <t>Gazeta de la Regencia de las Españas n.º 171</t>
  </si>
  <si>
    <t>1406</t>
  </si>
  <si>
    <t>adonde vm. se obstina de hacer resistencia; le doy á vm. una hora para decidirse ; espero vuestra respuesta; tiemble vm., si es negativa.— El gen:ral barón AnsenaJc.-—Alba de Tórmes 19 de Noviembre de ISIS.” Contestación. „Sr. general i déxese vm. de contestaciones, y haga su deber, que yo haré el mió : muchos prisioneros , á…</t>
  </si>
  <si>
    <t>Anson</t>
  </si>
  <si>
    <t>Gazeta de la Regencia de las Españas n.º 52 (suplemento)</t>
  </si>
  <si>
    <t>437</t>
  </si>
  <si>
    <t>cia de qwe la caballería del general Drouet, en fuerza de 2500 hombres, estaba acariñada entre Usagre y este pueblo, dispuse que la brigada del mayor general Anson, mandada por el teniente coronel Pomonby, y la defmayor general Le-Marchant, se adelantasen en el discurso de la noche des­ de Villatranca y los Santos, midiendo d…</t>
  </si>
  <si>
    <t>433</t>
  </si>
  <si>
    <t>iz éxito; y el enemigo, acometido á un tiempo por frente y £anco, se retiró en la mayor confusión y desorden. Yo le perseguí con la brigada del mayor general Anson y un regimiento de la del mayor general LeMarchant , que era el quinto de dragones de la guardia, sostenido por ei tercero y cuarto de dragones, hasta cerca de Lle…</t>
  </si>
  <si>
    <t>eneral Alien á los fugitivos, les hizo 240 prisioneros. „En estos dias se distinguieron el teniente general Colé , el ma­ yor general Alten, el mayor general Anson, el teniente coronel Arentschiklt del cuarto de húsares, y el teniente coronel Iíervey del 14 de dragones ligeros , el teniente coronel Maclean del 27 y el mayor A…</t>
  </si>
  <si>
    <t>83</t>
  </si>
  <si>
    <t>l Hiude, al honorable coronel Guillermo Ponsonby, que mandó la brigada del mayor general Le-Marchant des­ pués de la muerte de este oficial, al mayor general Anson , que man­ dó una brigada de la cuarta división, al mayor general Pringle, que mandaba una brigada de la quinta división , y la división toda des­ pués que fué her…</t>
  </si>
  <si>
    <t>división ligera , la brigada portuguesa de la quarta división, al mando del coronel Stubbs, que se había rehecho , y la brigada mandada por el mayor general Anson, perteneciente también á la quarta división, envolviesen el ala derecha del exército enemigo, mientras que la sexta división, sostenida por la tercera y quinta, ata…</t>
  </si>
  <si>
    <t>1075</t>
  </si>
  <si>
    <t>che estaba en Alccy, y ei general 0*Doi¿neÜ en Yeela. "Lar tropas enemigas de Valladolid hicieron retroceder, e! 18, en Tudela los piquetes del mayor general Anson; sin embargo ios mantiene aun este general en la izquierda del Duero. ,,Ei enemigo movió un cuerpo de trepas de las inmediaciones de Vall&amp;dolid, que se corapoaia d…</t>
  </si>
  <si>
    <t>Ansoñ</t>
  </si>
  <si>
    <t>ra retaguardia consistía en dos batallones ligeros de la legión alemana del rey al mando del coronel Haíkett, y de la brigada de caballería del mayor general Ansoñ , habiendo hecho alto en la venta del Pozo una brigada de caballería del mayor general Bocks para protegerla; todo a! mando del teniente general Sir Stapelc-ton Co…</t>
  </si>
  <si>
    <t>Anson, Guillermo</t>
  </si>
  <si>
    <t>Guillermo Anson</t>
  </si>
  <si>
    <t>832</t>
  </si>
  <si>
    <t>iones primera y ligera1 y la brigada por- ; tuguesa del coronel Stubbs, de la quarta división, que se habia vuel­ to á formar, y la brigada del mayor general Guillermo Anson, tam­ bién de la cuarta división, sostenidas por la tercera y quinta, envol­ viesen la dereciia enemiga, mientras la sexta división la atacaba por el fre…</t>
  </si>
  <si>
    <t>Anson, Jorge</t>
  </si>
  <si>
    <t>Jorge Anson</t>
  </si>
  <si>
    <t>as divisiones de caballería é infantería de sus respectivos mandos: al mayor general Hulse , que mandaba una brigada en la sex­ ta división, al mayor general Jorge Anson , que mandaba una brigada de caballería, al coronel Hiude, al honorable coronel Guillermo Ponsonby, que mandó la brigada del mayor general Le-Marchant des­ p…</t>
  </si>
  <si>
    <t>Ansten</t>
  </si>
  <si>
    <t>Gaceta de Madrid n.º 33</t>
  </si>
  <si>
    <t>ambién corno Grattan dió las gracias en un discurso sucinto y la de la Gran Bretaña.” mui elocuente , en el que vino á decir que ia abo­ El reverendo doctor Ansten habló después á la lición de los reglamentos que imposibilitaban á asamblea en iguales términos. ciertos ciudadanos de obtener los empleos civiles y Se bebió suces…</t>
  </si>
  <si>
    <t>Anster</t>
  </si>
  <si>
    <t>tólicos. En la cámara haKavaonagh, Lidwile, Wogan, Browne, Burne, xa del parlamento nuestras ideas y nuestras accio­ Driscoll, Burrowes, el reverendo doctor Anster, nes han sido unas mismas; y mientras que i:.,y.¡ en los doctores Moody y Wells, Mattew, Russels, mí alguna facultad moral, mis esfuerzos en quMPíewry Scc. quier s…</t>
  </si>
  <si>
    <t>Antentas</t>
  </si>
  <si>
    <t>Gazeta de la Regencia de las Españas n.º 95</t>
  </si>
  <si>
    <t>792</t>
  </si>
  <si>
    <t>unto á la ermita de S. Pedro con las com­ pañías de zapadores y artillería, y otra de Numantinos, que queda­ ron de reserva. „T )do así dispuesto, el coronel Antentas se dirigió al arrabal, ahuyentó ia guardia enemiga, que se metió en el fuerte, y se esta­ bleció en las casas, desde donde incomodaba con su fuego á los arti­ l…</t>
  </si>
  <si>
    <t>Anteparaluceta, Francisco Garci</t>
  </si>
  <si>
    <t>Francisco Garci Anteparaluceta</t>
  </si>
  <si>
    <t>Gaceta de Madrid n.º 135</t>
  </si>
  <si>
    <t>47</t>
  </si>
  <si>
    <t>LES. Juan Manuel Ruiz de Erenchun , presbítero, para el del lugar de Berricano, en la provincia de Ála­ Ndyoles 7 de abril. va, vacante por moerte de D. Francisco Garci Anteparaluceta : al ex franciscano D. Vicente IbaLa población del reino de Ñipóles va aumen­ ñez para el de la villa de Armiñon, en la misma tándose todos los…</t>
  </si>
  <si>
    <t>Anto</t>
  </si>
  <si>
    <t>tenencia de granaderos á D. José: González; de fusileros á D. José Ramón Moreno, D. José Benito Mendez, D. José García Cárdenas, D. Antonio Quintana, D. Anto­ nio Villegas, D. Pedro Perez Uriondov D. José Guerra y D. José María Celada; y de bandera á D. Juan López y D. José Benito Azcuénaga. En la compañía de infantería de vo…</t>
  </si>
  <si>
    <t>. ...................... 27000 bre su marido D. Miguel Fermín D. Fernando 'Fout y González , por de Esparza, por mano de su apo­ sí, y como marido de Doña Anto­ derado D. Luis de Elizalde........... 33300 nia Salcedo................... 6210 D. Luis Elizalde........................... ........ 90000 Los reales hospitales civil…</t>
  </si>
  <si>
    <t>tado. — Joaquín de Mosquera y Figueroa,—Juan Villavlcencio.— Ignacio Rodríguez de Rivas. — El conde del Abhbal. — En Cádiz á 80 de junio de 1812. — A D. Anto­ nio Cano Manuel. E ¿tracto de un parte del mariscal de campo D. José Duran al ge* fe del estado mayor general. Burgo de Osma 19 de junio de 1812.—,, Después de la exped…</t>
  </si>
  <si>
    <t>Gazeta de la Regencia de las Españas n.º 97</t>
  </si>
  <si>
    <t>806</t>
  </si>
  <si>
    <t>do. — Joaquin de Mosquera y Pigueroa —Juan Villavicencio. — Ignacio Rodríguez de Rivas. — El conde del Abisbal. — En Cádiz á 11 de julio de 1812. — A D. Anto­ nio Cano Manuel. CADIZ : EN LA IMPRENTA REAL.</t>
  </si>
  <si>
    <t>Anto, Pedro</t>
  </si>
  <si>
    <t>Pedro Anto</t>
  </si>
  <si>
    <t>uela de Robles............ 54* *7 D. Benito Sánchez Navarro......... IÍJJO La compañía de la Buena Fe, y D, Gerónimo Iglesias, por medio en »u nombre D. Pedro Anto- ' de sn apoderado D. Juan Saenz oio Senosiain................ 4963 2}|</t>
  </si>
  <si>
    <t>Antolin</t>
  </si>
  <si>
    <t>Gazeta de la Regencia de las Españas n.º 155</t>
  </si>
  <si>
    <t>1273</t>
  </si>
  <si>
    <t>e k&gt;* municipa­ les D Ju ati Antonio Pico , IX Genaro Faustino Rincón , D. Lorenzo früegas , D. Diego Barredayid José Ocharán y O. Manuel'de la Veñá, D. Antolin .M un arria y D. Pedro Pimtiós, todos baxo la preBideuciá del expresado D. Pedro Sáinz de; Baranda. Por acuerdo dél rtíisirto ayuntamiéiUG s#e ,dirigió a; los habitan…</t>
  </si>
  <si>
    <t>Antón, Arltonio</t>
  </si>
  <si>
    <t>Arltonio Antón</t>
  </si>
  <si>
    <t>581</t>
  </si>
  <si>
    <t>ntarios de Burgos , a las órdenes de su sargento mayor D. Gaspar Blanco, atacasen por la derecha,, mientras que otras 2 del mismo regimientoá las del capitán Arltonio Antón, avanzaban per la izquierda con el obj: to de cortar su: caballería, qvif* ya apuntaba desentenderse de la crítica situación de la infantería. Unas y otra…</t>
  </si>
  <si>
    <t>Antón, Juan</t>
  </si>
  <si>
    <t>Juan Antón</t>
  </si>
  <si>
    <t>42</t>
  </si>
  <si>
    <t>l , 25. D. Francisco Xavier de Arias , 25. D. Dionisio Mesedua , 25. D. Manuel Salcedo , 12. D. Juan de la Cruz Mesa, 12. D. Melchor Mal partida, 25. D. Juan Antón o Gaona, cu­ ra de Carhuamayo , 100. D. Mariano Avellaneda, cura de Yanahuanca, 100. Fr. José Contreras , cura de Tarma, por sí y su clerecía, 169. D. Manuel Corba…</t>
  </si>
  <si>
    <t>Antón, Tomas López</t>
  </si>
  <si>
    <t>Tomas López Antón</t>
  </si>
  <si>
    <t>Gaceta de Madrid n.º 176</t>
  </si>
  <si>
    <t>en la cabeza; pero Feret tuvo bastante fuerza pa­ D. Manuel María Bueno...................... 1904 *8 ra poder escapar de manos de su asesino, y para D. Tomas López Antón...................... 2131 5 pedir socorro á los vecinos , quienes acudieron in­ D. Miguel María Gortázar................... *99° 2 mediatamente á sus voces…</t>
  </si>
  <si>
    <t>Antonio</t>
  </si>
  <si>
    <t>Ambos se esca­ dispoesta á responder al tenor de lo que fuese pre­ paron de Madrid , y se presentaron en Sevilla. No se haría mención del difunto, si D. Antonio, en una caita guntada. Tal era el estado de esta causa quando que ha dirigido al Redactor general en 19 de noviem­ foe visitada ; y con relación ¿i ella hacia present…</t>
  </si>
  <si>
    <t>ef), alcalde de corte. Hervás (D. Juan Pablo), maestro de ceremoniasr Charpenay (D. Cárlos), capitaa de tiradores de de.S.M. la guardia real. ÍÍOcés (D. Antonio)', capitán de artillería. Charricu (D. Juan Bautista), granadero de la Inganni (D. Franciico), subteniente del regimienv guardia real. ' "tó Real Extraugiro; Chauved …</t>
  </si>
  <si>
    <t>rimero del una casa decampo llamada el Santo. Toda la quanúm. 4.0 de cazadores í caballo. drilla ha sido cogida , igualmente que los pliegos Romano ( D. Antonio), subteniente del regimien­ dos sombreros qoe este gefe llevaba á Morillo, to tiúm. 3.® de cazadores á caballo. a habido varios hombres y caballos moe» tos Je Sánchez…</t>
  </si>
  <si>
    <t>Gazeta de la Regencia de las Españas n.º 53</t>
  </si>
  <si>
    <t>iel Gómez , por sí y su hijo D. José María, 100. Don José Donaires , G. D. Francisco Boladeras, 12. D. José González , G. D. Fran­ cisco Hurtado , 6. D. Antonio Le goma , por sí y su padre D. Juan , 50. Don Ignacio Odria , 6. D. Manuel Arana y Campomanes , 5. Doña María Soto, 2. D. .Mariano Vicuña, G. D. Lázaro Rubianes , 6. …</t>
  </si>
  <si>
    <t>el z.pato malo malo, ... D, josef Oíiver, D. Joaquín Jurado, D. Josef más vale en el pie qné no en la mano; y ú'tiimMaría Guerra, b. Nicolás Rubira, D. Antonio- tnente, que ¡i el cántaro da en la piedra , ó la pie­ Gutiérrez, D. Agustín Fernandez Estébanez, Don dra da en el cántaro, el mal es siempre, para el Manuel Gadea , b…</t>
  </si>
  <si>
    <t>* fiesta lo mucho que ha contribuido á esta brillan­ to núm. i.° de cazadores á caballo. te acción la bizarría y talentos militares del ma­ Seorsini (D. Antonio), subteniente de tiradores yor D. Dionisio Bourbaky, bien completamente del regimiento Real Extrangero. ayudado por el denuedo con que se han bitido Vankouten ( D. Jo…</t>
  </si>
  <si>
    <t>D. Márcos Guerra, lego, id. en Alcalá.... non, D. Josef Lechuga , id............. 2200 D. Diego Guerrero, id. eo la Guardia...... 2200 Bx-dominicos. D. Antonio.Guerrero, id. en Cambil........ 2200 D. Isidro del Saz, residente en Madrid..... 2200 D. Josef de Luna , id. en Jaén.................... 2200 D. Juan Ramón López Berme…</t>
  </si>
  <si>
    <t>7 39 proponía. Mire vmd. señora Justa, la decia esta, D. Jos.f María Calonge, por me­ yo no quiero el espejo, guárdelo vmd., y buen dio de su hermano D. Antonio provecho Je haga; pero no se lo ha de Tender á María.............. .............. ........... 8710 JO Marina , pues no me acomoda, ni me tiene cuenta, D. Hipólito de …</t>
  </si>
  <si>
    <t>r en enco­ de 18x2. mienda el beneficio de la parroquia de S. Pedro d« Dou Jjosef Napoleón por ia gracia de Dios Avila, que vacó por fallecimiento de D. Antonio: y por la constitución del estado, REI de las Es- Ferrando. • j panas y de las Indias. Y ai ex- Cayetano D. Femando Carrasco, pres- j Hemos decretado y decretamos lo …</t>
  </si>
  <si>
    <t>Gaceta de Madrid n.º 180</t>
  </si>
  <si>
    <t>una conversación de D. Francisco Miranda; a! capitán primero que privada , y á palabras sacadas fraudulentamente á fue del real cuerpo de artillería D. Antonio de la sombra de la amistad en la mas secreta confian­ Tejada y Otalora capitán primero del real cuer­ za? Las carnes le tiemblan á qualquiera quando po de ingenieros; …</t>
  </si>
  <si>
    <t>Gaceta de Madrid n.º 186</t>
  </si>
  <si>
    <t>quintos esfuerzos je. htcieron para arrimarle á la costa , no pudo conse­ Diálogo. guirse; al cabo de ? horas de fatiga la tripulación D. Saturnino. D. Antonio. tuvo que abandonar el brick , el qual se, fye ¿ pique aquella misma noche» , D. A. ¡Oj ssíñor D S rurninol ¿Cómo va? Amsterdan /a de mayo. ' . D. S. Parí servir á vmd…</t>
  </si>
  <si>
    <t>.... * » , O ro ««.»• D José CatbaHc.c... .. , ? 9 . Otro ..... D. Matías (garrote...... 1 v_Síibtemente D. Juan Nuncí/...«;(. . • t 1 í Tea lente .. D. Antonio (jóme*.. .., I CABALr.. ?r(?T!A Alférez . .. D. Luis del pasíiilo, • « deMadT,i\oírof.... D. Juan S atroz... • .&gt; ‘r. 1 1 U(ñique.. Teniente . . D. Jose JEsaobar*....…</t>
  </si>
  <si>
    <t>Gaceta de Madrid n.º 204</t>
  </si>
  <si>
    <t>Para la caballería. Pellicer (D. Antonio), hacendado. Oasaca corta de paño axul turquí abrochada Saochez (D. Carlos), cazador de montaña de por delante -hasta la cintura, coa cuello , vuelta y Avila. •vivos amarillos. 'Tamarit (D.</t>
  </si>
  <si>
    <t>Gazeta de la Regencia de las Españas n.º 125</t>
  </si>
  <si>
    <t>1024</t>
  </si>
  <si>
    <t>viso. H abiendo frile oido en el lugar de Sierraquemada , pro­ vincia de Soria, D. Ambrosio Martínez dri Olmo, y no sabiéndose el paradero de su hija D. Antonio , cue á ia entrada da los enemi­ gas abandonó el país, los legítimos heredero* de crie lo avisan al público, para que los que sepan de él se si van avisarlo á D. Ma­ …</t>
  </si>
  <si>
    <t>es , y de 90 á 100 soldados muerto* v da 300 á 4C0 heridos : no negaré tampoco mi pérdida : el snbíenísnte de la segunda compañía del tercer batallón D. Antonio ¿aenz ha sido muerto, y lo han sido igualmente 2 sargentea y 6 acidados coa 40 heridos. Así escarmentado Abbé y sus satélites aprenderán á respe­ tar el nombre navarr…</t>
  </si>
  <si>
    <t>uel Guio, D. Juan Utrero , D. Benigno Merchau, D. Víctor Casasola , D. Pascual del Rey , D. Miguel Parrales, D. Francisco Ay uso, D. Miguel González, D. Antonio (González, D. Angel Liare, D. José Uiloa,D Francisco Acosta, D. Justo Clemente, D. José Sánchez, D. Eustaquio Hidalgo, D. Basilio Aguado, D. Tomas Aparicio, Don Ferna…</t>
  </si>
  <si>
    <t>1233</t>
  </si>
  <si>
    <t>algunas municiones. Todos los oficiales y soldados se portaron con mucho va’or y pe­ ricia, y merecen un particular aprecio los tenientes D Jo.Roca y D. Antonio .Fuentes ,'del real cuerpo de artillera, y la compon-a de D Rafael Senderos y de D. Juan Collados, del lixo dtr México; la caballería del capitán D. Cárlos Cepeda, la…</t>
  </si>
  <si>
    <t>1268</t>
  </si>
  <si>
    <t>a de Franciscos descalzos de aquella ciu­ dad ; del arzobispo de Laodicea , residente en ella; del gefe y de­ pendientes de la secretaría del infante D. Antonio ; del gefe é indi­ viduos del ministerio de marina del Ferrol; del intendente y subde­ legado en comisión del reyno de Valencia D. José Canga Argüelles y de todos los…</t>
  </si>
  <si>
    <t>Antonio'A</t>
  </si>
  <si>
    <t>1085</t>
  </si>
  <si>
    <t>bra con su benevolencia. T mpo puedo dexar de xeoomemb:-r. á V. JE. al capitán graduado de íepiente ccronel D. Artenio María Poitat y al subieniente D. Antonio'A nesjo, émbos ayudantes mies, qae culi plieron exá: teniente can sus deberes, llevando mis órdenes á ia línea de batalla con ls mayer prontitud en lo» puertos de mayo…</t>
  </si>
  <si>
    <t>Antonio, Francisco</t>
  </si>
  <si>
    <t>Francisco Antonio</t>
  </si>
  <si>
    <t>uinto batallón-de la-milicia cí­ Pedro Roos, dio 4 luz el 27 de .marzo tres hijos vica de esta capital mui bien conformados , y de un tamaño regular. D. Francisco Antonio ele- las Rivas, teniente, Ijos-niños gozan de perfecta salud, y la madre á ayudante segundo, «n larvacante de D. Sebastian cria i los tres. Tiene 33 años, y…</t>
  </si>
  <si>
    <t>Antonio, Josef</t>
  </si>
  <si>
    <t>Josef Antonio</t>
  </si>
  <si>
    <t>Gaceta de Madrid n.º 53</t>
  </si>
  <si>
    <t>600</t>
  </si>
  <si>
    <t>ue para conseguirlo está juntando un capital de los beiK-ticios que se expresan a los siguientes : 10 millones de duros. ,,Pero esta providencia, di­ D. Josef Antonio dejado, presbítero y exce el autor de la carta, obligará á las otras cas .s capuchino, el beneficio de la villa de Virtuosa, de giio á reducir sus descuentos ; …</t>
  </si>
  <si>
    <t>i&gt; Hería. GRAN DUCADO DE MECICLEMBURGO. Aulagnier (D. Juan), cabo del regimiento de ti­ radores dé la gnardia real. Schwtrin 12 de febrero. Azcarate (D. Josef Antonio) , «éntralo* de bienes S. A. R. U princesa herédela dió ayer feliz­ nacionale* eo León. , . ..</t>
  </si>
  <si>
    <t>Antonio, Juan</t>
  </si>
  <si>
    <t>Juan Antonio</t>
  </si>
  <si>
    <t>ónigo de esta Sta. iglesia, 1000. D. Tomas Querejazu, 500. Doña Rosa Catalina Vázquez de Velasco , 500. Doña Constanza de la Puente y Querejazu, 500. D. Juan Antonio 4ndueza, cura de Yangai, 100. El cirujano Miguel Galarza , 10. El colegio seminario de Sto. Toribio.de esta ciudad, 500. D. Vicente Arnao , cura de la doctrina d…</t>
  </si>
  <si>
    <t>Xímeoo Navas ( D. Francisco), ministro del trila guardia real. bnnal de contaduría mayor. Petit ( D. Pedro Francisco), capitán de tiradores Zamácola (D. Juan Antonio), comisario de Poli­ de la guardia real. cía de Madrid. ‘ Piedra (D, Manuel de la), secretario geoeral de AR.T. 11. Nuestros gran canciller y gran teso­ la provi…</t>
  </si>
  <si>
    <t>Aogel</t>
  </si>
  <si>
    <t>el cortiente S. M. se ha teniente , á capitán ;, D. Lamber*. Dupoot, subte-, setvído promover al comandante de batallón dé in­ niente , á tenieate, y D. Aogel. Brida, sargenta; fantería D. Francisco Xavier de Gorostiza á coro- primero , á subteniente. Extracto de las minutas de la secretaría de Estado. En nuestro palacio de M…</t>
  </si>
  <si>
    <t>Aparicio, Tomas</t>
  </si>
  <si>
    <t>Tomas Aparicio</t>
  </si>
  <si>
    <t>D. Antonio (González, D. Angel Liare, D. José Uiloa,D Francisco Acosta, D. Justo Clemente, D. José Sánchez, D. Eustaquio Hidalgo, D. Basilio Aguado, D. Tomas Aparicio, Don Fernando Villanueva, D. Antonio Ansaldo , D. Sebastian de Moya, D. Antonio María Portaz, D. Antonio Moreno, D. Andrés Rodrí­ guez, D. José Martínez, D. Jos…</t>
  </si>
  <si>
    <t>Antonio González, D. Angel Llave, D. Josef Ulloa, D. Francisco Acosta, D. Justo Clemente, D. Josef Sánchez, D. Eustaquio Hidalgo, D. Basilio Aguado, D. Tomas Aparicio, D, Fernando Villanueva, D. Antonio Ansaldo, D. Sebastian de Moya, D. Antonio Ma­ ría Portaz, D. Antonio Moreno, D. Andrés Rodríguez, D. Josef Martínez, D. Jose…</t>
  </si>
  <si>
    <t>Apellar, Manuel</t>
  </si>
  <si>
    <t>Manuel Apellar</t>
  </si>
  <si>
    <t>Gazeta de la Regencia de las Españas n.º 58</t>
  </si>
  <si>
    <t>«.a pa­ pel sedicioso, firmado: JLcs americanos de S. Salvador : en el que dicen que por haberse sabido en aquella ciudad la prisión ¿ei pres­ bítero D. Manuel Apellar, y el emplazamiento de su hermano D. Ni­ colás, uno de los curas de aquella iglesia, baldan conocido que las vexaeiones no se acababan , que ora menester sacud…</t>
  </si>
  <si>
    <t>Apestegui, Juan Ventura</t>
  </si>
  <si>
    <t>Juan Ventura Apestegui</t>
  </si>
  <si>
    <t>Gaceta de Madrid n.º 20</t>
  </si>
  <si>
    <t>ueblo, siempre que haya honradez y cons­ D.......... Urruela.................................. 72.-32 tancia para hacer el bien. Asi lo ha reconocido D. Juan Ventura Apestegui........ 20 S. M., y ha dado la señal mas evidente de su sa­ D. Manuel Gutiérrez.......................... 80 tisfacción , habiendo concedido á la munic…</t>
  </si>
  <si>
    <t>Apo, R-lícl</t>
  </si>
  <si>
    <t>R-lícl Apo</t>
  </si>
  <si>
    <t>.......................... 2200 D. Antonio Navarro, ..subdiácono , id......... 2 2 00 D Josef Cantarero , id.................................... 2200 D. R-lícl Apo!inario Fernandez , id........... 2 200 D JosefcD Flores , id................... ................. 2200 D. F rancisco García , diácono, id................. 2200 D. …</t>
  </si>
  <si>
    <t>Apolínario, Frmciscr</t>
  </si>
  <si>
    <t>Frmciscr Apolínario</t>
  </si>
  <si>
    <t>............................... 2 200 Tres tomos en octavo mayor, con una estampa fina al frente del tomo J : este y el 11 .se venden en la lib.'ería D. Frmciscr» Apolínario, id........................... 220® de la viuda de Quiroga, calle de las Carretas, á lóis. D. Juan de Dios Montero, id................... . 2200 cada uno…</t>
  </si>
  <si>
    <t>Apolínario, Mariano</t>
  </si>
  <si>
    <t>Mariano Apolínario</t>
  </si>
  <si>
    <t>rasco, id............. 2200 do = Firmado — Mariano Luis de Urqaijo.” Ese trinitarios calzados. JD. Martin Serrano, residente en Córdoba.. 2200 IIBRO. D Mariano Apolínario, id............................. 2200 D. Juan de Feria , id....................................... . 2 2- o La Moral universal , ó los deberes del hombre, D…</t>
  </si>
  <si>
    <t>Apolinarío, Miguel</t>
  </si>
  <si>
    <t>Miguel Apolinarío</t>
  </si>
  <si>
    <t>• 1 • Sarg. imyf&gt;r RarhisfrU Capitan&gt; aSre&amp;a:1°g#o• D. F;ancisco Venosa.......... • 1 • í) aro asir D. Cristóbal Linares.......... ♦ • 1 Ajad. l.° . D. Miguel Apolinarío... • 0 • 1 Subteniente O Ramón Ocorio....... • • 1 Cid. aband. O. Rodrigo Perez Pones.. 0 1 • . Cadets . . . D. Agustín Perez Ponce... • 1 • LO tro..........…</t>
  </si>
  <si>
    <t>Aponte, Narciso</t>
  </si>
  <si>
    <t>Narciso Aponte</t>
  </si>
  <si>
    <t>. José Manuel Herróse, 10. D. Damian Jáuregui, 10. D. Juan Bustamante , 10. D. Agustín Fernandez, 10. D. Francisco Ilervoso , 6. D. Simón Hurtado, 6. D. Narciso Aponte , 6. D. Juan José Herdoyza, 4. D. Andrés Orive , 4. D. J*sé Alien , 4. D. Juan Laisequilla , 4. D. Pedro Delgado Alférez., 6. D. Florencio López , 2. D. Antoni…</t>
  </si>
  <si>
    <t>Ar, Cayetano</t>
  </si>
  <si>
    <t>Cayetano Ar</t>
  </si>
  <si>
    <t>nospi , 10O. El alcalde provisional D. Pedro Antonio Echegolien , coronel , 100. El regi­ dor decano D. José Vidurrisaga , teniente coronel , 50. Id. D. Cayetano Ar­ rima , 50. id. D. Juan Antonio Navarro , 10. Id. D. Juan José Crespo y Cas» tillo, 10. (Se continuará.) J"U I &gt; '!'!■ V rr-*.... . u.i .. . —1 • ■ , ...Al / &gt;., …</t>
  </si>
  <si>
    <t>Aramburu, Juan</t>
  </si>
  <si>
    <t>Juan Aramburu</t>
  </si>
  <si>
    <t>. Juan Fuente, 8. El contramaes­ tre y tripulación de dicho buque , 20. El capitán de la fragata Cibeles, Don Juan Benito de la Llosa, 10. Su maestre D. Juan Aramburu, 10. El tercer pi­ loto D. Antonio Sarria, y el contramaestre Miguel Olaquivel, 12. El resto de la tripulación de dicho buque, 28 y 4, D. Juan Elorza, cirujano …</t>
  </si>
  <si>
    <t>Aramburu, Lorenzo</t>
  </si>
  <si>
    <t>Lorenzo Aramburu</t>
  </si>
  <si>
    <t>d y la Carmen de Ostolaza , 12. La tripulación del corsario Flecha, 18. D. Joaquín Millet, capitán de la fragata corsaria Cantabria , 20. Su contador D. Lorenzo Aramburu, 10. Su tercer piloto D. Juan Malarin, 4. El contramestre y de­ más tripulación del buque , 18 y 4. D. Sebastian Malarin , cura de Yungay, 50. D. Esteban Are…</t>
  </si>
  <si>
    <t>Arana, José</t>
  </si>
  <si>
    <t>José Arana</t>
  </si>
  <si>
    <t>6. D. Lino Figueroa , 2. D. Tomas Collas, 2. D. Domingo Sánchez , 6. D. Feliciano Eche­ varría , 2. D. Calixto López , 2. D. Gaspar de Castilla , 6. D. José Arana , 2. D. Benito Lacea, 2. D. Jorge Gadea, 6. D. Manuel Bergara, 2. — Regi~ miento de milicias de Ferreñafe. El coronel D. Juan Romualdo de Vidaurre y de la Parra, 10…</t>
  </si>
  <si>
    <t>Arancivia, Mumu</t>
  </si>
  <si>
    <t>Mumu Arancivia</t>
  </si>
  <si>
    <t>. D. Martin Tadeo Lope-. 4. 1). 'ÍV.deo Miranda, 4. D. Lucas Fg' avil ,1. f). Mi­ guel de la O, 4. D. \í ría o Martínez, 2. D. Manuel de la Rocha ,-2 D. Mumu 1 Arancivia , 2. D. M t o Tapia, 2. D. Felipe Saenz , 2. D. Fedto Bernuy, 2. D. Agustín Vaides, 2. D. liste van Avila , 2. D. Francisco Villegas , 1. El Sr. virey D. Fer…</t>
  </si>
  <si>
    <t>Aranda, Josef</t>
  </si>
  <si>
    <t>Josef Aranda</t>
  </si>
  <si>
    <t>Gaceta de Madrid n.º 86</t>
  </si>
  <si>
    <t>beneficio patrimonial servidero de la franciseaao descalzo, sacristán de la de Ragol. ciudad de A luma, vacante por muerte de Don Para esta resulta á D. Josef Aranda , cx-doJuan de Morales y Ribas, al ex-carmelita calza­ minico. do D. Juan de Prados. Para la deHuecijt,su último poseedor D. Ma­ Para el u.ain de Alcázar, vacant…</t>
  </si>
  <si>
    <t>Aranda, Pedro</t>
  </si>
  <si>
    <t>Pedro Aranda</t>
  </si>
  <si>
    <t>rs, Carlos López , 4 rs. Manuela López , 4 rs. D. Rafael Fuentes , 4 rs, Faustino Becerra , 2. Toribio N. , 4 rs. 1), Antonio Tena, 1. José López, 1. D. Pedro Aranda, 6. Va» r i os individuos , 13 v 7 rs. Juan Delgado , 4 rs. Hermenegildo Tomoche, 4 rs. V Ícente Tallo , 1. Aniceto Rosales , 4 rs. Pedro Bertiz , 1. — Pueblo de…</t>
  </si>
  <si>
    <t>Aranda, Timoteo</t>
  </si>
  <si>
    <t>Timoteo Aranda</t>
  </si>
  <si>
    <t>■ o&gt;¿H Continúan los donativos del Perú. D. Manuel Brisiula, 10 ps. fs. Mariano Roxas, 4 rs. Gregorio Perez, 4 rs. Manuel Nufiez , 4 rs. D. Timoteo Aranda, 2. Rafael Preciado, 1. José Jáuregui , 3. Doña Gregoria Nuñez , 7. Doña Victoria Jáurigui , 2. Basilia Orduñez , 1. Juan Hel güera. , 4. Gregorio López , 4 rs, Carlos Lópe…</t>
  </si>
  <si>
    <t>Arandilla, Josef</t>
  </si>
  <si>
    <t>Josef Arandilla</t>
  </si>
  <si>
    <t>putados seculares '-Diputados seculares D. Angel Sahun. D. Domingo Antonio de la Osaña.' D. Mariano Sopeña. D. Juan de Barreiieche. D. Viceote Espel. D. Josef Arandilla. - . Secretario D. Agustin Estebes. D. Arias Gonzalo de Loza. Secretario D. Nicolás García de la Osa. BARRIÓ: DE AIERCENAR1AS DESCALZAS. BARRIO DE LOS CUARDIA…</t>
  </si>
  <si>
    <t>Aranguren, Aniceto</t>
  </si>
  <si>
    <t>Aniceto Aranguren</t>
  </si>
  <si>
    <t>odos los pueblos de su vasta monarquía. pa, D. Carlos Sicilia y D. Miguel Guridi; D. An­ ,, Mucho tiempo há que Requena y lugares de tonio Irigoyen y D. Aniceto Aranguren agraciados su comprehension deseaban penetrar hasta su So­ de la villa de Placencia; D. Antonio Aguillo, berano , hallar en 6i el centro de la justicia, el …</t>
  </si>
  <si>
    <t>Aranguren, Mariano</t>
  </si>
  <si>
    <t>Mariano Aranguren</t>
  </si>
  <si>
    <t>Gaceta de Madrid n.º 123</t>
  </si>
  <si>
    <t>493</t>
  </si>
  <si>
    <t>de milicia cívica. embarcarse para el Canadá. D. Juan García Madrid queda nombrado es­ El general Maitland , que habla venido hace po­ pitan de ella; D. Mariano Aranguren teniente, y co tiempo de Ceilan, donde ha estado de gober­ D. Josef Milano Ycpes subteniente. nador, se embarcará otra vez para la ludia, por aut. III. En l…</t>
  </si>
  <si>
    <t>Aranza, Cariota</t>
  </si>
  <si>
    <t>Cariota Aranza</t>
  </si>
  <si>
    <t>Gazeta de la Regencia de las Españas n.º 66</t>
  </si>
  <si>
    <t>549</t>
  </si>
  <si>
    <t>ido, fié muerto á golpe de sable por el subteuieute D. León Mayo. Seguramente se le- hubiera reservado la vida, habiendo sabido la ciase i su señora, Doña Cariota Aranza,</t>
  </si>
  <si>
    <t>Aranzay, Andrés</t>
  </si>
  <si>
    <t>Andrés Aranzay</t>
  </si>
  <si>
    <t>252</t>
  </si>
  <si>
    <t>sidente. El regidor de la misma D. Josef Manzanilla. Secretarios. D. Francisco de Villalba. D. Francisco López de Olavarrieta. Vocales eclesiásticos. D. Andrés Aranzay.</t>
  </si>
  <si>
    <t>Araos, Ramón</t>
  </si>
  <si>
    <t>Ramón Araos</t>
  </si>
  <si>
    <t>794</t>
  </si>
  <si>
    <t>794 de r 'Tj operación**, recomienda particularmente á los capitanes Don Manual. Blanco Rielera, D. Ramón Araos, D. José Gándara, Don Antonio Herrara, D. Antonio Fernandez, D. José Xímenez y Don Francisco M alano; á I03 tenientes D. Domingo Pallete, y D. Ro­ que B rrasie y D. Juan Rutista Roche; al s</t>
  </si>
  <si>
    <t>Araoz, Ramón</t>
  </si>
  <si>
    <t>Ramón Araoz</t>
  </si>
  <si>
    <t>2p2 mismo D. Ramón Araoz, que con su compañía los persiguió, como mas práctico en ei terreno, hasta las inmediaciones de Haro, en donde le obligó á mandar tocasen llamada para su reunión en el pueblo de Briones; lo</t>
  </si>
  <si>
    <t>Araujo, Gregorio</t>
  </si>
  <si>
    <t>Gregorio Araujo</t>
  </si>
  <si>
    <t>..... 2200 D. Anselmo de las Heras , id. en id........... 2200 Madrid 18 de julio. Ex-carmelitas. Extracto de las minutas de la secretaría de Estado. D. Gregorio Araujo, residente en Segovia. 2200 En ouestro palacio de Madrid á 14 de julio D. Torquato Negro , id. en i i....................... 2200 de 1812. D. Manuel Antonio C…</t>
  </si>
  <si>
    <t>Araujo, Joaquín</t>
  </si>
  <si>
    <t>Joaquín Araujo</t>
  </si>
  <si>
    <t>...................... 2200 Ex franciscanos. Doña Juana García ,• id. del lugar de Sonto. 2200 Doña Ramona Obregqo.............. v-vír.......... 2200 D. Joaquín Araujo, residente en Segovia... 2200 D. Antonio Nuñez, id. en id........................ . 2 2®o Ext- dominicos. D. Andrés Fernandez Petite , id. en id.,... 2200 ,C #…</t>
  </si>
  <si>
    <t>Araujo, Josef</t>
  </si>
  <si>
    <t>Josef Araujo</t>
  </si>
  <si>
    <t>comercio. Y ¿ qué sensación haria esta quiro, teniente , á capitán ; á D. Ramón Igual y guerra eri la Pertsiivania , cuyos habitantes sacan Vainis y D. Josef Araujo , subtenientes , a teSos subsistencias de ia América ? En la situación niei-tet; y a D. Antonio Martin , sargento primero, acturl de los m godos generales, la pol…</t>
  </si>
  <si>
    <t>Arauz, Isidro</t>
  </si>
  <si>
    <t>Isidro Arauz</t>
  </si>
  <si>
    <t>D. Santiago Serón, G. El ayudante de gobierno y varios i ndtviduos , 7$ y 4. Pedro José Vargas , 25. D. Alexo Guiraldez, 25. D. Gaspar Casanova , 25. D. Isidro Arauz, 6. D. José Bernal , 25. D. Ramón Menendez , 25. D. Sebastian Puga, 50. El comendador de la Merced , 50. D. Dio-, go Granados , 20. D. Luis Noli, 10. Teodoro Gar…</t>
  </si>
  <si>
    <t>Aravaca, Cayetano</t>
  </si>
  <si>
    <t>Cayetano Aravaca</t>
  </si>
  <si>
    <t>TIAGO* Alcalde de barrio Alcalde de barrio D. Josef Roe!. D. Francisco Xavier Burd.di®. Diputado eclesiástico Diputado eclesiástico D. Cayetano Sae¿. D. Cayetano Aravaca. Diputados seculares Diputados seculares D. Gregorio Zorrilla. D. Agustin Villa. D. Domingo Villamif. D. Juan Perez Pinedo. Secretario I&gt;. Antonio María Bono…</t>
  </si>
  <si>
    <t>Aravnbulo, Marcelo</t>
  </si>
  <si>
    <t>Marcelo Aravnbulo</t>
  </si>
  <si>
    <t>ipe Sánchez, 1 y 4. Don Manuel Marín , 16. D. Vicente Caballero, 2. Doña Antonia Cárdenas, 2. Doña Encarnación Carrillo, 2. Doña Manuela Carrillo, 2. D. Marcelo Aravnbulo, 2. IX Manuel Mtrabal, 3. D., Cipriano Mirabal, 4. XX Miguel Cevallos,4. I). Ig­ nacio Carguacarschi, 6. D. José Bodelon , 2. D. Manuel Tupayupanqui, 4. IX …</t>
  </si>
  <si>
    <t>Arbizua, José</t>
  </si>
  <si>
    <t>José Arbizua</t>
  </si>
  <si>
    <t>s y D. Jacinto Toro, y subtenencias á D. Manuel Gó­ mez y D. Fermín Perez ; tenencia veterana en el -batallón de milicias disciplinadas de Campeche á D. José Arbizua; el empleo d@ capi­ tán de la compañía de caballería de la guardia del vírey del nuevo reyno de Granada á D. Benito Aznar, y el de capotan de llaves de la plaza …</t>
  </si>
  <si>
    <t>Arcaya, José María</t>
  </si>
  <si>
    <t>José María Arcaya</t>
  </si>
  <si>
    <t>na, D. Vicente Zavala, D. José María ViUavicsncio, D. Félix María Farias y D. Juan Pedro Pe*ayo ; el mismo de ras de caballería, á D. Rafael Padrón , D. José María Arcaya, D. Miguel MLUaco, D. Juan de Lugo, D Juan José Perez, D. José Antonio G'uirola y D. Joaquín Segarte ; de subteniente de las de infantería, á D. Alonso Gil,…</t>
  </si>
  <si>
    <t>Arcaya, Juan Dionisio</t>
  </si>
  <si>
    <t>Juan Dionisio Arcaya</t>
  </si>
  <si>
    <t>v D. J nan Cádos nez ; el mismo ele caballería, á D José M dalles, D. Podro Luís Icteupi, D. Miguel Primero, D. Antonio Urblna, D. Earique Fu­ rias, D. Juan Dionisio Arcaya, D. Pablo Hernández, D. José Ma­ ría Telíería, D. Juan Agustín Oberfco, D. Esteban Pe tí, D. Manuel Osteycochea y D. Manuel E ysaga; de teniente de las mi…</t>
  </si>
  <si>
    <t>Arcaya, Mariano</t>
  </si>
  <si>
    <t>Mariano Arcaya</t>
  </si>
  <si>
    <t>609</t>
  </si>
  <si>
    <t>609 chano; y de caballería*! de la misma clase D. Mariano Arcaya: cu­ yes correspondientes reales despachos dirighé á V. S. oportunamen­ te, y sin que por ello ékxm de disfrutar entre tanto ¿el suelde y pr&amp;» regat-vas de su nuevo empVe. „L?. R ■'gei c;-r</t>
  </si>
  <si>
    <t>Arce, Antonio Gordo</t>
  </si>
  <si>
    <t>Antonio Gordo Arce</t>
  </si>
  <si>
    <t>io, id. de Santander............. 2200 cente de la Barquera................................... 2200 D. Ramón de Cunes........................... 2200 D. Antonio Gordo Arce , id. del valle de D. FranciscoAguileras, id. de Solares.......... 2200 Toraozó......¡.2::..;...:..............................*•••• 2200 D. Ramón Calado l…</t>
  </si>
  <si>
    <t>Arce, Francisco</t>
  </si>
  <si>
    <t>Francisco Arce</t>
  </si>
  <si>
    <t>éxito. Dicen estas mismas carras de! estado mayor de la quarta división del cuerpo que los insurgentes son dueños de todos los desfi­ expedicionario; D. Francisco Arce, comandante laderos , y de los sitios mas fuertes del pais, y lo general de la artillería del 2.0 exército ; D. Juan que importa mas que todo, de las minas de …</t>
  </si>
  <si>
    <t>Gaceta de Madrid n.º 110</t>
  </si>
  <si>
    <t>sta el 17 de febrero ha habido nueve gefe deltltido ma^yor' déTcuerpo expedicionario; accidentes de esta especie entre Martinsbruck y y los coroneles D. Francisco Arce , comandante' Fiostermunz. En la Engaddina baxa han estado general dé la artillería del segundo cderpc», y Don cegados los caminos per espacio de 10 dias con J…</t>
  </si>
  <si>
    <t>Archivero, Andrés Váleles</t>
  </si>
  <si>
    <t>Andrés Váleles Archivero</t>
  </si>
  <si>
    <t>ante la guerra , lO. I). Juan Rafael de Agn-ar, por una vez, 100. D. Antonio Ildefonso Belanconvt, oficial de libros, 30. D. Juan Casanova , id., 25, D. Andrés Váleles Archivero, id., 10. Escribiente D. Pe­ dro I anguenein , id., 6. II. D. Benigno Quiñones, id., 6. Icl. D. Lu»s Blan­ ca, id., 6. Ei contador principal de exérc…</t>
  </si>
  <si>
    <t>Arcolus, Francisco Xavier</t>
  </si>
  <si>
    <t>Francisco Xavier Arcolus</t>
  </si>
  <si>
    <t>769</t>
  </si>
  <si>
    <t>ziso raro y singular, en que por su» circunstancias merezcan mi paternal piedad.” Dios guarde á V. muchos años. Cádiz 26 de junio de 1812.— Carvajal. D. Francisco Xavier Arcolus, natural del señorío de Vizcaya y residente en la diudad de Cuenca del Perú , hallándose el presi­ dente de Quito, D. Joaquín Molina, en la mas apura…</t>
  </si>
  <si>
    <t>Ardanáz, Pascual Josef</t>
  </si>
  <si>
    <t>Pascual Josef Ardanáz</t>
  </si>
  <si>
    <t>Macarti.................. 1603 2? goa............... .................... -................... 9295 2}f P. Nicolás María. Bremond............ 3409 23 D. Pascual Josef Ardanáz................... tX5(2 P. Diego Toidesiüas........... ........... 2211 *5 La testamentaría de D.Josef de Go­ lw Rs. vn. 1.3 68 96 23 W lfa y Moníaini.…</t>
  </si>
  <si>
    <t>Arechaga, Juan Antonio</t>
  </si>
  <si>
    <t>Juan Antonio Arechaga</t>
  </si>
  <si>
    <t>180 17 En 1779 se le confirió la mayoría general da D. Jngrans Brins........................... 10451 la esqaadra del mando del general Gastón, don­ D. Juan Antonio Arechaga é hi­ de poniendo en práctica los rudimentos de táctica jos...... •;............... :..................... a72í5 *7 que había escrito siendo teniente de …</t>
  </si>
  <si>
    <t>Aregne</t>
  </si>
  <si>
    <t>ntes noti­ ser distribuidos en rS/a, 181J, 1814 y 181¡. ciar acerca del corsario llamado el Duque deDantPREMIOS PROPUESTOS PARA EL ASO DE l8l2. zick, capitán Aregne.iade.iu. Este corsario conti­ núa causando los mayores estragos al comercio in­ Artes mecánicas, gles en las Indias occidentales. Muda i menudo de crucero, y solo…</t>
  </si>
  <si>
    <t>Aregneaudeau</t>
  </si>
  <si>
    <t>? no debe depender de !a volun­ pertenecían al armador del capitán que ha dado es­ tad del enenrgo la continuación cíe las órdenes del ta noticia. El capitán Aregneaudeau trata á sns pri­ consejo, qire tan per judiciales suri para nosotros. sioneros con tanta generosidad qne los fuerza á que 19. Que como !a prosperidad del co…</t>
  </si>
  <si>
    <t>Arellano, Joset Sanche</t>
  </si>
  <si>
    <t>Joset Sanche Arellano</t>
  </si>
  <si>
    <t>ti­ duría de salinas..................................... 42I4 dos d los red.ii tores de este periódico. D. Miguel Saquero, Ídem de ídem.... 2911 22“ D. Joset Sanche* Arellano , emplea­ Señor redactor de la gazera de Madrid. do en la antigua real casa.................. 1833 I if ,, Mui señor mió: la lectura del real decreto d…</t>
  </si>
  <si>
    <t>Arenas, Francisco</t>
  </si>
  <si>
    <t>Francisco Arenas</t>
  </si>
  <si>
    <t>Cuatreras ; subtenencia de granaderos á D. Juan Mar-rufo, y de bandera á D. José Ancona. En el batallón veterano de Chiloe, compañía de granaderos á D. Francisco Arenas, y de fusileros á D. Juan José Huidobro ; ayudantía á D. Francisco Soriano ; tenen­ cia de granaderos á D Francisco Xavier.Veiazquez, y de fusile­ ros á O. An…</t>
  </si>
  <si>
    <t>Arentschiklt</t>
  </si>
  <si>
    <t>fugitivos, les hizo 240 prisioneros. „En estos dias se distinguieron el teniente general Colé , el ma­ yor general Alten, el mayor general Anson, el teniente coronel Arentschiklt del cuarto de húsares, y el teniente coronel Iíervey del 14 de dragones ligeros , el teniente coronel Maclean del 27 y el mayor Archdall del 40 , el…</t>
  </si>
  <si>
    <t>Arescurrenaga, Esteban</t>
  </si>
  <si>
    <t>Esteban Arescurrenaga</t>
  </si>
  <si>
    <t>amburu, 10. Su tercer piloto D. Juan Malarin, 4. El contramestre y de­ más tripulación del buque , 18 y 4. D. Sebastian Malarin , cura de Yungay, 50. D. Esteban Arescurrenaga, cura de Pisco, por sí y su clerecía , 84. Don Francisco Medina y Lanas , 25. — Curas y clerecía del partido de Haailas. D. José Castellanos, cura de Hu…</t>
  </si>
  <si>
    <t>Arévalo, I'defonso</t>
  </si>
  <si>
    <t>I'defonso Arévalo</t>
  </si>
  <si>
    <t>.......... 2200 blanco........................................................... 2200 D. Juan Moreno, id....................................... 2200 D. I'defonso Arévalo , id............................... 3200 D. .Rafael Serrano ,Id.............. 2200 D. Isidoro Bujalance, residente en Bacna. 2200 D. Josef López, id........…</t>
  </si>
  <si>
    <t>Arévalo, Ramón</t>
  </si>
  <si>
    <t>Ramón Arévalo</t>
  </si>
  <si>
    <t>ó al principio , hubo una acción con 50 caballos y 60 infantes enemigos , á los cuales atacaren les teniente* del escua­ drón de es redores de Jaén , D. Ramón Arévalo, D. Juan Esra y D. Baltasar F^rrer. Los franceses quisieron recobrar la cabina, y para e.to hicieron grandes esfuerzos hasta batirse can la espada, pe­ ro todo …</t>
  </si>
  <si>
    <t>Argaiz</t>
  </si>
  <si>
    <t>500</t>
  </si>
  <si>
    <t>arta escrita al general E &lt;p3z y Mina por el general Girón , gefe de es ha ¡o mayor, remitiéndole uno fax a de marisco/ de campo. ‘ Señor general: EL capitán Argaiz lleva á V. S. una faxa de ma* riscr.l de campo que acabo de recibir, y que me tomo la liberta! de ofrecer á Y. S., por suponer no tendíá tal vez aun las que pueda…</t>
  </si>
  <si>
    <t>Argaiz, D Fermín</t>
  </si>
  <si>
    <t>D Fermín Argaiz</t>
  </si>
  <si>
    <t>1812. — Exorno. Sr. — B. L. M. de V. E. — Franchón Eípozy Mina. — Exorna. Sr. D. Francisco Xavier de Castaños.” Respuesta del general Castaños. *CE1 capitán D Fermín Argaiz rae ha entregado ayer el oficio de V. S. de 6 del presente y partes que le acompañaban , y por ello3 he visto, con tanta admiración como complacencia, La …</t>
  </si>
  <si>
    <t>Árgueda, José Dámaso</t>
  </si>
  <si>
    <t>José Dámaso Árgueda</t>
  </si>
  <si>
    <t>, 6. D. José Tacaño, id., 12. D. Felipe Cárdenas, 4 y 2- rs?. D. Miguel Mascare, S. I). Manuel Tejada, '8. D. Antonio Amezaga , 35. D. José Peña, 13. D. José Dámaso Árgueda, 8. D. Matías pastor, 8. D. Manuel Fuente, 8. D. Isidro Guillen, 8. í). Santiago León , 6. D. Jacinto Ríos , 8. D. Miguel Rodríguez , 8. Don Fernando Urti…</t>
  </si>
  <si>
    <t>Arguelles</t>
  </si>
  <si>
    <t>Gaceta de Madrid n.º 19</t>
  </si>
  <si>
    <t>tideríe ligera hizo un esfuer­ rios miembros del congreso, y desechándola otros, zo que le costó mui c^ro. La caballería , qnc recibió entre ellos el diputado Arguelles, diciendo ,,que órnen de cardar , no pudo executar este movimien­ la representación del decano envolvía miras ocul­ to , poique la infantería , avanzando de t…</t>
  </si>
  <si>
    <t>Arguelles, José Canga</t>
  </si>
  <si>
    <t>José Canga Arguelles</t>
  </si>
  <si>
    <t>ento. — Pedro de Agar, presidente. — I). Joaquín Blake ausente con permiso de las Cortes. — Gabriel Ciscar. -— En Cádiz á 22 de dipiembre de 1811. —A D. José Canga Arguelles. CADIZ : EN LA IMPRENTA REAL.</t>
  </si>
  <si>
    <t>Arguelles, Josef Canga</t>
  </si>
  <si>
    <t>Josef Canga Arguelles</t>
  </si>
  <si>
    <t>Gazeta de Madrid bajo el Gobierno de la Regencia n.º 7</t>
  </si>
  <si>
    <t>iento. = Gabriel Ciscar, presidente. =1 Ausente D. Joaquín Blake con permiso de las Cortes. = Pedro de Agar. =En Cádiz á, 4 de setiembre de 1811. = A D. Josef Canga Arguelles." «r „DON FERNANDO VII, por la gracia de Dios Rey de España y de las Indias, y en su ausencia y cautividad el Consejo de Regencia, autorizado inte­ rina…</t>
  </si>
  <si>
    <t>miento. = Gabriel Cucar, preddente— Ausente» D. Joaquín Blake con permiso de las Cortes = Pedro de Agar. = Dado en Cádiz á 15 de octubre de 1811. = A D. Josef Canga Arguelles.” EN LA IMPRENTA REAL.</t>
  </si>
  <si>
    <t>Gazeta de Madrid bajo el Gobierno de la Regencia n.º 19</t>
  </si>
  <si>
    <t>ngo 13 del corriente pasó el Sr. comandante general del reyno de Valencia el mariscal de campo D. Francisco de Copons y Navia con el Sr. in­ tendente D. Josef Canga Arguelles á la villa de Alcoy, donde se juró la Consti­ tución política de la monarquía por aquel fidelísimo vecindario con el gozo mas puro y el mas noble entusi…</t>
  </si>
  <si>
    <t>Arguelles, Manuel</t>
  </si>
  <si>
    <t>Manuel Arguelles</t>
  </si>
  <si>
    <t>Gazeta de la Regencia de las Españas n.º 36</t>
  </si>
  <si>
    <t>do Aranda , 1. D Juan de Aranda , 1. D. Félix Vidal,'4' rs. i). Vicente Dul#»nto.,j. Clara Reyes , lv Férm¡rv López , 2. I). «Francisco Flo­ res , 2. D. Manuel Arguelles , 2- •, Joaquiti .Rerez , 4 rs. ¡ José Espinosa,,4 rs. Eugenia Hernández, 1. Francisco Infantes , 4 rs. D.; Vicente Helguera , 4. Doña Micaela Ñaue#, ),. Ant…</t>
  </si>
  <si>
    <t>Arias, Cínaijó</t>
  </si>
  <si>
    <t>Cínaijó Arias</t>
  </si>
  <si>
    <t>tallón &gt; ¿ti la cíese.‘¿Cómo ha de reñir un hombre de^buaYi cuajo vacante de.,D;Mafiúd H^r.rera. - cóa otro de buena paita ? Tan leja* esfóf de «so,' D. Cínaijó ^ Arias, s^genjo.primero i á sub­ que ál contrario, lo que quiero es q.ré 'la^&amp;é vtfitL' teniente .de,‘la-^qpárta jConipapía del mismo, bata­ no se agríe ni revenga; …</t>
  </si>
  <si>
    <t>Arias, Joaquín</t>
  </si>
  <si>
    <t>Joaquín Arias</t>
  </si>
  <si>
    <t>e fue del septentrional. regimiento suizo de Ruttiman, subteniente del da No pnede verse este astro sin el auxilio de un infantería Real Extrangero;á D. Joaquín Arias d« buen telescopio; por este medio se echa de ver Saavedra , individuo que fue de la extinguida com­ que su núcleo es bastante brillante, y que t*cá ro­ pañía d…</t>
  </si>
  <si>
    <t>Arias, Manuel López</t>
  </si>
  <si>
    <t>Manuel López Arias</t>
  </si>
  <si>
    <t>200</t>
  </si>
  <si>
    <t>que entiende cu la causa de Mr. Kirwan es como articulo 1. ,,Se declaran acreedores del esta­ sigue : do á ,,Todo trabajo merece una recompensa. Vmd. D. Manuel López Arias por............ 476 17 merece pues que le paguen el quejáa tenido en la Doña Luisa María de los Dolores declaración que ha hecho el 30 del corriente sn «1 …</t>
  </si>
  <si>
    <t>Arias, Mariano</t>
  </si>
  <si>
    <t>Mariano Arias</t>
  </si>
  <si>
    <t>Continúan los donativos del Perú D. Clemente Ortiz, S ps. fs. D. Mariano Arias , 8. D. Antonio Cos, 10. Y D. Antonio González , 25. — Intendencia de Tarma. El gobernador é inten­ dente I). llamón de Urrotia y las Casas , ofrece dar en España , 1200 pesos, 500 por sí ,</t>
  </si>
  <si>
    <t>Arias, Pedro</t>
  </si>
  <si>
    <t>Pedro Arias</t>
  </si>
  <si>
    <t>Gazeta de la Regencia de España e Indias n.º 10</t>
  </si>
  <si>
    <t>us deberes ; y recomienda á! la tropa y oficiales de las tres guerrillas, mandadas, una por el capitán primero D. Antonio Tobar, otra por el teniente D. Pedro Arias, que quedé prisionero, y la otra por el subteniente D. Manuel Sánchez del Aguila, quienes se batieron bizarramente durante la acción. — El comandante del pe­ queñ…</t>
  </si>
  <si>
    <t>Arias, Pedro Otero</t>
  </si>
  <si>
    <t>Pedro Otero Arias</t>
  </si>
  <si>
    <t>547</t>
  </si>
  <si>
    <t>ral , D. Francisco Brandis , ayu­ dante mayor del regimiento voluntarios de la Corona, D. Priro de la Iglesia, teniente del batallón del General, y á D. Pedro Otero Arias, ayudante mayor del regimiento de Cádiz: á ayudante ma­ yor segundo, á D. Francisco Armero, capitán graduado y ayudan­ te mayor del regimiento de Betanzos :…</t>
  </si>
  <si>
    <t>Arias, Santiago</t>
  </si>
  <si>
    <t>Santiago Arias</t>
  </si>
  <si>
    <t>18000 Por réditos de imposiciones en el fondo vitalicio. D. Josef Gonzalo Ruiz de Texada.... 225 00 D. Basilio de Salcedo............ ........ 12600 D. Santiago Arias................................... 1459 33 D. Josef Antonio Salcedo..................... 12600 D. Manuel Celestino Carrasco , por sí Doña Juana de Abarrátegu¡.;…</t>
  </si>
  <si>
    <t>Arís</t>
  </si>
  <si>
    <t>uando esperaba verificarlo el dia 26 cerca de Alpera con 400 caballos de que podía dispo­ ner, supo que el Rey intruso huía precipitadamente, y queel general Arís-*pe con la fuerza de 1500 infantes y 500 caballos, había entrado en Aimansa para proteger el paso del convoy por Fuente la Higuera. En la mañana del 27 determinó Ba…</t>
  </si>
  <si>
    <t>Arispe</t>
  </si>
  <si>
    <t>306</t>
  </si>
  <si>
    <t>sabe que á la mañana siguien­ te se habían recogido en el campo de batalla unos 150 fusiles. Madrid 21 de febrero. Dia 18. Dicen los franceses que el general Arispe va á poner sitio á Alicante, y que el general Foy tiene orden de dirigirse á Valencia á comprimir á aquellos habitantes que se hallan inquietos con motivo de las …</t>
  </si>
  <si>
    <t>l enemigo, que le obligó á retirarse, sin darle tiempo para exigir una_.fuerte contribución en dinero y. 1© fanegas de tri­ go qiie había impuesto el general Arispe (1). El fruto de estas operaciones ha sido 100 prisioneros , mas de 200 desertores ó pasados, una porcron de mulas, de brigada, algunos caballos y otros efectos a…</t>
  </si>
  <si>
    <t>Ariza, José</t>
  </si>
  <si>
    <t>José Ariza</t>
  </si>
  <si>
    <t>Gazeta de la Regencia de las Españas n.º 70 (suplemento)</t>
  </si>
  <si>
    <t>586</t>
  </si>
  <si>
    <t>a, 10. D. Mariano Eraso, 2. D. José María Castro, ayudante de Piura , 47 y 2 y medio. Don Antonio Mirón , 10. D. Juan Buzca. 15. J#sé Maria Gainza, 6 D. José Ariza, 6. D. Domingo Pombar, 16. D. Antonio Lardo, 16. D. Ramón Ribero, 10. D. José Juan de Echevarría , 25. D. Juan Midan, 100. D. Bernardino Salado . 12. D Ignacio Avi…</t>
  </si>
  <si>
    <t>Arjooa, Miguel</t>
  </si>
  <si>
    <t>Miguel Arjooa</t>
  </si>
  <si>
    <t>ario de Es­ D. Antonio Martel. tado por el-ministerio de Marina de los Estados- D. Gerónimo Aguilar. Unidos, contiene una relacÍGn v*rdadera y exácta D. Miguel Arjooa. de las circunstancias ocurridas en el encuentro en­ D. Antonio Aguilar. tre la fragata de los Estados-Unidos el Presidente D. Josef Várgas. y el navio de M. br…</t>
  </si>
  <si>
    <t>Armada, Nicolás</t>
  </si>
  <si>
    <t>Nicolás Armada</t>
  </si>
  <si>
    <t>...... ............ 2200 P. Francisco Carrasco , id......................... 2200 D. Francisco Perez , id....................................... 2200 D. Nicolás Armada, id.............................. 2200 D. Lúeas de León , id........................................ 2200 P. Juan de Espejo, id................................…</t>
  </si>
  <si>
    <t>Armcndariz, Manuel</t>
  </si>
  <si>
    <t>Manuel Armcndariz</t>
  </si>
  <si>
    <t>77</t>
  </si>
  <si>
    <t>endo el ac­ to el comandante general marques tic Monsalnd , acompañado de! se­ gundo ge-fe de estado mayor el brigadier D. Manuel Pueyo. Ei ca­ pitán D. Manuel Armcndariz-, maestro de la academia, abrió la fun­ ción por un discurso, propio de las circunstancias. Es extrema la miseria que padece la parte de esta provincia ocu­…</t>
  </si>
  <si>
    <t>Armendi, Francisco</t>
  </si>
  <si>
    <t>Francisco Armendi</t>
  </si>
  <si>
    <t>Gazeta de Madrid bajo el Gobierno de la Regencia n.º 33</t>
  </si>
  <si>
    <t>ara y D. Joaquín Nuñez. Del presidio: D. Juan Jacinto Iztueta , D. Clemente Britapajas, D. Antonio Guzman, D. Faustino Ru­ bio, D. Josef García Peña, D. Francisco Armendi, D. Melchor de Somarrivas, D. Antonio Saquero , ei cabo de brigada D. Josef Ruiz, y D. Fran­ cisco Sánchez. Todos Los demas que se hallaron en el castillo h…</t>
  </si>
  <si>
    <t>Armengol, Francisco</t>
  </si>
  <si>
    <t>Francisco Armengol</t>
  </si>
  <si>
    <t>incomodaban para el uso de nuestra artillería ; y lo verificó á pesar del vivo fuego dci eaemigo, y de algunos cañonazos que les tiraron. — Asimismo D. Francisco Armengol , comandante de la segunda partida patriótica, salió e! dia 14 á reconocer el cam­ po de ios franceses , mató 4 en la alquería de la Torre , persiguió á otr…</t>
  </si>
  <si>
    <t>Armenteros, Cárlos</t>
  </si>
  <si>
    <t>Cárlos Armenteros</t>
  </si>
  <si>
    <t>1256</t>
  </si>
  <si>
    <t>s españolas D. Car­ los de Serítmanat, D. José Alcalá Gaiiano, D Manuel de Arrióla, D. José Miró , D. José Antonio de Armenteros , D. José dé Acosta, D. Cárlos Armenteros, D. Lorenzo Fernandez de Somera y D. Juan, José Barutell. Igualmente ha conferido S. A. én el regimiento de guardias Walonas compañía de granaderos al capit…</t>
  </si>
  <si>
    <t>Armero, Francisco</t>
  </si>
  <si>
    <t>Francisco Armero</t>
  </si>
  <si>
    <t>iro de la Iglesia, teniente del batallón del General, y á D. Pedro Otero Arias, ayudante mayor del regimiento de Cádiz: á ayudante ma­ yor segundo, á D. Francisco Armero, capitán graduado y ayudan­ te mayor del regimiento de Betanzos : á terier tes , á D Ju?.n ve Fiores , teniente del regimiento de Castilla, D. José de Toda, …</t>
  </si>
  <si>
    <t>Armesto, Juau Bautista</t>
  </si>
  <si>
    <t>Juau Bautista Armesto</t>
  </si>
  <si>
    <t>presidente; los capitanes Carlos Stuart Maques de Alcántara. é Lase Chancey , vocales. D. Antonio Franco, En la sesión de ayer se leyeron y aprobaron D. Juau Bautista Armesto. hs actas del tribunal; con que quedó prologado D. Antonio Bermudo Ayora.</t>
  </si>
  <si>
    <t>Armfeldt</t>
  </si>
  <si>
    <t>1147</t>
  </si>
  <si>
    <t>e, le presentó al canciller dei imperio conde Romanzoff, al mariscal de la «orte conde Tolstoi, al ex-ministro de guerra Arakscheifte, y al ge­ neral barón Armfeldt: en seguida S. A. R. presentó al emperador los personages de su acompañamiento. Vuelto S. M. á su palacio le visitó el príncipe ; y habiéndose res­ tituido este á…</t>
  </si>
  <si>
    <t>Armirez, Juan</t>
  </si>
  <si>
    <t>Juan Armirez</t>
  </si>
  <si>
    <t>aciones prestaron con la D. Mariano Roxas y D. Fernando Angiada-, sub­ mayor solemnidad el juramento á S. M., á ia cons­ tenientes , á tenientes, y 4 D. Juan Armirez , Dod titución y á las leyes. El reino de Va encía ha en­ Josif Boto y D. Antonio Iglesias, sargentos pri­ viado 24 diputados representantes de la nobh-zi, meros…</t>
  </si>
  <si>
    <t>Arms</t>
  </si>
  <si>
    <t>las reflexio­ mutaciones en el gobierno. VVit Clinton será , se­ nes que haga sobre ias dos primeras partes, por­ gún dicen , nombrado presidente: el general Arms- que á los que han creído ó esperado que ias órde­ trong se encargará del ministerio de la Guerra, y nes del consejo debilitarían el poder dei enemigo, Mr. Monroe s…</t>
  </si>
  <si>
    <t>Arnao, Agueda</t>
  </si>
  <si>
    <t>Agueda Arnao</t>
  </si>
  <si>
    <t>endencia de Tarma. El gobernador é inten­ dente I). llamón de Urrotia y las Casas , ofrece dar en España , 1200 pesos, 500 por sí , 500 por su esposa Doña Agueda Arnao, y 200 por su hijo D. An­ tonio de Lírrutía y Arnao. El alcalde de primer voto D. Ramón Gavas , 50. Ei de segundo D. Manuel Muñoz, 12. El regidor D. Tomas de B…</t>
  </si>
  <si>
    <t>Arnao, Vicente</t>
  </si>
  <si>
    <t>Vicente Arnao</t>
  </si>
  <si>
    <t>rejazu, 500. D. Juan Antonio 4ndueza, cura de Yangai, 100. El cirujano Miguel Galarza , 10. El colegio seminario de Sto. Toribio.de esta ciudad, 500. D. Vicente Arnao , cura de la doctrina de Caina , 50. D. Juan Atexo Martinez de Piaillos , subdelegado de marina de Huanchaco , en cada año, 91 y 2. i). Manuel Quadros, f la tri…</t>
  </si>
  <si>
    <t>Arnaud</t>
  </si>
  <si>
    <t>iño ( D. Juan), teniente de húsares de U maestrazgos y encomiendas en .Jaén. goardia real. Ortega ( D. Jaao), comandante del batallón de l| Troplonq (D. Arnaud), subteniente qoartel-maesmilicia cívica de Toledo. tre del regimiento de granaderos ue la guardia Pacón (D. Emmeri), tirador de la gaardia real. rea!. ': Palacio (D. …</t>
  </si>
  <si>
    <t>Arnaza, Juan Bautista</t>
  </si>
  <si>
    <t>Juan Bautista Arnaza</t>
  </si>
  <si>
    <t>Gazeta de la Regencia de las Españas n.º 88</t>
  </si>
  <si>
    <t>731</t>
  </si>
  <si>
    <t>añía, 105. D. José Moreno de Mora, ¿0. Un patriota español, 100 y 120 cami­ sa?. D. Jorge Sacdcman, 100. D. Antonio Gower, 20. D. Juan Gar­ cía, 100. D. Juan Bautista Arnaza, 10. D Manuel T aranera, ¿0. D. Enrique Dowel, 100. Un amigo de D. Enrique Dowei, 50. M. y 8., 100. D. Juan de Agreda, 21. Un asturiano, 10. E. M. D., 20…</t>
  </si>
  <si>
    <t>Arquien</t>
  </si>
  <si>
    <t>867</t>
  </si>
  <si>
    <t>entras hacia correrse el grueso de fuerza para pasar el río y cargar á todo trance según la combinación. Si se hubiera verificado este movimiento, el general Arquien, envanecido por haber herido al inmortal brigadier Cruchaga en Ormaiztegui, y á V. S. en Santacruz, hubiera pagado los da­ ños causados á Navarra y á la nación; …</t>
  </si>
  <si>
    <t>Arrcyal, Mariano Pcrez</t>
  </si>
  <si>
    <t>Mariano Pcrez Arrcyal</t>
  </si>
  <si>
    <t>te. soldados que están baxo sus órdenes por su buena Para la ie lluetor de Santillan , sn último po­ y vigorosa defensa. seedor D. Amonio M.rtinez, á D. Mariano Pcrez Arrcyal, ex mercenario caizjdo. Madrid 2¡ de marzo. Para lad.. Velez de Benauddla , su ú'tiino po­ seedor D. Wenceslao Kreisler, á D. Josef Ruiz, El REI por sn …</t>
  </si>
  <si>
    <t>Arredondo, Joaquín</t>
  </si>
  <si>
    <t>Joaquín Arredondo</t>
  </si>
  <si>
    <t>Gazeta de la Regencia de las Españas n.º 26</t>
  </si>
  <si>
    <t>25</t>
  </si>
  <si>
    <t>(Gaceta éd Rio-Janeara.) ESPAÑA. México 3 de diciembre. Noticia de las operaciones de la división del mando del coronel del regimiento de Veracruz , D. Joaquín Arredondo , gobernador militar v pcUtico del nuevo Santander y Huasteca, desde 19 de junio hasta 23 de setiembre. Habiendo llegado á mediados de junio al pueblo del Pa…</t>
  </si>
  <si>
    <t>Arregui, Pablo</t>
  </si>
  <si>
    <t>Pablo Arregui</t>
  </si>
  <si>
    <t>sión enemiga de 6© infan­ tes y 400 caballos, cuya retaguardia, atacada en Gamonal por un destaca­ mento de húsares de Iberia mandado por el teniente D. Pablo Arregui, per­ dió 21 hombres muertos, muchos efectos y una hermosa yegua. El enemi­ go , aunque muy alarmado y prevenido, continuó su marcha; y Longa hizo un movimiento…</t>
  </si>
  <si>
    <t>ión enemi­ ga de 6000 infantes y 400 caballos, cuya retaguardia, atacada en Gamonal por un destacamento de húsares de Iberia, mandado por el teniente D. Pablo Arregui, perdió 21 hombres muertos, muchos efectos y una hermosa yegua. El enemigo, aunque muy alarmado y prevenido , continuó su marcha; y Longa hizo un movimiento con…</t>
  </si>
  <si>
    <t>1048</t>
  </si>
  <si>
    <t>6000 hombres y 200 caballos desde Burgos, cuya retaguardia, atacada por un destaca­ mento de húsares de Iberia, en Gamcnal, comandado por el teniente D. Pablo Arregui, perdió 21 lanceros, muchos efectos, y una pre­ ciosa yegua. Teño?izó esta marcialidad española á toda la división francesa que ae precavió, y yo me previne. Er…</t>
  </si>
  <si>
    <t>Arria, Felipe</t>
  </si>
  <si>
    <t>Felipe Arria</t>
  </si>
  <si>
    <t>, 6. D. Jacinto Ríos , 8. D. Miguel Rodríguez , 8. Don Fernando Urtiaga, 8. D. José Antonio Enriquez , 13. D. Carlos Delgado , 8. B. Juan Piñeiro, 8. D. Felipe Arria, 8. D. Mariano Ay lucrdo, 13. D. Ma­ nuel llenera, S. D. Pedro Norieaga, 8. D. Juan de la Peña , 8. D. José Pasíjuel , 8. D. José María Torres, 8. D. Ignacio Ica…</t>
  </si>
  <si>
    <t>Arriaga, Guillermo</t>
  </si>
  <si>
    <t>Guillermo Arriaga</t>
  </si>
  <si>
    <t>de minas. D. José España , 10. D. Francisco Mazorra, 8. D. José Lemus, 25. D. Juan Bautista Pelogui , 25. D. José Minavales , 20. D. Pedro Sierra, G. D. Guillermo Arriaga , G. 1). Joaquín Li.zarnturi, 25. D. Juan Miota, 10. D. José Martínez, 8. D. Tibureio Ribe­ ra, lO. . (Se continuarán.) CADIZ : EN LA IMPRENTA REAL.</t>
  </si>
  <si>
    <t>Arriaza, Juan Bautista</t>
  </si>
  <si>
    <t>Juan Bautista Arriaza</t>
  </si>
  <si>
    <t>e to los los individuos de aquella embaxada, de los del con­ sulado en aquella capital , y de los principales españoles residentes en ella: el 14. de D. Juan Bautista Arriaza ; del primer batallón de reales gu-ardias walonas ; de las milicias urbanas de Avamonte, y del ayuntamiento , estado mayor, guarnición y vecinos de Ceut…</t>
  </si>
  <si>
    <t>Arribas</t>
  </si>
  <si>
    <t>gro­ sera tropa de gendarmas, oprimiendo á los vecinos, y profanando ei sagrado de sus casas. (5&gt; contmuard.) (3) De los estados que se remitieron al ministro Arribas por tas parroquias y hospitales, resulta que desde i.° de enero hasta 20 de julio del presente año ha» fallecido en Madrid 14,324 personas; las dos terceras par…</t>
  </si>
  <si>
    <t>Arricia, José María</t>
  </si>
  <si>
    <t>José María Arricia</t>
  </si>
  <si>
    <t>rtado , 4. D. Juan Moscos , teniente del resguardo , 7. I). Juan Espino­ sa , guarda, tí. D. Faustino Duran , id., tí. D. Juan Otero , amanuense , 4. D. José María Arricia por el importe de 5 vestuarios de tropa de caballería, 14-5. Comerciantes de Piltra. D. Joaquín de Elguedo , juez diputado del co­ mercio , 2JO. D. Manad C…</t>
  </si>
  <si>
    <t>Arrieta, Espíritu</t>
  </si>
  <si>
    <t>Espíritu Arrieta</t>
  </si>
  <si>
    <t>José Antonio Vidasolo, 25. D. Pe iro Au ionio de Casas, campanero de minas , 400. D. José Moreno , 10. D. Francisco Frevre, 100. D. losé Torres , 50. D. Espíritu Arrieta , 50. Doña Do ninga Lacuriaga, 20. Doña Faus’tina Gutiérrez, 4. Dona Inés Barrera , 10. Doña Manuela Ampudia, 12. Do­ ña Margarita. Armciiones, 4. Doña Merce…</t>
  </si>
  <si>
    <t>Arris, José Mariano</t>
  </si>
  <si>
    <t>José Mariano Arris</t>
  </si>
  <si>
    <t>dio. D. Capistrano Flores, 83 y 2 y medio. Oficia­ les de libros. D, Domingo Moreno , 50. D. José de Eslava , 50. Amanuenses. D. Justo Díaz , 41 y 5. D. José Mariano Arris , 41 y 5. D. Juan Zapatiu. 41 y 5. D. Julián Sarmiento , 41 y 5. D.' Juan Cosío , 41 y 5. D. Alexapdro Morales, agregado, 39 y 6. D. Andrés Calero, escriba…</t>
  </si>
  <si>
    <t>Arroyo, Antonio</t>
  </si>
  <si>
    <t>Antonio Arroyo</t>
  </si>
  <si>
    <t>Torre &gt; id. en Andujar....... 2200 se le encargó el cuidado del archivo de la comisaría general deIodiaS, por........... 2200 Ex-carmelitas calzados. D. Antonio Arroyo , lego, residente eo D. Rafael Díaz Villegas, residente en Jaén. 2200 Colmenar de Oreja..................................... 1100 D. Ildefonso Morales , id....…</t>
  </si>
  <si>
    <t>Arroyo, Diego</t>
  </si>
  <si>
    <t>Diego Arroyo</t>
  </si>
  <si>
    <t>En este discurso se manifiesta que una de las D. Miguel de Marcos, id. en Jien.............. 2200 causas que han influido en nuestros alborotos es ia D. Diego Arroyo, id........... ....................... 2200 ignorancia de nuestra historia. Ella nos hace ver que D. Felipe Cíñete, id. en Aicauicte.......... 2 200 España por s…</t>
  </si>
  <si>
    <t>Arroyo, Felipe</t>
  </si>
  <si>
    <t>Felipe Arroyo</t>
  </si>
  <si>
    <t>Gazeta de Madrid bajo el Gobierno de la Regencia n.º 37</t>
  </si>
  <si>
    <t>0 Idem á los comisionados encargados del inven­ tario de papeles del crédito publico para gastos de papel, plumas y tinta................. 500 Idem á D. Felipe Arroyo para atender, á ios gastos dé !a Inclusa ............... -.................... Soco Idem por jornales y materiales empleados en la composición de quarteles.....…</t>
  </si>
  <si>
    <t>Arroyo, Pedro</t>
  </si>
  <si>
    <t>Pedro Arroyo</t>
  </si>
  <si>
    <t>Gaceta de Madrid n.º 118</t>
  </si>
  <si>
    <t>rovidencias coactivas que fueren necesa­ la fundación de capellanías colativas que manda­ rias para el cumplimiento de Ls carg s, ó para el ron hacer D. Pedro Arroyo, vecino de Marbella, reintegro y conservación de les bienes. en su Testamento otorgado año de 1752 ; y D. Ju.n art. ni. Nuestros ministros de Negocios ecle­ Beni…</t>
  </si>
  <si>
    <t>Arroz, Ramón</t>
  </si>
  <si>
    <t>Ramón Arroz</t>
  </si>
  <si>
    <t>Gazeta de la Regencia de las Españas n.º 83 (suplemento)</t>
  </si>
  <si>
    <t>701</t>
  </si>
  <si>
    <t>arquitectos D. José Ma­ ría Cartagena y D. Dionisio Baldiola. Tabuenca dis­ tingue entre los que estuvieron á sus ordenes , á los capitanes de Rioja D. Ramón Arroz, D. Juan Bueno, D. Antonio Herrera , D. José Gándara y D. Antonio Pendón: el primero á la cabeza de su compañía, no paró hasta ponerse encima de los cañones, y el …</t>
  </si>
  <si>
    <t>Artacbo, Diego</t>
  </si>
  <si>
    <t>Diego Artacbo</t>
  </si>
  <si>
    <t>xercicio diario d«! cristiano: contiene un pron­ D. Josef Perünes Redondo............. 90000 - tuario para oir con devoción el santo sacrificio de la D. Diego Artacbo............................ 62156 24 misa ; una semana santa; excelentes y devotas medita­ D. Tomas de Atsú......................... 720 ciones y oraciones para…</t>
  </si>
  <si>
    <t>Arte, Facundo</t>
  </si>
  <si>
    <t>Facundo Arte</t>
  </si>
  <si>
    <t>ona ; como asimismo á los distin­ guidos .y alumnos de la referida academia militar de la isla de León, O. Eugenio Carrasco, D Sebastian Villaniieva, D Facundo Arte ga , D. Eulogio Santa Cruz , D. José Acero, D. Juan Tena, Don José López Montoya , D. Juan Ramón Llórente, O J uan Muril!o, O. Francisco Benito, D. Francisco Alam…</t>
  </si>
  <si>
    <t>Arthur, M</t>
  </si>
  <si>
    <t>M Arthur</t>
  </si>
  <si>
    <t>capitán Glegg ha sido comisio­ nado para traer las banderas del fuerte del Estrecho y del regi­ miento cuarto de los Estados-Unidos. • tEl cuerpo del coronel M’Arthur, y las milicias de Michigan y del Ohio , que no se habían reunido aun al exército , están compre* hendidas en la capitulación como prisioneras de guerra. Por do…</t>
  </si>
  <si>
    <t>Artigas</t>
  </si>
  <si>
    <t>Gaceta de Madrid n.º 119</t>
  </si>
  <si>
    <t>ndo, decreto del Rei dado en 11 de marzo. y se ha aba.ndonadb el proyecto de un congreso provincial. Las vexacibnes que han cometido el GRAN BRETAÑA. general Artigas y las tropas de Buenos-Aires en las inmediaciotaes de Montevideo han exasperado Londres 1$ de marzo. á los habitantes; y el sistema de terrorismo y de confusión …</t>
  </si>
  <si>
    <t>Arvilla</t>
  </si>
  <si>
    <t>esenta­ mos á solo tiro de cañón con un silencio propio de estas tropas. El cap tan Berruezo ocupó las casas inmediatas á la caserna, á tiempo que el capitán Arvilla, rodeando la ciudad, llegó hasta el. primer centinela enemigo. A una sola señal rompieron el fuego contra la guardia que nada habia percibido, y io continuaron c…</t>
  </si>
  <si>
    <t>Arzu, Luis</t>
  </si>
  <si>
    <t>Luis Arzu</t>
  </si>
  <si>
    <t>Gazeta de la Regencia de las Españas n.º 167</t>
  </si>
  <si>
    <t>no Yerástégui, D- Fran­ cisco Yillagomez, D. Miguel Fernandez Carcalen,, D. Manuel Fér■ñaiidéz dé'IqS1 Senderos, 0.' Francisco Soler , D. José Perez, D. Luis Arzu, D. Rafaei Lacy , D. Antonio Elizaldi, D. Francisco Reyes y D. Manuel PezueiaCADL6 : EN LA IMPRENTA REAL.</t>
  </si>
  <si>
    <t>Ascue, José</t>
  </si>
  <si>
    <t>José Ascue</t>
  </si>
  <si>
    <t>tiacio Ayllon , escribano, 12 Conductores del número. D. José Marín, 40. D. G regorio Teran , 40. D Bernardo Abregu , 4l&gt;. D. Juan Luis Pere.z , 40. D José Ascue , 40 D. Nicolás León , 40. D. Bern udino groa , 40, Don Melchor Lamas, 4-0'. D. Estanislao Alzamora , 40. i). Manuel Quodros , 40. D. Ignacio Silva, 40. D. José Al g…</t>
  </si>
  <si>
    <t>Ashley</t>
  </si>
  <si>
    <t>Gaceta de Madrid n.º 164</t>
  </si>
  <si>
    <t>663</t>
  </si>
  <si>
    <t>conmódoro con varios ca­ ñonazos, se embarcaron los independientes , y pa­ DINAMARCA. saron á la isla Amelia , donde desembarcaron á las órdenes de: coronel Ashley, é intimaron la rendi­ Aliona 8 de mayo. ción á la isla. El comandante comestó que se le Los 15© hombres de nuestras tropas que de­ permitiese enviar á preguntar a…</t>
  </si>
  <si>
    <t>Ashw</t>
  </si>
  <si>
    <t>630</t>
  </si>
  <si>
    <t>a de Román Gordo al puente; y la columna del cen­ tro, mandada por el mayor general Long ( ron los regimientos por­ tugueses 6 y 18 4 las órdenes del coronel Ashw:urth, y el 13 de dra­ gones i beros, coa la artillería) avanzó per el camino real para el pa­ so de Míravete. Las dos columnas de los flancos llevaban escalas. Era …</t>
  </si>
  <si>
    <t>Asín, Francirco</t>
  </si>
  <si>
    <t>Francirco Asín</t>
  </si>
  <si>
    <t>Gazeta de Madrid bajo el Gobierno de la Regencia n.º 26</t>
  </si>
  <si>
    <t>iento executado en el segundo, por haber sido promovido á una de las plazas de mi­ nistros de la Audiencia territorial, ha elegido en su lugar al Sr. D. Francirco Asín , abogado del mismo colegio: lo que se hace saber, al público para su noticia y gobierno. Las comisiones reunidas acerca de varias dudas que habían ocurrido al…</t>
  </si>
  <si>
    <t>Astarloa, Pedro</t>
  </si>
  <si>
    <t>Pedro Astarloa</t>
  </si>
  <si>
    <t>icias disciplinadas de infantería á 6. Francir.cn Garcés * D. Francisco Manzano, D. Basilio López, D. Jacobo Garcés, D. R-amon Roa, D. Xavier Morios, D. Pedro Astarloa, D. Juan Esteban Cueto, Don Manuel Carrera, D. José María Medina, D. Podro Jo mi Alcina, D. Manuel U&amp;bina, D. José Díaz Ace vedo v D. J nan Cádos nez ; el mism…</t>
  </si>
  <si>
    <t>Astete</t>
  </si>
  <si>
    <t>que mi mayor general saliese rá­ pidamente á atajar al enemigo por la derecha con inmediación á las líneas de Abaucai y Cotabambas de reserva; que el coronel Astete hiciese igual movimiento por la izquierda , y yo á la cabeza del real de Lima me puse en marcha á cortar por ei centro su caballería. La rapidez de nuestros despl…</t>
  </si>
  <si>
    <t>Astete, Francisco Picoaga y Don Pablo</t>
  </si>
  <si>
    <t>Francisco Picoaga y Don Pablo Astete</t>
  </si>
  <si>
    <t>este movimiento , desalojé de su primera lí­ nea á cuantos la ocupaban , distinguiéndose en su rapidez y m vimientos los batallones de los coroneles D. Francisco Picoaga y Don Pablo Astete. „No bien tomé esta posición y ocupé á Sipesipe , cuando obser­ vé que los enemigos se situaban en otra mas dominante á vanguar­ dia de su…</t>
  </si>
  <si>
    <t>Astor, José</t>
  </si>
  <si>
    <t>José Astor</t>
  </si>
  <si>
    <t>osto de 1811 por una vez, 11. D,oña Teresa de ¿ayas, id., SCO. D. Pe­ dro Sotolongo, id., 17. El licenciado D. José María Éncinoso de Abreu, id , 25. D. José Astor, id. , 25 y 4. D. Juan Miguel Pita , id. , 10. P. Fran­ cisco y D. Pedro de Cárdenas , id., 100. D. Francisco Antonio Mimos , id., 17. El conde de Zaldivar y D. Pe…</t>
  </si>
  <si>
    <t>Astyte, Gregorio</t>
  </si>
  <si>
    <t>Gregorio Astyte</t>
  </si>
  <si>
    <t>osé de.Silva , 6. D. Juan Ferrusola, 50. D. Atanasio l.arios , 10. D José Ponce , 2. D Jcsé de la Vera , 4. D. Pedro Gaiecio , 2. D. Pedro Gamez , 3. D. Gregorio Astyte , 4- La cuadri­ lla de negros trabajadores de aguardientes, 8. D. Manuel Morillo, 20. D. José Baloña, 30. D. Pedro García, 50. Doña Josefa Vejarano y D. Jacin…</t>
  </si>
  <si>
    <t>Asura, Francisco Ignacio</t>
  </si>
  <si>
    <t>Francisco Ignacio Asura</t>
  </si>
  <si>
    <t>Gazeta de la Regencia de las Españas n.º 104</t>
  </si>
  <si>
    <t>857</t>
  </si>
  <si>
    <t>8 fusiles. — Dios guarde á V. S. mu­ chos años. Yillafranca 9 de junio de 1812. — JPedro Echcgoyen.— Sr. D. Francisco Espoz y Mina.” 3 ° Excmo. Sr.: D. Francisco Ignacio Asura , comandante del cuarto batallón, con fecha de 12 de junio me dice lo siguiente s ,,Mi general: en cumplimiento de la orden de V. S. de trasladarme con…</t>
  </si>
  <si>
    <t>Atanasio</t>
  </si>
  <si>
    <t>s con Mr. Wellesiei-Pole. En esta sátira se art. ni. Para presidente de este tribuna] nom­ toca también con mucha gracia la historia amorosa bramos a D. Atanasio dai Castillo, jaez primero del duqae de Yorck; y el resto es alusivo al acci­ del tribunal criminal extraordinario de Córdoba. dente ocurrido al Príncipe Regente qua…</t>
  </si>
  <si>
    <t>. D. José Juan de Echevarría , 25. D. Juan Midan, 100. D. Bernardino Salado . 12. D Ignacio Aviles, 100. D. José de.Silva , 6. D. Juan Ferrusola, 50. D. Atanasio l.arios , 10. D José Ponce , 2. D Jcsé de la Vera , 4. D. Pedro Gaiecio , 2. D. Pedro Gamez , 3. D. Gregorio Astyte , 4- La cuadri­ lla de negros trabajadores de agu…</t>
  </si>
  <si>
    <t>Atiza, Pedro</t>
  </si>
  <si>
    <t>Pedro Atiza</t>
  </si>
  <si>
    <t>». D. Juan Francisco Ramírez. D. Manuel Bujalance, de tiradores. D. Juan de Tienda. Tenientes. D. Josef Joaquín Henares. D. Vicente Ort'z y Alguacil. D. Pedro Atiza. D. Juan Pioeda. D. Josef Vexijar. Subtenientes. D. Josef de Osuna y Quadra. D. Andrés Padillo. D. Félix María Carrillo. D. Pedro Perez Garnacha. Subtenientes. ar…</t>
  </si>
  <si>
    <t>Atnat, Francisco</t>
  </si>
  <si>
    <t>Francisco Atnat</t>
  </si>
  <si>
    <t>Gaceta de Madrid n.º 190</t>
  </si>
  <si>
    <t>ayudantes de tercera clase de la plaza de i tenientes: en el esquadron de geodarmería real Toledo á D. Santiago Techler y D. Francisco OJde Sevilla á D. Francisco Atnat, capitán, á co­ done, teniente y subteniente que eran del regi­ mandante de esqoadron; á D. Francisco Montada, miento de infantería Real Extraugero. •brai y n…</t>
  </si>
  <si>
    <t>ATROS, Don TB</t>
  </si>
  <si>
    <t>Don TB ATROS</t>
  </si>
  <si>
    <t>tud de facultad real, que ha obtenido D. Tiburcio Al­ iare , vecino de esta corte, y poseedor de los vínculos que en el lugar de Villaverde fundó el presbítero Don TB ATROS. Pedro Alfaro, se han formado autos sobre la venta de varias tierras pertenecientes á dicha vinculación; y ha­ En el del Príncipe, á las siete de la noche…</t>
  </si>
  <si>
    <t>Au, Francisco</t>
  </si>
  <si>
    <t>Francisco Au</t>
  </si>
  <si>
    <t>Gaceta de Madrid n.º 65</t>
  </si>
  <si>
    <t>258</t>
  </si>
  <si>
    <t>Italia por la plan grandes Bandas de la Orden Reit.de España á los •e Trieste; per» ea llegando al ises d« marzo vol­ caballeros comendadores de ella D. Francisco Au-</t>
  </si>
  <si>
    <t>AU-xan</t>
  </si>
  <si>
    <t>varias noticias relativas a .icsazones de la tarde, en la audiencia del Sr. D. Juan Bautista domésticas.) Guitart , por ante el escribano del número D. AU-xan,, A Dios, mi qnerido Carlos; Dios te de toda dro Gutierre/. La persona que quiera hacer mejor., á la R-licidad que tan de veras te desea tu hermano dicha casa acuda ant…</t>
  </si>
  <si>
    <t>Auchaiuty</t>
  </si>
  <si>
    <t>migo de 500 hombres, persistía hostilizándolo, y manteniendo la comunicación entre la escuadra y Pandora. Después de esto, el 4 de agosto el teniente general Auchaiuty hizo un desembarco en el pueblo de Chillingching, 12 millas al E. de Batavia, capital de la isla, desde donde se dirigió por la costa, sin encontrar mas obstác…</t>
  </si>
  <si>
    <t>Auchmuty</t>
  </si>
  <si>
    <t>ancio de su» tropas , que habían caminado aquel dia 18 millas por mal camino y conduciendo á brazo la artillería. Aquí-lla misma noche se presentó al general Auchmuty el brigadier Wsnkieiuan, despachado por Jansens desde Snhdiga á .15 millas so­ bre el camino de Rolo, á pedir un largo armisticio, durante el cuál podría entrar…</t>
  </si>
  <si>
    <t>Auchmuty, Sir Samuel</t>
  </si>
  <si>
    <t>Sir Samuel Auchmuty</t>
  </si>
  <si>
    <t>Gazeta de la Regencia de las Españas n.º 21</t>
  </si>
  <si>
    <t>188</t>
  </si>
  <si>
    <t>y ardor que'han resplandecido en las últimas operaciones del 'valeroso exército mandado por un oficial dé tan distinguido, mé­ rito como el tenieide general Sir Samuel Auchmuty , auxiliado tan poderosa } como" há'bifhiente y por las fuerzas navales-dé S. M. •</t>
  </si>
  <si>
    <t>ha del 16 de diciembre último y 20 de este se lian pu­ blicado aquí, de orden del gobierno, los partes del contra almiran­ te Stopfort y del teniente general Sir Samuel Auchmuty, relativos 4 la toma de la isla de Java. Por ellos consta, que luego que se de­ terminó atacar esta fuerte posición del enemigo., las fuerzas nava­ l…</t>
  </si>
  <si>
    <t>Augereau</t>
  </si>
  <si>
    <t>1413</t>
  </si>
  <si>
    <t>0 enemigos que en tres columnas se diri­ gían de E¡nía á Smolensko. Logró cortar una de estas columnas y la obligó á encerrarse en un lugar, donde el general Augereau 3 60 oñ&gt;</t>
  </si>
  <si>
    <t>Augusting, Juan D</t>
  </si>
  <si>
    <t>Juan D Augusting</t>
  </si>
  <si>
    <t>Gaceta de Madrid n.º 159</t>
  </si>
  <si>
    <t>50</t>
  </si>
  <si>
    <t>les está formando causa. ya , D. Francisco Casalios y D. Jorge Driget, sub­ Las monedas que han contrahecho están tan mal tenientes , á tenientes; y D. Juan D’ Augusting, trabajadas, que á primera vista se conoce desde D. Tomas Balocco y D. Josef María Nuñez, sar­ luego que son falsas. gentos primeros, á subtenientes; D. Jose…</t>
  </si>
  <si>
    <t>Augusto, Luis</t>
  </si>
  <si>
    <t>Luis Augusto</t>
  </si>
  <si>
    <t>Gaceta de Madrid n.º 174</t>
  </si>
  <si>
    <t>•mas leves pesan mucho. ¡ Oxa'lá no fuera cierto! 1769 , y ha dexado por sucesor á su sobrino el Nuestro familiar Carcelero sienta que este tribunal príncipe Luis Augusto, que nació en 20 de se­ es tan necesario como la medicina, la defensa y la tiembre de 1802 , y ha sido*edu’cado en Darms- justicia , y ftu humano traslado d…</t>
  </si>
  <si>
    <t>Aure, José</t>
  </si>
  <si>
    <t>José Aure</t>
  </si>
  <si>
    <t>460</t>
  </si>
  <si>
    <t>para forzar la entrada con algunos granaderos, ca­ pitulando á consecuencia los que había dentro ; el de! segundo capi­ tán de voluntarios de Aragón D. José Aure, y del subteniente agre­ gado al mismo D. Manuel González, que al hacer rendir á los que se hallaban en la casa fueron gravemente heridos; el del soldado del propio …</t>
  </si>
  <si>
    <t>Ausejo, Tomas</t>
  </si>
  <si>
    <t>Tomas Ausejo</t>
  </si>
  <si>
    <t>Villablanca, 100. D. José López Molero, cura de Huco , 25. I). Tadeo Valverde , cura de Chacas, 100 , y ofrece igual cantidad ínterin dure la guerra. D. Tomas Ausejo , comandante militar de lea , 200. (Se continuará.) CÁDIZ: EN LA IMPRENTA REAL.</t>
  </si>
  <si>
    <t>ñecas, 4. Id. D. Santiago Burga, G. Id. D. Manuel An­ tonio Quiñones , 2. Id. D. José María Quiñones , 4. Los individuos de la dé­ cima compañía , 8. D. Tomas Ausejo , comandante militar de lea , 200. (Se continuará.) CADIZ; EN LA IMPRENTA REAL.</t>
  </si>
  <si>
    <t>Ausoa</t>
  </si>
  <si>
    <t>artida de guerrilla, mandada antes por el difunto Marquinoz, se­ guía por lás alturas de la izquierda de. nuestra retaguardia^ La bri­ gada del mayor general Ausoa atacó dos vece* con gran ventaja, en-</t>
  </si>
  <si>
    <t>Auson</t>
  </si>
  <si>
    <t>Gaceta de Madrid n.º 245</t>
  </si>
  <si>
    <t>lpe sobre e¡ enemigo, pedí al tenien­ nuestro movimiento con todo su exército. La bri­ te general Sir Kd.vard Paget que se moviese con gada del mayor general Auson atacó dos veces al la primera y quinta divisiones sobre el flanco de- enemigo enfrénte de Celaría del Camino con él (¡y Ya vemos á lord Wcllington forzado á reunir…</t>
  </si>
  <si>
    <t>29</t>
  </si>
  <si>
    <t>ndo sido atacadas, te estaba compuesto ; pero siu haber pasado el ene­ se^ceharorv ,hacia etijñancp rde la, retaguardia de la migo. brigada del mayor general Auson., .envueltas con OTRO. guarro 6 cinco esquadrones- en£inÍgos,..que supo­ Quartel general de Rueda 3 de noviembre. niéndose todos españoles, cayeron sobre el- flane…</t>
  </si>
  <si>
    <t>Autoaio</t>
  </si>
  <si>
    <t>720</t>
  </si>
  <si>
    <t>s. cas y deinas establecimientos de instrucción pú­ El monte pió militar, por medioblica , fundados en las diferentes provincias de la de su tesorero D. Autoaio.SouGrecia, der,-:.- la ruina del imperio de oriente (en sa....... ................ .......................... 254*23 8 el año 1453 ) hasta nuestros dias ? D. Pedro Gó…</t>
  </si>
  <si>
    <t>Autuuío</t>
  </si>
  <si>
    <t>Gaceta de Madrid n.º 130</t>
  </si>
  <si>
    <t>or los mostradores,,que Camarina de Suso, para el de Kobledillo dé la come en úgon, y bebe en taberna 1 y se la ve he-, Xara , vacante por muerte, dé D. Autuuío.Sanz p.ha una fregona por esas cocinas de Dios, no Cruzado. muclioquese le pierda el respeto, y que se la ,trisca Al ex-agustino calzado D¿ Santiago Recio con un trag…</t>
  </si>
  <si>
    <t>AUuzarra, José</t>
  </si>
  <si>
    <t>José AUuzarra</t>
  </si>
  <si>
    <t>do Mestas , I. D. Gavino Villegas , 2. D. Pedro Martínez , 1. Don Gerónimo Arnal, capellán del monasterio de Sta. Clara , 17. D. Manuel de A iba , 2. D. José AUuzarra , 2. D. José Calixto Alzamora , 2, D. Miguel IraTnategui , G. D. Diego Rey lia , capellán del monasterio de Trinitarias ,8 y 4. D. Antonio de Almoguera , capell…</t>
  </si>
  <si>
    <t>Avellaneda, Mariano</t>
  </si>
  <si>
    <t>Mariano Avellaneda</t>
  </si>
  <si>
    <t>sio Mesedua , 25. D. Manuel Salcedo , 12. D. Juan de la Cruz Mesa, 12. D. Melchor Mal partida, 25. D. Juan Antón o Gaona, cu­ ra de Carhuamayo , 100. D. Mariano Avellaneda, cura de Yanahuanca, 100. Fr. José Contreras , cura de Tarma, por sí y su clerecía, 169. D. Manuel Corbalan , cura de Ninacaca, 24 y 6 D. Manuel de 3as Cas…</t>
  </si>
  <si>
    <t>Avendaiío, Hilaria</t>
  </si>
  <si>
    <t>Hilaria Avendaiío</t>
  </si>
  <si>
    <t>ópez Perez. Diputado eclesiástico Diputado eclesiástico D. Manuel Agu'iUr. 2&gt;. Lorenzo López. Diputado secular Diputados seculares D. Blas de Torres. D. Hilaria Avendaiío. , Los demás están vacantes. D. Juan Ldrénzd.Secretorio QUARTEL DE SAÑ ISIDRO. D. Manuel María ibañez. barrio de la comadrS. QUARTEL DE SAN GERONIMO SARRIO …</t>
  </si>
  <si>
    <t>Aveus</t>
  </si>
  <si>
    <t>Gaceta de Madrid n.º 238</t>
  </si>
  <si>
    <t>800</t>
  </si>
  <si>
    <t>de cazadores dicen que en su regiinien- El sargento Prohoroíf, del regimiento de Raito apenas habian quedado 50 hombres por com­ zau , declara que su coronel Aveus fue muerto , y pañía. que al tiempo de la retirada vió en la orilla del 2.0 La primera división de granaderos, com­ rio herido al general en gefe Tutschkow, como p…</t>
  </si>
  <si>
    <t>Aviles, Ignacio</t>
  </si>
  <si>
    <t>Ignacio Aviles</t>
  </si>
  <si>
    <t>6. D. Domingo Pombar, 16. D. Antonio Lardo, 16. D. Ramón Ribero, 10. D. José Juan de Echevarría , 25. D. Juan Midan, 100. D. Bernardino Salado . 12. D Ignacio Aviles, 100. D. José de.Silva , 6. D. Juan Ferrusola, 50. D. Atanasio l.arios , 10. D José Ponce , 2. D Jcsé de la Vera , 4. D. Pedro Gaiecio , 2. D. Pedro Gamez , 3. D…</t>
  </si>
  <si>
    <t>Aviles, Manuel</t>
  </si>
  <si>
    <t>Manuel Aviles</t>
  </si>
  <si>
    <t>61 y ti y medio. D. Gabriel García Gómez, 7*2. El adminis­ trador, contador y empleados en la renta de tabacos, 178. D. José Gabriel A-tete ,11 y 2. D. Manuel Aviles , 9t&gt;. La provincia de Portoviejo, por ma­ no de D. José Moran, 14-22 y i. El pueblo de Yahuache , por mano de Don Juan Bautista Elizalde, 86 y 4. Las milicias d…</t>
  </si>
  <si>
    <t>AWarez, Julio</t>
  </si>
  <si>
    <t>Julio AWarez</t>
  </si>
  <si>
    <t>., 18. D. An­ tonio Brvzon , por uno, 9. D. Domingo del Cueto, id. , 9. Doña Manuela Laborda, id., 9. D. Tomas de la Fuente, id., 9. Los herederos de D. Julio AWarez, D ñi ?daría Luisa, Doña Mariana y D. Diego Mayoli, id., 9. Don Miguel Pascual de la Peña, id., 9. D. Vicente Santurio, id., 9. D. Manuel Amable , id., 9. D. Jos…</t>
  </si>
  <si>
    <t>Awtabili, Francisco</t>
  </si>
  <si>
    <t>Francisco Awtabili</t>
  </si>
  <si>
    <t>icio de cualquier motivo de infiden­ cia ¿ la patria.— Francisco Ferraz” A consecuencia de esta orden fueron pasados por las armas en la tarde del £4 D. Francisco Awtabili, teniente dei regimiento iixo do Málaga * Miguel Garrido l.°, Miguel Garrido i5, Sebastian• Jaimemi., Miguel Iglesias, Diego Truxillo, Juan Gaiaa , Francis…</t>
  </si>
  <si>
    <t>Ay, Francisco</t>
  </si>
  <si>
    <t>Francisco Ay</t>
  </si>
  <si>
    <t>ía Ximcnez , D. Domingo Draper , D. Ma­ nuel Guio, D. Juan Utrero , D. Benigno Merchau, D. Víctor Casasola , D. Pascual del Rey , D. Miguel Parrales, D. Francisco Ay uso, D. Miguel González, D. Antonio (González, D. Angel Liare, D. José Uiloa,D Francisco Acosta, D. Justo Clemente, D. José Sánchez, D. Eustaquio Hidalgo, D. Bas…</t>
  </si>
  <si>
    <t>Ay, Mariano</t>
  </si>
  <si>
    <t>Mariano Ay</t>
  </si>
  <si>
    <t>, 8. D. Miguel Rodríguez , 8. Don Fernando Urtiaga, 8. D. José Antonio Enriquez , 13. D. Carlos Delgado , 8. B. Juan Piñeiro, 8. D. Felipe Arria, 8. D. Mariano Ay lucrdo, 13. D. Ma­ nuel llenera, S. D. Pedro Norieaga, 8. D. Juan de la Peña , 8. D. José Pasíjuel , 8. D. José María Torres, 8. D. Ignacio Icaza, 8. D. Manuel Icaz…</t>
  </si>
  <si>
    <t>Aycinena, José</t>
  </si>
  <si>
    <t>José Aycinena</t>
  </si>
  <si>
    <t>omado, todas dirigidas ó establecer la con­ cordia en aquellos habitantes, y una ee^re otras ha sido la de nom­ brar al señor regidor coronel, el Dr. D. José Aycinena, intendente de</t>
  </si>
  <si>
    <t>Ayer, Bernabé Portillo</t>
  </si>
  <si>
    <t>Bernabé Portillo Ayer</t>
  </si>
  <si>
    <t>uan Veguer, capitán segundo de la primera compañía de zapa­ Parts 4 de mayo. dores , á ayudante mayor de estas compañías; á D. Ramón Rubín de Celis , D. Bernabé Portillo Ayer antes de misa recibió S. M. el Empera­ y D- Josef Velasco, alumnos del real cuerpo dé dor y Reí en el palacio de S.int Cloud ai cuerpo artillería , á se…</t>
  </si>
  <si>
    <t>Ayllon, Cecilio</t>
  </si>
  <si>
    <t>Cecilio Ayllon</t>
  </si>
  <si>
    <t>Gazeta de la Regencia de las Españas n.º 129 (extraordinaria)</t>
  </si>
  <si>
    <t>55</t>
  </si>
  <si>
    <t>ías de cazadores de estos batallones, sus auxiliares D. Vi­ cente Sánchez, de Cataluña, D. Bernardo García , de Lena , D. Jo­ sé Duran de Sigiienza , D. Cecilio Ayllon , de Ciudad-Real, y de­ mas subalternos , traspasaron la esfera de la bizarría y constancia tan comunes á los militares del exército de V. E.: el tino, previsi…</t>
  </si>
  <si>
    <t>208</t>
  </si>
  <si>
    <t>mpañías de cazadores de estos batallones, sus auxiliares D. Vicente Sánchez, de Cataluña; Don Bernardo García, de Lena; D. Josef Duran, de Sigiienza; D. Cecilio Ayllon, de Ciudad-Real, y demas subalternos, traspasaron la esfera de la bi­ zarría y constancia, tan commes á los militares del exército de V. E. : el ti­ no, previs…</t>
  </si>
  <si>
    <t>Ayllon, Félix López</t>
  </si>
  <si>
    <t>Félix López Ayllon</t>
  </si>
  <si>
    <t>ensuales , 4. El comisario ordenador administrador prin- cipal de correos D. José de Fuertes, 1000 anua'es que disfruta de sobresuel­ do. El contador D. Félix López Ayllon , mensuales, 18. D. José María Piar, id., 9. D. Juan Alonso Carriazo, id., 9. D. Juan Suavedra, id. , 4. D. Juan. José Hortelano , id., 2. D. Juan Cayetano…</t>
  </si>
  <si>
    <t>Ayora, Antonio Bermudo</t>
  </si>
  <si>
    <t>Antonio Bermudo Ayora</t>
  </si>
  <si>
    <t>ey , vocales. D. Antonio Franco, En la sesión de ayer se leyeron y aprobaron D. Juau Bautista Armesto. hs actas del tribunal; con que quedó prologado D. Antonio Bermudo Ayora.</t>
  </si>
  <si>
    <t>Azcárate, Fermín</t>
  </si>
  <si>
    <t>Fermín Azcárate</t>
  </si>
  <si>
    <t>heridos en la infantería, siendo de los primeros el teniente D. Femando An­ sa, el subteniente abanderado del segundo batallón D. Bernardo Zabala, y D. Fermín Azcárate, subteniente de la cuarta del cuaTto : de los segundos D. Marcelino Orá, capitán de la tercera del segundo, D. Juan Monton , subteniente de la cuarta del mismo…</t>
  </si>
  <si>
    <t>Aznar, Benito</t>
  </si>
  <si>
    <t>Benito Aznar</t>
  </si>
  <si>
    <t>disciplinadas de Campeche á D. José Arbizua; el empleo d@ capi­ tán de la compañía de caballería de la guardia del vírey del nuevo reyno de Granada á D. Benito Aznar, y el de capotan de llaves de la plaza de Campeche á D. Joaé Tomas Vaidioscra. Ei gefe del estado mayor general ha recibido el oficio siguiente del mariscal de c…</t>
  </si>
  <si>
    <t>Aznar, Mariano</t>
  </si>
  <si>
    <t>Mariano Aznar</t>
  </si>
  <si>
    <t>egún lo haD exigido algunas circunstan­ antigua real casa.................................. 2200 cias ó el capricho de los legisladore'. Setia inútil D. Mariano Aznar, administrador de dar aqui la historia de todas estas variaciones; pe­ correos................................................... 12009 ro lo que no podemos men…</t>
  </si>
  <si>
    <t>Aznarez, José</t>
  </si>
  <si>
    <t>José Aznarez</t>
  </si>
  <si>
    <t>, para presidente el Sr. D. Jo­ sé Miguel Guridi Alcacer, diputado propietario por la ciudad de Tiaxeala en Nueva-Empaña; para vice-presidente ei Sr. D. José Aznarez, diputado suniente por el reyno de A agón ; y para secreta­ rio el Sr. D. Juan Nicasio Gallego, diputado tupiente per la provin­ cia de Zamora. Continúan los don…</t>
  </si>
  <si>
    <t>Aznarez, Mariano</t>
  </si>
  <si>
    <t>Mariano Aznarez</t>
  </si>
  <si>
    <t>650</t>
  </si>
  <si>
    <t>s, D. Miguel E razquio, D. Francisco Ovando, D. R^mon Lavandeyrs, D. Lázaro Viílasante, D. Francisco Leoni, D. Francisco Torrado, D. Joaquín Pczusla, D. Mariano Aznarez, D. Luis Calieron, D. José Salomón y D. Juan Arnaiz ; en atención á la aplicación , aprovechamiento y bue­ na conducta que han manifestado en el colegio milt¿…</t>
  </si>
  <si>
    <t>Azpiroz, María Angela</t>
  </si>
  <si>
    <t>María Angela Azpiroz</t>
  </si>
  <si>
    <t>ninis t crio 1809.,'X" .....' ........... de la Guerra. Rí. Mrs. RS. Mrs. D. Joaqoin Jo*efd*í-M?aas, gat........ 5400 D. Ramón Ruiz, portero mayor de Doña María Angela Azpiroz................ 30600 ella, por........................................... 255522 D. Simón García Puerta...................... 14760 Doña Josefi* Alvar…</t>
  </si>
  <si>
    <t>B'ss</t>
  </si>
  <si>
    <t>Gaceta de Madrid n.º 140</t>
  </si>
  <si>
    <t>é quien maí pleito tiene lo reduce mo amigos escarriados, y que los habían seduci­ á voces. do, sabiendo también que en esto daban gusto á El buen fr.d B'ss , dixYel cura, nos ha hecho •S. M. Yo fe i después á Madrid , y'supe que S. M. alargar demasiado la tertulia { retirémonos, que yla envió, nuevamente al señor A Imerj ira…</t>
  </si>
  <si>
    <t>B, Angel</t>
  </si>
  <si>
    <t>Angel B</t>
  </si>
  <si>
    <t>l Muñoz , ex-carmelita calzado. 2200 villa de Cunmgo................ .Vil................... 2200 0. Angel Moreno, ex-domioico.................. 2200 D. Angel B jo , id. de Santander....,............ 2200 0. Josef Antonio Muñoz , ex-esculapió..., 2200 D.^Xavier Rodríguez Ubi , idi deSanti- ! D. Pablo Soriano, id..............…</t>
  </si>
  <si>
    <t>B, Dionisio</t>
  </si>
  <si>
    <t>Dionisio B</t>
  </si>
  <si>
    <t>Gazeta de la Regencia de las Españas n.º 74</t>
  </si>
  <si>
    <t>grado difícil, y se suponía ge-" neralmente imposible, resolví acometerla, auxiliado feliz y oportu­ namente de las noticias que me dió el arquitecto D Dionisio B dio­ la, honradísimo español, que saliéndose de ia pieza me prestido el plano de ella y comunicó otras nociones muy. importantes. ,.Habiéndome acercad© á Soria con …</t>
  </si>
  <si>
    <t>B, Francisco</t>
  </si>
  <si>
    <t>Francisco B</t>
  </si>
  <si>
    <t>an Vülaviccncio. — Ignacio Rodriguen, de Rtvas. — £1 conde del Ahisbol — En Cádiz á 25 de mayo de 1812.— A D. Jo­ sé María da Cc.rv ja\ El Excmo. Sr. D. Francisco B illesteros, general en gfe del cua rto exército, desd- su caa«t 1 general de l - v?nta de Gamez , con fecha de 25 de myo ú timo, dice al gefe dei estado mayor gen…</t>
  </si>
  <si>
    <t>706</t>
  </si>
  <si>
    <t>é Salgado, ios tenientes de granaderos y cazadores del mismo cuerpo D. Juan Suances, D. Ambrosio HorcasiHasy D. Felipe A ña­ ño , y ios subtenientes D. Francisco B¿an, D. Joaquín Quiroga y D. Aíitonio Boan, como igualmente el teniente y comandante de la compañía de cazadores, D. José Fcminaya, y el subteniente de la misma D. …</t>
  </si>
  <si>
    <t>B, Joan</t>
  </si>
  <si>
    <t>Joan B</t>
  </si>
  <si>
    <t>y habí iRavvrH4 regí * S. M., y canciller de ia insigne órJen del Toimienta nóm. i.° de cazadores á cabafló.- J • ■ • ’íón cíe Oro’. * • ‘ Bitheron (D. Joan B.&lt;uti&gt;ta)., cabo del re¿¡Wiénr* Fernandez Gallardo { D. Simón) , oficial del tnioú&gt; to de tiradores de la gtiaVdiá real. "Verio da la Policía" general. t 1 Blanco .{X&gt;. …</t>
  </si>
  <si>
    <t>l López, D Manuel C &gt;h?.ro y T^gle, D. Andrés Sánchez de Q iros, D. José A nez-aga, D. Manuel'Antoai© de P.;ctido, D, Fraacisco de la Casa y Piedra , D. Joan B/ucíe ta Enea . D. Pedro Ca­ bero y Tcgle, D. Manuel I). Juan EfznUle, D. Toma? Ugr» te, D. Yícente Navas, D. Manuel Vázquez, D. Tcm&amp;s Rico, D. Ma­ nuel Esteban Martíne…</t>
  </si>
  <si>
    <t>B, Joaquín</t>
  </si>
  <si>
    <t>Joaquín B</t>
  </si>
  <si>
    <t>erior desde Valencia, remite al Exorno. Sr. ge fe del estado mayor general, copia del parle que ha pisado el brigadier D. José Duran al Excnio. señor D. Joaquín B.ake, que es como se sigue: „Exc uo. Sr.: Cuanto me propuse en el oficio que dirigí á V. E. con techa 23 del próximo pasado desde Vil (aluenga, todo se verifi­ có, y…</t>
  </si>
  <si>
    <t>B, Josef</t>
  </si>
  <si>
    <t>Josef B</t>
  </si>
  <si>
    <t>bio, residente en Ovejo........... 2200 D.-Joan de Quero, id....................................... 2290 D. Francisco de Castro , lego , residente en D. Josef B tdillo, id.......................................... 2290 Montilla............................... 1100 D. Antonio Junquico.id........................... 2290 D. Alfon…</t>
  </si>
  <si>
    <t>B, Juan</t>
  </si>
  <si>
    <t>Juan B</t>
  </si>
  <si>
    <t>iempo que Se recomienda á promover ai capital» que f e del cuerpo de tropa.' los labradores el cu divo de la adormidera, se les ligeras de Montevideo D. Juan B ¡mista R un ond txpiíqae el efecto narcótico de sus capsulas , del á capitán de infantería de linea , y al teniente que que n &gt; participr en manera alguna ei aceite qu…</t>
  </si>
  <si>
    <t>B, Marcelo</t>
  </si>
  <si>
    <t>Marcelo B</t>
  </si>
  <si>
    <t>nuel Raíz de Burgos, D. Antonio Raras, Don Tornas de la Casa y Piedra , D. Domingo Laspiur, D. José CasiiuIto Sctimayor, í). Francisco María Zu^oaga, D. Marcelo B &gt;za y Edava, D. Manuel Morales y IJgalde, D. Benito Canicoba, Don José Mari?. Galdraio, D. Pedro Moreno y A-tazarra, D. José Pío García y D. M-.trña CuisascJa ; sub…</t>
  </si>
  <si>
    <t>B, María León</t>
  </si>
  <si>
    <t>María León B</t>
  </si>
  <si>
    <t>as, y ios relaxados fueron á la villa deBéjar, obispado de Plasencia , hijo de D. /An­ hognera: se prosiguió la lectura de los demas pro­ tonio y. de Doña María León B.illejcra, para que den­ cesos hasta la* nueve de la noche, en que los reos tro del término preciso de 30 dias, contados desde di­ hicieron sus abjuraciones. A …</t>
  </si>
  <si>
    <t>B, Martin</t>
  </si>
  <si>
    <t>Martin B</t>
  </si>
  <si>
    <t>erpo de 2000 franceses intentó torprehender el primer batallón del regimiento de S. Fernando que estaba eu Torteliá. fíi comandante de este batallón, D. Martin B¿llm&amp;s, después de algún tiroteo evacuó el pueblo y tomó posición en el puente de L icrca: y los enemigos, noticiosos de los movimientos del brigadier Rovtra y de las…</t>
  </si>
  <si>
    <t>B, Mauuei Pinto</t>
  </si>
  <si>
    <t>Mauuei Pinto B</t>
  </si>
  <si>
    <t>414</t>
  </si>
  <si>
    <t>marque» de Borfca ; á Fianc^sco de M lio el de conde de Pícalho; al teniente general Antonio José de Miranda el de vizconde de Souzel; al te­ niente general Mauuei Pinto B a cebar el de vizconde de Montategre; á Juan Diego de Barros, el de vizconde de Santaren ; al conde de Fiinchal, la gran-cruz del orden de Santiago de la E…</t>
  </si>
  <si>
    <t>B, Miguel Ignacio</t>
  </si>
  <si>
    <t>Miguel Ignacio B</t>
  </si>
  <si>
    <t>Gazeta de la Regencia de las Españas n.º 153</t>
  </si>
  <si>
    <t>260</t>
  </si>
  <si>
    <t>osé de Salas y al cabo Francisco Méndez ; al sargento José Medrano , al cabo Felipe Moncayo y al soldado José Vega, de in­ fantería de Nueva libpaña. D Miguel Ignacio B istegui da cuenta con fecha del mismo dia 0 , que se había dirigido con ¿¡0 dragones de su regimiento de S. Carlos á cortar la retirada á los insurgentes por …</t>
  </si>
  <si>
    <t>B-dhmia, Santiago</t>
  </si>
  <si>
    <t>Santiago B-dhmia</t>
  </si>
  <si>
    <t>, D. Luis Angel García, O. Pedio Toruno, D Antonio Rosado, D. Ildefon­ so Sierra, D Vicente Herrera, D. José C.uóps, D. Manuel L no, D. Pedro Rueda, D. Santiago B-dhmia , O. José Clemente, D. Jo­ sé Me-reno Muñoz, D. Andrés López, D. Baldomcro Espartero, D. Jo&amp;é Sema , D. Fernando Borrero, y D. Francisco Cortazar.</t>
  </si>
  <si>
    <t>BAatier</t>
  </si>
  <si>
    <t>e 29 del pasado, me dice desde Orihuela de Aibarracin lo que copio: „ Noticioso el 25 del corriente de que con 2000 infantes y 200 ca­ ballos, que el general BAatier había reunido de diferentes guarnida»</t>
  </si>
  <si>
    <t>Baca, Juan</t>
  </si>
  <si>
    <t>Juan Baca</t>
  </si>
  <si>
    <t>107 ©orué , no obstante que dentro de 4 ó 5 días á mr.s tardar , se con­ cluye ja que hay en la plaza. -—- Pfiihf.cn. Extracto de quatro parte? que D. Juan Baca, segundo coman­ dante de los escuadrones francos de Vaidcpt ñas, del macelo de O. Fran­ cisco Abad, ha dirigido con fecha de 28 ae diciembre de 1811 , di se­ ñor coma…</t>
  </si>
  <si>
    <t>Bacas, Juan</t>
  </si>
  <si>
    <t>Juan Bacas</t>
  </si>
  <si>
    <t>Gazeta de la Regencia de las Españas n.º 17</t>
  </si>
  <si>
    <t>, al parecer, era vengarse de las ventajas consegui­ das el mes anterior en el reyno de Jaén por ios escuadrones fran­ cos de Valdepeñas mandados por D. Juan Bacas, satisfacer su sed de robar á los pueblos indefensos , y hacer un reconocimiento de la sierra. Con efecto se presentaron en ¡segura el dia 6, después de ha­ ber co…</t>
  </si>
  <si>
    <t>Badan, Josef</t>
  </si>
  <si>
    <t>Josef Badan</t>
  </si>
  <si>
    <t>la ruiua del imperio de Oriente hasta nuestros de ido y 240 millones de reales. dias. D, Pedro Pablo Celesia , por me­ , Del 2t. dio de su apoderado D. Josef Badan.......... ................................ 19210 32 S. M. el Reí de Ñapóles llegó el día 14 á P. Santiago Autooio de Urízar... 3100 1 Francfort , donde se apeó en …</t>
  </si>
  <si>
    <t>Badilios, Andrés Oder y Don Diego María</t>
  </si>
  <si>
    <t>Andrés Oder y Don Diego María Badilios</t>
  </si>
  <si>
    <t>Gazeta de la Regencia de las Españas n.º 72</t>
  </si>
  <si>
    <t>602</t>
  </si>
  <si>
    <t>ete , D. Francisco Ibañez de Ley va , D. Ma­ nuel'Antonio de la Bodega y Moliinedo, O. Francisco Diez, D. Jayme Alvaroz de Mendieta, D. Vicente Fita, D. Andrés Oder y Don Diego María Badilios. El teniente general D. Francisco Ballesteros, general en gefe del cuarto exército, dirige al gefe del estado mayor general el parte si…</t>
  </si>
  <si>
    <t>Badillo, Felipe Fernandez</t>
  </si>
  <si>
    <t>Felipe Fernandez Badillo</t>
  </si>
  <si>
    <t>ideración. D. Diego de Cañas..................................... 22500 D. Josef Benito de Cuellar.................... 33007 12 Brusélás i% de abril. D. Felipe Fernandez Badillo.................. 45000 D. Josef Alegre........................................... 90001 26 El dia 4 de este mes llegó á esta ciudad el se­ ñor conde…</t>
  </si>
  <si>
    <t>Badiola, Pablo</t>
  </si>
  <si>
    <t>Pablo Badiola</t>
  </si>
  <si>
    <t>Gazeta de Madrid bajo el Gobierno de la Regencia n.º 14</t>
  </si>
  <si>
    <t>PDF p. 12</t>
  </si>
  <si>
    <t>haber sido heridos en los actos de mas valoreste lo tienen repetidísiinas veces acreditado, particularmente Rebollo; el cadete del batallón de Molina D. Pablo Badiola, que fue de los primeros que llegaron á posesionarse de la artillería; ios sargentos primeros del bata­ llón segundo de Voluntarios de Aragón Manuel Magdalena y…</t>
  </si>
  <si>
    <t>Baeza, Antonio</t>
  </si>
  <si>
    <t>Antonio Baeza</t>
  </si>
  <si>
    <t>ano Cruceta, id., 12. D. Manuel. Carasás , guardavista de la fundición , 83. D. Antonio Gaicano , 83. I). Ignacio Aillori Sala-, zar , escribano, 83. D. Antonio Baeza , teniente de juez de balanza, 66. Don Esteban Cabrera-, beneficiador de tierras, 83. D. Baltasar Pacheco , contador de moneda , 41. D. Miguel Navarro , id. , 2…</t>
  </si>
  <si>
    <t>Baggawort</t>
  </si>
  <si>
    <t>57</t>
  </si>
  <si>
    <t>ruso, según la estiman los boletines franceses, es como sigue. 1.er cuerpo mandado por el príncipe VYittgenstein..... 18000 hombres. 2. cuerpo por el general Baggawort.......... 1S000 3.er cuerpo por el general Schomoaloíf......... 24000 4.0 cuerpo por el general TuschhotL.......... 18000 5.0 cuerpo por el príncipe Bagration.…</t>
  </si>
  <si>
    <t>Baggohulwert</t>
  </si>
  <si>
    <t>Gazeta de Madrid bajo el Gobierno de la Regencia n.º 8</t>
  </si>
  <si>
    <t>¿xército ocupareneste, mooiutto las,posiciones' siguiente?: r „ El cuerpo del ponde vVittgemtein ¡se halla á, corta distan :ia de iílco** mir; el del general Baggohulwert en Schirwint, entre Wilkomir y Wi|»na ; los cuerpos de los generales TutschkofF y Schuwelow en Wilna ; la rp•tserva compuerta; de las guardias ea Swepaan * …</t>
  </si>
  <si>
    <t>Bagra</t>
  </si>
  <si>
    <t>e 1812. Las gazetas de Gottemburgo, que llegan hasta 15 de agosto, refieren lo siguiente: ,, El 2 5 de julio atacaron los franceses la vanguardia del príncipe Bagra­ tion , y fueron rechazados con pérdida de 8® hombres, ,, En el mismo dia el grande exército ruso fue atacado, y los franceses sufrieron la pérdida de 6® hombres.…</t>
  </si>
  <si>
    <t>Bagration</t>
  </si>
  <si>
    <t>58</t>
  </si>
  <si>
    <t>a Iliria en compensación de un cuerpo de 10C00G hombres con que debe con tribuir á la Francia. En los papelear pú­ blicos franceses se contaba que el príncipe Bagration había llega­ do con un cuerpo del exército ruso á las fronteras de Galitcia. Sin embargo el conde Ncwc*siíz&gt; ff, embaxador de la corta de Petersburgo , perman…</t>
  </si>
  <si>
    <t>Gazeta de Madrid bajo el Gobierno de la Regencia n.º 3</t>
  </si>
  <si>
    <t>necientes á la confederación del Rin, mandadas por el Rey de Westfalia , estaba al sur del ducado deVarsovia, y opuesto al exército ruso que manda el príncipe Bagration, El exército francés de réserva, que se forma actualmente entre el Oder y el Elba, debe ser mandado por Massena ó Kelierman. Si fuese cierta, como lo asegura …</t>
  </si>
  <si>
    <t>señaladamente en este último tiem­ po, iban correos desde Rusia á Francia, sin que viniesen de Francia á Ru­ sia. Movido de estas y otras razones el príncipe Bagration, que mandaba un exército en la frontera, se resolvió á detener un correo que.caminaba á Pa­ rís con pliegos para Bonaparte , sellados con el mismo sello del Em…</t>
  </si>
  <si>
    <t>Baggawort.......... 1S000 3.er cuerpo por el general Schomoaloíf......... 24000 4.0 cuerpo por el general TuschhotL.......... 18000 5.0 cuerpo por el príncipe Bagration............ 40000 6.° cuerpo por el general Dortorro\v‘.......... 18000 136000 Tero debe suponerse que esta suma está muy rebaxada, ademas que en ella no se c…</t>
  </si>
  <si>
    <t>uerpo del general Doctorow está en marcha desde Oschmany á «Swenzeny; el general Platow ha salido de Bájalostoke , y se dirige hacia « vYileika; y el príncipe Bagration continúa aproximándose al primer exér«cito." SUECIA. Carlsham j&gt; de julio. Han corrido voces de que se habla dado una batalla cerca de Poliosk, en la que se d…</t>
  </si>
  <si>
    <t>70</t>
  </si>
  <si>
    <t>amado, de Oueste ; pero el gene­ ral en ge fe , que conoce á fondo sus intenciones, ha tomado las me­ didas necesarias para burlar sus tentativas. El príncipe Bagration continua executando los movimientos que le han mandado hacer. El general de caballería Platow, que cubre estos movimientos, enconífórej. *26yle junio (8 de ju…</t>
  </si>
  <si>
    <t>971</t>
  </si>
  <si>
    <t>Los últimos partes del mayor general UJanow son de que al dia siguiente volvió el enemigo á la carga, y que de nuevo fué re­ chazado con pérdida. El príncipe Bagration lia dado ios pormeno­ res de las ventajas conseguidas por . el general de .caballería -Platow. El 28 de junio (10 de julio) la vanguardia del rey de Westíalia,…</t>
  </si>
  <si>
    <t>.” Ademas sabemos que en ei almirantazgo se recibieron antes de ayer por la noche, partes del almirante Martin desde Riga , en los cuales dice que el príncipe Bagration se había reunido ya enfrente de Smolenski con él exército grande, que estaba en Witepsk sobre el'Dwina. Refieren ademas estos partes, que Napoleón, viendo la …</t>
  </si>
  <si>
    <t>Gazeta de Madrid bajo el Gobierno de la Regencia n.º 10</t>
  </si>
  <si>
    <t>130</t>
  </si>
  <si>
    <t>­ zaba desde Bobrowitski, moviendo las cabezas de las coíunas en todas direc­ ciones. Platow se había retirado precipitadamente el 6 á Nikolaew. » El príncipe Bagration salió de v'Voikowisk á principios de julio para, dirigirse á Wilna; pero habiendo sido interceptado en su marcha, retroce­ dió con intento de ganar á Minsk; y…</t>
  </si>
  <si>
    <t>Reggio, varias divisiones del pri­ mer cuerpo, y la caballería de los cuerpos de los condes Nansoutv y Montbrun. El segundo exército, mandado por el príncipe Bagration, se hallaba el i.° de julio enKobren, donde se habia reunido, á excepción de las divisio­ nes 9.a y 13.a que estaban todavía mas distantes. Al primer aviso del…</t>
  </si>
  <si>
    <t>ción en que los franceses confiesan pérdida, sin suponer haber ganado lin solo prisionero ó herido enemigo. Las mismas noticias de Riga añaden que el general Bagration iba á efec­ tuar su reunión con el exército ruso, y que Bonaparte se dirigía hacia Moscou. Aunque ofrecimos al púbiico en la gazeta anterior algunas observacio…</t>
  </si>
  <si>
    <t>or la guarnición. Según los partes del mayor general Ulanow se repitió el ataque en el día 2, y el enemigo fue segunda vez rechazado con pérdida. „E1 príncipe Bagration participó de las ventajas obtenidas sobre él enemi­ go por el general Platow. En el día 10 de julio la vanguardia enemiga, mandada por el Rey de Westfaíia, no…</t>
  </si>
  <si>
    <t>Gazeta de Madrid bajo el Gobierno de la Regencia n.º 16</t>
  </si>
  <si>
    <t>nceses en las inme­ diaciones de Witepsk, donde una fuerte división de estos últimos, habiendo pasado el Dwina, atacó parte del cuerpo mandado por el príncipe Bagration. El enemigo fue rechazado y perseguido hasta la distancia de muchas millas de la parte de allá del rio, sufriendo una gran pérdida entre muertos y prisioneros…</t>
  </si>
  <si>
    <t>Gazeta de Madrid bajo el Gobierno de la Regencia n.º 20</t>
  </si>
  <si>
    <t>mparados con el número de muertos que dexó el enemigo mientras se le perseguía, debe exceder con mucho de 52) hombres, tanto muertos como heridos. El general Bagration elo­ gia el valor incomparable del séptimo cuerpo, y de todas las tropas, y añade</t>
  </si>
  <si>
    <t>res, igualmente que de Las acciones memorables de ios individuos. Del 5 de agosto. Se acaban de recibir noticias importantes de los exércitos----- El general Bagration, á pesar de todos los esfuerzos dél exército francés, se ha reunido con el cuerpo principal á las órdenes del general Bar­ clay de Tolly. Ha habido muchas acci…</t>
  </si>
  <si>
    <t>cirlos por entero para satisfacción, de nuestros lectores. BOLETIN DECIMOTERCIO. Smolensko 21 de agosto. En la batalla de Mohilow, en que vencimos al príncipe Bagration en 23 de julio, la pérdida del enemigo fue considera­ ble. Damos el parte del príncipe de Eckmühl relativo á esta acción. El duque de Tarento hallo 20 piezas …</t>
  </si>
  <si>
    <t>1186</t>
  </si>
  <si>
    <t>n la 'asistencia del Todo­ poderoso y en el valor increíble de mis tropas. ,,Ha sido herido de un balazo en un pie , con gran sentimiento nuestro, el príncipe Bagration: también han síclo heridos los tenien­ tes generales Toutschkoff, el príncipe Gortscbakoff, los mayoresgenerales Bachmstieff, los condes Woronzoff y KretofF, …</t>
  </si>
  <si>
    <t>Gaceta de Madrid n.º 226</t>
  </si>
  <si>
    <t>15 (27) de junio de 1812. lio apoyan las reflexiones que hicimos sobre el úl­ timo boletín del exército grande. No es seguro, di­ Del ao. cen, que el príncipe Bagration pueda incorporarse En el momento en que todos vuelven^su aten­ con el exército de la derecha sobre el Dwina, y en ción al exército grande, que acaba de pasar …</t>
  </si>
  <si>
    <t>parte saben que no podrían obtener una de caballería, de 18©-hombres, hacia parre del del enemigo sino socorros pérfidos, comprados por exército del príncipe Bagration. A mediados de ju­ delitos. Los únicos amigos, en quienes los ingleses nio llegó desde la Wolhynia á Lida para reforzar parecia tener alguna confianza, son un …</t>
  </si>
  <si>
    <t>60</t>
  </si>
  <si>
    <t>o^seis esquadrones rusos, acuchilló á muchos, estado mui cerca de ser completamente destruido. y cogió-15 prisioneros con varios oficiales. El ge­ El príncipe Bagration,-situado bastante atras neral: Niáhsouty aiaba La conducta de Rusel, y con el quinto cueryc, Ivi marchado sobre eLDwi- nombra con elogio ah teniente Borktí ; …</t>
  </si>
  <si>
    <t>is re­ PiatoíFse retiró-precipitadamente el 6 á Niko- gimientos de infantería, y la nobleza ha ofrecido iaew. , '........ ... quatro de caballería E! príncipe Bagration salló á principios de julio de VYolkü’.vick :qon dirección -á Wilna, y cortado Del 25. en el camino, .hubo de retroceder para ganar a Acaba de morir en París …</t>
  </si>
  <si>
    <t>150</t>
  </si>
  <si>
    <t>erimenta en París en esta estación, ni conocemos que estamos en el Norte. El duque de Reggio, que está en Wifria, se halla ente rameóla recobrado. El general en gefe Bagration ha muerto de las heridas que recibió en la batalla de Moskowa. El exército ruso desaprueba el incendio de Moskow: los autores de esta empresa son detes…</t>
  </si>
  <si>
    <t>BOLETIN 8.° DEL EXERCITO GRANDE. los horrores de la anarquía y de la guerra civil se engaña pueril y miserablemente. ¡Qué! ¿Las águi­ El exército del príncipe Bagration se .compone las de Austria y de Prusia, el león de Baviera y la de quatro divisiones de infantería, con fuerza de corona de Saxonia habían de ser presa de esc…</t>
  </si>
  <si>
    <t>duque dé Castiglione pasa á Berlín zadas, del príncipe de Eckmülh 3© cosacos, que á tomar el mando del undécimo., t i , t formaban la vanguardia del príncipe Bagration, que El pais entre ei Oula y el Dwina es mui bello, venia de Bobrunsk. Un batallón del 85.“ contuvo y y tiene en el dia abundantes’cosechas. Se ven en él .disi…</t>
  </si>
  <si>
    <t>Gaceta de Madrid n.º 231</t>
  </si>
  <si>
    <t>929</t>
  </si>
  <si>
    <t>ral conde Eblé hizo echar tres puentes cipe de Eckmülh ganó el 23 de julio sobre el exér- el 13 en Rassasna.Et quartel general, que había $a-ciro del príncipe Bagration. Véase adjunto el de­ ]¡Jo de Witepsk , llegó al mismo sitio el 13. talle del príncipe de Eekmiilh sobre cí mismo. El príncipe Poniatowsky salió de Mohilow, y…</t>
  </si>
  <si>
    <t>300</t>
  </si>
  <si>
    <t>stos han perdido 40 migo. generales entre muertos, heridos y prisioneros. Uno „■ r.° La di vi-ion décimasegunda, que hace parte de los segundos es el general Bagration. del séptimo cuerpo, compuesta de los regimiciH')f' Hemos perdido al general de división conde de infantería de Smnlemko, de Narwa, de AlexoMontbrum, á quien m…</t>
  </si>
  <si>
    <t>Los rusos confiesan la pérdida de io9 hombres pero el gobernador habia tomado la horrible pre­ en la batalla de Moskowa. El* príncipe Bagration caución de llevarse ó destruir las bombas de fuego. salió mortalinente herido. Se lia formado una lista El exército se repara de sus fatigas; tiene en de los generales rusos muertos y…</t>
  </si>
  <si>
    <t>Bagratr</t>
  </si>
  <si>
    <t>Gazeta de Madrid bajo el Gobierno de la Regencia n.º 35</t>
  </si>
  <si>
    <t>s, trataré de emprender nuevas operaciones ofensivas.----Me es sensi­ ble tener que penen en noticia de V.. M. hallarse herido en el pie izquierdo el príncipe Bagratr n , y estarlo también los generales Tortchkoff, el prín­ cipe Gortchacoif, los mayores generales Bakmetoff, el conde Woronzow, y Kretcfí.__ Hemos hecho algunos …</t>
  </si>
  <si>
    <t>Bagur, Juan</t>
  </si>
  <si>
    <t>Juan Bagur</t>
  </si>
  <si>
    <t>Gaceta de Madrid n.º 121</t>
  </si>
  <si>
    <t>, ó qne le han sido presentadas por tebez en la de Afligidos; D. Julián Cliavier en I2 otros sabios como un homeoage debido á este cé­ de Monterei, y D. Juan Bagur en la de S. Anto­ lebre cuerpo , que preside y sanciona , por decirlo nio abad: para diputado secular de este último aii, todos los grandes descubrimientos. barrio…</t>
  </si>
  <si>
    <t>Baigon, Antonio</t>
  </si>
  <si>
    <t>Antonio Baigon</t>
  </si>
  <si>
    <t>.......... 2200 D. Luis de Luque , id....................................... 2200 D. Salvador Elias, id......................................... *200 D. Antonio Baigon , id............................. ........ 2200 D. Josef de Priego , id....................................... 2200 D. Cristóbal Blanco, id....................…</t>
  </si>
  <si>
    <t>Baihurst</t>
  </si>
  <si>
    <t>Gaceta de Madrid n.º 104</t>
  </si>
  <si>
    <t>franceses se apoderarou de Stralsund, y es­ ses, papembnTgueset y demas neutrales. ,,Quan- tablecieron el sistema.continental en los prinvipa— do el conde Baihurst llegó á esta parte de su dis­ les poertos del Báltico. A petar de que los comercurso leyó las licencias concedidas por el gobierno ciantei Supieron qne las circuns…</t>
  </si>
  <si>
    <t>Bailester, Juan Bautista</t>
  </si>
  <si>
    <t>Juan Bautista Bailester</t>
  </si>
  <si>
    <t>renta del tabaco. ral para la organización de las cohortes de ia 24.* división militar. D. Simón de Torres.................................... 36540 D. Juan Bautista Bailester...................... 4WS2 12 Aix la-Chápele 1 $ de abril. Total...................... 4 a79 í 2 2 Van llegando aquí los conscriptos de1 Roer, y los nu…</t>
  </si>
  <si>
    <t>Baille, Pedro</t>
  </si>
  <si>
    <t>Pedro Baille</t>
  </si>
  <si>
    <t>392</t>
  </si>
  <si>
    <t>hijos.................................. 20820 brería de Quiroga, calle de las Carretas, á 14 rs. en D. Lorenzo de Palacio y Gofbea.... 13620 rústica. D. Pedro Baille y compañía........... 4551 11 Gramática francesa para uso de los españoles, por Donat, hermanos y compañía......... 33*7 *S el mismo autor. Se vende en dicha lib…</t>
  </si>
  <si>
    <t>Baillie, Mathew</t>
  </si>
  <si>
    <t>Mathew Baillie</t>
  </si>
  <si>
    <t>Gaceta de Madrid n.º 56</t>
  </si>
  <si>
    <t>odo que desde lejos parecía una iglesia. El capitán Carlos Long era presídele de la comisión. Atkins logró á fuerza de trabajo llegar á tierra con El doctor Mathew Baillie fue introducido eo seis marineros; pero espiró á pocos instantes. El la sala , y se le hizo el interrogatorio siguiente: Real Jorge quiso echar sus áncoras…</t>
  </si>
  <si>
    <t>Bailliodiz, Federico</t>
  </si>
  <si>
    <t>Federico Bailliodiz</t>
  </si>
  <si>
    <t>de la propiedad , del comercio y pue­ • trangero á D. Pedro Mulot, teniente, á ayudante blo, que han venido á presentar las referidas actas mayor; á D. Federico Bailliodiz, subteniente, á de su juramento á S. M., y se hallan en esta ca­ teniente , y á D. Santiago Resta , sargento prime­ pital: sus nombres son bien conocidos. …</t>
  </si>
  <si>
    <t>Bainblidger</t>
  </si>
  <si>
    <t>44</t>
  </si>
  <si>
    <t>e y la muerte; y á ellas se agregan hacerse á lá mar. También se hallan prontos la Si­ las de los nombres del último canciller del echirena , de í6 , capitán Bainblidger; lá Empresa, de quicr, de Mr. Srephens y Mr. Rydes, de^Mr. Cast12 , capitán Brakeley, y el Vixen , de 12, capitán lereagh; en fin, de todos los promotores us…</t>
  </si>
  <si>
    <t>Baird</t>
  </si>
  <si>
    <t>763</t>
  </si>
  <si>
    <t>low, S. Hood, el conde de Northesk, R. J. Strache-u, A. Cochsane, J. Stuart, P. Francis, H. Barlow, el vizconde Strangford* C. G. Keats, G. Backvith, D. Baird, J. Hope, B. Spencer, lord Co hrane, J. Sherbroch3, W. C. Beresford, T. Graham, S. Auchmuty y H. Wellesiey. El número de los caballeros es actualmente de 50 inclusos el…</t>
  </si>
  <si>
    <t>Bajakousky</t>
  </si>
  <si>
    <t>638</t>
  </si>
  <si>
    <t>os artículos de hombres de tropas regladas, está acantonada en primera necesidad. Caracas , Cumaná , B,rcelona, Puerto-Cabello y Acaba de fallecer el general Bajakousky, Barinas. Ademas de estas tropas tenemos milicias compuestas de todos los habitantes de 14 á 40 B A VIERA. años de edad. Tenernos oficiales valientes é ins­ t…</t>
  </si>
  <si>
    <t>Balanz, Ignacio</t>
  </si>
  <si>
    <t>Ignacio Balanz</t>
  </si>
  <si>
    <t>ía bastante fuerza para hacer frente Francisco Muñoz, coronel del regimiento de in­ á los enemigos; pero los insurgentes no quie­ fantería de Murcia; D. Ignacio Balanz.itcoronel ren presentarse en campo raso. El-sistema que de ios voluntarios de la Patria; D. Francisco Dohan adoptado se parece al de las guerrillas de .tregart…</t>
  </si>
  <si>
    <t>Balazos</t>
  </si>
  <si>
    <t>cogidos por los ingleses. Los que en el dia hacen la guerra á este país, son los juramentados que ocupan los put bíos dé Moguer, en donde se halla su comandante Balazos , Manganilla, Villurba y otros : el 25 del pasado entraron IÜ0 de ellos en Tugue-</t>
  </si>
  <si>
    <t>Baldelomar, Andrés de Luque</t>
  </si>
  <si>
    <t>Andrés de Luque Baldelomar</t>
  </si>
  <si>
    <t>3100 1 Francfort , donde se apeó en el palacio del Em­ El mismo............................. 7153 33 perador. A! dia siguiente continuó su viage, to­ D. Andrés de Luque Baldelomar, mando e! c &lt;mino de Cassei. or medio de so apoderado general Caulaiucourt y ei barón de Bougart pasaron también el dia 14 por Francfort, para in­ …</t>
  </si>
  <si>
    <t>Baldisan, Vicente</t>
  </si>
  <si>
    <t>Vicente Baldisan</t>
  </si>
  <si>
    <t>­ moros , 25 , y otros tantos en cada año que dure la guerra. El presbíte­ ro D. Pablo Tena, 25 , y lOcada año durante la guerra. D. Vicente Tena, 2. D. Vicente Baldisan , 1. D. Toribio Antonio Calvo, oficial de la aduana de íluaura, 25 , é igual cantidad cada año. que dure la guerra. El subdelega­ do de Chancay D. Pedro Espe…</t>
  </si>
  <si>
    <t>Baleayo, Miguel</t>
  </si>
  <si>
    <t>Miguel Baleayo</t>
  </si>
  <si>
    <t>8f cédulas hipotecarias correspondientes , con arreglo Doña Angela Peñalosa , por su apode­ al artículo 3.° de nuestro decreto de 9 de junio de rado D. Miguel Baleayo.................. 4151 17 1809. D. Joaquín de Lezaeta........................ 722 art. íii. Nuestro mtoistro de Hacienda queda D. Sebastian de Molliriedo.......…</t>
  </si>
  <si>
    <t>Balestrier</t>
  </si>
  <si>
    <t>Gaceta de Madrid n.º 58</t>
  </si>
  <si>
    <t>23</t>
  </si>
  <si>
    <t>quilidad. Don Satnruino Albuin, lla­ 1 &lt; Soldados. mado vulgarmente el Mañeo , ha empezados hacer 71 Ívíariucroí. importantes Servicios, indicando al coronel Balestrier los parages en que solían estar ios depósitos de : . 96 / ' ■ ■■ ■ armas del Empecinado, y se han descubierto por su medio mas de 800 fusiles que habia oculta…</t>
  </si>
  <si>
    <t>Baliesicíos</t>
  </si>
  <si>
    <t>Gazeta de la Regencia de las Españas n.º 46</t>
  </si>
  <si>
    <t>385</t>
  </si>
  <si>
    <t>llos muertos, y 12 ó 13 heridos de la legión extremeña. Nuestras tropas estuvieron anoche acampadas á la salida de esta, y las avanzadas en Gínrs. Ei general Baliesicíos se halla en Dos-Hermanas, y se trata de reunión.</t>
  </si>
  <si>
    <t>Balk</t>
  </si>
  <si>
    <t>Gazeta de la Regencia de las Españas n.º 161</t>
  </si>
  <si>
    <t>1323</t>
  </si>
  <si>
    <t>pero se lo impidió á 5 werstas de la ciudad un cuerpo enemigo que se interpuso superior al suyo. Nuestra pérdida ha sido muy con­ siderable. El mayor general Balk fué herido en la cabeza; el prínci­ pe Licirgkoi y el mayor general Harman han sido contusos, aunque levemente ; el coronel Bote , del 26 de cazadores , gravemente …</t>
  </si>
  <si>
    <t>Ballestero</t>
  </si>
  <si>
    <t>Gaceta de Madrid n.º 52</t>
  </si>
  <si>
    <t>207</t>
  </si>
  <si>
    <t>nochecer , y todaí las balas daban contra la mu­ mi última carta 00 he tenido noticia ninguna del ralla ó contra las casas.que están contiguas. Altea general Ballestero;.” de anochecer la hrecha era ya asait-.b e. El enemi­ go ha continuado hoi en sus trabajos para ensan­ Tarifa 24 de diciembre de 18ti. char la brecha; pero c…</t>
  </si>
  <si>
    <t>. M-guel Pereyra Forja«.—Cuartel general de F^y'ieda á 4 de ma*%o' de iS12?. Ea este oficio se habla de 1.a acción de Cá tama de 16 le febrero por el general Ballestero.?, de la rendición de la guarnición de Hues­ ca á las tropas de Espoz y Mina el 3 de enero, y de la accioi de Sangüesa el 11 del mismo, y luego añade: ‘■•Uno …</t>
  </si>
  <si>
    <t>Ballesteros</t>
  </si>
  <si>
    <t>131</t>
  </si>
  <si>
    <t>; pero no contienen noticia alguna de importancia. ; ° Eos tcnichte-córoiielcs españoles D. Andrés Gnlleo-os y D. Juan Clarke, ayüdántes de campo del general Ballesteros, lian abierto en. tre los españoles residentes en esta Capital una susctipcion \ favor ' de la valerosa división que manda sn genera!. Los interesados en ¿li…</t>
  </si>
  <si>
    <t>taba tomando otras lecciones que le daba el general Ballesteros en X i mena y en Bornos; por lo meaos tenia allí la flor de sus valien­ tes, flor, que aquel día quedó segada y marchita, desando toda su artille!ía y equipajes en poder de los aliados., y escapando á duras penas</t>
  </si>
  <si>
    <t>Zalamea. El 13 se subió á la torre do la iglesia , y mandó que hu­ biese gran repique de campanas en celebridad de haber sido cogido, según dixo, el general Ballesteros. Aroche 16 de diciembre. El 4 del corriente cintraron en esta villa 210 franceses, inclusos 40 caballos, de la columna móvil de Fregena!. A pesar de que se to…</t>
  </si>
  <si>
    <t>Gaceta de Madrid n.º 13</t>
  </si>
  <si>
    <t>rles? Si de lo segundo, ¿á quánda aguardará nuestro gobierno á poner remedio al Cádiz a4 de octubre de iSii. mal ? ¿ A que este sca incurable? (i) E. general Ballesteros, que por medio de ana Semanario patriótico ntím. 8j. sabia y bien ordenada retirada supo evitar el ata­ que de las superiores fuerzas enemigas que se di­ NOT…</t>
  </si>
  <si>
    <t>, solo en el discurso del mes de octubre, cerca de 5000 hombres en Cataluña , 4000 en Aragón , 4000 en Yalencia, cerca de 2000 en Andalucía contra el general Ballesteros , y mas de 2000 contra el general Hit! en Extremadura: total 17000. Si á esto se agrega la mortandad de las marchas, de los hospitales y de los cho­ ques con…</t>
  </si>
  <si>
    <t>217</t>
  </si>
  <si>
    <t>Cádiz , por allí se ha dicho que el general Cas­ taños pasaría á mandar al campo de S. Roque , llevando de segundoai general ingles Graham : y que el general Ballesteros iría á servir baxo las órdenes de lord Weliington , á quien se daría el mando de los exércitoB de Extremadura y Galicia, ó sean quinto y sexto. £\ta. noticia…</t>
  </si>
  <si>
    <t>iendo á toda priesa á los particu­ lares. De estos antecedentes Sacan los habitantes consecuencias muy lisonjeras. Cuando el 16 del pasado derrotó el general Ballesteros en Cár­ tama á los franceses y avanzó hasta una legua de Málaga, varios afrancesados de esta eiudad llevaron muchos cofres con sus efectos, alhajas y dinero …</t>
  </si>
  <si>
    <t>415</t>
  </si>
  <si>
    <t>-Rodrigo, llesrnault, por lc3 lanceros ce L). Julián Sánchez en 15 ce octubre ; de la señalada ventaja conseguida el 5 de 'noviembre en Bornes por el general Ballesteros con ti a la división francesa de Sen e é ; de la toma del castillo de Belipuig en Cataluña por el general L:vcy, y de las esperanzas que hacían concebir para…</t>
  </si>
  <si>
    <t>van á Ciudad-Rodrigo. Corre entre los franceses la especie de que pasan á Andalucía al-» guna3 tropas de su exército de Aragón. Cádiz 22 de abril. El general Ballesteros ha derrotado el 14 del corriente en Aróla al general francés Rey, cogiéndole toda la artillería y mulatería. — Se asegura que algunas tropas de Marmont que s…</t>
  </si>
  <si>
    <t>eno­ res de este reencuent ro. Cádiz l.° de mayo. Ei comandante del apostadero de marina de Algeciras escribe con fecha de 29 de abril último, que el general Ballesteros, con úna de las divisiones de su exército, batió y derrotó completamente, el 23 del mismo en Campillos, á otra enemiga, mandada por el coman­ dante general d…</t>
  </si>
  <si>
    <t>u mando (1). „El enemigo se retiró el mismo d‘a de Tderena , y después ente» lamente de la provincia ds Extremadura. No tengo aun la noticia de si el general Ballesteros había entrado en ’tevllm. rEl conde de Penne Villemur , con un destacamento del quinto exército, qu# salió de Extremadura para el cond do de Niebla, se había…</t>
  </si>
  <si>
    <t>Gazeta de la Regencia de las Españas n.º 62</t>
  </si>
  <si>
    <t>517</t>
  </si>
  <si>
    <t>ncina, dignidad de maestre-esencia y canónigo de esta santa iglesia, que fué conducido allí hace ya tiempo. La junta criminal ha decretado hoy que al general Ballesteros se le trate, en caso de ser aprehendido, como á insurgente, y que en su virtud sufra la pena (je muerte que previene el decreto de l.° de abril de 1810. Soul…</t>
  </si>
  <si>
    <t>ue mas pronto te desplomes. La 16 de febrero ¿'timo es D. Joaquín de Prados, «obra está mui adelantada, y con los nuevos opesecretario particular del general Ballesteros , que » ranos no tardará en consumarle mui breve (t). gozaba toda su confianza', y estaba encargado de ,, Para proveer una vara de alcalde.mayor de un los pa…</t>
  </si>
  <si>
    <t>Gazeta de la Regencia de las Españas n.º 69</t>
  </si>
  <si>
    <t>210</t>
  </si>
  <si>
    <t>do de tierra. Entre la noche de ayer , y esta mañana, han entrado 32 carros de heridos, de resultas de una acción que han tenido ios franceses con e! general Ballesteros cerca de Ttba. Tienen las franceses encerradas en la A-hambra un gran núme­ ro de acémilas para un convoy que parece saldrá pronto. La partida de D. Antonio …</t>
  </si>
  <si>
    <t>15 de junio. Habiéndose abierto ei año pasado una suscripción entre los es­ pañoles residentes en Londres y sus amigos para auxiliará las tropas del general Ballesteros , los suscritores nombraron una comisión, compuesta de individuos de ambas naciones española é inglesa, para percibir y emplear convenientemente el fondo que …</t>
  </si>
  <si>
    <t>Gaceta de Madrid n.º 208</t>
  </si>
  <si>
    <t>Sr. gefe del estado mayor gene­ ral." (G azeta de la regencia del 7 de junio.) que eran falsos. Del j&gt;. Años. Húmeros £0 1804.......... 8 Oficio del general Ballesteros al gefe del estada 1805................ 00 mayor general. 1806................ 2 1807................ 00 ,,Excmo. Sr.: me apresuro á participar áV. E. 1808...…</t>
  </si>
  <si>
    <t>Gazeta de la Regencia de las Españas n.º 99</t>
  </si>
  <si>
    <t>icos que deben formar su nuevo ayuntamiento. — El general Cruz, refiriéndose á noticias recibidas por un coifidente, digoo de crédito, escribe que el general Ballesteros había en­ trado en Osana, sorprehendiendo la guarnición , y cogiendo 200 prisioneros con 7 oficiales juramentados, 150 caballos con sus mon­ turas y gran can…</t>
  </si>
  <si>
    <t>Gazeta de Madrid bajo el Gobierno de la Regencia n.º 1</t>
  </si>
  <si>
    <t>y la presencia del General de la Europa, ofrecían un quadro digno de admi­ ración aun á los mas acostumbrados á semejantes escenas. Hay noticias del general Ballesteros hasta el dia 29 de julio: en esta épo­ ca tenia su quartcl general en Osuna, y entretenia tedas las fuerzas dispo­ nibles de Soult. En Osuna, en donde entró e…</t>
  </si>
  <si>
    <t>Gazeta de la Regencia de las Españas n.º 116 (extraordinaria)</t>
  </si>
  <si>
    <t>949</t>
  </si>
  <si>
    <t>ales remito á Inglaterra pa­ ra que sean presentadas á S. A. R. el príncipe regente per mi anu íante de campo el mayor Burgh. jjVeo por una carta del general Ballesteros al tenien­ te general Sir Rowiand Hiil del 29 de julio, que habia estado en Málaga el 14 del mismo de^pates de una acción con el general Rey cerca de Coin. E…</t>
  </si>
  <si>
    <t>92</t>
  </si>
  <si>
    <t>92 ESPAÑA. M¿tdrid 4 de setiembre. .... Siendo digna de admirarse la destreza del general Ballesteros, y el inex­ plicable valor de sus tropas en la ocupación de Osuna, de cuyo resultado hablamos en la primera gazeta fecha 17 de agosto, hemos creído justo ofre­ cer ai publico ios detalles d</t>
  </si>
  <si>
    <t>vestuarios, víveres y municiones de guerra. Hallamos también las águilas de los regimientos franceses números 13 y 51. _ ,,Veo por una carta, que el general Ballesteros dirigió con fecha de 29 de julio al teniente general sir R. Hill, que había entrado el 14 del mismo mes en Málaga , después de una acción que tuvo con el gene…</t>
  </si>
  <si>
    <t>97</t>
  </si>
  <si>
    <t>deserción. Madrideños 21 de setiembre. Ayer se supo de oficio que el dia 1 f abandono Soult á Granada, y mar­ chaba hacía el reyno de Murcia ; que el general Ballesteros ocupó el 17 aquella capital, y la vanguardia de su exército seguía al enemigo en obser­ vación. Cartas particulares de Andujar añaden que en Diezma batió Bal…</t>
  </si>
  <si>
    <t>Gazeta de la Regencia de las Españas n.º 145</t>
  </si>
  <si>
    <t>78</t>
  </si>
  <si>
    <t>ral Maitland es del 21 del pasado. ,,EJ teniente general Hill está en el Tajo entre Aranjuez y Toledo. ,,Por las últimas noticias que he recibido del general Ballesteros, sé que estaba en Granada.” Sigue el estado de los muertos, heridos y extraviados del exér- ‘ citó ingles en el.asedio del castillo de Burgos desde el 27 de …</t>
  </si>
  <si>
    <t>Gazeta de la Regencia de las Españas n.º 148</t>
  </si>
  <si>
    <t>1204</t>
  </si>
  <si>
    <t>o á Albacete el día 3 del corriente, y un pequeño destacamento de caballería se había adelantado, el (3, hasta Mine ya. „lNo tengo noticias de que el general Ballesteros haya pasado a Síemunorena ni hecho movimiento alguno desde el 17 de Setiembre, en que entró en. Granada : tampoco sé del general Coóke desde que recibió mis …</t>
  </si>
  <si>
    <t>Gaceta de Madrid n.º 251</t>
  </si>
  <si>
    <t>ró terminó por último á abandonar su posición duran­ un cuerpo de tropas francesas en Madrid (1). te la noche , y se retiró hacia Pctechof y Olai. El general Ballesteros ha sido depuesto. Se dice (O Compárese esta confesión de los ingleses con lo pongan á Ballesteros por no haberles estorbado el paso. que el lord Wellington d…</t>
  </si>
  <si>
    <t>dado 15 rados. Sin embargo , los errores de las cortes no son días en la travesía. ( Vhe Star.) radicales, y estamos persuadidos de que esta asam­ El general Ballesteros lia sido depuesto á pe­ blea devea lo mejor, y que sus intenciones son pu­ tición del lord Wellington , como generalísimo que ras ; pero necesita alguno que …</t>
  </si>
  <si>
    <t>Ballesteros, Francisco</t>
  </si>
  <si>
    <t>Francisco Ballesteros</t>
  </si>
  <si>
    <t>ADO 4 ÓS ¿ULIÓ DE 1813. . AimCULÜ Í&gt;E OFICIO. " . I El gefe del estado mayor general acaba de recibir el parte siguiente &lt;^ue le dirige el Excmo. Sr. D. Francisco Ballesteros;,, general en geíe del cuarto exército. . ■. , . , ,,Excmo. Sr. : Recobrada la plaza de Badajoz y ocupada gran parte de la provincia de Extremadura-por …</t>
  </si>
  <si>
    <t>de agosto, hemos creído justo ofre­ cer ai publico ios detalles de esta acción en el parte siguiente. Parte del general en gefe d. l quarto exército D. Francisco Ballesteros al Sr. gefe del estado mayor general. » Excino. Sr.: convencido el general Leval de que no podia alcanzarme en mi operación sobre.Málaga, se propuso envo…</t>
  </si>
  <si>
    <t>Gazeta de la Regencia de las Españas n.º 121 (suplemento)</t>
  </si>
  <si>
    <t>990</t>
  </si>
  <si>
    <t>^ortuname-ate, proceda é- m puatu ú cxnmlismente. Dior, guarde 4 V. muchos año?. Cádiz 29 de agosto de 1812. El general en gefe del cuarto .exército, D. Francisco Ballesteros, comunica al ge fe del estado mayor general, lo fveniente. ,/Excmo. Sr.: Tengo el honor de comunicar á V. E. que en la mañana de este dia he atacado un …</t>
  </si>
  <si>
    <t>1056</t>
  </si>
  <si>
    <t>dite eL celo y bizarría que sabe inspirar á los que están á sus órdenes.—- Campo de Puerto-blanco 16 de Setiembre de 1812.-—. jHarutelL — Excaio. Sr. D. Francisco Ballesteros.” ’ II. ,,Exento. Sr.: Tengo el honor de comunicar á V. R. que los enemigos que ocupaban la vega de esta ciudad se replegaron á ella el dia 16 del corri…</t>
  </si>
  <si>
    <t>edite el zelo y bizarría que sabe inspirar á los que están á sus órde­ nes.— Campo de Puerto-Blanco 16 de setiembre de 1812. = Barucell. = Excmo. Sr. D. Francisco Ballesteros.” II. ,, Excmo. Sr.: tengo el honor de comunicar á V. E, que los enemi­ gos que ocupaban la vega de esta ciudad se replegaron á ella el dia ió del corri…</t>
  </si>
  <si>
    <t>Gazeta de Madrid bajo el Gobierno de la Regencia n.º 34</t>
  </si>
  <si>
    <t>19</t>
  </si>
  <si>
    <t>vierno amaga, y la larga estación de los ató-, les hallará al raso á los tártaros del Sena. Granada jr de octubre. Oficio dirigido por el Exento. Sr. D. Francisco Ballesteros , general ett gefe del quarto exército, al Excmo. Sr. ministro de la Guerra 3 d con­ secuencia del nombramiento expedido por las Cortes generales y ex­ …</t>
  </si>
  <si>
    <t>Ballesteros, Matías</t>
  </si>
  <si>
    <t>Matías Ballesteros</t>
  </si>
  <si>
    <t>mpañía de Galicia , un soldado herido de la del primer batallón de la Sierra, y un patriota de la partida de Ubriqu.e, siendo aque­ llos. el teniente D. Matías Ballesteros y ei subteniente D. Francisco Paz, este último de gravedad , &amp; quienes, como al capitán D. Fran­ cisco Velarclc y teniente O. José Quilos, me recomienda pa…</t>
  </si>
  <si>
    <t>Ballesteros, Ramón</t>
  </si>
  <si>
    <t>Ramón Ballesteros</t>
  </si>
  <si>
    <t>sef Gurícirez. D. Antonio Herrera. Diputado eclesiástico Diputados seculares D..................... vacante. D. Andrés dei Peral. Diputados seculares D. Ramón Ballesteros. ! D. Lorenzo A raín.yo.'D. Gregorio Espala. D. Miguel Calderón. Secretario Secretario D. Manuel Arce. D. Francisco Marchámalo. BARRIO DEL AMOR D« DIOS* BAR…</t>
  </si>
  <si>
    <t>Balletícios</t>
  </si>
  <si>
    <t>704</t>
  </si>
  <si>
    <t>y fueron arrestados en el Retiro algunos oficiales franceses. Ayer rntró un oficial con la noticia de una ventaja conseguida so­ bre Hornos contra el general Balletícios : inmediatamente se mandó publicar en la gaceta de hoy como una derrota; pero ya se sa­ be cuanto se desfiguran los hechos, y todos la han leído con in­ dife…</t>
  </si>
  <si>
    <t>Baloña, José</t>
  </si>
  <si>
    <t>José Baloña</t>
  </si>
  <si>
    <t>4. D. Pedro Gaiecio , 2. D. Pedro Gamez , 3. D. Gregorio Astyte , 4- La cuadri­ lla de negros trabajadores de aguardientes, 8. D. Manuel Morillo, 20. D. José Baloña, 30. D. Pedro García, 50. Doña Josefa Vejarano y D. Jacinto Vejarano, coronel de milicias , 500. La plana mayor de milicias veteranas y los soldados voluntarios y…</t>
  </si>
  <si>
    <t>Balsera, Josef Perez</t>
  </si>
  <si>
    <t>Josef Perez Balsera</t>
  </si>
  <si>
    <t>Gaceta de Madrid n.º 38</t>
  </si>
  <si>
    <t>destinado para Inglaterra. En el Báltico que­ de Segovia se componga de Iot individuos siguien­ dan el Ardiente, el Dictador, de 64 cada uno, y tes: D. Josef Perez Balsera, D. Vicente Nieto y \r¿ s fragatas Crescent y Fisgard, y el brick ei D. Tomas Sacristán. Urgente. La corbeta Leveret ha entrado con un Y por decreto de f d…</t>
  </si>
  <si>
    <t>Baltasar</t>
  </si>
  <si>
    <t>villa. Gtízáblmiaga ('£&gt;.-Feliciano), ayudante primero Casant ( D. Pedro), teniente de la gendarmería real. de la guardia cívica de Madrid. Castillo (D. Baltasar del), canónigo de la'santa Guztnan ( D. Eugenio), comisario general de po­ . iglesia catedral dé Cuenca , y gobernador de su licía dé Patencia. diócesi. , Henayejos …</t>
  </si>
  <si>
    <t>r Y para el d- IVigrns, vacante por renuncia de D. Juan Fernandez, á D. Manuel Llórente, exD. Julián de H-riera, al ex-tririitario calzado dutninico. D. Baltasar de babzar. Para la de Itrabo, vacante por no h.berse pre­ sentado á servirla D. Carlos Elias, ex franciscano, Igualmente se ha servido S. M., por decreto á D. Ignaci…</t>
  </si>
  <si>
    <t>inocularme su locu­ D. Manuel Maroto, D. Juan Plowes , D. A.ntonio ra ; y como yo soi asi, y que no hai quien me sa­ Mendiverri, D. Cayetano O.duña, D. Baltasar de qúe , aunque me prediquen frailes descalzos , de que Sola, t). Luis Castro yJD. Mateo Hadson, subte­ cuidados ag -nos matan ai asno, y que viva la gallina, nientes…</t>
  </si>
  <si>
    <t>•... D. Francisco Paianecs.......... .1 Teniente . . D. Ja&amp;n Mariscal.................. 1 Otro • •... D. Manuel Campos............. .. 1 Subteniente: D. Baltasar De’gadc............. 1 « StVÑensa Otro........... D. Mariano Sánchez............. 1 Otro • • • • i O. Félix Basiane.................... 1 Otro * . . . . D' Jitc Redi…</t>
  </si>
  <si>
    <t>Bamitia, Casiano</t>
  </si>
  <si>
    <t>Casiano Bamitia</t>
  </si>
  <si>
    <t>niente can sus deberes, llevando mis órdenes á ia línea de batalla con ls mayer prontitud en lo» puertos de mayor riefgo, é igualmente si subteniente D. Casiano Bamitia ti el citado batallón, que por ocupación de ios ayudantes tuve que emplearlo en llevar ór­ denes. -— Di©s guarde á V. E mucho* uñes. Villa-nueva del Arzo­ bis…</t>
  </si>
  <si>
    <t>Bandeleur</t>
  </si>
  <si>
    <t>gravemente herido, mandando la división ligera en el asalto, por lo que recelo me veré privado de su auxilio por algún tiempo. Asimismo fué herido el general Bandeleur, per© no tan grave­ mente que no hubiese podido continuar en el campo. Foéronlo igual­ mente el teniente coronel Colborne del regimiento 52, y el mayor Jorge N…</t>
  </si>
  <si>
    <t>ante haber muerto todos sus comandantes, ' Ruego encarecidamente á V, E. se sirva tener presente el proce­ der del mayor general Crawford , del mayor general Bandeleur, del teniente coronel Barnard del 95, del tenieute coronel Colborne, del mayor Gibbs, del mayor Napier del 52, y del teniente coronel Macleod del 43. El capitá…</t>
  </si>
  <si>
    <t>Bando, Manuei</t>
  </si>
  <si>
    <t>Manuei Bando</t>
  </si>
  <si>
    <t>subteniente , á teniente de parece sino que han dado á la Inglaterra algún he­ la primera compañía. chizo para que los quiera. ¿Pues qué no tiene la D. Manuei Bando, abanderado, á subteniente. Inglaterra hombres de probidad conocida que quie­ D. J uan Perez , sargento , á abanderado. ran encargarse de-los deberes ministeriale…</t>
  </si>
  <si>
    <t>Baningsen</t>
  </si>
  <si>
    <t>burgo para el 25 de vuelta del f xé^rito, cuyo mando que­ daba encargado á los generalas Barclay de To^ly y B*gration, hasta que lo tomase en gefe el general Baningsen. El general Kutuscw es­ taba nombrado gobernador de Moscow. De resultas del descubri­ miento de la trayeion de Speransky, se había cambiado el plan de campaña,…</t>
  </si>
  <si>
    <t>Banqué, Juana</t>
  </si>
  <si>
    <t>Juana Banqué</t>
  </si>
  <si>
    <t>1148 4 les y tres y dos tercios de maravedises vellón. El marques de Fuerte Hijar........... *3593 *4 art. 11. Sé entregarán á estos interesados las Doña Juana Banqué.......................... 285 cédulas hipotecarias correspondientes, con arreglo D. Migoel de Landa y Go'tt'u.......... 1722 4 ai arríenlo 3.0 de nuestro real d…</t>
  </si>
  <si>
    <t>Bantinsky</t>
  </si>
  <si>
    <t>a no obtendrán sus destinos mas que Escriben de Munich que estqq espetando, allí por el tiempo que el presidente juzgue necesario de nn dia á otro al príncipe Bantinsky, ministro para el servicio público, y que ae le autorice para de Rusia cerca de la corte de Bayíera, e| qu.al ha­ poder licenciar parte ó todas estas tropas q…</t>
  </si>
  <si>
    <t>Bar</t>
  </si>
  <si>
    <t>los exércitos----- El general Bagration, á pesar de todos los esfuerzos dél exército francés, se ha reunido con el cuerpo principal á las órdenes del general Bar­ clay de Tolly. Ha habido muchas acciones, en una de las quales el virey de Italia Beauharnois ha sido herido, y su primer ayudante de campo hecho prisionero. La vic…</t>
  </si>
  <si>
    <t>Bar, Sebastian</t>
  </si>
  <si>
    <t>Sebastian Bar</t>
  </si>
  <si>
    <t>e el año de 1 Si 1. ridad de los barrios de Madrid D. Juan Martin de Nos falta dar á conocer en el dia las principales Urda en la del Cármen calzado; D. Sebastian Bar­ obras que han publicado varios miembros de esta rios en la de Guardias de Corps; D. Dionisio Es- ilustre sociedad, ó qne le han sido presentadas por tebez en l…</t>
  </si>
  <si>
    <t>Bara</t>
  </si>
  <si>
    <t>los alma­ la Sainogitia han sWo todos quemados por ellos cenes. misinos; pérdida enorme é irreparable no solo pa­ Habíase previsto que el objeto del general Bara la hacienda imperial 3 sino para la subsistencia de gratron, al acercarse quanto pudo á Dunaburgo, los pueblos. seria trasladarse al Dwina; y asi se envió al gene­ E…</t>
  </si>
  <si>
    <t>Barage, Joan Bautista</t>
  </si>
  <si>
    <t>Joan Bautista Barage</t>
  </si>
  <si>
    <t>Gaceta de Madrid n.º 91</t>
  </si>
  <si>
    <t>361</t>
  </si>
  <si>
    <t>­ GRAN BRETAÑA. dante de batallón de fusileros de la guardia real D. Juan Quintanr» á mayor del mismo cuerpo en Londres 2¡¡ de febrero. la vacante de D. Joan Bautista Barage; y al capi­ tán del propio cuerpo D. Félix Pavía á coman­ Ann no está enteramente formado el nuevo dante de batallón en reemplazo de D. Juan Quinminister…</t>
  </si>
  <si>
    <t>Barage, Juan Bautista</t>
  </si>
  <si>
    <t>Juan Bautista Barage</t>
  </si>
  <si>
    <t>a sido bien recibida y bien trata­ S. M. promover al mayor del regimiento de fusi­ da por los habitantes de aquellos países. leros de la guardia real D. Juan Bautista Barage á coronel del regimiento Real Irlandés: al coman­ GRAN BRETAÑA. dante de batallón de fusileros de la guardia real D. Juan Quintanr» á mayor del mismo cue…</t>
  </si>
  <si>
    <t>Barajas, Manuel López</t>
  </si>
  <si>
    <t>Manuel López Barajas</t>
  </si>
  <si>
    <t>¡. D. Josef Nixera, hacendado, natural de ViVarias personas ilusas se reunían frccnente- lloslad-i. merite en una tienda del parage mas concurrido de D. Manuel López Barajas, diputado que fue esta Capital á indagar noticias de ios exérciícis , ó de millones, natural de Granada. por mejor decir, á contarse recíprocamente ias q…</t>
  </si>
  <si>
    <t>D. Manuel Lozano, oficial de la secretaría del pa­ tronato de Nueva-.España, natural de Borja; D. José Naxera , Ha­ cendado , natural de Viiloslada ; D. Manuel López Barajas, dipu­ tado que fué de mlMcnes, natural de Granada; D. Vicente Xirnenez , jubilado de rentas , netural da Madrid ; D. Nicolás YangUa», ayuda de cámara qu…</t>
  </si>
  <si>
    <t>Baranda, Pedro</t>
  </si>
  <si>
    <t>Pedro Baranda</t>
  </si>
  <si>
    <t>de esta villa en la forma siguiente í Alcaldes. Sr- marques de Iturbieta, y conde de Villapaterna. Regidores* El Sr. marques de Cartelfuerte. El Sr. D. Pedro Baranda. El Sr. D. Manuel de Rivacoba y Gorbea* El Sr. D. Josef de Manzanilla. El Sr. D. Francisco Gutiérrez Sossl El Sr. D. Agustín de Goicoechea. El Sr. D. Pedro Uñart…</t>
  </si>
  <si>
    <t>oridades perniciosas para sus autores,.saliesen inmediatamente para Avila, y que de allí se repartiesen á sus correspondientes destinos. Reunidos con D. Pedro Baranda ios regidores del ayuntamiento consti­ tucional D. Manuel de Riláacova, D. Pedro,Uñarte y D. Lucas de Carran­ za, y. los de la municipalidad-D. Juan Antonio Pic…</t>
  </si>
  <si>
    <t>Barandilla, Tomas</t>
  </si>
  <si>
    <t>Tomas Barandilla</t>
  </si>
  <si>
    <t>143</t>
  </si>
  <si>
    <t>nos y Rioja se replegasen sobre los escalerones al apoyo del de So­ ria, operación que sostuvieron una compañía de Numantinos al man­ do dei teniente D. Tomas Barandilla , otra de Rioja y dos de So­ ria : las dos primeras compañías se batieron hasta apurar el último cartucho, y las dos de Soria, al mando de su digno gefe el b…</t>
  </si>
  <si>
    <t>Barata, Antonio</t>
  </si>
  <si>
    <t>Antonio Barata</t>
  </si>
  <si>
    <t>Gazeta de la Regencia de las Españas n.º 90</t>
  </si>
  <si>
    <t>ío de decretos, oficial segundo primero que fué de la secretaría de hacienda; O. Miguel Lobo, vecino y vocal de la junta scpirior de esta ciudad, y á D. Antonio Barata, intendente que fué del prin­ cipado de Cataluña.” En consecuencia ha resue!to la Regencia del reyno que los cita­ dos ministros de la junta nacional del créd …</t>
  </si>
  <si>
    <t>Barba, Antonio</t>
  </si>
  <si>
    <t>Antonio Barba</t>
  </si>
  <si>
    <t>erra puede tener feliz D. Antonio Bexerano. éxito para los ingleses y sus aliados! Pero ¡¡altae D. Cayetano Lames. sunt stirpes stidtitiae Tenientes. D. Antonio Barba. ESPAÑA. D. Rodrigo Pacheco. J\Lidrid 10 dt enero. Subtenientes. D. Ramón Ruiz. El REI ha celebrado hoi consejo de ministres, DT.ro __ al que se ha dignado conv…</t>
  </si>
  <si>
    <t>Barba, Lorenzo</t>
  </si>
  <si>
    <t>Lorenzo Barba</t>
  </si>
  <si>
    <t>o, 12. D. Mariano Espino'a, 10. 1). Luis Sánchez Baharuonde, 10. D. Marcelino Velarde , 10. I&gt;. José María Frevre , íi). D. Guillermo Geraldino , 10. D. Lorenzo Barba , 10. Don Manuel Palacios , 10. D. Pedro Tijaite , 10. D. José Amador, 6. D. Julián Fi res , 4 l&gt;. José Capotillo, 4. — Sangradores y barberos. Manuel Chaves, p…</t>
  </si>
  <si>
    <t>Barbe, Vicente</t>
  </si>
  <si>
    <t>Vicente Barbe</t>
  </si>
  <si>
    <t>167</t>
  </si>
  <si>
    <t>Ventura Salsas. 150376' i.°de setiemb. de 1806. De 150 pesos. A D.a Josefa del Cas•. tillo Gutiérrez. 226296 i.°de enero de 1806.... De 150 pesos. A D. Vicente Barbe-: : ría. 28266, I f 22198/ 32925( De 1de setiemb. de 1806. ■‘ 1 __ J A D. Ramón de LlorjDe 300 P“OS.&lt; deIlaéhij0. o t no/i j 31904 431801 De í.° de mayo de 807 4…</t>
  </si>
  <si>
    <t>Barbudo, Alonso</t>
  </si>
  <si>
    <t>Alonso Barbudo</t>
  </si>
  <si>
    <t>cipio escuchar la voz ue la Ex-bas¡lios. Jt». VD, atria. Hizo ver la conveniencia q ie traía a la Í bpaña ia amistad y alianza con ia Francia ,..y el D. Alonso Barbudo , residente en Córdo­ ínteres que tenia esta potencia en la prnspeudaJ ba , por............................................................ 2200 de aquella, po…</t>
  </si>
  <si>
    <t>Barca, Miguel Calderón de Ja</t>
  </si>
  <si>
    <t>Miguel Calderón de Ja Barca</t>
  </si>
  <si>
    <t>uillo, al cargo del Sr. D. Francisco Marchámalo. , Quartel de Afligidos, al cargo del Sr. D. Pedro Uriarte. Quartel de Maravillas , al cargo del 'Sr. D. Miguel Calderón de Ja Barca. Quartel de S. Gerónimo, al cargo del Sr. marques de Gástelfuerte. Quartel de S. Martin, al cargo ael Sr. D. Saturio Cantabrana. Quartel de S. Fra…</t>
  </si>
  <si>
    <t>Barcelotti</t>
  </si>
  <si>
    <t>Gaceta de Madrid n.º 55</t>
  </si>
  <si>
    <t>» una ración de sopa en su sesión del 24 de octubre en Ja cia*e de tus económica gratis, y unas qnautas raciones de pan miembros exiratgeros al señor doctor Barcelotti, á precio cómodo, y trdvjo en que emplearse. de la academia .i. ói-na ; al t&lt;-ñnr Vasahí-F.andi, Todos los días se distribuyen gratis 1200 racio­ profesor Je T…</t>
  </si>
  <si>
    <t>Barcena</t>
  </si>
  <si>
    <t>197</t>
  </si>
  <si>
    <t>cual, noticioso de lo que ocurría, entró el 24 en Oviedo, donde re­ cogió unos 100 desertores, y trataba de perseguir á los enemigos, mientras que el general Barcena pasaba con el mismo designio el Narcea, dirigiéndose á la carretera de Castilla. Se dice que al dia siguiente de haber salido de G jon los france­ ses, arribó á …</t>
  </si>
  <si>
    <t>Barclay</t>
  </si>
  <si>
    <t>gatas, dice que estas El Emperador Alexandro llegó ayer &amp; esta se hallaban á ios 22o de latitud y 61 de longitud. ciudad. S. M. h i dado audiencia ai conde Barclay La misma noticia ha confirmado un schooner ame' de Tolly, general eo gefe del primer exército def^ ricano, qúe fue ahitado por los cruceros franceses; occidente; á…</t>
  </si>
  <si>
    <t>Gaceta de Madrid n.º 246</t>
  </si>
  <si>
    <t>bayoneta por el regimien­ a legua v medía cerca de Smolensko enconrré to ói.° Hubo no obstante muchas cargas de caba­ la rctuguardU del exército del general Barclay de llería; pero los coraceros rusos fueron deshechos por lollv &gt; la deeimapnrBera división , que abria la mar- el fuego de nuestra infantería y artillería y por l…</t>
  </si>
  <si>
    <t>Barellas, Antonio</t>
  </si>
  <si>
    <t>Antonio Barellas</t>
  </si>
  <si>
    <t>los tribunales de esta'corte, el corre­ ^Antonio Caos Beños , D. Ignacio Landaburu rDon gidor, lo» individuos de L municipalidad y de Rafael García.y.D. Antonio Barellas á comandan­ otras corporaciones, los grandés’,'los 'títulos, y tes’de batallón.gq sos respectivas armas; al capidemás personas que gozan esta distinción. S. …</t>
  </si>
  <si>
    <t>Barn, José</t>
  </si>
  <si>
    <t>José Barn</t>
  </si>
  <si>
    <t>y 10 chelines. D. Guillermo Barry, 26 y 5. El coronel Colquhoun, 12 y 10. Los redactores del periódico titulado Times, 25. Un amigo de E. M. D., 17. D. José Barn, 2Z. D. Antonio Muñoz, 40. Los señores Co-okas, J&amp;ckson y corapañí*!, 10 y 10. D. Juan de Eguiuo, 10. F. A S., 10. G. VV por E. M. O. 21. D. Y. Pa- y&amp;rt, 50. Los se …</t>
  </si>
  <si>
    <t>Barnaola, Manuel</t>
  </si>
  <si>
    <t>Manuel Barnaola</t>
  </si>
  <si>
    <t>damos exercer sanr.iinenbarrio de S. Plácido, quartel de Maravillas , vacan­ «te los actos de la religión verdadera, celebrar te por fallecimiento de D. Manuel Barnaola. «dignamente las glorias del Señor y las vuestras, «y merecer la paz y felicidad eterna, en que os » acompañemos por los siglos de los siglos.” Este discurso …</t>
  </si>
  <si>
    <t>Barnard</t>
  </si>
  <si>
    <t>sus comandantes, ' Ruego encarecidamente á V, E. se sirva tener presente el proce­ der del mayor general Crawford , del mayor general Bandeleur, del teniente coronel Barnard del 95, del tenieute coronel Colborne, del mayor Gibbs, del mayor Napier del 52, y del teniente coronel Macleod del 43. El capitán Divfféy del 43, y el t…</t>
  </si>
  <si>
    <t>Baroja, Manuel</t>
  </si>
  <si>
    <t>Manuel Baroja</t>
  </si>
  <si>
    <t>nsejero de Estado D. Joaquín Leandro de Solis; ro de la catedral de Falencia , vacante por muerte i ó D. Antonio Gil Zapata,-hijo ¿ehconde de Ber- de D. Manuel Baroja. . ' berana, gentilhombre de cámara, y á'D. Gabriel Y para obtener en encomienda á. los ex-regu­ de "Vial y Asenjo, hijo del difunto coronel Vial. lares siguien…</t>
  </si>
  <si>
    <t>Barragan, Cristóbal</t>
  </si>
  <si>
    <t>Cristóbal Barragan</t>
  </si>
  <si>
    <t>ín Malo, 6. D. José Ma­ ría Tello , 6. D. Juan Silvestre Touroi , 20. D. Lorenzo Espinosa , 30. D. Jo­ sé Ramón Menendez, 25. D. Félix de la Cruz, 4. D. Cristóbal Barragan, 10. D. Ramón Córdoba, 12. D. Femando Plaza, 4. Colectado por el ayu­ dante de gobierno, 483. Id. posteriormente del pueblo de Bab .hoyo, 22. D. Pedro Nico…</t>
  </si>
  <si>
    <t>Barragan, Francisco</t>
  </si>
  <si>
    <t>Francisco Barragan</t>
  </si>
  <si>
    <t>12. Id. D. Bartolomé Dapelo r6. Id. D. Eulalio Guzman , 4. El alférez D. José Manuel Muro, 12. Id. D. José Ledesma, 2. Id. D. Jacinto Quesada, 6, Id. D. Francisco Barragan, 6. Id. D. Joté Villalobos, 12. El portaguión D. Silvestre Rodríguez, 25. El cadete. Don José María de las Muñecas, 4. Id. D. Santiago Burga, G. Id. D. Man…</t>
  </si>
  <si>
    <t>Barrera, Francisco</t>
  </si>
  <si>
    <t>Francisco Barrera</t>
  </si>
  <si>
    <t>a villa de Hmmoavéíica, GÜ^ó.—— Administración de tabacos de Santa. El administrador D. Juan Manuel Loza• 110,26. Ei guarda 1). José Ramón V cnña, 10 D Francisco Barrera, estanque­ ro, 6. D Toribio Herrera! 4. El colegio de abogados de Lima, 1000. D. Fran­ cisco de la Guarda , cura de Pararin , 50. El sub lelegado de Santa , …</t>
  </si>
  <si>
    <t>Barrero, Andrés</t>
  </si>
  <si>
    <t>Andrés Barrero</t>
  </si>
  <si>
    <t>.............................. 2200 esperanzas mui fondadas de que en años regulares D. Andrés Delgado , id................................ ... 2 2co D. Andrés Barrero, id...................................... 2203 se logrará aclimatarla completamente. D. Antonio García , id....................................... 2200 ESPAÑA.…</t>
  </si>
  <si>
    <t>Barreyro, Angel González</t>
  </si>
  <si>
    <t>Angel González Barreyro</t>
  </si>
  <si>
    <t>54 Procuradores síndicos generales. El Sr. D. Antonio González Calderón. El Sr. D. Juan Ramón Matute. Secretario de Ayuntamiento. El Sr. D. Angel González Barreyro. Señores regidores comisarios de ios altárteles en que está dividido Madrid. Quartel de S. Isidro, al cargo del Sr. D. Joaquín Domeneeh. A Quartel de la Plaza, al …</t>
  </si>
  <si>
    <t>Barrió</t>
  </si>
  <si>
    <t>163</t>
  </si>
  <si>
    <t>de las de grueso calibre pertenecientes al exército francés, y gran cantidad de municiones y otros acopios. Se ha hecho prisionero al gobernador, el general Barrió, cerca de 78 oficiales y 1700 soldados. Di rijo este oficio por mi ayudante de campo el mayor Gordon, que dará á V. E. todos los pormenores que desee saber, espera…</t>
  </si>
  <si>
    <t>Barrio, Francisco</t>
  </si>
  <si>
    <t>Francisco Barrio</t>
  </si>
  <si>
    <t>exército y rea! hacienda, por 10, 'JO. Don Nicolás Sánchez Sargado, contador mayor del tribunal de cuentas , 120 ps. D. Tadeo de Jaudenes, id. , 360. D. Francisco Barrio ia, contador de resul­ tas f mensuales durante la guerra , 1.0. D. Juan de S I va por una vez , 100. D. Valentín Tío, durante la guerra , lO. I). Juan Rafael…</t>
  </si>
  <si>
    <t>Barrióla, José</t>
  </si>
  <si>
    <t>José Barrióla</t>
  </si>
  <si>
    <t>to con los enemigos luchando á la bayoneta, y los sígalo hasta ia puerta de la iglesia; el de les tenientes del batallón de Molina D, Jirm Sorribas y D. José Barrióla, que fueron heridos de gravedad en Monterde, el primero á la cabeza de su compañía, y el segando persiguiendo con tesón las guerrillas enemigas; el del teniente…</t>
  </si>
  <si>
    <t>Barrios, Gerónimo</t>
  </si>
  <si>
    <t>Gerónimo Barrios</t>
  </si>
  <si>
    <t>ta ultima villa, en cuyas inmediaciones que­ daban sus guerrillas disputando es peso á la mía , que maridaba el capít&amp;n de nunca bien ponderado valor D. Gerónimo Barrios: quien al verse cargado por superiores fei zas enemigas, *e vió pre­ cisado á suplicar al teniente coronel O. J an Gantes, comandante del escuadrón de húsare…</t>
  </si>
  <si>
    <t>Barrios, Juan Josef</t>
  </si>
  <si>
    <t>Juan Josef Barrios</t>
  </si>
  <si>
    <t>Diputado eclesiástico . -i D. Francisco Perez Crias.' D. Juan Josef Barrios. - &gt;, D. Bernardo' de Sotp y Vilarde. Dentados seculares, L ; Secretario D. Juan Amonio Villa. c '■ R. Domingo del Valle y Cano.-' D. Josef Ti ridw. BARRI® DE LA PANADERIA;’ ■ D. Juaoi Anto</t>
  </si>
  <si>
    <t>D. Juan Josef Barrios, cura de Sta. María. D. Rafael Oseñalde, id. de S. Andrés. D. Rafael Hernández, id. de S. Sebastian. Seculares. D. Ignacio Abadía. 35. Antonio Garniz. D. Diego Palacio. D. Marcelo S. Román.</t>
  </si>
  <si>
    <t>Barrnchina, José Vilaboa y D José</t>
  </si>
  <si>
    <t>José Vilaboa y D José Barrnchina</t>
  </si>
  <si>
    <t>las baterías por la espalda, encaminándose por la derecha las compañías de cazadores , y por la izquie^d ■ los granaderos que mandaban los tenientes D. José Vilaboa y D José Barrnchina. Talego que oyeron los insurgentes la cor­ neta de los cazadores, se pusieron en fuga. Rayón y demás cabeci11.as huyeron precipitadamente, des…</t>
  </si>
  <si>
    <t>Barrois</t>
  </si>
  <si>
    <t>as escogidas, y estaba mandada por el capitán de navio Roquebert, con rungo de conmodoro, el cual ha perecido defendiendo obstinadamente su buque. El coronel Barrois, oficial mas antiguo de las tropas, miembro de la legión de honor como Roquebert, está herido peligrosamente. — La fragata que se escapó después de ren­ dida, es…</t>
  </si>
  <si>
    <t>Barron, Francisco</t>
  </si>
  <si>
    <t>Francisco Barron</t>
  </si>
  <si>
    <t>El oficial mayor, 83 y 2 y medio. El segundo D. José Gutiérrez , 50. El tercero D. José Bravo de Rueda, 20. El cuarto D. Baltasar Maza, 15. El quinto D. Francisco Barron, 15. El amanuense D. Bernardino Albornoz , 8. El escribano D. Santiago Martel, 17. D. Andrés Gallo, comandante de resguardo del Callao, 500. El intendente de…</t>
  </si>
  <si>
    <t>Barrutia, Pedro</t>
  </si>
  <si>
    <t>Pedro Barrutia</t>
  </si>
  <si>
    <t>869</t>
  </si>
  <si>
    <t>e la misma división, D. Antonio María Caiveton ( que cen asuercia de su general te hallaba acompañándome), y 25 hú­ sares de Ríoja ccn el subteniente D. Pedro Barrutia. EÍ grueso de los batallones iba en columna per la carretela real de esta ciudad á Bi'.bio : y en menos de 6 horas , tuve la complacencia de vt r cubier­ tos p…</t>
  </si>
  <si>
    <t>Barry, Guillermo</t>
  </si>
  <si>
    <t>Guillermo Barry</t>
  </si>
  <si>
    <t>uel Fiorez , 20. Un amigo de Fiorez, 10. D. Fer­ mín de Taatet, 200. D. J. C. de Bsmales, 105. O. Di?go Coion, 10. El R. Di. CoUin3,Sl y 10 chelines. D. Guillermo Barry, 26 y 5. El coronel Colquhoun, 12 y 10. Los redactores del periódico titulado Times, 25. Un amigo de E. M. D., 17. D. José Barn, 2Z. D. Antonio Muñoz, 40. Los…</t>
  </si>
  <si>
    <t>Bartolo</t>
  </si>
  <si>
    <t>Haailas. D. José Castellanos, cura de Huailas , 100. D. Marcos Herrera, cura de Ca­ ras , 100 ; y ofrece igual cantidad anualmente durante la guerra. D. Bartolo­ mé Avenio, cura de Macate , 50. D. Bernardino Torres, 12. D. Antonio Ro­ mero, 4. D. Francisco García, 6. D. Santiago Valencia, 4. D. Casimiro Palma, 2. D. Antonio R…</t>
  </si>
  <si>
    <t>1416</t>
  </si>
  <si>
    <t>provisional de ¿infantería li* gera , D. Vicente Martínez, teniente clcl de Baylen, y á los cade­ tes del mismo real cuerpo D, Pablo Antonio de Vuda, D. Bartolo­ mé Llanderal y D. Aniceto Lizana. Se previene al público que el conductor que llevaba la corres­ pondencia pública perteneciente á los dias 9, 10 y 11 de Diciembre d…</t>
  </si>
  <si>
    <t>Bartolomé</t>
  </si>
  <si>
    <t>o) Jáuregui (D. Manuel) , g«fe de división del midéla guardia real. ' ‘ 'nisteifi'o dé la Justicia. Codaut ( D. Cárlos), pagador de la güeña. Justis (D. Bartolomé), capitán de fusileros del. Coimeras, y Roial (O. Mariano), comandante dé regimiento de Madtid, i.° de infantería de línea. batallo.i de artillería. L?bat (D. Berna…</t>
  </si>
  <si>
    <t>nte de tiradores del miento de Madrid, i.° de infantería de linea. regimiento Reai Irlandés. Peñalver (D. Juan) , director general de los ca­ Vidal ( D. Bartolomé ) « granadero del regimienta nales de Aragón y Castilla la Vieja. de Castilla , l.° de infantería ligera. Perez (O. Silvestre) , arquitecto de la municipa­ Vill^gar…</t>
  </si>
  <si>
    <t>Bartolomé, Félix</t>
  </si>
  <si>
    <t>Félix Bartolomé</t>
  </si>
  <si>
    <t>Gazeta de la Regencia de las Españas n.º 139</t>
  </si>
  <si>
    <t>1135</t>
  </si>
  <si>
    <t>o á robar á Asturfii'o, como lo habían hecho anteriormente. Tomé 5 soldador, que hftbisn ‘legado con el subteniente de las ordenanzas de caballe­ ría D. Félix Bartolomé, y me enes miné á incomodarlos , habiendo mandado que este con los 12 restantes se apostasen en el camino de Vidal?co, que debía ser el de su retirada. Con ef…</t>
  </si>
  <si>
    <t>Barutall</t>
  </si>
  <si>
    <t>Gazeta de la Regencia de las Españas n.º 106 (suplemento)</t>
  </si>
  <si>
    <t>tré su intención, y desde luego mandé á aquel general que con los batallones de Irlanda y primero de Cataluña cubriese el punto de Hardales, y que el brigadier Barutall con su batallón y la división de caballería que le habia destacado, observase en Alora la dirección del enemigo. Estas posiciones, al paso que debían imponer …</t>
  </si>
  <si>
    <t>Bárutell</t>
  </si>
  <si>
    <t>s instrucciones que tenia, se vino retirando, batiéndose con el mayor orden, ai Burgo, marchando al apoyo de esta ope­ ración sobre el mismo punto el brigadier Bárutell , y yo á Tolox de frente : resultando por este movimiento general la unión de mis fuerzas , y haber ganado ventajosas posiciones. Leval dexó al marques de las…</t>
  </si>
  <si>
    <t>Barutell</t>
  </si>
  <si>
    <t>enetré su intención , y desde luego mandé á aquel general que con los batallones de Irlanda y i.y de Cataluña cubriese el punto de Hardales, y que el brigadier Barutell, con su batallón, y la división de caballería que le había destacado, observase en Alora la di­ rección del enemigo.,Estas posiciones, al paso que debían impo…</t>
  </si>
  <si>
    <t>Bascourt</t>
  </si>
  <si>
    <t>94</t>
  </si>
  <si>
    <t>dos á Mallorca en clase de soldados. En el mismo dia 28 el general Freyre se hallaba en Albacete con 1200 ca­ ballos extendiéndose hasta Bonete, y el general Bascourt en Adora. Este general es al que se pasa mayor número de desertores del exército de Soult, en razón de estar mas próximo á Almansa, que es el primer pueblo de l…</t>
  </si>
  <si>
    <t>te, Eída y Castalia. El general Freyre sé adelanta hacia las inmediacio­ nes de Almansa, cuyo pueblo ocupa la división del general francés Arispe. El general Bascourt ha marchado con las tropas sobre Cuenca, con el ob­ jeto de reunirse con la división del general Villacampa. Las tropas españolas, al mando del mariscal de camp…</t>
  </si>
  <si>
    <t>mpleos, sueldos y honores, y expelido del territorio español en el término de 24 horas. = Se aprobó por 84 votos contra 29. Madrid $ de setiembre. El general Bascourt, después de varios movimientos en que obtuvo di­ ferentes ventajas sobre las tropas del convoy del Rey .intruso en los dias 20, 21 y 22 del pasado , libertando …</t>
  </si>
  <si>
    <t>Basecourt</t>
  </si>
  <si>
    <t>ido alguno de las tropas españolas que están al servicio del Rey intruso, han desarmado en Valencia 2© hombres (1). En el mes de setiembre próximo el general Basecourt burló las intencio­ nes del enemigo , salvando á muchos pueblos de ser saqueados por las tro­ pas francesas. La faita de víveres qué estas tienen obligó al mar…</t>
  </si>
  <si>
    <t>BASILIO, BARRIO de SAN</t>
  </si>
  <si>
    <t>BARRIO de SAN BASILIO</t>
  </si>
  <si>
    <t>Diputados seculares Secretario D. Josef Mana Fourdicer. D. Rafael González del Valle. . D. Anastasio García. D. Joaquín Hevia. QUARTEL DE MARAVILLAS. Secretario BARRIO DE SAN BASILIO. D. Pedro Gil y Muro. Alcalde de barrio BARRIO DE SAN MARCOS. D. Fernando Aguado. Alcalde de barrio Diputado eclesiástico D. Josef Laguera. D. A…</t>
  </si>
  <si>
    <t>Bassccourt</t>
  </si>
  <si>
    <t>­ mado las providencias mas activas para interceptar los víveres al ene­ migo ei» cualquier punto en que se halle. Dia 19. Hoy corre la voz de que el general Bassccourt se ha­ llaba con su división en Beteta. Dia 20. Llegaron varios oficiales españoles hechos prisioneros ejn Valencia, y por ellos hemos visto que los.franceses…</t>
  </si>
  <si>
    <t>Bassecourt</t>
  </si>
  <si>
    <t>Gazeta de la Regencia de las Españas n.º 35</t>
  </si>
  <si>
    <t>309</t>
  </si>
  <si>
    <t>alá 3Ó0 infantes , y se dice que saldrán mas, pues aseguran que en la Alcarria se ha reunido un cuerpo considerable de tropas de línea , al mando del general Bassecourt y de los brigadieres Montijo y Duran, y que se dirigen hácia CuenGa. Dia 15. Hoy ha salido de aquí el general Guy para Guadalaxa­ ra, llevando en su compañía …</t>
  </si>
  <si>
    <t>461</t>
  </si>
  <si>
    <t>lo traslado á V. E. sin pérdida de tiempo , para su conocimien­ to y noticia de S. A., añadiendo que según las que rae han dado mis confidentes y el general Bassecourt, han pasado ya estos prisioneros sin obstáculo ia sínea de Cuenca, debiéndose esta ventaja ai movi­ miento que hizo VAiaeampa para llamar ía atención de Igs en…</t>
  </si>
  <si>
    <t>Gazeta de la Regencia de las Españas n.º 81</t>
  </si>
  <si>
    <t>672</t>
  </si>
  <si>
    <t>Alcoy, com­ poniendo el número de 2000 infantes , 400 á 500 caballos y 4 piezas al mando del general Musaier, con el objeto, ai parecer, de bascar al general Bassecourt, me propuse desde luego llamar la atención por esta parte, con arreglo á las órdenes de V. fí. Habia yo pensado salir de esta coa el expresa lo objeto el dia …</t>
  </si>
  <si>
    <t>Gazeta de Madrid bajo el Gobierno de la Regencia n.º 25</t>
  </si>
  <si>
    <t>e quedaron ocultos el mariscal'de campo D. Juan Alvarez de Faría, el ex-asistente de Sevilla Hore y varios oficiales; todos los que se presentaron al general Bassecourt, quien los envió con una escolta al quartel general. De esta suerte, precedido de la devastación, y acompañado del odio y de la exe­ cración pública, de la mo…</t>
  </si>
  <si>
    <t>Gazeta de la Regencia de las Españas n.º 140</t>
  </si>
  <si>
    <t>139</t>
  </si>
  <si>
    <t>do alguno! de las tropas españolas que est m ál servicio del rey intruso , han desarmado eíi Valencia 2000 hombres. En el mes de Setiembre próximo el general Bassecourt burló las intenciones del enemigo, salvando á muchos pueblos de ser sa­ queados por las tropa* francesas. La falta de víveres que estas tie­ nen obligó al mar…</t>
  </si>
  <si>
    <t>Gazeta de Madrid bajo el Gobierno de la Regencia n.º 32</t>
  </si>
  <si>
    <t>del corriente se hallaban ya situadas á la derecha del Tajo las tropas aliadas, esperando que los enemigos se aproximasen. Estos intentaron rodear al general Bassecourt con unos 600 ú 800 caballos y 3 ó 4® infan­ tes ; y en la tarde del 18 fueron detenidas estas fuerzas en el puente de Atálayuelas por Ja sección Yeguan de dra…</t>
  </si>
  <si>
    <t>trada del brigadier D. Juan Martin, á q*uien siguió el coronel D. Juan Palarea , y últimamente el general Bassecourt con alguna tropa. ti pueblo se ha conducido con la mayor cordura y rectitud en los dias que ha estado sin tropas, y solo después de su entrada se ha experimentado algún desórdenpor cuya causa y la escasez d</t>
  </si>
  <si>
    <t>Basseeourt</t>
  </si>
  <si>
    <t>205</t>
  </si>
  <si>
    <t>corriente se hallaban ya situadas á la derecha del Tajo- las tropas aliadas, esperando que los enemigos se aproxima­ sen. Estos intentaron rodear al general Basseeourt con unos 600 ú 800 caballos y 3 6 4000 infantes : y en la-tarde del (8 fueron dete­ nidas estas fuerzas en el puente de-Atalayuelas perla sección Ye* guau de d…</t>
  </si>
  <si>
    <t>Bastarre, José María</t>
  </si>
  <si>
    <t>José María Bastarre</t>
  </si>
  <si>
    <t>Marina. D. Francisco Miangolarra, minis­ tro interino , 200. El oficial segundo D. Francisco Ortega, contador de la corbeta Peruano , 160. El tercero D. José María Bastarre.chea , 200. El cuar­ to D. Antonio Allegue del Villar, 14Ó. D. José Santiago Campino , con­ tador de la fragata Astrea, 140. El oficial mayor de la comisa…</t>
  </si>
  <si>
    <t>Bastían</t>
  </si>
  <si>
    <t>úblico,, los’ patronos ipi­ de los enfermos, y entre los aldeartos éra conocido les , los .decuriones, yJos prefectos del pdlació, á con él hombre de doctor Bastían.' lía magistrado d$l quienis nuestro Muticiiió", había.HistriL.tii jó jañtoi distrito queriendo acabar con este chiflatar.ismn , y íextercips para ja solemnidad, …</t>
  </si>
  <si>
    <t>Bastillo, Femando</t>
  </si>
  <si>
    <t>Femando Bastillo</t>
  </si>
  <si>
    <t>Gazeta de la Regencia de las Españas n.º 162</t>
  </si>
  <si>
    <t>1536</t>
  </si>
  <si>
    <t>ecomendaciones al alférez de navio D. Joaquín do la Llave.—Dios guarde á V. S. muchos años. Yeracruz 25 de Agos­ to de 1812. —Juan María de Soto. Sr. D. Femando Bastillo ” Y lisonjeándome yo de ser uno de los mas interesados en las glo­ rias del cuerpo , y en el merecido premio de los individuos de él que se sacrifican por la…</t>
  </si>
  <si>
    <t>Bastillo, José</t>
  </si>
  <si>
    <t>José Bastillo</t>
  </si>
  <si>
    <t>Gazeta de la Regencia de las Españas n.º 111</t>
  </si>
  <si>
    <t>930</t>
  </si>
  <si>
    <t>de Sevilla á D. Manuel Fernando Raíz del B.irgo, ministro del tribunal especial de guerra y marina , y para igual des­ tino en el reyno de Córdoba á D. José Bastillo, ministro ilr la au­ diencia de Sevilla. Y no queriendo S. A. retardar á los puebls del reyno de Sevilla inmediatos á esta ciudad , los beneficios d-r la cons­ t…</t>
  </si>
  <si>
    <t>Bastillo, Luí</t>
  </si>
  <si>
    <t>Luí Bastillo</t>
  </si>
  <si>
    <t>. Basilio Manso, diácono, id. en Espiel. 2200 D. Antonio Ortiz, id................... ................ 2200 Dt Francisco Gregorio de Osuna, lego, id. D. Luí- Bastillo, residente en Ecija.......... 2200 en Córdoba................. 1100 D. Antonio Fcioandez , íd........................... 2200 D. Francisco Angelina ", id...’...…</t>
  </si>
  <si>
    <t>Basualdo, Ramón</t>
  </si>
  <si>
    <t>Ramón Basualdo</t>
  </si>
  <si>
    <t>nio Soldado. Diputados seculares Diputado eclesiástico D. Manuel Rodríguez d&lt;¡ Castro. D. Bernabé Mateo Perez. D. Muías Mesonero. Diputados reculares D. Ramón Basualdo. D. Ramón de Campos/ D. Ignacio Campesino. D. Francisco Perpiñan. " . Secretario D. Josef Flores. D. Antonio de Pineda. Secretario D. Bernardo de la Vega. QUAR…</t>
  </si>
  <si>
    <t>Batalla, Juan</t>
  </si>
  <si>
    <t>Juan Batalla</t>
  </si>
  <si>
    <t>o Cnicho , 2. D. Santiago López, 2. D. Juan Navarrete , 2. D. "Martin Fer­ nandez , 2. D. Juan Loaisa, 2. D. Camilo Mariatégui., 2. D. Pablo Manco 2. D. Juan Batalla, 2. D. Tomas Portocarrero , 2. D. Francisco Zandagoza, D. Pedro Omdoranchey &gt; 2. D. Vicente Navarte , 2. D. Manuel Vengocne.a , 2. D. José Marlategui, 2. D. 'Fra…</t>
  </si>
  <si>
    <t>Batanero, Francisco de Panla</t>
  </si>
  <si>
    <t>Francisco de Panla Batanero</t>
  </si>
  <si>
    <t>......... 5x6ñií no María López de Robredo................. 3195 D. Patricio Josef González y Tricio.. 10480 Doña María Aoa Ramírez de Estenoz. 18000 D. Francisco de Panla Batanero......... 16S00 D. Josef Benito de Cuellar........... . 4951 3 D. Josef Raiz de Oslada..................... 80000 D. Martin María Novia..... ......…</t>
  </si>
  <si>
    <t>Bathnrst</t>
  </si>
  <si>
    <t>i todos los boques fueron apresados y rineros de países sujetos á la Francia. confiscados en los puertos á qoe arribaron. Esta ,, Dicen , continuó el conde Bathnrst, que la convoi importaba por lo menos ocho ó nueve mi­ oficina de licencias fomenta la inmoralidad, y que llones de libras esterlinas, y si no hubiera sido por la…</t>
  </si>
  <si>
    <t>Batjacoba, Juan</t>
  </si>
  <si>
    <t>Juan Batjacoba</t>
  </si>
  <si>
    <t>8T4 D. Francisco Bermodez, id...i........ 2200 D. Domingo dé los Ríos , id....... 2200 D. Mirüno Jungaitu, íd...... ¿.u............ 2200 D. Juan Batjacoba , id........I...'...... ,... 2200 D; Narciso deiZeq , id..................................... '220a *&gt;• J uan Fernandez , id......... "..................... 2200 D. Manuel …</t>
  </si>
  <si>
    <t>Bau, Juan</t>
  </si>
  <si>
    <t>Juan Bau</t>
  </si>
  <si>
    <t>la Huerta á su frente, ha pronunciado el discurso siguiente: y D. JosefTellería: seminaristas D. Tomas Hea- Señor: riquez, D. Juan Manuel Errazqoin, D. Juan Bau­ tista Montes, D. Domingo Urdagarin, D. Juan ,,Vuestra villa de Requena, comprehendida Antonio Ozamiz, D. Juan Achucarro, D, Josef en la prefectura de Valencia, no ha…</t>
  </si>
  <si>
    <t>Bau, Manuel</t>
  </si>
  <si>
    <t>Manuel Bau</t>
  </si>
  <si>
    <t>; D. Francisco Gamboa, del regi­ miento de Sigilenza, graduado de teniente coronel; D José Alva­ res Guerra , del extinguido de cazadores de Zafra ; D. Manuel Bau­ sa , del de la Princesa ; O. Juan Echavarría, del de Aragón; Don Marcelo Baeza, del'batallón dé voluntarios de León, y D. Nevero Sterlin , del de voluntarios de Ca…</t>
  </si>
  <si>
    <t>Baudin</t>
  </si>
  <si>
    <t>Gaceta de Madrid n.º 111</t>
  </si>
  <si>
    <t>8, y los bergantines. Raleigh , Shledrak*■ ¿ líyc» gún otro deb golfo Bonaparte, que descubrió ha­ cada uno de t8 cañones. í • ce mas de seis años el capitán Baudin. La isla de El señor Walthersdorf* hijo de nuestro envías1 -los Kangourous es la isla Dcctés, descubierta por do cerca de la corte de Francia, ha salido de aquí l…</t>
  </si>
  <si>
    <t>Bautista, Juan</t>
  </si>
  <si>
    <t>Juan Bautista</t>
  </si>
  <si>
    <t>ascensión recta del subteniente abanderado del regimiento de Grana­ cometa es retrógrado y mni lento, y que el mo­ da , 4.0 de infantería de línea; á D. Juan Bautista vimiento de declinación le lleva hacia el hemisferio Josef, conde de Thnrn, subteniente qne fue del septentrional. regimiento suizo de Ruttiman, subteniente del…</t>
  </si>
  <si>
    <t>ue lian estado siglos enteros escondidas en parages obscuros, AVISOS. con oprobio del buen gusto, y poco aire de los En virtud de providencia del Sr. D. Juan Bautista gobiernos precedentes. Guitart, su fecha 15 del corriente , se ha mandado sa­ ,,Pero si la municipalidad ha merecido estas y car á pública subasta uria casa lab…</t>
  </si>
  <si>
    <t>maestro de ceremoniasr Charpenay (D. Cárlos), capitaa de tiradores de de.S.M. la guardia real. ÍÍOcés (D. Antonio)', capitán de artillería. Charricu (D. Juan Bautista), granadero de la Inganni (D. Franciico), subteniente del regimienv guardia real. ' "tó Real Extraugiro; Chauved (D. Pedro), soldado de tiradores de la Irazabal…</t>
  </si>
  <si>
    <t>Gaceta de Madrid n.º 85</t>
  </si>
  <si>
    <t>Suiza, puede citarse como una de las mas notables la que AVISO. ha tenido por objeto la corta de madera en loi bos­ En virtud de providencia Óel Sr. D. Juan Bautista ques que cubren uno de los sitios mas espesos y Guítart, juez de la testamentaría de Juan Ximenez, y elevados del monte Pilatos , situado en estas inme­ á instan…</t>
  </si>
  <si>
    <t>arragona. ha señalado el dia 15 del corrient ■ , y hora de la una {Siguen varias noticias relativas a .icsazones de la tarde, en la audiencia del Sr. D. Juan Bautista domésticas.) Guitart , por ante el escribano del número D. AU-xan,, A Dios, mi qnerido Carlos; Dios te de toda dro Gutierre/. La persona que quiera hacer mejor.…</t>
  </si>
  <si>
    <t>Gaceta de Madrid n.º 120</t>
  </si>
  <si>
    <t>488</t>
  </si>
  <si>
    <t>d. los venta se hace para pago de cierto acreedor por el juz­ tratados de paz concluidos desde fíats del siglo pa­ gado de primera instancia del Sr. ,D. Juan Bautista sado , y se convencerá vmd. de la generosidad con Guitart, y escribanía de provincia que despacha Don que abandona á sus aliados, como vmd. arroja u na Antonio …</t>
  </si>
  <si>
    <t>Gaceta de Madrid n.º 149</t>
  </si>
  <si>
    <t>buscó á los otros dos para as gurar la execucion: Ies co­ AVISO. municó Ja noticia de la venta de la casa, su desig­ En virtud de providencia del Sr. D. Juan Bautista nio de robar los 42®,rs., precio de ella , y el ase­ Guilart, del consejo de S. M., juez de primera instan­ sinato de su dueño, para no dexar rastro alguno cia …</t>
  </si>
  <si>
    <t>iores ama­ AVISO. rillean , y se caen ó inclinan liácia abaxo; en los departamentos de Gé.iova y del Pó quando estas En virtud da providencia del Sr. D. Juan Bautista mismas hojas amarillean y se llenan de agujerillos; Guitart, juez de primera instancia en esta corle, y en el departamento del Arno quando se ponen las para hac…</t>
  </si>
  <si>
    <t>arro­ dígame vmd. , ¿ cómo va de preparativos ? quia de S. Pedro de la ciudad de Valencia. D. P. ¡ Preparativos yo ! ¿ y para qué ? ¿ para Fabregat ( D. Juan Bautista ) , cura de la parro­ hacer algnn viage ? No pienso por ahora en tal quia de S. Salvador de la misma. desatino. Yo me hallo bien aqui; el que no esté Fernandez …</t>
  </si>
  <si>
    <t>a te­ AVISO. nido qne 'arrinconarse en la Albuera , y colocarse cutre dos tros, donde si permanece, las tercianas le Eb virtud de providencia del Sr. D. Juan Bautista bao de haeer mas daño qne las balas. Guitart, del consejo de S. M. , juez de primera instan­ cia de esta villa , refrendada del escribano de número 27. B. Vamos…</t>
  </si>
  <si>
    <t>Bauza, Felipe</t>
  </si>
  <si>
    <t>Felipe Bauza</t>
  </si>
  <si>
    <t>j'72 • ¿i • &gt;v tropd&gt;i««&lt;(^41««•«ii&lt;«• *•• i»»iiaíaiM !*" ^ - Sooo, Idem á D. Felipe Bauza , capitán .dénirigataj ; &gt; * , por empaque y remesa á Cádiz de..efectos ,t /„ de que e^tí encargado.................................... 6000 Idem á D. Juan Fernandez .Castro por impór- ; *•t</t>
  </si>
  <si>
    <t>Bawz</t>
  </si>
  <si>
    <t>dia ocupa el expresado pueblo. Los fuertes de Salamanca se defienden, y en la noche pasada , ha­ biéndose intentado la escalada, ha quedado muerto el general Bawz, y varios oficiales y soldados. — Esta es la situación de los exército* hasta las 9 de la noche del 24. S. Felices de los Gallegos 26 de jur io. Es in^xplicab e ei …</t>
  </si>
  <si>
    <t>Baxo</t>
  </si>
  <si>
    <t>Gaceta de Madrid n.º 165</t>
  </si>
  <si>
    <t>69</t>
  </si>
  <si>
    <t>a tiene Jada el ga­ moral pú dica y de honor á favor de nuestra inde­ binete ingles á f.v'r de nuestra independencia, y pendencia y nuestra integr d ,d. Baxo ts:os pactos mucho menos de r.uestra integridad; que ningún juramos todos ia obediencia ai Rei , y baxo ellos tratado antecedió a su intervención en los negocios hemos s…</t>
  </si>
  <si>
    <t>Bay, Joaquín</t>
  </si>
  <si>
    <t>Joaquín Bay</t>
  </si>
  <si>
    <t>nio del Valle, D. Manuel María Rodríguez Rubio y D. Luis María Montero, ele cazadores ; al conde de Torre* jon, D. Ramón de Orozco, D. Tomas Heredia, D. Joaquín Bay ona y D. Hanión Parada, de cazadores; empleo de alférez de granaderos, al de fusileros D. Antonio María de S. Andrés ; empleos de alféreces de cazadores á los de …</t>
  </si>
  <si>
    <t>Bayena, Manuel</t>
  </si>
  <si>
    <t>Manuel Bayena</t>
  </si>
  <si>
    <t>ateo Primo. ••••«»» • • 1 C Teniente . . D. Alejandro de Torres... • • 1 'Coronel. . . D. Francisco Heno............. • • 1 Sarg. mayor / el coronel. D. Manuel Bayena............. • 1 Cádiz. 1 j Teniente. . D. Miguel Angulo....... • ■ Subteniente D. Hipólito Salgúese?.... • • 1 0 ^Ofcro .... D. José Fernandez...... • • 1 ¡ C …</t>
  </si>
  <si>
    <t>Baynes</t>
  </si>
  <si>
    <t>1148</t>
  </si>
  <si>
    <t>Ilalifmx 24 de Agosto. Se ha extractado de la gaceta de Albania del lunes último el ar­ tículo siguiente: „E1 sábado anterior llegó á esta ciudad el coronel Baynes, ayu­ dante general de las fuerzas' inglesas en el baxo-Canádá acompaña­ do del mayor Clarck, edecán del general Péttit, comandante ae las tropas americanas en la …</t>
  </si>
  <si>
    <t>PDF p. 5</t>
  </si>
  <si>
    <t>r el resultado de estas conferencias, tenemos por muy probable que se haya concluido un armisticio parcial y por tiempo limitado. Otros opinan que el coronel Baynes tenia en su po­ der las instrucciones enviadas á M. Foster, que había s venido aquí, con intención de trasladarse al pueblo donde. reside el gobierno ; ,pe­ ro qu…</t>
  </si>
  <si>
    <t>Bayon, Félix</t>
  </si>
  <si>
    <t>Félix Bayon</t>
  </si>
  <si>
    <t>ciudad.___Piensen los periodistas quánto mal ha­ D. Francisco Abaxo, diácono, id.............. 2200 cen en engañar al pueblo; quánto perjudican á la D. Félix Bayon,id. enVillanueva ó Aldea buena cansa con sus elogios desmedidos y parcia­ nuev.a del Monte..... .............................. . 2200 les , y buscando la verdad en…</t>
  </si>
  <si>
    <t>Bazan, Manuel de Vega</t>
  </si>
  <si>
    <t>Manuel de Vega Bazan</t>
  </si>
  <si>
    <t>gui, oficial tercero de la renta de correos de esta Capital , 83 pesos fuertes. Don José María Ortega , quinto , 68. D. An­ drés Riquero , sexto, 50. D. Manuel de Vega Bazan , séptimo, 4-1. Don Santiago Carrasco, octavo, 41. D. Eugenio Galarza, portero , D. Ig« O tiacio Ayllon , escribano, 12 Conductores del número. D. José M…</t>
  </si>
  <si>
    <t>Bazo, Pedro</t>
  </si>
  <si>
    <t>Pedro Bazo</t>
  </si>
  <si>
    <t>Diputado eclesiástico D. Ramón Romero. D. Juan Romnaldo'de Rozas. Diputados seculares Diputados seculares D. Manuel Moreda. D. Fernando dél Sotiibo. D. Pedro Bazo. D. Pedro Madrid. D. Severiaoo Xaramillo. D. Lorenzo Marqueta. , Secretario ‘ Secretario D. Juan Roiz Divila. D. Luis López de Castro. BARRIO DE LAS BARONESAS. BARR…</t>
  </si>
  <si>
    <t>Bbnaet</t>
  </si>
  <si>
    <t>punto de ponerse en movimiento p?ra atacar al general Dxouetcuyas fuerzas considera­ ba inferieres á las suyas.” II. Rueda 14 de julio de 1812.—,,EL general Bbnaet se reunió en la terdc del dia 7 del corriente al exército enemigo, el que después de esto ha extendido su derecha, hasta Tóro, donde se ha ocupado con actividad en…</t>
  </si>
  <si>
    <t>Bccard, Eugenio</t>
  </si>
  <si>
    <t>Eugenio Bccard</t>
  </si>
  <si>
    <t>baileríaée catadores de montana de Güzdalaxara, opuso á la defección del marques de la Romana; y á D. Eugenio Bccard, subrenisnte de la compa­ pero embarcado por fuerza en Nieborg , fue condu­ ñía de infantería de cazadores de montaña de Gua- cido á Langeland, eo cuya isla logró ocultarse d a laxara , ten</t>
  </si>
  <si>
    <t>Bcijilichu, Francisco de León</t>
  </si>
  <si>
    <t>Francisco de León Bcijilichu</t>
  </si>
  <si>
    <t>93</t>
  </si>
  <si>
    <t>io dia el general enemigo , que Domingo Agüero ,■ D. Manuel Silvela , D. Fran­ pudo ya&gt; rezelarse que habia proyeetqs bien serios cisco Iturribarría, D. Francisco de León Bcijilichu, contra la ciudad, hizo pasar dos divisiones y dos y D. Antonio Porras, fiscal: y de jueces de pri­ regimientos de infantería ae la guardia para …</t>
  </si>
  <si>
    <t>Bcresford</t>
  </si>
  <si>
    <t>202</t>
  </si>
  <si>
    <t>su discurso á hablar de la buena con­ ducta de las tropas inglesas y portuguesas en la península, y de ía pe­ ricia militar del lord Wellington , del mariscal Bcresford y del genexál/Hill. aSi ponemos nuestra atención , dixo, en España, es cier­ tamente desagradable que el enemigo continué haciendo progresos en aquel país; pe…</t>
  </si>
  <si>
    <t>Bcrmudez, José</t>
  </si>
  <si>
    <t>José Bcrmudez</t>
  </si>
  <si>
    <t>Gazeta de la Regencia de las Españas n.º 25 (suplemento)</t>
  </si>
  <si>
    <t>221</t>
  </si>
  <si>
    <t>a de este último puerto el 12 de octubre para Europa. Ha conducido á su bordo á los dos señores diputados de Cortes, D. Pedro García, por Truxilio, y D. José Bcrmudez., por Tarma. Por el mismo buque se ha recibido el núm. 100 de la gaceta del Gobierno de Lima de 17 de setiem­ bre del año pasado, de la cual se traslada literal…</t>
  </si>
  <si>
    <t>Bcrmuis</t>
  </si>
  <si>
    <t>Gaceta de Madrid n.º 192</t>
  </si>
  <si>
    <t>chancillería según el carácter de cada uno, siu otro tra­ lírquijo.” tamiento alguno. olxxvii. Los jueces, fiscales generales y substitutos Ei señor general Bcrmuis encontró el 4 de julio cerca i1: del tribaoal de reposición y de cb xcillcrías se titularáp Colmenar al cuerpo de tropas del Empecinado, que se dirigí, del nuestr…</t>
  </si>
  <si>
    <t>Bcrral, Juan</t>
  </si>
  <si>
    <t>Juan Bcrral</t>
  </si>
  <si>
    <t>........ ...................... 2 200 D. Francisco Morente , id. en Agilitar....... 22co D. Andrés de Cuenca , id............... .............. 2 200 D. Juan Bcrral , lego, id. en Córdoba....... 1100 D. Juan Moreno , id. en Torremilans........... 2 200 Ex- trinitarios descalzos. D. Pedro Blanco , id........ .......... .......…</t>
  </si>
  <si>
    <t>Bcteta, Ignacio María</t>
  </si>
  <si>
    <t>Ignacio María Bcteta</t>
  </si>
  <si>
    <t>D Cién- D. Antonio de Cárdenas, residente en Jaén. 2200 poznelos................. 2200 D. Juan Roldan, id...... ................................ 2200 D. Ignacio María Bcteta, id. en Alcalá..... 2200 D. J uan de Dios Perez de Ja Cerda, id.... 2200 D. Diego Ventara López» »d. en Madrid. 2200 D. Pedro Sabariego, id..............…</t>
  </si>
  <si>
    <t>Bdni</t>
  </si>
  <si>
    <t>guna idea de su estado político. de Ritucbuttel, eí-cuerpo de artillería que eu.i al Al lio. han sido cumplidos Jos votas de los afi­ mando del señor general Bdni; ¡nnieii.itainente cionados y. amigos de ias antigüedades de sa patria que tuvo noticia.de esta,desgracia echó un guan­ con la publicación de una inscripción latina…</t>
  </si>
  <si>
    <t>Be, José</t>
  </si>
  <si>
    <t>José Be</t>
  </si>
  <si>
    <t>untarios de León, D. Benigno Y*nes, subteniente del de la Corona, D. Manuel García y D José Sainé, sargentos primeros de dicho batallón de zapadores, D José Be rito Seoane, subteniente de la extinguida compañía de gastadores, D. Pe-</t>
  </si>
  <si>
    <t>Beackendorff</t>
  </si>
  <si>
    <t>Gazeta de la Regencia de las Españas n.º 157</t>
  </si>
  <si>
    <t>1290</t>
  </si>
  <si>
    <t>érdida del enemigo en muertos y heridos debe de haber sido muy grande , al paso que la nuestra es de poca consideración. El destacamento al mando del coronel Beackendorff, que se ha­ lla entre Wolokolamsk y Mojaisk, envía sus partidas de reconoci­ miento á derecha é izquierda del camino que conduce á Smolensko, y me ha enviad…</t>
  </si>
  <si>
    <t>Beatriz</t>
  </si>
  <si>
    <t>Gaceta de Madrid n.º 154</t>
  </si>
  <si>
    <t>622</t>
  </si>
  <si>
    <t>del santo del dia! Nada, lo qu« negocios domé-ticos que art.,ña con sus agencias dice el bendito de mi frai Gaspar : ellos á predi­ ultramarinas. La Doña Beatriz es intima de Duña car, y nosotros á cerrar los oidos, veremos quien Barbara , y en todo piensa como ella : soítcrooa se cansa primero. entrada en dias, áspera de con…</t>
  </si>
  <si>
    <t>Beaver</t>
  </si>
  <si>
    <t>12</t>
  </si>
  <si>
    <t>a. Tengo el honor &amp;c. -— C. M. Schomberg, capitán.”' Nota. Según los estados de muertos y heridos á bordo de las fra­ gatas de S. M., remitido por el capitán Beaver, resulta que la Astrea tuvo 18, la Eeóe 31, y la GWatea 6 f. ,,/i bordo de la fragata Astrea al ancla en Tamalave, isla de Madagascar , á 28 de mayo. — Por mi car…</t>
  </si>
  <si>
    <t>Bebndia, Juan</t>
  </si>
  <si>
    <t>Juan Bebndia</t>
  </si>
  <si>
    <t>de barrio Diputado eclesiástico D. Josef Laguera. D. Antonio Liaño. Diputado eclesiástico y secretario Diputados seculares D. Josef Antonio lbarrola. D. Juan Bebndia. - Diputados seculares D. Joaquín Sánchez. D. Francisco Perez. D. Andrés Sevillano. D. Marcos González del Campillo. Secretario D. Benito Mendez. BARRIO DE AFLIG…</t>
  </si>
  <si>
    <t>Becerra, Joaquín</t>
  </si>
  <si>
    <t>Joaquín Becerra</t>
  </si>
  <si>
    <t>601</t>
  </si>
  <si>
    <t>ían entrado en Castalia 9 carros de heridos. El encargado del estado mayor de la sección, ayudarte pri­ mero D..Pedro Portillo, el espitan de Btdcjoa D. Joaquín Becerra (k quien mataron el caballo que mentaba ), y el teniente ü. Bruno Portillo, ayudante del citado coronel- cc-r^andíinte,■ rcerec-en que este los nombre |partic…</t>
  </si>
  <si>
    <t>Beckwith</t>
  </si>
  <si>
    <t>Gazeta de la Regencia de las Españas n.º 52</t>
  </si>
  <si>
    <t>y marchó al asalto á la cabeza de la división con la mayor bizarría. ,,Pcr ausencia del mayor general Vandeleur, causada por su en­ fermedad , y del coronel Beckwith,, el teniente coronel JBimard man­ dó la división ligera en el asalto; y se distinguió no menos por lo acertado de sus disposiciones para esta operación, que por…</t>
  </si>
  <si>
    <t>Bedoya, Gregorio</t>
  </si>
  <si>
    <t>Gregorio Bedoya</t>
  </si>
  <si>
    <t>Zamora. Continúan los donativos del Perú. D. Diego Merlo de Portugal, gobernador de Quijos, 200 ps. fs. D. Ma­ nuel Garaie , cura de -Orootuna, 100. D. Gregorio Bedoya , cura de Pac aran, 50. Colectado por el subdelegado de Jauja , 2334. Id. por el de Huamalies, 670 con 5. El marques de Fuente Hermosa, 1000. D. Francisco Vela…</t>
  </si>
  <si>
    <t>Begrution</t>
  </si>
  <si>
    <t>357</t>
  </si>
  <si>
    <t>e heridos y enfermos en los hospitales sin auxilio ni subsistencia alguna. Los rusos confiesan la pérdida de 10® hombres en Ja batalla de Moskowa. El príncipe Begrution salió mortalmente herido. Se ha formado una lista de los generales rusos muertos y heridos en la batalla, y su número asciende de 45 á so. Asi acaba uno de lo…</t>
  </si>
  <si>
    <t>Bel</t>
  </si>
  <si>
    <t>319</t>
  </si>
  <si>
    <t>n ellos, y que el general Mahy había mandado, con fecha del 30 de enero , que se reuniesen á estos p-untos los dispersos. — Ya de noche ha entrado el mariscal Bel i une , y en su compañía dos ge­ nerales de división y 28 oficiales dispersos, escoltados todos por 100 infantes y 400 caballos. Se dice que en breve saldrán para F…</t>
  </si>
  <si>
    <t>Belanconvt, Antonio Ildefonso</t>
  </si>
  <si>
    <t>Antonio Ildefonso Belanconvt</t>
  </si>
  <si>
    <t>s durante la guerra , 1.0. D. Juan de S I va por una vez , 100. D. Valentín Tío, durante la guerra , lO. I). Juan Rafael de Agn-ar, por una vez, 100. D. Antonio Ildefonso Belanconvt, oficial de libros, 30. D. Juan Casanova , id., 25, D. Andrés Váleles Archivero, id., 10. Escribiente D. Pe­ dro I anguenein , id., 6. II. D. Ben…</t>
  </si>
  <si>
    <t>Belben, Antonio</t>
  </si>
  <si>
    <t>Antonio Belben</t>
  </si>
  <si>
    <t>anehego. D. Juan Moliner..................... . 1091 y 19 D. Modesto Belben...................... 602 26 En los tiempos del Reí que rabió no había en D. Antonio Belben...................... 5948 22 todo Miguel-Turra ni en muchas leguas á la re­ Doña Juana Abarrátegui, como donda mas qne un espejo. Tráxolo al lugar un cura, ma…</t>
  </si>
  <si>
    <t>Belben, Modesto</t>
  </si>
  <si>
    <t>Modesto Belben</t>
  </si>
  <si>
    <t>.................... 3*y« 3* D. Antonio Josef Marcos............. 35 5 1 3* Cuento arábigo-manehego. D. Juan Moliner..................... . 1091 y 19 D. Modesto Belben...................... 602 26 En los tiempos del Reí que rabió no había en D. Antonio Belben...................... 5948 22 todo Miguel-Turra ni en muchas leguas…</t>
  </si>
  <si>
    <t>Beldará</t>
  </si>
  <si>
    <t>Gaceta de Madrid n.º 234</t>
  </si>
  <si>
    <t>í todo el primer cuerpo de caballería de reser­ Debo recomendar nuevamente á V.M. al gene­ va y dos batallones del 8.° de infantería ligera, si-, ral conde Beldará , que en esta jornada dió á V. M. guiándome la división Delzon. Mi vanguardia en­ nuevas pruebas de adhesión y de valentía : á él se ■ contró la retaguardia enemig…</t>
  </si>
  <si>
    <t>Belgrano</t>
  </si>
  <si>
    <t>pero ha su­ cedido loque no podíamos pensar, y hemos visto lo que, sin pre­ senciarlo , era difícil creer. ,,Los Patricios no se hallaban bien con el coronel Belgrano , y sia otra consulta ni petición á la superioridad , resolvieron no obedecer­ le, ni ser mandados tampoco por muchos oficiales que no eran de su devoción. Ei d…</t>
  </si>
  <si>
    <t>libras esterlinas de los fondos del tán defragata , es gefe del estado mayor de Bpe- estado. Mr. Mills fue miembro del parlamento so­ ,poi-Aires. El general Belgrano ha sido nombrado lo para robar áxus acreedores la cantidad de ¿o© coronel del .regimiento de los Patricios , en lpgár libras,esterlinas, y para escaparse libreme…</t>
  </si>
  <si>
    <t>Belidar</t>
  </si>
  <si>
    <t>Gaceta de Madrid n.º 210</t>
  </si>
  <si>
    <t>844</t>
  </si>
  <si>
    <t>tos, y fie! á los principios liberales que ha " El mismo corsario, que está mandado por el adoptado para fomentar la industria , ha concedi­ valiente capitán Belidar, ha dado caza á otros mu­ do á los inventores las patentes que han pedido. chos buques enemigos á la vista de las costas de Inglaterra , y uno de ellos por no ca…</t>
  </si>
  <si>
    <t>Belletar</t>
  </si>
  <si>
    <t>36</t>
  </si>
  <si>
    <t>uestra paciencia. archiduque Garios volverá á encargarse de la di­ ,,Vuestra comisión, reservándose el manifes­ rección de los negocios militares. E¡ general Belletar en otra coyuntura las providencias ulteriores, arde reunirá en su persona las funciones de goá las que, según su opinión , debe recurrióse, se ernador civil y m…</t>
  </si>
  <si>
    <t>Belsa, Francisco</t>
  </si>
  <si>
    <t>Francisco Belsa</t>
  </si>
  <si>
    <t>1084</t>
  </si>
  <si>
    <t>, al teniente D. Andrés Fchauri, que mandaba la compañía de caza­ dores , al subteniente D. Ramón Radía, al primero Asensio Grana­ da, al distinguido D. Francisco Belsa, al cabo primero Juan Rome­ ro, al de segunda clase Agapito Pineyia, y á los sondes Francisco Np.vslTes y Andrés García, todos de cazadores. Al subtemiente D.…</t>
  </si>
  <si>
    <t>Beltran, José</t>
  </si>
  <si>
    <t>José Beltran</t>
  </si>
  <si>
    <t>eyre , id. 0 -25. D. José Ostolaza, regente y vice-rector honorario , 25. D. Francisco Pas­ tor , capellán y maestro , 12. D. Pedro Amezaga, id., 12. D. José Beltran, id., 6. D. Redro Rolando., id* 6. D. José Navarrete , id. , 6. D. José Tacaño, id., 12. D. Felipe Cárdenas, 4 y 2- rs?. D. Miguel Mascare, S. I). Manuel Tejada,…</t>
  </si>
  <si>
    <t>Benavides, Francisco de Paula</t>
  </si>
  <si>
    <t>Francisco de Paula Benavides</t>
  </si>
  <si>
    <t>miento de Alpujarras : á tenientes, á D. Bruno Portillo, sub­ teniente de Alcázar de S. Juan, D. Salvador María Suaivz, subte­ niente de Alpujarías , D. Francisco de Paula Benavides , subtenien­ te del primero de Guadix, D. Luis Castilla y O. Julián Lombar­ do , subtenientes de la Corona: á subtenientes, á D. Valentín del Rio…</t>
  </si>
  <si>
    <t>Benckendorff</t>
  </si>
  <si>
    <t>388</t>
  </si>
  <si>
    <t>á un oficial y 270 hombres: la pérdi­ da del enemigo en muertos debe haber sido muy considerable: la nuestra es muy pequeña. Las tropas al mando del coronel Benckendorff, que se hallan entre Wolokolamsk.y Mojaisk, envían partidas de'reconocimiento por derecha é iz­ quierda del camino de Smolensko, y ha cogido ya ico prisioner…</t>
  </si>
  <si>
    <t>Beneito, Josef</t>
  </si>
  <si>
    <t>Josef Beneito</t>
  </si>
  <si>
    <t>«4 # aiaa rigor q«« qflaaJo «I soldado eiti en pobu- art. ir. Don Josef Alegre, D. Josef Beneito «lODti. ¿a caballería permanecerá acantonada has» y Cha inri e y D. Manuel Chiva, abogados del co­ ta nueva orden. Todavía no está nombrado el ge­ legio de Valencia , quedan nombrados alcaldes del</t>
  </si>
  <si>
    <t>Beni</t>
  </si>
  <si>
    <t>1049</t>
  </si>
  <si>
    <t>o; al subteniente de húsares D. Gaspar Pérez .al teniente del tercero D. Felipe Retiña, herido», y á lo* capitanes, de nacionales B. Tontas de Lira y D. Beni­ to García dei Barrio, y ai deí primero D. Pedia Gallegos , contuso*</t>
  </si>
  <si>
    <t>Benigno</t>
  </si>
  <si>
    <t>incorporada en el mismo batallón de zapadores : á subtenientes , á D. Francisco de Paula Perer „ sub­ teniente del regimiento de voluntarios de León, D. Benigno Y*nes, subteniente del de la Corona, D. Manuel García y D José Sainé, sargentos primeros de dicho batallón de zapadores, D José Be rito Seoane, subteniente de la exti…</t>
  </si>
  <si>
    <t>Beningsen</t>
  </si>
  <si>
    <t>esertores----■El general Barclay de Tolly ha sido nombrado ministro de la Guerra, y el cuerpo de exército que .mandaba ha pasado baxo las ordenes dei general Beningsen. Qotemburgo 18 d’ julio. A} ren se ha puesto embargo á tcdos los buques que se hallaban en este</t>
  </si>
  <si>
    <t>1385</t>
  </si>
  <si>
    <t>DEL JUEVES 24 DE DICIEMBRE DE 1312. RUSIA. JPetersburgo 29 de Octubre. En la gaceta ministerial ele la corte se ha insertado el parte si* guíente del general Beningsen al Feld-mariscal principe Kutosow, con fecha de 19 de Octubre de 1812. ,,Tengo la honra de remitir á Y. E. los pormenores de la bata* lia de ayer, en la que hu…</t>
  </si>
  <si>
    <t>1388</t>
  </si>
  <si>
    <t>te desahogo de Lauriston acredita la situación en que se halla Bonaqparte. Mural se presen! también á las avanzadas pidiendo permiso .para hablar, al general Beningsen ; y concedido que fue , solicitó la paz para sí ctuno rey de Napqíes; pero Benijigsen r riyendose de es­ ta pieiensióp;, le respondió que ni aun podía toipár á…</t>
  </si>
  <si>
    <t>Benitez, Andrés</t>
  </si>
  <si>
    <t>Andrés Benitez</t>
  </si>
  <si>
    <t>d............................... 2200 D. Josef Melendez Valdés, id.*.»............... 2200 D. Josef de Texada, Td............................... 2200 D. Andrés Benitez, resideute en Montoro. 2200 D. Joan Ramírez ; id.......................... 2200 D. Francisco Ñoñez, id. en Cabeza del D. Juan dé Dios Pastor", id...... .......…</t>
  </si>
  <si>
    <t>Benitez, Pedro</t>
  </si>
  <si>
    <t>Pedro Benitez</t>
  </si>
  <si>
    <t>guerra , 500. D. Joaquín Pedroso, id., 100. El moreno Juan Nepomuceno Diez, id., 54. D. Juan Antonio Cordero, id., 54. D. Do­ mingo Urquijo, id., 54. D. Pedro Benitez, id. , 54. D. Juan Nadin , id., 54. D. Manuel Gualda, id., 34. Doña María de la.Concepción González, en agosto de 1811 por una vez, 11. D,oña Teresa de ¿ayas, i…</t>
  </si>
  <si>
    <t>Benito</t>
  </si>
  <si>
    <t>ente Giralda , 1). FeliciaCuesta y D. Cristóbal Pcntigoso. “Excmo. Sr.: No pudiendo mirar con indiferencia la libertad, con que la columna volante de D. Benito , de 270 infantes y 115 caba­ llos , se había propuesto hacer efectiva la última exorbitante con­ tribución , impuesta á Tal arrubias y pueblos de la circunferencia; a…</t>
  </si>
  <si>
    <t>102</t>
  </si>
  <si>
    <t>onada , obligados á retirarnos segunda vez á causa de venir avanzando en socorro de los perseguidos toda la tropa de ca­ ballería é infantería que en D. Benito tenia el enemigo. — La pérdi­ da de este fue sobre 60 dragones y varios infantes entre muertos y heridos, 2 prisioneros, 10 caballos con todos sus arreos , diferentes …</t>
  </si>
  <si>
    <t>Benito, Frutos Alvaro</t>
  </si>
  <si>
    <t>Frutos Alvaro Benito</t>
  </si>
  <si>
    <t>la eicasez de recursos, y que mirando solo el bie i D. Alexandro Foodra’.................... 141.. 6 general , procede con la energía y la confianza D. Frutos Alvaro Benito................. 600 propias del zelo que la anima , y da la prueba mas D.......... Boisson.................................. roo aniéntica de quanto pued…</t>
  </si>
  <si>
    <t>era que sea, sino que nrs contentaremos con Sr. marques de Palacios......................... aoo el reconocimiento de ios feudos; sin embargo, la Sr. D. Frutos Alvaro Benito................. 300 investidura teudri lugar respecto de todos aque­ Sr. D. Juan Biptlsta Parnitse................ 200 llos vasallos nuesrros que no la …</t>
  </si>
  <si>
    <t>Benito, Manuel</t>
  </si>
  <si>
    <t>Manuel Benito</t>
  </si>
  <si>
    <t>Montoya , D. Juan Ramón Llórente, O J uan Muril!o, O. Francisco Benito, D. Francisco Alameda, D. Pedro Panla­ gua, D. Luis Muñoz?, D. Vicente Ortiz, D. Manuel Benito, D. Pe­ dro Latorre, D. Melchor Buba, D. Francisco Alvarez , D. Luis Angel García, O. Pedio Toruno, D Antonio Rosado, D. Ildefon­ so Sierra, D Vicente Herrera, D…</t>
  </si>
  <si>
    <t>Bennigsen</t>
  </si>
  <si>
    <t>241</t>
  </si>
  <si>
    <t>a­ drid *2 5 de setiembre de 1812. = Antonio Ignacio de Cortabarría. = Señores de la junta de secuestros de Madrid.” Bar titularidades de la vida del conde Bennigsen, nombrado última­ mente general en gefe del exército -ruso. Levín Augusto Teófilo de Banteln , barón Bennigsen, caballero de las órdenes de S. Andrés, Alexandro …</t>
  </si>
  <si>
    <t>242</t>
  </si>
  <si>
    <t>arse á Rozow. Retirados ambos exércitos á sus acantonamientos respec­ tivos, no ocurrió acción alguna de importancia hasta febrero de 1807, en que el general Bennigsen retrocedió con el fin de escoger una posición militar, y se apostó en Eylan. Durante*quatro dias sucesivos su retaguardia, mandada por ?él general Barclay de T…</t>
  </si>
  <si>
    <t>­ neral Bennigsen quedó dueño del campo de batalla: ambos exércitos, sin em­ bargo, aspiraron al honor de la victoria. Según los partes oficiales del general Bennigsen los rusos tomaron 5© prisioneros y 12 banderas, estimando su propia pérdida en 6® hombres, y la de los franceses en 12©. Los franceses pretendían que su^érdida…</t>
  </si>
  <si>
    <t>y h estimación de su exército. Se asegura que el último ataque de los rusos , que produxo el tratado de Tilsit, fue contra el parecer y voluntad del general Bennigsen, quien habien­ do hecho estudio por algunos años de los progresos militares de Bonaparte, confiaba en ser capaz de oponerse á él con buen éxito. A poco tiempo d…</t>
  </si>
  <si>
    <t>Ber</t>
  </si>
  <si>
    <t>lla , 4. D. Mariano Ronceros , 4. D, Fermín Dávila, 1. D. José Reyes Lobaton y su hermano D. Calixto , 25. D. Esteban García , 6. María Torres, 4 rs. D. Ber­ nardo Bahamonde , 2. .Teresa Montoro , 2'. Fermín García, 1. D. Vidal García , 1. D. Juan de Avila, 1. Eustaquio Montoro , 2. Mariano Roxas , 4 rs. Alberto Roxas, 1. Jul…</t>
  </si>
  <si>
    <t>ndad en lo? caballeros cade­ tes D. Ramón Ca bete, O. Manuel Montero, D. Miguel Vázquez Vá­ rela, D. Manuel Gil y D. José Saavedra; y en les externos D. Ber­ nardo González, D. Manuel Montero y t), Luis Fociños. Este primer ensayo de un establecimiento apenas formado, y que dio principio á la instrucción en 27 de judo último,…</t>
  </si>
  <si>
    <t>816</t>
  </si>
  <si>
    <t>reo.................................... 64869 13 D. Juan Felipe Gui de Paroi, por Que á una suma importan quinientos veinte y . medio de su apoderada Doña Ber­ quatro mil quinientos quarenta reales, diez mara­ narda Costarramont........................ 47916 vedís , un tercio y dos octavos de otro. D. Ignacio Agudo y Andrade,…</t>
  </si>
  <si>
    <t>Juan Ignacio Rendon, anuales, 50. Ei capitán D. Joaquín y D. Francisco Vi giU vecinos de la villa de Saiiti-Spiritv.s, por uno durante la guerra, 9. D. Ber­ nardo García, por un año , al mes, 5. El doctor D. Juan Perez Delgado, por uno durante la guerra , 9. D. Pedro Fernandez , id., 9. D. Bonito CMombi, id., 9. D. Ramón Pita…</t>
  </si>
  <si>
    <t>Beramendi</t>
  </si>
  <si>
    <t>Gaceta de Madrid n.º 248</t>
  </si>
  <si>
    <t>998</t>
  </si>
  <si>
    <t>por las tropas insur­ ni a las cortes insurreccionales, ni á los empleados gentes al tiempo de retirarse, las contribuciones que de ellas. su llamado intendente Beramendi (3) ha arrancado Miran á los antiguos militares con horror, y los del pais, y el ver que todas las promesas del lord reputan de sospechosos de traición (i).…</t>
  </si>
  <si>
    <t>Beramendi, Martin</t>
  </si>
  <si>
    <t>Martin Beramendi</t>
  </si>
  <si>
    <t>Conduc­ tor D. Juan Manuel Rriceño , 12. Id. D. Pedro Navarrete , 10. Id. D. Pedro IJarriosas, 10. Carrera del Cuzco. Administrador de Huancave-.ica D. Martin Beramendi, 10. Id. de Huanta 13. José Escovar , 25. Id. de Andaguailas D u José del Campo , 25. Id. de Abane ay D. Esteban de Ares , 13. Maestro de postas de íiuancabel…</t>
  </si>
  <si>
    <t>Berasíegui, Francisca</t>
  </si>
  <si>
    <t>Francisca Berasíegui</t>
  </si>
  <si>
    <t>aga, 20. Doña Faus’tina Gutiérrez, 4. Dona Inés Barrera , 10. Doña Manuela Ampudia, 12. Do­ ña Margarita. Armciiones, 4. Doña Mercedes X i menea, 10. Doña Francisca Berasíegui , 25. — Dependientes de minas. D. José España , 10. D. Francisco Mazorra, 8. D. José Lemus, 25. D. Juan Bautista Pelogui , 25. D. José Minavales , 20. …</t>
  </si>
  <si>
    <t>Berastain, Nicolás</t>
  </si>
  <si>
    <t>Nicolás Berastain</t>
  </si>
  <si>
    <t>do de la administración , 12 V 4. D Esteban Fernandez (’olunga, segundo de la contaduría, 50. D. Pablo Posada, tercero de la administración , 20 y 6. D. Nicolás Berastain , tercero de la contaduría, 20 y 6. D. Manuel Palomino, cuarto de la administración, 12 y 4. D. Fidel Hontañon , cuarto de la contaduría , 37 y 4. D. Camilo…</t>
  </si>
  <si>
    <t>Bercboletti</t>
  </si>
  <si>
    <t>ro hom­ La señora baronesa de Ghausonnette , y ia se­ bres muertos, entre ellos el esforzado tenienre Coc­ ñora de Caudic. ía Fava , y 22 heridos. El general Bercboletti , co­ ya actividad y acertadas disposiciones en estas cir­ ESPAÑA. cunstancias son dignas de elogio , fue herido de una bala .fiia, y le matare » el caballo …</t>
  </si>
  <si>
    <t>Beresford</t>
  </si>
  <si>
    <t>275</t>
  </si>
  <si>
    <t>GACETA DE LA REGENCIA DE LAS ESPAÑAS DEL JUEVES 12 DE MARZO DE 1512. PORTUGAL. Lisboa 28 de febrero. En la orden del dia 23 de este mes, dada por el mariscal Beresford, conde de Troncos©, tn su cuartel general de Calhariz, se pu­ blicó la promoción hecha últimamente por S. A. R. el príncipe-re­ gente nuestro señor. Han ascend…</t>
  </si>
  <si>
    <t>, riente que las qnadrillas del Comisario y T*&gt;masicuñado del lord Welligton. También está enfermo líó se habían reunido entre Ciruelos y Yepes en el mariscal Beresford. Los generales Kempt, Clin­ número de 60 á 70 caballos. Ai instante tomó suc ton , Dreschelle y Bowes han salido de aqui para disposiciones, y los atacó vigor…</t>
  </si>
  <si>
    <t>l MUI ocupa á Mérida,y ha adelantado gruesos des­ tacamentos de caballería hasta Cáceres , Torremocha y Truxillo, donde permanecen en observación. El mariscal Beresford marchó á cubrir las avenidas de Andalucía por !a parte de Zafra, apoyan­ do su izquierda en el cuerpo del general Hill, y su derecha én la división española d…</t>
  </si>
  <si>
    <t>82</t>
  </si>
  <si>
    <t>, ní se irán nunca, ciplinados; ni quiera Dios que se vayau. ¿ Lo quiere vmd. mas D. P. En efecto, qne lo digan los ingleses,' claro? qne lo diga el general Beresford. (1) D. B. Ya : ellos por su gusto oo se irían; ¿ pe­ D. B. Todas esas son historias; Dexémono» ro y si los echan ?■ de cuentos , y no se me salga vi.id. de la …</t>
  </si>
  <si>
    <t>Gazeta de la Regencia de las Españas n.º 98 (extraordinaria)</t>
  </si>
  <si>
    <t>entre muertes y heridos, no ha llegado á 2000 hombres; entre los primeros se comprehende el general de la caballería pesada, y entre los segundos el mariscal Beresford. El comandante general del quinto exército con fecha de 29 del pasado dice: „Los partes que acabo de recibir por los pueblos de Castilla, aseguran la derrota t…</t>
  </si>
  <si>
    <t>de intento, aunque hace mucho tiempo que se' tienen tomadas providencias muy eficaces sobre la ad­ misión de extranjeros. Se han recibido cartas del general Beresford, escritas de su propio puño á varios amigos en esta.capitalanunciando estar fuera de peligro, y qu,e no tardará en recobrarse de la herida que recibid en la bat…</t>
  </si>
  <si>
    <t>Gazeta de Madrid bajo el Gobierno de la Regencia n.º 21</t>
  </si>
  <si>
    <t>cibido refuerzos de Vitoria y » de Madrid.” PORTUGAL. Lisboa 18 de setiembre. Ayer á las quatro y media de la tarde llegó á esta capital S. E. el Sr. mariscal Beresford. Tenemos la satisfacción de anunciar que S. E. se halla mucho mejor. Ayer entraron en esta capital la mayor parte de los franceses que forma­ ban la guarnició…</t>
  </si>
  <si>
    <t>Beresford, Sir Guillermo</t>
  </si>
  <si>
    <t>Sir Guillermo Beresford</t>
  </si>
  <si>
    <t>llos ha tenido cada uno en particular, y nunca podré elogiar demasiado la conducta que han observado todos en sus respectivos puestos. „Debo mucho al mariscal Sir Guillermo Beresford por sus con­ sejos y auxilios ántes de la acción y durante esta; á los tenientes ge­ nerales Stapleton Cotton, Leith y Colé; á los mayores gener…</t>
  </si>
  <si>
    <t>Beresfprd, Sir Guillermo</t>
  </si>
  <si>
    <t>Sir Guillermo Beresfprd</t>
  </si>
  <si>
    <t>431</t>
  </si>
  <si>
    <t>oficialidad se pusieron á la cabeza de las columnas de ataque que respectivamente mandaban, dando exemplos de valor , que imitaron Ies soldados. ,,El mariscal Sir Guillermo -Beresfprd me ha. ayudado á dirigir las operaciones del sitio de Badajoz, y debo mucho á su cordial au­ xilio, durante Sos progresos..del mismo sitio, y e…</t>
  </si>
  <si>
    <t>Bereslórd</t>
  </si>
  <si>
    <t>329</t>
  </si>
  <si>
    <t>­ ballería y de las divisiones tercera, cuarta y quinta , con el lord Wellington y todo su cuartel general. el general Castaños y su estado mayor, el mariscal Bereslórd y la oficialidad portuguesa, formaban el acompañamiento fúnebre. Llevaban el féretro los valientes que el difunto había conducido tantas veces á la victoria. …</t>
  </si>
  <si>
    <t>Bergara, Manuel</t>
  </si>
  <si>
    <t>Manuel Bergara</t>
  </si>
  <si>
    <t>ánchez , 6. D. Feliciano Eche­ varría , 2. D. Calixto López , 2. D. Gaspar de Castilla , 6. D. José Arana , 2. D. Benito Lacea, 2. D. Jorge Gadea, 6. D. Manuel Bergara, 2. — Regi~ miento de milicias de Ferreñafe. El coronel D. Juan Romualdo de Vidaurre y de la Parra, 100. Ei comandante D. José Andrés Delgado , 200. Id. D. Ma­…</t>
  </si>
  <si>
    <t>Bergaz, Alfonso Giraido</t>
  </si>
  <si>
    <t>Alfonso Giraido Bergaz</t>
  </si>
  <si>
    <t>PDF p. 14</t>
  </si>
  <si>
    <t>egunda instancia. [Se continuara.} NECROLOGIA. El día 19 del mes de noviembre ha fallecido en esta corte á la edad de 67 años, 10 meses menos 4 dias, D. Alfonso Giraido Bergaz, director general de la real academia de S. Fernando, escultor de cámara de S. M. , individuo de la academia de la Concepción de Valladolid, y de la. s…</t>
  </si>
  <si>
    <t>Bermejo, Francisco</t>
  </si>
  <si>
    <t>Francisco Bermejo</t>
  </si>
  <si>
    <t>scual de Salinas. Diputados seculares Diputado eclesiástico IX Félix González. D. Andrés Sánchez. D- Gregorio Martínez Mollinedo. Diputados seculares D. Francisco Bermejo. D. Ramón Prieto y Onega. Secretario D. Manuel Ramos de Zafra. £X Juan Efeuriz. D. Francisco García. Secretario 5 BARRIO DE SAN JUSTO. t Lo exerce el diputa…</t>
  </si>
  <si>
    <t>Bermejo, Juan Ramón López</t>
  </si>
  <si>
    <t>Juan Ramón López Bermejo</t>
  </si>
  <si>
    <t>Antonio.Guerrero, id. en Cambil........ 2200 D. Isidro del Saz, residente en Madrid..... 2200 D. Josef de Luna , id. en Jaén.................... 2200 D. Juan Ramón López Bermejo, id. en V¡llarubia de Jos Ojos.......................... 2200 &gt; Ex-mínimos. D. Bernardo Garcia, residente en Arjona.. 2200 Ex-franciscanos. D. Juan .…</t>
  </si>
  <si>
    <t>Bermodez, Francisco</t>
  </si>
  <si>
    <t>Francisco Bermodez</t>
  </si>
  <si>
    <t>8T4 D. Francisco Bermodez, id...i........ 2200 D. Domingo dé los Ríos , id....... 2200 D. Mirüno Jungaitu, íd...... ¿.u............ 2200 D. Juan Batjacoba , id........I...'...... ,... 2200 D; Narciso deiZeq , id....</t>
  </si>
  <si>
    <t>Bermudez, Fernando</t>
  </si>
  <si>
    <t>Fernando Bermudez</t>
  </si>
  <si>
    <t>ice eneyo ; debe decir febreroContinúan los donativos del Perú. D. José Salas , mayordomo de la cofradía de Jesús, María y Caridad , por sí , 100 ps. D. Fernando Bermudez , id. de Ntra. Sra. de la Paz , por sí, JOO. José Márquez, escribano cíe cofradías, 20. D. Francisco María Adurriaga, cura de Pachas , y vicario de Huamalie…</t>
  </si>
  <si>
    <t>Bermudez, Francisco de Zea</t>
  </si>
  <si>
    <t>Francisco de Zea Bermudez</t>
  </si>
  <si>
    <t>arquías, han nombrado á este efecto, á saber, de parte de S. M. Católica, y en su nombre y autoridad la Regencia de las Españas residente en Cádiz, á D. Francisco de Zea Bermudez; y S. M. el Emperador de to­ das las Rusias al señor conde Nicolás de Romanzoff, su canciller del impe-* rio, presidente de su consejo supremo, sena…</t>
  </si>
  <si>
    <t>Bermudez, J Dan Aeuuin Zean</t>
  </si>
  <si>
    <t>J Dan Aeuuin Zean Bermudez</t>
  </si>
  <si>
    <t>D. Juan Manuel García................... 2306 Casa en venta. Actores en la comedia. Señoras María García, Rosario García, Maqueda, Torres y Cabo. Se­ D. J Dan Aeuuin Zean Bermudez... 4053 13 ñores Ponce, Infantes, Suarez, Contador y Alverá. D Ju. n Jorge Amiet...................... 4472 16 Idem en la opereta. Señoras Torres y…</t>
  </si>
  <si>
    <t>Bermudez, Luis</t>
  </si>
  <si>
    <t>Luis Bermudez</t>
  </si>
  <si>
    <t>pone al consejo que ü. Angel Gamboa á subteniente de la segun­ haga al Príncipe Regente. da compañía. Esta representación empieza asegurando al Prín­ D. Luis Bermudez á portaestandarte. cipe Regente la fidelidad del consejo: refiere des­ ART. v. Nuestros ministros de lo Interior y pués us vexaciones que ha experimentado el pu…</t>
  </si>
  <si>
    <t>Bermudo, Francisco Díaz</t>
  </si>
  <si>
    <t>Francisco Díaz Bermudo</t>
  </si>
  <si>
    <t>igno de que se condecore c&lt;_»n el carácter de oficial. — José Duran Aviso. Hallándose vacante la regencia de la audiencia de Se­ villa por ascenso de D. Francisco Díaz Bermudo á pl&amp;za del tribu­ nal supremo de justicia, ha acordado el. consejo de estado que se ad­ mitan memoriales por término de 30 dia9, contados desde e ta f…</t>
  </si>
  <si>
    <t>Bermuís</t>
  </si>
  <si>
    <t>torizarán sut'despa­ cultades que presentid terreno, las quales no permitieron al se­ chos , provisiones y sentencias definitivas con el sello de ñor general Bermuís aprovecharse de las primeras ventajas &lt;; nuasuas reales armas. había conseguido. clxxix. El sello estará en poder del presidente res­ La pequeña coluna del gener…</t>
  </si>
  <si>
    <t>Bern</t>
  </si>
  <si>
    <t>es del número. D. José Marín, 40. D. G regorio Teran , 40. D Bernardo Abregu , 4l&gt;. D. Juan Luis Pere.z , 40. D José Ascue , 40 D. Nicolás León , 40. D. Bern udino groa , 40, Don Melchor Lamas, 4-0'. D. Estanislao Alzamora , 40. i). Manuel Quodros , 40. D. Ignacio Silva, 40. D. José Al gal ovo , 40. D. Juan Punce, 40. D. Ma­ …</t>
  </si>
  <si>
    <t>Berna</t>
  </si>
  <si>
    <t>Gazeta de la Regencia de las Españas n.º 29</t>
  </si>
  <si>
    <t>ndante Mi­ randa, con la quinta de húsares, marchaba por el camino al tai-uno pueblo , sosteniéndose mutuamente mientras el terreno lo permitió. ,,Ei capitán Berna! después de disputar el terreno á palmos, re­ unido en Quemadiüo á su reserva , cargó sobre los enemigos con tal bizarría , que oh'-lgo á los que le habían seguido…</t>
  </si>
  <si>
    <t>Berna, Vicente</t>
  </si>
  <si>
    <t>Vicente Berna</t>
  </si>
  <si>
    <t>la marcha hácia el frente déla posición del exército, segun se le había mandado: de! cual resulta, que encargado el capi­ tán del primero del Ribero D. Vicente Berna!, del mando de la in­ fantería , compuesta únicamente de una compañía de este batallón y otra del regí miento de Oviedo (por haberse separado las otras con la úr…</t>
  </si>
  <si>
    <t>Bernadotte</t>
  </si>
  <si>
    <t>(Se continuara,) Confesión de Bonaparte con el cardenal Mauri, dedicada al general JCleber por el general Sarrazin, gefe que fue del estado mayor del general Bernadotte en los exércitos de Alemania é Italia: un tomo en 4.0 Se hallará en la librería de Perez, calle de las Carretas. - Prospecto de un diario militar. Véndese en …</t>
  </si>
  <si>
    <t>á él sus esta­ dos de Francia é Italia si coadyuvaba á sus designios; le recordaba su pri­ mera amistad y sus últimas obligaciones. La respuesta del príncipe Bernadotte fue concisa. „La suerte de ia guerra puede dar á Suecia la Pomerania; con la Finlandia nada teneis vos que hacer: quando vine á Suecia conté con la pérdida de…</t>
  </si>
  <si>
    <t>n preparando de orden del gobierno para dar la vela inmediatamente; y ademas se habilitan otros que se habian desarmadq. Esperábase en esta ciudad al príncipe Bernadotte de un dia pa­ ra otro. GRAN-BRETAÑA. Londres 22 de Setiembre. Según cartas de Paris de 15 del mismo el resultado de las sesio­ nes secretas del Senado conser…</t>
  </si>
  <si>
    <t>galerías, • . ‘ . • ; , ' t¿ , • . SUECIA. . 1 Stockolmo 31 de Agosto. En la mañana del 27 fondeó en Beckolmo la fragata que condu­ cía á §. A. R. el príncipe Bernadotte. El conde de Heyden, coman­ dante de marina en Abo, pasó á bordo á recibir al príncipe: entre­ tanto hizo la correspondiente salva una corbeta rusa, y todos …</t>
  </si>
  <si>
    <t>,. .. GRAN BRETAÑA. Londres 22 de setiembre. Según las gazefas y cartas de Suecia, que llegan hasta el io.d^ este mes, se esperaba en Gottemburgo al príncipe Bernadotte. Las mismas refieren,que se han activado, extraordinariamente los preparativos de la expedición pro­ yectada desde la conferencia que tuvieron el Emperador y.…</t>
  </si>
  <si>
    <t>364</t>
  </si>
  <si>
    <t>ta española Jfigeniaj conduce 217 soldados de la misma nación con sus respectivos oficiales , que deben dirigirse á Suecia para servir de guardias al Príncipe Bernadotte. Si este corto refuerzo no puede tener influxo para lo militar, confesemos. que no dexará de tenerlo para los franceses. Asi ellos como Bonaparte apellida­ b…</t>
  </si>
  <si>
    <t>Bernal, Francisco</t>
  </si>
  <si>
    <t>Francisco Bernal</t>
  </si>
  <si>
    <t>............ -.................... Soco Idem por jornales y materiales empleados en la composición de quarteles....................... 3679 16 Idem á D. Francisco Bernal para atender á la subsistencia de los presos de la cárcel de v „ corte, con calidad de reintegro................. . 5 000 . Idem al señor gobernador político…</t>
  </si>
  <si>
    <t>Bernal, José</t>
  </si>
  <si>
    <t>José Bernal</t>
  </si>
  <si>
    <t>. El ayudante de gobierno y varios i ndtviduos , 7$ y 4. Pedro José Vargas , 25. D. Alexo Guiraldez, 25. D. Gaspar Casanova , 25. D. Isidro Arauz, 6. D. José Bernal , 25. D. Ramón Menendez , 25. D. Sebastian Puga, 50. El comendador de la Merced , 50. D. Dio-, go Granados , 20. D. Luis Noli, 10. Teodoro Garóes , 4. Tomas Duart…</t>
  </si>
  <si>
    <t>Bernardi</t>
  </si>
  <si>
    <t>Gazeta de la Regencia de las Españas n.º 117 (suplemento)</t>
  </si>
  <si>
    <t>y buró á escape , perseguida por ía nuestra y por ios cazadores de Zamora, Ga&amp;dix'y granaderos de Espnña, á las órdenes dei comandtn e de la columna D. Bernardi­ na Aseivp, y todos k las del brigadier D. Joan Downie que manda­ ba 1a vanguardia, y á quien acompañaba el segundo ayudante de estado mayor D. Manuel O bregón, los q…</t>
  </si>
  <si>
    <t>Bernardo</t>
  </si>
  <si>
    <t>tán de fusileros del. Coimeras, y Roial (O. Mariano), comandante dé regimiento de Madtid, i.° de infantería de línea. batallo.i de artillería. L?bat (D. Bernardo), teniente de B.ci de la píaz» Cruz ( D. Antonio la) ^sargento segundo de tira­ ' de4S:‘ Sebastian. ■ , / dores del regimiento de Castilla , 1.* d«t infante­ Lacrqix…</t>
  </si>
  <si>
    <t>Bernaz, Josef</t>
  </si>
  <si>
    <t>Josef Bernaz</t>
  </si>
  <si>
    <t>eros D. Mariano Tabuenca y D. Antonio Aznar; los de la misma clase D. Plácido Domínguez, que recibió la herida de pasar un brazo, y el de ca­ zadores D. Josef Bernaz , los subtenientes D. Cipriano Galvez, D. Manuel Hurtado, D. Vitorino Tabuenca, mi ayudante D. Pedro Pedrosa, el sar­ gento 2.0 Agustín Jargue , que salió herido…</t>
  </si>
  <si>
    <t>Bernoa, Francisco</t>
  </si>
  <si>
    <t>Francisco Bernoa</t>
  </si>
  <si>
    <t>o , 8. D. Vicente Navar•rete , 3. D. Miguel Velez Villa , 8. D. Manuel Ai 1 Ion , 8. i). Pedro Caveto, •8. I). José Malarin , 8. D. José Elizalde, 8. D. Francisco Bernoa, 4. D.'Fé­ lix Matos, 8. (Se continuará.) CADIZ : .EN LA IMPRENTA EEA'L.</t>
  </si>
  <si>
    <t>Bernstorff</t>
  </si>
  <si>
    <t>Guerra, han recibido orden de acompañar al Emperador. Se espera en esta ciudad de un día á otro En virtud de un decreto de S. M. , quando no al señor conde Bernstorff, enviado extraordinario haya en los pueblos reclutas que tengan la talla y ministro plenipotenciario de S. M. el Reí de que se requiere de dos archinas y tres w…</t>
  </si>
  <si>
    <t>Bernuy, Fedto</t>
  </si>
  <si>
    <t>Fedto Bernuy</t>
  </si>
  <si>
    <t>avil ,1. f). Mi­ guel de la O, 4. D. \í ría o Martínez, 2. D. Manuel de la Rocha ,-2 D. Mumu 1 Arancivia , 2. D. M t o Tapia, 2. D. Felipe Saenz , 2. D. Fedto Bernuy, 2. D. Agustín Vaides, 2. D. liste van Avila , 2. D. Francisco Villegas , 1. El Sr. virey D. Fernando Aba cal , lOtiOO. D. Simón R-óbago , secretario tlcl virey …</t>
  </si>
  <si>
    <t>Berospi, Fernando</t>
  </si>
  <si>
    <t>Fernando Berospi</t>
  </si>
  <si>
    <t>e, 100. JA Gaspar Aynath , cura de Huanaco , 109. Don llamón Moreno, cura de id. 50. 10. José /avala , 10. IX José Metieses , 6. 10. Mariano Ñauarte, D. Fernando Berospi, 6. D. Bartolomé Iíuiz, 2. Don Mauúei Ruiz, 2. La universidad de S. Marcos, 8000. D. Antonio José Buendia, á cuenta de su oferta de 330 ps. anuales, 110. D. …</t>
  </si>
  <si>
    <t>Berrocal, Nicolás</t>
  </si>
  <si>
    <t>Nicolás Berrocal</t>
  </si>
  <si>
    <t>na, 12. D. Lorenzo Sánchez Ribera, 12. I). Manuel Alvarez , 12. D. Alexandro Odiantes Cevallos, 50. D. Espíritu Zamudio, 12. IX Fermín Hernández, 25. D. Nicolás Berrocal , 25. D. Francisco Xavier de Arias , 25. D. Dionisio Mesedua , 25. D. Manuel Salcedo , 12. D. Juan de la Cruz Mesa, 12. D. Melchor Mal partida, 25. D. Juan A…</t>
  </si>
  <si>
    <t>Bertholetti</t>
  </si>
  <si>
    <t>hilo y de alg. d &gt;n teñido con la fé- se h.,bía renor,.do su guarnición ; y su gobernador Clda del añil líquido, extraído del pastel hacia el va Ente general Bertholetti hizo ver en breve qmtr;i ó cinco dias, y al mismo tiempo le remi­ al enemigo la temeridad de su empresa. En la no­ tió varios trazos de este añil. El prefect…</t>
  </si>
  <si>
    <t>Berton</t>
  </si>
  <si>
    <t>al entre otras cosas lo siguiente: „El día 10 llegué á Yunquera, desde donde maíché para Barda­ les, con el fin de amenazar á Osuna, y atraer allí al coronel Berton, que estaba en Antequera , y al general Rey, que maniobraba desde ei principio de la campaña sobre mi flanco izquierdo entre Ronda y O Ivéra. Este movimiento me p…</t>
  </si>
  <si>
    <t>Gaceta de Madrid n.º 82</t>
  </si>
  <si>
    <t>43</t>
  </si>
  <si>
    <t>de Osuna, se apodsr.upn .de los oesfiUderos .de dicion t después de ocho dias .de bombardeo. ' Olor? y Cásarábonela.” ,1 . . • i • T......... * j'JEJ coronel Berton, principió, str ataqoe sobre ! Piezas de bronce. .ArSalés, en donde intentó resistirle alguna cab.tlle, ‘ * '* , ría enghiiga,&gt; pero fue.desbecha á sablazos, y to…</t>
  </si>
  <si>
    <t>Gaceta de Madrid n.º 90</t>
  </si>
  <si>
    <t>. pericia militar como valor é intrepidez. Al espitan Sevilla 77 de marzo. Frrras, del zt.° de dragones, se le cita también honoríficamente. Ei señor coronel Berton se ha ORDEN DEL DIA. conducido con la mayor serenidad y valor. El ge­ '* El general Maransio avisa á 3. E. el general en neral Reí cita al gefe de csqnadmn Lepge,…</t>
  </si>
  <si>
    <t>Beructe, José María</t>
  </si>
  <si>
    <t>José María Beructe</t>
  </si>
  <si>
    <t>Gazeta de la Regencia de España e Indias n.º 5</t>
  </si>
  <si>
    <t>86</t>
  </si>
  <si>
    <t>ellos 3 oficiales (la muerte de uno la lloraba el general) y 200 heridos , incluso un coronel : la mia ha sido de 5 muertos , entre ellos el teniente D. José María Beructe , y 16 heridos. Recomiendo á V. S. el valor y serenidad de estos 2 Batallones, que se han batido con fuerza duplicada, acordándose que son los vencedores d…</t>
  </si>
  <si>
    <t>Béseos, Francisco</t>
  </si>
  <si>
    <t>Francisco Béseos</t>
  </si>
  <si>
    <t>os reglamentos para que en lo suce­ Antonio Teron; para tenientes D. Isidro, Escobar sivo esten dichos efectos en el mejor estado posible. y Lizana y D. Francisco Béseos, y para subte­ Los quartos batallones de los regimientos 6o.° nientes D, B.mito González del Rio y D. Matías y 103.0 han recibido orden de embarcarse para la…</t>
  </si>
  <si>
    <t>Bessieres</t>
  </si>
  <si>
    <t>neral Daendcls, desunes de haber cuerpo de croatas estuvieron convidados á comer destruiJo los almacenes de géneros coloniales que ten el-palacio del mariscal Bessieres de orden del habia en Batavia. El dia ro atacó el enemigo en Emperador , y los soldados de la guardia imperial el camino de Weitevrede nuestras avanzadas, que…</t>
  </si>
  <si>
    <t>Betancuit, Francisco</t>
  </si>
  <si>
    <t>Francisco Betancuit</t>
  </si>
  <si>
    <t>647</t>
  </si>
  <si>
    <t>o, abandonan do. sus haberes, había acudido á socorrer la capitod • conducido por sus dignos ccmandentes y justicia D. Isidro de la Oaa D. Juan Dúo y D. Francisco Betancuit, dexs&amp;do algunas cañoneras para contener á ios insurgentes de Barinas. Al dia siguien­ te 28. 1‘egó á este puerto :a mayor parte de nuestra escuadrilla co…</t>
  </si>
  <si>
    <t>Bétúngsen</t>
  </si>
  <si>
    <t>1355</t>
  </si>
  <si>
    <t>1355 Beúschowden. Eí' general Bétúngsen debia reemplazar aln general; TorniasoíF en el mando del exército de Volhiia, el cual tenia ya? ‘ en alarma á Varsovia, hacia donde se acercaba ; y esto dio motivo á. los magistrados de aquel gran ducado á publicar el</t>
  </si>
  <si>
    <t>Beuitez, Josef</t>
  </si>
  <si>
    <t>Josef Beuitez</t>
  </si>
  <si>
    <t>o, id........... . 2200 D. Buenaventura Ruiz, residente" en Mon- . 944';°° rilla....................................................... ....... 2 200 D. Josef Beuitez , id. en Montoro................ 2 200 Madrid 18 de diciembre de 18ro. zzFirmadu zz El duque de Santa Fe. = Pal.,cío de Madrid 14 de Ex mercenarios descalzos. j…</t>
  </si>
  <si>
    <t>Beunza, Bernardo</t>
  </si>
  <si>
    <t>Bernardo Beunza</t>
  </si>
  <si>
    <t>as providencias mas oportuna* mienda de la parroquia de Irañeta , obispado de para mantener la seguridad pública. Pamplona, vacante por traslación de'D. Bernardo Beunza á la abadía de Garzaion y Jaonsaras. Del 7. Y por otros decretos de la misma fecha ha te­ nido á hien S. M. nombrar a! ex carmelita D. Ba­ Los ministros y com…</t>
  </si>
  <si>
    <t>Bexerano, Antonio</t>
  </si>
  <si>
    <t>Antonio Bexerano</t>
  </si>
  <si>
    <t>e que cada dia lo cera compañías sea mas J ¡ H -.brá púas todavía algún hombre tan obce­ Capitanes. cado , que crea que esta guerra puede tener feliz D. Antonio Bexerano. éxito para los ingleses y sus aliados! Pero ¡¡altae D. Cayetano Lames. sunt stirpes stidtitiae Tenientes. D. Antonio Barba. ESPAÑA. D. Rodrigo Pacheco. J\Li…</t>
  </si>
  <si>
    <t>Bgoaguirre, Domingo</t>
  </si>
  <si>
    <t>Domingo Bgoaguirre</t>
  </si>
  <si>
    <t>o Tello , 2. — médicos. D, Gabriel Moreno, catedrático de matemáticas, 100. D. Baltasar Villalobos, 50. D/ Manuel Dávalos , 50. D. José Carmona , 50. D. Domingo Bgoaguirre , 25. D. Manuel Rubia, 25 D. José Manuel Valdés , 25. D.'Lo­ renzo niñones , 25. D. Juan de la Roca , 25. D. Andrés Gómez , 25. D. José Fiaría Dávila , 25.…</t>
  </si>
  <si>
    <t>Biake</t>
  </si>
  <si>
    <t>Gazeta de la Regencia de las Españas n.º 18</t>
  </si>
  <si>
    <t>160</t>
  </si>
  <si>
    <t>ei bombardeo causando mucho estrago, y continuando- el 6,7 y 8, el dia 6 hizo su intimación Súchel; pero fue-desechada, hasta que viendo el dia 8 el general Biake la consternación del pueblo , la ninguna esperan­ za de socorro, y los males que amenazaban á la ciudad , entró en ne­ gociaciones con el enemigo, proponiéndole la …</t>
  </si>
  <si>
    <t>Bianchi</t>
  </si>
  <si>
    <t>Gaceta de Madrid n.º 236</t>
  </si>
  <si>
    <t>947</t>
  </si>
  <si>
    <t>do con traxo la orden de que al, instante partiesen las po­ todo su exército. cas tropas que se hallaban en nuestras provincias. Yo he enviado hoi al general Bianchi con dos Todas las que habian marchado para la Servia re­ brigadas, dos baterías y 1200 caballos hácia el ca­ troceden j y, según parece, el exército debe retirar…</t>
  </si>
  <si>
    <t>Bianehi</t>
  </si>
  <si>
    <t>stuvo ademas nos centenares de prisioneros, y obligándole á que­ la caballería del general Castex; en general yo re­ mar sus bagages. Sin embargo, el general Bianehi, clamo la benevolencia de S. M.; las tropas merecen comandante de una parte Je la misma , le ha tonu­ recompensas y mercedes. Recibiré no menos satis­ do 800 car…</t>
  </si>
  <si>
    <t>Biaz, Domingo</t>
  </si>
  <si>
    <t>Domingo Biaz</t>
  </si>
  <si>
    <t>y 50 caballos este punto. La de­ fensa la tenia cometida al comandante í). Antonio L &gt;OIív», que manda el regimienta de Rihagorza en ausencia del Sr. D. Domingo Biaz, que pasó á Ttetup a restablecer su «alud. Esta posición es fuerte por su localidad y por el paso dei puente sobre el Noguera, el</t>
  </si>
  <si>
    <t>Bicnkely</t>
  </si>
  <si>
    <t>bizar­ ramente, estando á su cabeza mi segundo el coronel D. Gabriel Lesenne. Na puedo menos de añadir á esta relación la conducta dis­ tinguida del comandante Bicnkely, y el concepto que merece por la pericia con que dirigió la tropa de su mando. E¿te gefe recomienda con particularidad, á su segundo el sargento mayor D. Aiex…</t>
  </si>
  <si>
    <t>Biedma, Antonio</t>
  </si>
  <si>
    <t>Antonio Biedma</t>
  </si>
  <si>
    <t>de 64o y 2y* , y sn declinación de 13o 34' y Por decretos del mismo día se ha dignado austral. El dia 24 de noviembre, ¿ las xr y 54 S. M. nombrar á D Antonio Biedma, mayor d« minutos (tiempo medio en el meridiano de Mirse­ infantería de línea , mayor del regimiento de Se­ lla), sn ascensión recta era de 67o y 15', y su de­ v…</t>
  </si>
  <si>
    <t>Biester</t>
  </si>
  <si>
    <t>747</t>
  </si>
  <si>
    <t>ifft de Varios diarios y gavetas han dicho qne el ge­ Berlín , que hacia ya muchos años publicaba el neral Barclay deTolly, que manda el exército ra­ profesor Biester, y salía un número Cada mes, el so del poniente, era de origen trances; pero está qoál contenía disertaciones literarias y filosófica* noticia no es enteramente…</t>
  </si>
  <si>
    <t>Bignon</t>
  </si>
  <si>
    <t>inar Negro, y luego que hayan acabado de cailcu- civiles y militares, como también el Exctno. Sr. lar los resultados de todas su» observaciones, sa­ barón Bignon, residente de S. M. el Emperador y bremos á punto fixo qual de estos dos mares está Rei. Este ministro de Francia dió por la noche un ñus elevado que el otro; lo que…</t>
  </si>
  <si>
    <t>Biirguiilos, Juan</t>
  </si>
  <si>
    <t>Juan Biirguiilos</t>
  </si>
  <si>
    <t>Carrasco, D. Diego Perez, Don León Gordo, D. José González Yuste, D. Juan Marmol Calero, Don Calixto Rodríguez, D. Ildefonso Rulz, D. Agustín Lázaro, D. Juan Biirguiilos, D. Santiago López Ruiz, D. Pedro Fernandez, D.'José Muela , D. José María Ximcnez , D. Domingo Draper , D. Ma­ nuel Guio, D. Juan Utrero , D. Benigno Mercha…</t>
  </si>
  <si>
    <t>Bíitholet</t>
  </si>
  <si>
    <t>aquel momento lo lian» perseguido con la mayor tenacidad por los pueblos de OI agüe, Laisz y Larrainzar,. Ainza y otros diferentes: última­ mente, el general Bíitholet lo ha seguido con 2000 hombres hasta su reunión conmigo á primeros de este mes. Ha conservado su batallón entre continuas marchas y fatigas sin desmembración a…</t>
  </si>
  <si>
    <t>Biiv, Fernando</t>
  </si>
  <si>
    <t>Fernando Biiv</t>
  </si>
  <si>
    <t>ero , 250. D. Pa­ blo Cano Melgarejo , ensayador segundo , 125. D. Santiago Urquizu , juez de balanza, 116. I&gt;. Manuel de Mena , fundidor mayor, 250. D. Fernando Biiv ca, guarda cuños , 116.-D. Manuel Lnndazuri, guarda materiales , 116. Don Félix Barrete , tallador mayor , 150. D Ravmundo. Marroz., oficia! mayor de; la contad…</t>
  </si>
  <si>
    <t>Bílake, Joaquín</t>
  </si>
  <si>
    <t>Joaquín Bílake</t>
  </si>
  <si>
    <t>s de los españoles estos reveses, no servirán mas que para pro­ veerlos medios de alejar los que pudiesen amenazarnos en lo sucesivo. . El Excmo. Sr. D. Joaquín Bílake, desde Valencia con fecha de 9 de üti ero, dice : que después de perdida la batalla del 26 de di­ ciembre, y encerrado su exército en la ciudad de Valencia , n…</t>
  </si>
  <si>
    <t>Bilbao, Alonso</t>
  </si>
  <si>
    <t>Alonso Bilbao</t>
  </si>
  <si>
    <t>icipalidad de Antequeral' , 11BRO. Corregidor. Coróníca de los Reyes de España desde Alaríco hasta D. Juan el Ti , escrita por Saavedra ¡ siete tomos D. Alonso Bilbao. en 8.° etf rústica, á 70 rs., mitadá cambio de libros, Regidores. y mitad á dinero efectivo. Se hallará en el puesto de D. Josef de Lora. Comedias, sito en la …</t>
  </si>
  <si>
    <t>Bill</t>
  </si>
  <si>
    <t>cto de beneficencia i vista y pacien­ su retirada de Burgos, para que las tropas imperiales no cia de los españoles. pudiesen alcanzarle, asi como el general Bill, que estaba en el Tajo, destruyó con el mismo objeto Igs TEATRO. que habia en aquel rio, y hasta el hermoso puente lla­ En el del Príncipe se representará la comedi…</t>
  </si>
  <si>
    <t>Bingh</t>
  </si>
  <si>
    <t>117</t>
  </si>
  <si>
    <t>y á fluas; yo al menos asi me lo temo; pero sise con­ ius hogares. sideran todos los cárteres odiosos que presenta la Bel 2&lt;r. relación de oficio del capitán Bingh.op al almirante La Gazeta universal refiere hoi una noticia ne­ Sawycr (fecha en la corbeta de.S. M. el Pequen»</t>
  </si>
  <si>
    <t>Bingham</t>
  </si>
  <si>
    <t>Gaceta de Madrid n.º 73</t>
  </si>
  <si>
    <t>ue la relación del capitán bellón. Si llega á probarse la verdad dé las «cusawSiagham.se diferencie en algunos pantos esenciales cioncs hechas por el capitán Bingham contra el de la del conmódoro Rodgers. El presidente .me conmódoro Rodgers, de no haber querido decir encarga os haga saber , que esíá pronto á terminar de qué n…</t>
  </si>
  <si>
    <t>Gaceta de Madrid n.º 89</t>
  </si>
  <si>
    <t>fuesen acompañando el entierro: contra-almirante Sgqy^yer,que contiene las instruc­ también iban cerca de 100 alumnos del colegio de ciones dadas al capitán Bingham , y la lista de los Berlín y algunos maestros, porque el hijo de Chemoeitos y heridos que hubo á bordo de la corbe­ valier era discípulo del colegio. Todo el pueb…</t>
  </si>
  <si>
    <t>Gaceta de Madrid n.º 95</t>
  </si>
  <si>
    <t>entos relativos al combate de la fragata del respeto debido á su pabellón. Presidente y la corbeta el Pcqueño-Beir. ,, Erj ¡as instrucciones dadas al capitán Bingham , que nos habéis comunicado con tanta fran­ Cartas de Mr. Monroe n Mr. Foster. queza , ve el presidente una prenda de mutua amis­ tad v de conciliación; y no dud…</t>
  </si>
  <si>
    <t>e con licencia; á los brigadieres generales Pack y conde de Resende, al servicio de Portugal; al coronel Dauglas del octayo regimiento portugués , al teniente coronel Bingham del 53, también al brigadier general D’ürban , y al teniente coronel Heryey del 14 de dragones, al coronel lord Eduardo Somersct, que manda el 4 de drag…</t>
  </si>
  <si>
    <t>el conde de Ficalho, teniente coronel del mismb regimiento: el coronel Laeerda y el teniente coronel Bi­ zarro del regimiento portugués núm. n.6: el teniente coronel Bingham del re­ gimiento británico 63.°; y también el brigadier general d’ Urban, el coronel Hervey del regimiento de dragones núm. 14.0,' lord E. Somerset del r…</t>
  </si>
  <si>
    <t>Bingharn</t>
  </si>
  <si>
    <t>ha mandado S. M. ' ,'&gt;T&gt;or'tanto el presidente no puede dexar de que los 500 rixdalcrs que tiene de sueldo el se­ mir.-.r como hostil la agresión dei capitán Bingharn, cretario se paguen en adelante de su tesoro. y espera que S. M. británica la mirará del mismo Una real resolución del 14 de febrero permite mojo, y tratará est…</t>
  </si>
  <si>
    <t>Binghitn</t>
  </si>
  <si>
    <t>io al principio plaza de cónsul general es , según dicen , el señor del combate por no querer batirse contra sus com­ Kosloff. patriotas} pero que el capitán Binghitn les intimo Según el censo de la población de los Estadosque si desobedecían, Ies haría juzgar por un con­ Unidos en el año de 1810 asciende esta á 7.239903 sejo…</t>
  </si>
  <si>
    <t>Bins, Ingrans</t>
  </si>
  <si>
    <t>Ingrans Bins</t>
  </si>
  <si>
    <t>l del Príncipe, á las siete de la noche, se re­ Doña Eugenia Palavicini................... 77176 presentará por la compañía española la comedia anti­ D. Ingrans Bins..... ................. ......... 2000 gua en tres actos titulada Abre el ojo, y Ja opereta la D. Juan Manuel García................... 2306 Casa en venta. Actore…</t>
  </si>
  <si>
    <t>Bissct</t>
  </si>
  <si>
    <t>127</t>
  </si>
  <si>
    <t>han sido bien pagadas , y todcs los ramos del servicia bien surtidos, durante las últimas operaciones, por el in­ fatigable desvelo del Sr. comisario general Bissct ysus dependientes. Tsi mariscal de campo D. Cárlos de Espana y D. Julián ^anenez observaroa los movimientos del enemigo al otro lado del 1 orm’es du­ rante las op…</t>
  </si>
  <si>
    <t>Bissingen</t>
  </si>
  <si>
    <t>o El 24 4248................ *535° y prefecto del Neckerinferior, ha sido nombrado Firmados: Joan lirancker, presidente. prefecto de Rotemberg , y ^1 conde Bissingen de ,,Vea vmd. aquí, amigo mío, la prueba de nn .Sobramberg reemplazará á. éste último en Heii- aumento extraordinario ;-per.aes áe..j:pobres! y ad­ .broQo. viert…</t>
  </si>
  <si>
    <t>Bíttghrm</t>
  </si>
  <si>
    <t>sta el me­ Terse sumergidos en la miseria. Fuerza será que dio dia de! día siguiente. este gobierno se vea precisado á volver en sí , y á 3.0 .Que el capitán Bíttghrm ha confuido que escuchar los consejos de la razón y las leyes de la el gallardete de la fragata de ¡enlistados U nidos el justicia. ( The Star.) Presidente habí…</t>
  </si>
  <si>
    <t>Biziud, Joan Josef</t>
  </si>
  <si>
    <t>Joan Josef Biziud</t>
  </si>
  <si>
    <t>499 i8 distantes de la frontera y de los parages mas ex­ D. Mguel de Be’grano................ 11534 puesto* a ser desde luego el teatro de la guerra. D. Joan Josef Biziud.................. 8158 Parece que los turcos tienen gnn confianza en esta D. Antonio de Yarritu.............. . 470 expedición , no solo por el 1 ú nero res…</t>
  </si>
  <si>
    <t>Bj, Pabl</t>
  </si>
  <si>
    <t>Pabl Bj</t>
  </si>
  <si>
    <t>Larra paga, 100. D. Francisco Hacines, 100. D. Juan Nicasio Sotomavor, -UKI. D. Juan Ergniaga, 100. D. Juan de Vivas, 400, D. Custodio Alvarez, 100. D. Pabl® Bj ingas, 200, (Se continuará.) CADIZ s EN LA IMPRENTA REAL.</t>
  </si>
  <si>
    <t>Black</t>
  </si>
  <si>
    <t>Gaceta de Madrid n.º 32</t>
  </si>
  <si>
    <t>seria. Hace algunos meses qne el gran con­ Del 8. sejo publicó un bando qne mandaba la supresión del calendario antiguo, que aun se usaba en algu­ El doctor Black acaba de publicar en Lóndres nos parages de las tres ligas: á pesar de las exhor­ la segunda edición de la memoria que habia ditaciones que se les envió, algunas al…</t>
  </si>
  <si>
    <t>n este tisfecho de los progresos que hacen vatios ramos puerto, apresada por el corsario de Cherbnrgo el de nuestra industria. Aguila, mandado por el capitán Black. HUNGRIA. ESPAÑA. Pest 12 de febrero. Madrid 5 de abril. El domingo último se celebró aqui el cumple­ Extracto de las minutas de la secretaría de años de S. M. nue…</t>
  </si>
  <si>
    <t>de acayoiba y vino de la isla de Hoi ha llegado la noticia de que nuestro gran Madera. duque se halla en Aschjifeíiburgo , adonde ha ido El valiente capitán Black ha sostenido un coui—</t>
  </si>
  <si>
    <t>Blake</t>
  </si>
  <si>
    <t>Gaceta de Madrid n.º 18</t>
  </si>
  <si>
    <t>n infundadas; otras tiene que soñ justas y riente mes, quedando prisioneros de guerra 14® legítimas, y debe persistir hasra lograrlas. hombres con su general en gefe Blake y otros ,, Es necesario pensar en a'gun medio oara im­ varios. pedir que los m uineros americanos sean forzadas En todas las ciudades, pueblos y aldeas del…</t>
  </si>
  <si>
    <t>161</t>
  </si>
  <si>
    <t>itulacien concluida entre S. JE. el señor mariscal del imperio conde de Suchet, comandante en gefe del exército imperial de Aragóny .y $■ E- el señor general en gefe Blake, comandante del segundo y .ter­ cer exército español, para la ocupación de ¡a ciudad de Valencia. Art. I. La ciudad de Valencia será entregada al exército …</t>
  </si>
  <si>
    <t>Gaceta de Madrid n.º 106</t>
  </si>
  <si>
    <t>recen y detestan Tomas Wyse, de Maoors, Waterford. al exército ingles. Jum Lator , de Cranaghs. Miles M’Donnel, de Londres. Extracto de una carta del general Blake al con3i, may &gt;r general Ambrosio O-Ferrall. sej'j de regencia acerca, de las operaciones del Perno Bodkin Hussey , de Dmgle. dia a £ de octubre. Domingo W. O-Reil…</t>
  </si>
  <si>
    <t>í actual orden de cosas. Dicen que Czerni— rendición de Valencia sacados de la corres­ Joig ? está ya . mni descontento y desanimado, y pondencia del general Blake. que no aspira á otra cosa que á reconciliarse con la Puerta. ^ ' Primera deliberación de tas autoridades milita-a En uno de nuestros periódicos se ha dichoqóe- re…</t>
  </si>
  <si>
    <t>e cita, llama y emplaza á los parientes y de­ por la acta precedente. mas personas que se presuman tener derecho á los bie­ Extracto de una carta del general Blake al ge­ nes que han quedado por fallecimiento del. licenciado neral O-Donell. D. Andrés González Gómez , abogado que fue de ios reales consejos y del colegio de est…</t>
  </si>
  <si>
    <t>1811</t>
  </si>
  <si>
    <t>derado el mal estado en que se hallaban las tropas, d- Valencia sacados de la correspondencia del la debilidad del muro que rodeaba la plaza , sufi­ general Blake. ciente lo mas para resistir á uu ataque, pero mui débil para aguantar el fuego de una batería, que Extracto de una carta del general Blake al ge­ en pocas horas lo…</t>
  </si>
  <si>
    <t>Blake, Joaquín</t>
  </si>
  <si>
    <t>Joaquín Blake</t>
  </si>
  <si>
    <t>e general D. Antonio Burricl, gefe de estado mayor del cuerpo'expedicionario, remite al gefe del estado mayor genera!, por disposición del Excmo. Sr. D. Joaquín Blake, y con fecha de 5 y 12 de diciembre próximo pasado en Valencia, los partes siguientes: 1. ° „Excmo. Sr.: La d ivisión del mariscal de campo I). José de Zayas en…</t>
  </si>
  <si>
    <t>80</t>
  </si>
  <si>
    <t>ido este servicio. Dios guarde á Y. E. muchos años. — Cuar­ tel general de Yillarroya 9 de diciembre de 1811. — Excino. Sr.— José Duran. — Excmo. Sr. D. Joaquín Blake, capitán general de exército y y en gefe del segundo y tercero.” CADIZ: EN LA IMPRENTA REAL.</t>
  </si>
  <si>
    <t>xar su aposta­ Capitán general del exército. dero; pero sabemos que ya lian vuelto otra vez. Los franceses tienen en Rattan ioS. hombres y Excmo. Sr. D. Joaquín Blake, general en gefe 18 cañones. ; de! 2.0 y 3.“ exéreitos. Quando salieron de Gibraltar las últimas cartas Tarifa quedaba.mtii estrechada. Mariscales de campo. Est…</t>
  </si>
  <si>
    <t>231</t>
  </si>
  <si>
    <t>términos prevenidos en el decreto de su creación de 21 de enero próximo pasado , han elegido y nombrado sucesivamente consejeros de Estado, ademas de D. Joaquín Blake, capitán general de los exércitos nacionales, á D. Pedro de Agar, eapitan de navio de la armada nacional, y D. Gabriel Ciscar, gefe de escuadra , comprehendidos…</t>
  </si>
  <si>
    <t>en muertos y heridos. El espitan '. ,,En la ciudad de Valencia , á 8 de enero de Francani dio en esta ocasión pruebas de su mucho 1812, el Excmo. Sr. D. Joaquín Blake, capitán valor é inteligencia. general de los reales exércitos, y general en gefe del segundo y tercer cuerpo, convocó á consejo I M P E R I Ó F R A N C E S. de…</t>
  </si>
  <si>
    <t>umplir y executar en todas sus partes. Tendreislo entendido, y dispondréis lo necesario á su cum­ plimiento. = Gabriel Ciscar, presidente. =1 Ausente D. Joaquín Blake con permiso de las Cortes. = Pedro de Agar. =En Cádiz á, 4 de setiembre de 1811. = A D. Josef Canga Arguelles." «r „DON FERNANDO VII, por la gracia de Dios Rey …</t>
  </si>
  <si>
    <t>gan guardar, cumplir yexecutar en todas sus partes. Tendreislo entendido, y dispondréis lo necesario á su cumplimiento. = Gabriel Cbc2r, presidente. =D. Joaquín Blake, ausente con permiso de las Cortes. =Pedro deAgar. =En Cádiz á 29 de setiembre de 1811. = A I). Josef Canga Arguelles.”El Consejo de Regencia se ha servido expe…</t>
  </si>
  <si>
    <t>Blalte</t>
  </si>
  <si>
    <t>263</t>
  </si>
  <si>
    <t>: 140 sacos de 24; 400 de 18; 22 de 16; Pan 4 de febrero. 16 de 12; 4 de 8. Cartuchos de canon: 63 de 24; 62 dé x8; 37 de Ayer llegó á esta ciudad el general Blalte. Tam­ 16; 71 de 12; 72 de 8; 40 de 4 ; r? de 2. bién ha llegado la primera cotuna de prisioneros, Proyectiles huecos: 350 bombas; 357 granadas compuesta de 1600 o…</t>
  </si>
  <si>
    <t>Blanca</t>
  </si>
  <si>
    <t>Gaceta de Madrid n.º 161</t>
  </si>
  <si>
    <t>mentos cita­ dos casos de los menos antiguos en nuestra historia, dos , y. mucho mejor por la lectura del escrito, á saber , la cesión que la infanta Doña Blanca de que en mi dictámeu convendría se repitiese con Navarra hizo á favor de su primo e* Rei D. Hm- frecuencia hasta lixar en la memoria de todos los rique de Castilla,…</t>
  </si>
  <si>
    <t>Blanco, Antonio Oaspav</t>
  </si>
  <si>
    <t>Antonio Oaspav Blanco</t>
  </si>
  <si>
    <t>635</t>
  </si>
  <si>
    <t>635 to &lt;Je írlamhi D Antonio Oaspav Blanco , que. resultó gravemente herido. ,.Todos ío.-j cuerpos se han disputado la gloria en combatir con entusiasmo^ • y apenas habrá uno que no cuento hechos singulares de valor y disciplina. «.R</t>
  </si>
  <si>
    <t>Blanco, Cristóbal</t>
  </si>
  <si>
    <t>Cristóbal Blanco</t>
  </si>
  <si>
    <t>.......... *200 D. Antonio Baigon , id............................. ........ 2200 D. Josef de Priego , id....................................... 2200 D. Cristóbal Blanco, id.................................... 2200 D. Manuel de la Loma, residenre en An- D. Josef Molina , id...... ..................................... 22CO dúj…</t>
  </si>
  <si>
    <t>Blanco, Estdbah</t>
  </si>
  <si>
    <t>Estdbah Blanco</t>
  </si>
  <si>
    <t>Gaceta de Madrid n.º 206</t>
  </si>
  <si>
    <t>8iS Octavo batallón. complacen en los horrores de la guerra y los es­ v ’D. Estdbah Blanco, subteniente»i teniente de tragos' de la muerte. la novena compañía. Desertores de la sociedad , que deberíais servir en vez de asolarla, no esperéis de mí siuo verdaDécimo batallón. -des a</t>
  </si>
  <si>
    <t>Blanco, Fausto</t>
  </si>
  <si>
    <t>Fausto Blanco</t>
  </si>
  <si>
    <t>lo. Diputadas seculares Diputados seculares D. Tomas San* de Xbarrola. D. Gerónimo’Marrazi, D. Francisco Alvares de Santullar. D. Bonifacio Cabañas;. D. Fausto Blanco. Secretario Secretario D. Bernardo Casio. D. Antonio Villaducva. BARRIO DB XAS MONJAS DE TINTO, SARRIO Z&gt;S SAN PLACIO». Alcalde de barrio Alcalde de barrio D&lt; M…</t>
  </si>
  <si>
    <t>Blanco, Juan</t>
  </si>
  <si>
    <t>Juan Blanco</t>
  </si>
  <si>
    <t>D. L ids Piernas; á capitanes de granaderos á D. José Carrizosa y D. Carlos Devílie; á capitanes de fusileros á D. Francisco Guerrero, D. Juan Mier, D. Juan Blanco; D. Francisco Morales, I). Juan Bautista PeÜerín, D. Benigno García Cdderon, D. Pedro Roia, B. Juan Moreno, O. Francisco Hevia , D. Antonio Gayarre y D. Francisco …</t>
  </si>
  <si>
    <t>Blanco, Pedro</t>
  </si>
  <si>
    <t>Pedro Blanco</t>
  </si>
  <si>
    <t>............. 2 200 D. Juan Bcrral , lego, id. en Córdoba....... 1100 D. Juan Moreno , id. en Torremilans........... 2 200 Ex- trinitarios descalzos. D. Pedro Blanco , id........ .......... ........................ 2 200 D. B as Xirr.enez , residente en Ecija.......... 2 200 D. Josef Muñoz, residente en Córdoba.... 2200 D. Fr…</t>
  </si>
  <si>
    <t>Blanco, Pedro López</t>
  </si>
  <si>
    <t>Pedro López Blanco</t>
  </si>
  <si>
    <t>........................... Diputados secutans Diputados seculares D. Pedro Dtfttrii' D. Francisco San Román. D. Josef Piro Molíoa¿ D. Mariano Yoldi. D. Pedro López Blanco. J&gt;. Nicolás Palacios. Secretario Secretario D. Juao Francisco de Hato. D. Manuel Qniran. BARRIO DE LAS TRINITARIA*. SARRIO DE LA SUENA-DICHA. Alcaide de b…</t>
  </si>
  <si>
    <t>Blanes, Miguel Antéalo</t>
  </si>
  <si>
    <t>Miguel Antéalo Blanes</t>
  </si>
  <si>
    <t>es­ tituyó á palacio, donde colocado baxo dosel en el salón de ceremo­ nia, recibió el juramento del real acuerdo, compuesto de D. José Navla Bofaño, D. Miguel Antéalo Blanes , D, José Marín Zrzcsa, I). José Cabamiltis, O. Joaquín Cisternes, D. José Iribesri, IX Fran­ cisco de Anido, IX Julián Cid, D. Felipe Sobrado, D. Manue…</t>
  </si>
  <si>
    <t>Blas</t>
  </si>
  <si>
    <t>Gaceta de Madrid n.º 136</t>
  </si>
  <si>
    <t>pel. María. '» vv 1 y ~ „ Cambronero , D. Josef Ignacio Jóveo de Salas* ^. En algunas. _g^zet^s. je ha dicho qne había sa­ D. Juan Antonio Llórente-, D. Blas.de A tanza, lido la guarnición de esta capital, y qne la guar­ D. Andrés Romero Valdés y D. Vicente Gonzá­ dia. cínica cubría jpsjps ¿os puestos militares; pero lez Arna…</t>
  </si>
  <si>
    <t>Blasa, Ana</t>
  </si>
  <si>
    <t>Ana Blasa</t>
  </si>
  <si>
    <t>sús y María de esta corte , ó que por su falle­ cimiento se crea con derecho á sus bienes, acuda á deducirlo, ó á manifestar la exis­ tencia de dicha Doña Ana Blasa,ante ei señor juez letrado de primera instancia Don Francisco Asín , y escribanía del número del cargo de D. Vicente de la Costa , en el término de ocho dias, que…</t>
  </si>
  <si>
    <t>Blauco, Antonio</t>
  </si>
  <si>
    <t>Antonio Blauco</t>
  </si>
  <si>
    <t>. D. Francisco de Torres, por «no, 9. D, Vicente García Caraballo , id., 9. D. Raytnundo Marnefo Valdes , id., 9. D. Jo.'é Sequevra y Palma , id., 9. D. Antonio Blauco, id., 9. D. Pedro Ponce , id. , 9. D. Domingo Aldana , id., 9. El capitán D. Rafael O-farrilI , por 6,54. D. Juan de ¿4.1calá, por 2, 18. D, Manuel de la Holia…</t>
  </si>
  <si>
    <t>Blñke</t>
  </si>
  <si>
    <t>vo el Príncipe desaprobó su hermano D. Carlos, que fne he¿hó prisionero altamente la carta escrita por Jós lores Grey y de guérra’en Valehcia con el1 general Blñke. Por Grenville en respuesta á la del duque de Yorck, esta carta se ve qne los gefes de la insurrección no y relativa á este importante asunto; pero que al tienen c…</t>
  </si>
  <si>
    <t>Blnne, D Sebastian</t>
  </si>
  <si>
    <t>D Sebastian Blnne</t>
  </si>
  <si>
    <t>28</t>
  </si>
  <si>
    <t>os enemigos, que según noticias, debian conducir aquel dia ó el siguiente unos presos á Bayona , y á traerla segunda compa­ ñía al mando de su primer capitán D Sebastian Blnne. Se encontró la primera con los enemigos mas abaxo de Sodupe; les hizo frente, sostuvo el fungo , y los hizo retirar y desistir del intento, con- solos…</t>
  </si>
  <si>
    <t>Bloomfield</t>
  </si>
  <si>
    <t>1337</t>
  </si>
  <si>
    <t>á ella, seguirá la guerra con el mayor encarnizamiento.” Boston 2 de Octubre. Los pasageros que vienen de Albani aseguran que el cuerpo que manda el general Bloomfield, en Plattsbourg, asciende de 3 á 4000 hombres entre tropas regladas y milicias. Los ingleses inutilizan los caminos que conducen al Canadá , y fortifican todas…</t>
  </si>
  <si>
    <t>Blucher</t>
  </si>
  <si>
    <t>Gaceta de Madrid n.º 3</t>
  </si>
  <si>
    <t>ubre próximo pasado murió eo Berlín sj de noviembre. Brela , ciudad del círculo de RaJziwill, una nu&gt; ger llamada Alexandra Dippelskwchen, de edad El general Blucher ha anunciado en el diario de 116 años. La mitad de su vida la pasó en casa de Berlín , que el Rei le ha concedido la dimisión délos descendientes del príncipe Do…</t>
  </si>
  <si>
    <t>Bmolomé</t>
  </si>
  <si>
    <t>aq, Domínguez;, y Torres , presbítero, ! que se ha dignado conftarle. ' para una capellanía de Reyes nuevos de Toledo, ¡ vacante por fallecimiento de.D. Bmolomé.de Cañas. A D. Bernardo Alonso, presbítero, ex-fr-mPor decretos dext,x^,t7yi8 del cortien- ciscano, para una canongía de la colegiata de To- 1 te se ha servido elREI …</t>
  </si>
  <si>
    <t>Bmos, Domingo</t>
  </si>
  <si>
    <t>Domingo Bmos</t>
  </si>
  <si>
    <t>Gazeta de la Regencia de las Españas n.º 110</t>
  </si>
  <si>
    <t>910</t>
  </si>
  <si>
    <t>e .he­ rido#, y algunos prisioneros y pasados. La división «apañóla tuvo 3 soldados muertos con 2 caballos y 10 heridos, en te ellos el subte­ niente D. Domingo Bmos, al cual le llevó ei brazo derecho una bala de c i ñon. S guian los avisos • de me aumentando oor momen­ tos el nú;neríí de equipages v herí loa abandonados, y p…</t>
  </si>
  <si>
    <t>Bngration</t>
  </si>
  <si>
    <t>o en desprecio de la buena fe de caballería, estaba el 30 en Wolkovick. Este y del derecho de gentes, han sido descubiertos por cuerpo, que manda, e! príncipe Bngration, podrá la policía, y hechas presos. ser de unos 40© hombres. Ahora vamos á dar de buena voluntad á los in­ La novena en iin y la décimaquinta divisiones de gl…</t>
  </si>
  <si>
    <t>Bnrdalonga, Josef</t>
  </si>
  <si>
    <t>Josef Bnrdalonga</t>
  </si>
  <si>
    <t>i que á continuación se expresan se formará media D. Francisco Xavier Martin. compañía de milicia cívica con los oficiales que se designan. En Otura D. Josef Bnrdalonga teniente. De las langostas, y de los medios de destruirlas. En Chimeneas D Francisco Serrano teniente. En Ventas de Huelma D. Salvador Muñoz Si no supiéramos …</t>
  </si>
  <si>
    <t>Bnrriel, Antonio</t>
  </si>
  <si>
    <t>Antonio Bnrriel</t>
  </si>
  <si>
    <t>yperion, que acaba de llegar de Vera- 2.0 exército; D. Joaquín Zea, subinspector de ernz, ha traído noticias de aquella ciudad hasta caballería ídem; D. Antonio Bnrriel , g-fe del es­ fines de noviembre. Parece que las cosas están en tado del cuerpo . expedición,.rio; D. Wenceslao aquel país en mui mala disposición. Los conat…</t>
  </si>
  <si>
    <t>Bocalandro, Antonio</t>
  </si>
  <si>
    <t>Antonio Bocalandro</t>
  </si>
  <si>
    <t>ancisco Ferrer Salomer y sus hijos, du­ rante dos años, por 2, 18. D. Sebastian de Espinosa y sus hijos, id., 18. Don José Uz, por un año, por uno, 9 D. Antonio Bocalandro , id. 9. D. Manuel Gómez de las Bárconas, por 2, 13 D. Francisco de Borja Lima, por 4, 36. D. Mateo de Cárdenas, por 2 , 18. D, Juan Vicente Adot, id., 18.…</t>
  </si>
  <si>
    <t>Bock</t>
  </si>
  <si>
    <t>Gazeta de Madrid bajo el Gobierno de la Regencia n.º 2</t>
  </si>
  <si>
    <t>guimiento deí. exército vencido se acabó de coronar la obra. Una brigada de caballería , que formaba la vanguardia del exército alia­ do al mando del general Bock , atacó un qu ’.dro de infantería, ventajosa­ mente ' situado, protegido de caballería y aniliería, lo rompió y acuchilló, matando, hiriendo y haciendo prisioneros …</t>
  </si>
  <si>
    <t>Bocks</t>
  </si>
  <si>
    <t>coronel Haíkett, y de la brigada de caballería del mayor general Ansoñ , habiendo hecho alto en la venta del Pozo una brigada de caballería del mayor general Bocks para protegerla; todo a! mando del teniente general Sir Stapelc-ton Cotton. D. Julián Sánchez marchó por la izquierda del Arianzon , y la partida de guerrilla, man…</t>
  </si>
  <si>
    <t>Bodelon, José</t>
  </si>
  <si>
    <t>José Bodelon</t>
  </si>
  <si>
    <t>ña Manuela Carrillo, 2. D. Marcelo Aravnbulo, 2. IX Manuel Mtrabal, 3. D., Cipriano Mirabal, 4. XX Miguel Cevallos,4. I). Ig­ nacio Carguacarschi, 6. D. José Bodelon , 2. D. Manuel Tupayupanqui, 4. IX José Mesa, 2. IX Mariano Mesa, 1. D. José Mirabal, 2. D. Juan Murcies, 4. 1&gt;. Fernando Palomino , 3. D. Manuel Roxas , 2. D. N…</t>
  </si>
  <si>
    <t>Bodero, Damian</t>
  </si>
  <si>
    <t>Damian Bodero</t>
  </si>
  <si>
    <t>nos de la ciu­ dad Vieja , 22. D. Mariano Allende , 10. D. Antonio Vallejo por el pueblo d« Balao, 1G. D. Carlos Lagomasin, 200. D. Luis Molina , 10. D. Damian Bodero , 4. Feliciano Avecilla por sí , y los randeadores de cacao , 1G. Toma* Suarez , G. José Plaza, 2. Marcos Galarza, 2. D. Francisco Aviles y Pache­ co, 50. Juan …</t>
  </si>
  <si>
    <t>Boek</t>
  </si>
  <si>
    <t>a he presenciado car­ ga mas bizarra que la que dió á la infantería enemiga la brigada de línea de la legión alemana del Rey, á las órdenes del mayor general Boek, «que fué completamente feliz, quedando prisioneros tres bata­ llones de la primera división del enemigo, que formaban aquel cuer­ po de infantería. ,,Continuamos e…</t>
  </si>
  <si>
    <t>Bofaño, José Navla</t>
  </si>
  <si>
    <t>José Navla Bofaño</t>
  </si>
  <si>
    <t>pompa y comitiva se res­ tituyó á palacio, donde colocado baxo dosel en el salón de ceremo­ nia, recibió el juramento del real acuerdo, compuesto de D. José Navla Bofaño, D. Miguel Antéalo Blanes , D, José Marín Zrzcsa, I). José Cabamiltis, O. Joaquín Cisternes, D. José Iribesri, IX Fran­ cisco de Anido, IX Julián Cid, D. Fel…</t>
  </si>
  <si>
    <t>Bofarrull, Vicente</t>
  </si>
  <si>
    <t>Vicente Bofarrull</t>
  </si>
  <si>
    <t>; empleo de alférez de granaderos al de fusileros Don Francisco Martínez de Baños; y empleos de alféreces de fusileros á los tenientes de infantería D. Vicente Bofarrull, del batallón dé vo­ luntarios de Tarragona, j; ü. Luis Lobbé , del de Cármona ; y á los cádétés del/mismo cuéjp.9 de guardias Walonas D. Bernardo L’íiotellé…</t>
  </si>
  <si>
    <t>Bogambe, Cárlos</t>
  </si>
  <si>
    <t>Cárlos Bogambe</t>
  </si>
  <si>
    <t>l fin sobre S. Vicente , sa­ lió á reforzarlos un piquete de 50 caballos del número 20 ingleses, al mando del capitán D. Luis Ruvesnes y del teniente D. Cárlos Bogambe, délos que salió una guerrilla para obrar con la nuestra, y el resto quedó sosteniéndole. En esta situación determinaron Algarra y los gefes ingleses' esperar …</t>
  </si>
  <si>
    <t>Boi, Francisco</t>
  </si>
  <si>
    <t>Francisco Boi</t>
  </si>
  <si>
    <t>celino Gil, id..................................... 2200 D. Pedro Herrera, id. de Herrera............... 2200 D. Benito Francisco Martínez, ex carme­ D. Francisco Boi, id. de Santander............ 2200 lita descalzo................................................ 2200 D. Segundo de Quintana , id. de Isla......... 220b 0. Manu…</t>
  </si>
  <si>
    <t>Boibon</t>
  </si>
  <si>
    <t>Gazeta de la Regencia de las Españas n.º 120</t>
  </si>
  <si>
    <t>984</t>
  </si>
  <si>
    <t>a pompa y esolendor correspondiente en la iglesia de PP. carmelitas un solemne Te Ueum, que con asistencia del ihiítmimo cabildo entonó el Eximo. Sr. cardenal Boibon, ar­ zobispo de Toledo, primado de España. Asistieron ¿ él las Cór4*? , Ja Regencia dei reyno, el cuerpo diplomático, los grandes de España, y un numeroso concur…</t>
  </si>
  <si>
    <t>Bois, Biiíoiorné</t>
  </si>
  <si>
    <t>Biiíoiorné Bois</t>
  </si>
  <si>
    <t>án, capita l de granaderos del misino batallen, a^có y destrozo junto á Cornelia, uaa partida ene* m¡ara de SO cubal-o«, de ios que solo escaparon 6. D. Biiíoiorné Bois, comandante accidental de! segundo batallón de S. Fmando, atacó ei 19 en las inmediaciones de Seriñá una par­ tida enenigi de J50 hombres, ia cual, aunque ref…</t>
  </si>
  <si>
    <t>Bois, Mateo</t>
  </si>
  <si>
    <t>Mateo Bois</t>
  </si>
  <si>
    <t>la venta del Chaparro, haciendo un pequeño alto paTa lo mismo. Se dirigió después á Gerena con el fin de incorporarse con el comisario de su partida D. Mateo Bois , que se hallaba en aquellas inmediaciones con 100 caballos. El dia 4 fué atacado allí por los enemigos en nú­ mero de 120 dragones , y los rechazó por dos veces, d…</t>
  </si>
  <si>
    <t>Boisiy</t>
  </si>
  <si>
    <t>Gaceta de Madrid n.º 156</t>
  </si>
  <si>
    <t>dianerías que la pertenecen, están tasadas en ¡60136 Camb.cercs, presidente ; JLatour-Maubourg , el rs. y 8 mrs. de vnl La persona qué quisiere hacer conde Boisiy d’Anglas , secretarlos. = Visto y se­ postura á ellas acuda ante dicho señor juez y enunciada escribanía, por quien se admitirán lasque se hicieren, llado. =.Ei can…</t>
  </si>
  <si>
    <t>Boix, José</t>
  </si>
  <si>
    <t>José Boix</t>
  </si>
  <si>
    <t>uel M-iscaró ; del de Palma á Don Francisco Piadas; del de Baza á D. José Mogollon; del de Barce­ lona á í). Victorino B.imbier: del de S. Fernando á D. José Boix; del de Gerona á O. Alfonso Herrero; del de Mataró á D. José Ma­ já a Colubi; y del de Ausona á D. Fermín de Mozarena. En les cuerpos de infantería ligera del mismo…</t>
  </si>
  <si>
    <t>Boladeras, Francisco</t>
  </si>
  <si>
    <t>Francisco Boladeras</t>
  </si>
  <si>
    <t>ariano Goichi, 17. D. Antonio Senadel, G. D. Pablo Rubi­ nes , 50. D José Gabriel Gómez , por sí y su hijo D. José María, 100. Don José Donaires , G. D. Francisco Boladeras, 12. D. José González , G. D. Fran­ cisco Hurtado , 6. D. Antonio Le goma , por sí y su padre D. Juan , 50. Don Ignacio Odria , 6. D. Manuel Arana y Campo…</t>
  </si>
  <si>
    <t>Bonami</t>
  </si>
  <si>
    <t>orporen los refuerzos que espero do Moskow. Los prisioneros hacen subir la perdida del enemigo , según el cómputo de su exército, * 40000 hombres. El general Bonami está en nuestro poder: otros va. tíos generales han sido muertos y heridos , y entre estos últimos el mariscal Davoust. Diariamente tiene escaramuzas con el enemi…</t>
  </si>
  <si>
    <t>Bonanza, Juan</t>
  </si>
  <si>
    <t>Juan Bonanza</t>
  </si>
  <si>
    <t>). Francisco Erazu , 100. D Bernardo Cerran . guarda, 50. Id. D. Mateo Calero, 41, Id D. José Antonio Bustamante , 41. Id. D. Francisco Luna, 41. Id. D. Juan Bonanza , 41. Jd. D. Francisco Celeueyra, 41, Idem D. Santiago del Aguila, 41. — Almacenes de pólvora. Fiel de almacenes Don Luis Drliz , 66. D Manuvl Lauiarca , guarda …</t>
  </si>
  <si>
    <t>Bonardele</t>
  </si>
  <si>
    <t>llería mantuvo el mejor or­ «de este modo podían apreciarse y estimarse según den por el tesón del gefe de batallón Dumay y. « todo su mérito.” ) del capitán Bonardele ; entre tanto desiiia Rousseí Relación del príncipe virei de tos combates habi­ del bosque, cae sobre el enemigo en coluna, y ocu­ dos en los días 25, 26 y 2 y…</t>
  </si>
  <si>
    <t>Bonet</t>
  </si>
  <si>
    <t>Gaceta de Madrid n.º 212</t>
  </si>
  <si>
    <t>anos para que abriesen el quando el señor duque de Ragusa fue herido, y cadáver del n.ño de seis años , para ver si se po­ quedó fuera de combate. El general Bonet, qu« dían descubrir las causas del nial, y socorrer á lo* como mas antiguo debia tomar el mando, acaba­ demas enfermos; peto no se pudo encontrar indi­ ba de exper…</t>
  </si>
  <si>
    <t>Bonét</t>
  </si>
  <si>
    <t>enínsula, y ella sola ha dis­ pertado el entusiasmo de lós españoles. El dia 14 del corriente salieron de Burgos para Francia el mariscal Marmont, el general Bonét y varios coroneles: esta salida debió verificare en el dia anterior; pero se suspendió por haber muerto un edecán mayor de Marmont. Este á su despedida dirigió á l…</t>
  </si>
  <si>
    <t>Bonet, Benigno</t>
  </si>
  <si>
    <t>Benigno Bonet</t>
  </si>
  <si>
    <t>lier 54001 21 articulo i. ,, Se declaran acreedores del es­ D. Juan Estébatj de Tricio... 384 7 14 tado por las sum.iS que á continuación se expretaa D. Benigno Bonet......................... ' 1805 los sugetos siguientes. D. Joan Bautista de Palacio...... 5054 Rs. vn. Mr». D. C .milo de los Toeror.......... 36 r Doña María d…</t>
  </si>
  <si>
    <t>Bongars</t>
  </si>
  <si>
    <t>Gaceta de Madrid n.º 29</t>
  </si>
  <si>
    <t>stanciadas qne se han re­ Cássel 2s&gt; de diciembre. cibido acerca del terremoto que se ha seorido en las montañas de Saxonia sabemos que se ha pro­ Et comandante Bongars, inspector general de longado también por las montañas de la Bohemia, la gendarmería, ha sido nombrado miembro del y con especialidad en el Riesengcberg, que …</t>
  </si>
  <si>
    <t>Boni</t>
  </si>
  <si>
    <t>D. Manuel Otaroza, 45 v 6 y medio. D. Francisco de Paula Figueroa , 45 y 6 y medio. D. Antonio Perez , 45 y 6 y medio. D. Miguel Salabarria , 41 y 5. D. Boni­ facio López Ruiz , 3 y 4. D. Fernando de Mazo y su sobrino D. Francisco Penagos Mazo , 2000. El marques de Villafuerte , 1000. D. Manuel Tafur, cura de Lurin , 40Í). El…</t>
  </si>
  <si>
    <t>Bonícelli, Josef María</t>
  </si>
  <si>
    <t>Josef María Bonícelli</t>
  </si>
  <si>
    <t>Gaceta de Madrid n.º 5</t>
  </si>
  <si>
    <t>, es de 130. Cádiz &amp;£ -de octubre. La población total del imperio es de 43.937144 Habiendo reclamado el coronel del regimiento habitante?. de Z amora D. Josef María Bonícelli los auxilios El teta! de la población de los diferentes esta­ del limo, cabildo de . esta santa iglesia catedral á dos aliados de la Francia asciende á …</t>
  </si>
  <si>
    <t>Bonifa</t>
  </si>
  <si>
    <t>s no se hace manca dicen que háb entrada 70® ingleses. vmd. cargo..... ? D. P. Ingleses , de verdad, ó portugueses y D.-P. De todo me hago cargo, Sr. D. Bonifa­ españoles inglesados como los caballos ? cio, y por lo mismo digo y repito lo que he di­ D. B. Dale con portugueses. ¿Qué mas tiene? cho; pero vamos por partes, y exa…</t>
  </si>
  <si>
    <t>Bonifacio</t>
  </si>
  <si>
    <t>Ingles ( D. Josef) , hacendado. dixe yo que D. Pedro era hombre de juicio. Jura Real (Marques de) , caballero maestrante del ■D. P. Poco á poco, Sr. D. Bonifacio; yo real cuerpo de Valencia. creo que no nos entendemos; hablemos claros: Lara ( D, J uan de ), sargento segundo de cazado­ ¿ qué viage es ese de que vmd. habla , y …</t>
  </si>
  <si>
    <t>e vayaa, y que nos dexets xambre que vimos entrat en Madrid qtiando la bá-¿ en paz, tida de Ocaña. Y ciertamente que si son cómo D. P. Voi á eso, Sr. D. Bonifacio, Pues se­ aquellos, no té fó por qué les hemos de tener tan­ ñor, los franceses , que son franceses, no se van, ní to miedo, habiéndoles tenido entonces tau poco. ‘…</t>
  </si>
  <si>
    <t>das las espaldas. El diablo es este exér- esas cosas; tenga vmd. juicio. clto del centro, y este exército de Valencia, que JD. P. Dios nos lo dé, Sr. D. Bonifacio. Fe­ está tan á la puerta, ¿ y quién sabe si este exérci­ lices , Sr. D. Bonifacio. Hasta por ahí, Sr. D. Bo­ to de Andalucía......? Vaya, los franceses son el nifa…</t>
  </si>
  <si>
    <t>a ex¿dio a mejor el estado de la opinión de esta capital que el diálogo que se inserta en la gaceta de hoy mismo, entre un JD. Pedro afrancesado y un D. Bonifacio patriota. Siendo ssí que los agentes del gobierno intruso siempre han procurado con el mayor cuidado ocultar el descontento de los pueblos, y la impaciencia con que…</t>
  </si>
  <si>
    <t>que esto se íJipado 5= Regnier. acabe una hora mas presto? ¿Han de pedir mi voto para que estas cosas se compongas? ESPAÑA. P. Pues dígame vmd., Sr. D. Bonifacio, ¿no es vmd. español ? Madrid it de diciembre.. 3. Y a mucha honra, y amo á mi patria como el primero. 3* ha remitido á Ion redactores de la gazeta el : ,P. Asi lo c…</t>
  </si>
  <si>
    <t>Bonilla, Juan</t>
  </si>
  <si>
    <t>Juan Bonilla</t>
  </si>
  <si>
    <t>76</t>
  </si>
  <si>
    <t>pa , en donde había pasado la noche , saqueando las casas de los vecinos • mas ricos, y cometiendo entre otros h orro­ rosos escasos el de asesinar á D. Juan Bonilla, par haberse negado á entregarle los caudales de otro vecino, de cuya custodia estaba encargado; y habiéndole asegurado que el rumbo que había segui­ do después …</t>
  </si>
  <si>
    <t>Bonnct</t>
  </si>
  <si>
    <t>303</t>
  </si>
  <si>
    <t>bri­ gadier D. Federico Castañon, se dirigía por el puerto de Leííaricgos al mismo rio , que se eligió como base de operaciones contra la divHo» del general Bonnct. La segunda división y la tercera , que estaba en la Puebla de Sa» nabria, se movieron el 27 para coincidir á un tiempo sobre Astorga y la Bañeza, y la columna vol…</t>
  </si>
  <si>
    <t>Bonnef</t>
  </si>
  <si>
    <t>Gazeta de la Regencia de las Españas n.º 54</t>
  </si>
  <si>
    <t>gido hacia Toro, con el designio de interceptar los convoyes ene­ migos que no vengan bien escoltados. Un partidario ha cogido parte del equipage del general Bonnef, y algunos otros efectos, entre ellos muchos molinos de mano para campaña, hechos de hierro, que muelen bastante y muy bien, y se fean entregado en Carvajales á n…</t>
  </si>
  <si>
    <t>Bonnet</t>
  </si>
  <si>
    <t>xecutado movimiento de importancia , después que dirigí á Y. E. mi oficio anterior, á excepción de un reconocimiento que hi­ cieron las del mando del general Bonnet desde llena vente sobre Mombuey y Puebla de Sanabria, desde el 11 ai 19 del corriente; y un movimiento de igual naturaleza hecho por las tropas del general Foy, s…</t>
  </si>
  <si>
    <t>Gazeta de la Regencia de las Españas n.º 85 (extraordinaria)</t>
  </si>
  <si>
    <t>712</t>
  </si>
  <si>
    <t>712 expresan que las fuerzas francesas del mando del general Bonnet han evacuado la provincia de Asturias en dos columnas, retirándose la una por el camino del Inhestó, y la otra por el que va á lo largo de la costa al oriente de Oviedo. «Ambas columnas han sufrido pérdidas de consecuencia en su retirada; y el</t>
  </si>
  <si>
    <t>Gazeta de la Regencia de las Españas n.º 89</t>
  </si>
  <si>
    <t>Salamanca 25 de junio de 1812. — „E! mf'T scr* M rrront juntó su cxércite sobre el Dut.ro del 16 al .19 dd corii-nte , excr oto ia di«i- _ visión del general Bonnet, que.creo e.tá aun m Astur¿&amp;3, y algunas pequeñas guarnicicnes, y se adelantó de Fuente del Sunco el 20.</t>
  </si>
  <si>
    <t>Gazeta de la Regencia de las Españas n.º 104 (suplemento)</t>
  </si>
  <si>
    <t>1563</t>
  </si>
  <si>
    <t>Mocune se ha­ bía apoderado de la posición mas formidable que tenia aquel, cuan­ do el señor duque de Ragusa fué herido y quedó fuera de combate. El general Bonnet, que como mas antiguo debía tomar el mando, acababa de experimentar igual suerte. Estos dos acontecimientos y la perplexidad ocasionada por la falta de dirección ,…</t>
  </si>
  <si>
    <t>Bool</t>
  </si>
  <si>
    <t>667</t>
  </si>
  <si>
    <t>se disponen para salir. Sin duda que en todo del consejo británico. La embarcación Orbit, este año habrá grandes novedades y mudanzas. mandada por el capitán Bool , y procedente de Liverpool, es quien ha traído á Nueva- Yorck AUSTRIA. esta desagradable noticia. Dichas presas, junto con las hechas de algún tiempo á esta parte …</t>
  </si>
  <si>
    <t>Boque</t>
  </si>
  <si>
    <t>ones y dos y D. Antonio Porras, fiscal: y de jueces de pri­ regimientos de infantería ae la guardia para refor­ mera instancia, con la misma calidad, D. Boque zar las quatro divisiones que la guarnecían dentro. Noveila, D. Salvador Rodríguez Buron, y Don Todas estas fuerzas reunidas componían una mitad Domingo Jáuregui. EN LA…</t>
  </si>
  <si>
    <t>Borbon</t>
  </si>
  <si>
    <t>917</t>
  </si>
  <si>
    <t>los diputados de las Cortes, la Regen­ cia del reyno, y el cuerpo diplomático se trasladaron á la iglesia del Cármen, en dónde ofició el Exorno. Si. cardenal Borbon, concur­ riendo con repetidas salvas la plaza á hacer mas solemne este acto. ARTICULO DE OFICIO. Circular del ministerio de hacienda. Con fecha de hoy me dice el …</t>
  </si>
  <si>
    <t>pa y esplendor correspondiente en la igle­ sia de PP. carmelitas un solemne le Deumy que con asistencia del ilustrísiano cabildo entonó el Excmo. Sr. cardenal Borbon , arzobispo de Toledo , pri­ mado de España. Asistieron á él las Cortes, la Regencia aet reyno, el cuer­ po diplomático, los grandes de España , y un numeroso co…</t>
  </si>
  <si>
    <t>Borda, Francisca</t>
  </si>
  <si>
    <t>Francisca Borda</t>
  </si>
  <si>
    <t>rario de la audiencia de Chile , 400. El subdelegado de Chancay D. Ignacio de Alcázar , 50. Y otra tanta cantidad anualmente hasta la venida del rey. Doña Francisca Borda, 500. D. Francisco Velazquez , cura de Ornas, 13. D. Felipe Al varad o, 100. El presbítero D. José Fernandez, 25. Doña Ines Villalta, viuda , 100. Doña Tere…</t>
  </si>
  <si>
    <t>Borduoult</t>
  </si>
  <si>
    <t>fantería ligera atacó á la bayo­ neta la pequeña ciudad de Krasnoy con grande intrepidez: la caballería se portó valerosamente. Distinguióse mucho el barón Borduoult, general de di­ visión , igualmente que el regimiento 3.0 de cazadores. Tomamos 8 cañones, 14 caxas, 1500 prisioneros, y quedaron muertos en el campo mas de 1® r…</t>
  </si>
  <si>
    <t>Boreli</t>
  </si>
  <si>
    <t>Leconteux, la caballería. los tres ayudantes de campo dehpríncipc NeufchaEl virei dio sus disposiciones, y cruzando el tel, como también el ayudante comandante Boreli. barranco, marchamos contra el enemigo. La brigada Asimismo debo nombrar al gefe de batallón........ f dé caballería extrangera, que había pasado el Dwi- comand…</t>
  </si>
  <si>
    <t>Borinet</t>
  </si>
  <si>
    <t>341</t>
  </si>
  <si>
    <t>de artillería. Los de Astorga han convertido en galleta todo el trigo que tenían, y sacado sus enfermos : también ha salido la policía. Dicen que el general Borinet es uno de los que tienen orden de restituirse á Francia. El 21 del pasado habían llegado á Llanes y salido para Gi jon, haxo la competente escolta, 162 prisionero…</t>
  </si>
  <si>
    <t>Borona, Bernardo</t>
  </si>
  <si>
    <t>Bernardo Borona</t>
  </si>
  <si>
    <t>decer y executfir las órdenes. Todos, en suma, han llenado sus debares ; pero individualizaré para los condignos honor es si subfonisn te del segando-D. Bernardo Borona, que muerto en el cam­ po de batalla de una bala de cañón, será eterno héroe de la igle­ sia ; y á sus imitadores el comandante del primero y primera sec­ ció…</t>
  </si>
  <si>
    <t>Borra</t>
  </si>
  <si>
    <t>¡ Jesús ! No creen que consiste el p triotisino en ia grosería dp lo permita su divina Magesl. d , dixo ¡á tia Rita, llamarle Josef Bonapartc , y 41 Emperador Borra— sanrig tándose. ___ No se ..fbj t vrrtd., tia Rita, parte á secas.’ ¿Cree vrnd. que esto lp$ ^eshopra? dixo el cura, que nu lo permitirá, Qmó ico es el L 'S B rb…</t>
  </si>
  <si>
    <t>Borrero, Fernando</t>
  </si>
  <si>
    <t>Fernando Borrero</t>
  </si>
  <si>
    <t>Manuel L no, D. Pedro Rueda, D. Santiago B-dhmia , O. José Clemente, D. Jo­ sé Me-reno Muñoz, D. Andrés López, D. Baldomcro Espartero, D. Jo&amp;é Sema , D. Fernando Borrero, y D. Francisco Cortazar.</t>
  </si>
  <si>
    <t>Borstell</t>
  </si>
  <si>
    <t>75</t>
  </si>
  <si>
    <t>s 8Q hombres. Se decía barón de Krnsemarck, ministro plenipotenciario que las tropas sicilianas ascendían á 19G hombres, de S. M. en Paris ; el señor general Borstell , ede- entre ellos qQ napolitanos, que eran enteramente can dol Rei, y ti señor mayor Natzmer, ideen. del partido de la Reina. ,, Esta señora juntó el día de Na…</t>
  </si>
  <si>
    <t>Bote</t>
  </si>
  <si>
    <t>siderable. El mayor general Balk fué herido en la cabeza; el prínci­ pe Licirgkoi y el mayor general Harman han sido contusos, aunque levemente ; el coronel Bote , del 26 de cazadores , gravemente herido en una pierna, como también el comandante del l.° de reclutas de Petersburgo, Mordvino. (Siguen algunas recomendaciones.) T…</t>
  </si>
  <si>
    <t>Bothwick</t>
  </si>
  <si>
    <t>es del servicio de ía ar­ tillería durante ei sitio como en otras ocasiones, baxo las órdenes del coronel Flamingham, que desde la ausencia del mayor general Bothwick ha mandado la artillería de este exército. „No puedo alabar bastantemente á los oficiales y soldados de la ar­ tillería real y portuguesa durante este sitio, pa…</t>
  </si>
  <si>
    <t>Bottareli, José</t>
  </si>
  <si>
    <t>José Bottareli</t>
  </si>
  <si>
    <t>1131</t>
  </si>
  <si>
    <t>de hubir hecho varias correrías por aquella parte llegaron hasta e! pueblo de Mondar, del corregimiento de Cerverá, en número de 25 de caba­ llería. D. José Bottareli, residente en Artesa, dio aviso al capitsn de la segunda compañía de preferencia de este corregimiento D. J.sé Rambla, que se hallaba situado en Bddomar, para q…</t>
  </si>
  <si>
    <t>Bottiger</t>
  </si>
  <si>
    <t>eva contribución general sobre los bienes Gottinga ; al profesor Heeren , de la misma ciudad, raíces, que reemplazará la que ha subsistido hasta y al consejero Bottiger , de Dresde, - - . ahora, y de que nadie está exdnto; Ja Creación de</t>
  </si>
  <si>
    <t>Bou</t>
  </si>
  <si>
    <t>373</t>
  </si>
  <si>
    <t>para que se presentase en el puerto de B tños , porque el emperador quería absolutamente que se estorbase á los irg'eses el tomar á Badajoz, y que al general Bou:iet le liabia man lado hacer una diversión sobre Asturias , para proveerse de carnes, de que absolutamente careeia.</t>
  </si>
  <si>
    <t>Boupresente</t>
  </si>
  <si>
    <t>a? ¿ Y uu Norte se ha publicado una relación de Mr. Maoux, asunto semejante no merece ni es digno de que se profesor de historia natural, remitida al barón Boupresente al parlamento y al Príncipe Regente? Si lié, prefecto del departamento, que en substancia á los que han derramado su sangre en servicio de dice lo siguiente: l…</t>
  </si>
  <si>
    <t>Bourbaki, Dionisio</t>
  </si>
  <si>
    <t>Dionisio Bourbaki</t>
  </si>
  <si>
    <t>Gaceta de Madrid n.º 88</t>
  </si>
  <si>
    <t>o se aumenta diariamente, mindapte de batallo» del regúninto de Castilla, están mas unidos que los Forys y que los antiguos 1.a de infantería ligera, D. Dionisio Bourbaki, XYihgsj el.,man p &gt;r una reforma completa en el inaynr del regimiento Real llxtrangcro : el se den­ Diodo c ti que en el dia se hacen las elecciones , y te…</t>
  </si>
  <si>
    <t>Bourbaky, Dionisio</t>
  </si>
  <si>
    <t>Dionisio Bourbaky</t>
  </si>
  <si>
    <t>a brillan­ to núm. i.° de cazadores á caballo. te acción la bizarría y talentos militares del ma­ Seorsini (D. Antonio), subteniente de tiradores yor D. Dionisio Bourbaky, bien completamente del regimiento Real Extrangero. ayudado por el denuedo con que se han bitido Vankouten ( D. Josef) , tirador de! mismo regi­ las tropas …</t>
  </si>
  <si>
    <t>Bourke</t>
  </si>
  <si>
    <t>668</t>
  </si>
  <si>
    <t>a pasó de 200 muertos, hallados en el campo de bata­ lla , 700 heridos, inclusos en uaa y otra clase mas de 40 oficiales, y ademas 16 prisionero». El general Bourke salió mal herido: lo fué tiij bien el secundo comardante enemigo. Nuestra pér ‘ida fue de 2$ muerto? y brides, —■ Los franceses se retiraron á Barbastro»</t>
  </si>
  <si>
    <t>Bouté</t>
  </si>
  <si>
    <t>os demas, incluso su gefe Alvarez,y campo, y he vivido en ella feliz en el seno de mi familia. Los habitantes de este territorio le aban­ { ibertó al general Bouté y demas que habian sido apresados. donaron al acercaros; y yo he puesto fuego á mi „ La conducta del teniente Fiorian merece los casa para que no sea prostituida c…</t>
  </si>
  <si>
    <t>Bouvard, Juan Luis</t>
  </si>
  <si>
    <t>Juan Luis Bouvard</t>
  </si>
  <si>
    <t>presas que cogen, destruyendo ó quemando servido promover en el regimiento de tiradores de las que son de poco valor, ó embarazosas para su guardia á D. Juan Luis Bouvard , mayor, á co­ conducirlas á nuestros puertos. ronel ; ¿ D. Antonio Lebre, comandante de bata­ El colegio de los jesuítas de Polocs en la Lt- llón, á mayor;…</t>
  </si>
  <si>
    <t>Bouverie</t>
  </si>
  <si>
    <t>Gazeta de la Regencia de las Españas n.º 127</t>
  </si>
  <si>
    <t>1039</t>
  </si>
  <si>
    <t>ina, cu­ yas piezas se colocaron en una colina al O. de Guetaria, ¿ las órde­ nes del capitán Maículm, comandante del Rhin, mientras que el honorable capitán Bouverie, comandante de la Medusa, desembar­ có de su buque dos piezas de arthlma (on cañón de á 24 y una caronada de á 12), las cuales fueron colocadas con muchas fatig…</t>
  </si>
  <si>
    <t>Bowes</t>
  </si>
  <si>
    <t>31</t>
  </si>
  <si>
    <t>de la Trinidad sobre la derecha de nuestro ataque: y fué inme­ diatamente rechazad* coa considerable pérdida, sin conseguir cosa alguna, por el mayor general Bowes que mandaba la tropa que guar­ necía nuestras trincheras. En esta ocasión perdimos al capitán Cuthbert, ayudante de campo del teniente general Picton , oñcial que …</t>
  </si>
  <si>
    <t>última operación que lo ha terminado. „E1 servicio de trincheras .ha sido desempeñado •sucesivamente por el honorable mayor general Cblviüe, el mayor general Bowes y ei mayor general Kempt, baxo las órdenes ácl teniente y enera! Picton. He tenido ocasión de hacer mención de todos estos oficiales</t>
  </si>
  <si>
    <t>715</t>
  </si>
  <si>
    <t>715 manca el ataque del 2 3, en que fué muerto el general Bowes, principió la artillería á tirar bala roxa por la tarde del a 6 contra el con­ vento principal. El edificio fué incendiado en pocas horas, y el comandante ofreció capitular. Sin embargo, ha</t>
  </si>
  <si>
    <t>Bowi, Celedonio</t>
  </si>
  <si>
    <t>Celedonio Bowi</t>
  </si>
  <si>
    <t>o Herrera, 17. id. de Cha­ cas D. Antonio Navarro, 25.14. de Ncpeña D. Juan Antonio Infantas, 4. í ! dp* Truxillo D. Miguel Sánchez, 100. interventor D. Celedonio Bowi, • • vi v Bou 12. A ¡ministrador de Guamachuco D. Agustín Sánchez , 50. Id, de Cajamarca T&gt; Miguel Espinnch, 504. Olioíal D. Pablo Espinaeh , 200. Administrado…</t>
  </si>
  <si>
    <t>Bowle-s, Jusu</t>
  </si>
  <si>
    <t>Jusu Bowle-s</t>
  </si>
  <si>
    <t>732</t>
  </si>
  <si>
    <t>JD. R vfceitü Remnuti, 5 y 5. D. R. BiiTchs.ll, 21. Les señores Balkelty, OxenfhrcJ y Al!co¿.k, 3í y 10. Lo* señores H. Hiuckleyy compnñís, 52 y 10. D Jusu Bowle-s, 5 y 5. D. Roberto Wain'wright, 2 y 2. Los señores F. y compañía, 20. El lord Dsmtanviile (en FeUmouth) , 10. Los señores F-x y cctnp:*;.fíía ( Falmouih) , 20. D. …</t>
  </si>
  <si>
    <t>Boyer</t>
  </si>
  <si>
    <t>1414</t>
  </si>
  <si>
    <t>de este mes avanzaron 3( 0 dragones franceses hasta la Bañeza, de los cuales entraron 200 en Astorga, y á breve rato se volvieron á aquel pueblo. El general Boyer, que manda actualmente una división francesa que se extiende por la orilla derecha del Due­ ro, exigió entre Valladolid, Salamanca, Zamora, Simancas y otros pueblos…</t>
  </si>
  <si>
    <t>Boyer, Pedro</t>
  </si>
  <si>
    <t>Pedro Boyer</t>
  </si>
  <si>
    <t>ildo Gaíeano, por uno ,9. D. JuaRuiz, por 2; i8 D Francisco Menacho, por uno-, 9. D. Tiburcio ZuUieta, por ano , 9. D. Manuel Diaz de Castro, id., 9. D. Pedro Boyer y su es­ posa , id., 9. El teniente D. Agustin de Cárdenas, por 3, 27. D. Claudio Ma­ teo , por uno, 9. D. Francisco Gómez, mientras pueda , id, 9. D. Antonio Bus…</t>
  </si>
  <si>
    <t>Bra</t>
  </si>
  <si>
    <t>to núme.ro de votos que han preponderado en el partido que al fin decidió por la guerra. El oficial ruso que ha llegado últimamente á este pais es el barón Bra•kell, teniente coronel de la guardia, del Emperador Alexandro. Es un caba­ llero muy distinguido en su pais, y,según se dice ha sido el portador de una carta del Emper…</t>
  </si>
  <si>
    <t>Bradford</t>
  </si>
  <si>
    <t>u mando y la ca­ ballería del brigadier d'Urban, y que se apostase á la espalda de Aldea-te­ jada : la. brigada de infantería portuguesa al mando del brigadier Bradford, y la infantería española al mando del general D. Carlos de España, igualmente se adelantaron hácia las inmediaciones del lugar de las Torres entre las divi­ …</t>
  </si>
  <si>
    <t>l Hervey, y que formados en quatro colunas, envolviesen la izquierda del enemigo que estaba situada en las alturas: asimismo mandé que la brigada del general Bradford, ia quinta división al mando del te­ niente general Leith, la quarta división mandada por el honorable teniente general Colé, y la caballería al mando del tenie…</t>
  </si>
  <si>
    <t>Bragatioa</t>
  </si>
  <si>
    <t>914</t>
  </si>
  <si>
    <t>os ue los generales Tntskow y ShewalofF, cerca de Wilna: la reserva, com­ puesta de mi guardia imperial, sobre Sckwevtzen : el exército del mando del príncipe Bragatioa se halla en marcha de Slerinvte Wilkrika; y el de observación, mandado por el general Tormsssoíl, eu Lutzk. Todos estos movimientos eran indispensables, á fin…</t>
  </si>
  <si>
    <t>Bragation</t>
  </si>
  <si>
    <t>que señaladamente en este último tiempo iban correos desde Rusia á Francia, sin que viniesen de Francia á Rusia. Movido de estas y otras razones, el príncipe Bragation que mandaba un exérciio en la frontera, se resolvió á detener un correo que caminaba á París con pliegos para Bonaparte, sellados con el mismo sello del empera…</t>
  </si>
  <si>
    <t>Brakeley</t>
  </si>
  <si>
    <t>as de los nombres del último canciller del echirena , de í6 , capitán Bainblidger; lá Empresa, de quicr, de Mr. Srephens y Mr. Rydes, de^Mr. Cast12 , capitán Brakeley, y el Vixen , de 12, capitán lereagh; en fin, de todos los promotores us las de­ Garisden. Esperamos que esta fuérza naval hará sastrosas disposiciones , cuyas …</t>
  </si>
  <si>
    <t>Braña, Josef López</t>
  </si>
  <si>
    <t>Josef López Braña</t>
  </si>
  <si>
    <t>junta general. D. Juan de Sagra. art. iu. Nuestro ministro de lo Interior que­ Diputado eclesiástico da encargado de la execuciou del presente decre­ D. Josef López Braña. to. ss Firmado = YO EL REI. = l'or S. M. , ei Diputado secular ministro secretario de Estados Firmado =Mariano D. Josef Perez. Luis de Urquijo.” Secretario…</t>
  </si>
  <si>
    <t>Brandaba, Toma</t>
  </si>
  <si>
    <t>Toma Brandaba</t>
  </si>
  <si>
    <t>aro, Vicente Chueca, Do­ mingo Costa y Joié Tejada. „Eí comandante de artillería recomienda por su parte al capitán D. Fernando L'Traga y al teniente D. Toma Brandaba, del ba­ tallón de N amantólos, y al artillero Matías G .reía» ,.Ei coronel marques de Barrio lucio, que me ccompañó en ca­ lidad de segundo mió, me ha auxiliad…</t>
  </si>
  <si>
    <t>Brandis, Francisco</t>
  </si>
  <si>
    <t>Francisco Brandis</t>
  </si>
  <si>
    <t>ería de Monterey; á capitanes, á D. Mariano Rodríguez y D. Francisco de Paula Mariné , que lo eran del regi­ miento de Cádiz y batallón del general , D. Francisco Brandis , ayu­ dante mayor del regimiento voluntarios de la Corona, D. Priro de la Iglesia, teniente del batallón del General, y á D. Pedro Otero Arias, ayudante ma…</t>
  </si>
  <si>
    <t>Brandis, José Domingo</t>
  </si>
  <si>
    <t>José Domingo Brandis</t>
  </si>
  <si>
    <t>rcito D. Xavier Aba­ día , después de dar gracias en nombre del Gobierno al director, el teniente coronel D. Francisco SarraÜach , al sarges-to mayor D. José Domingo Brandis , á los profesores O. Angel Laborda T ¿r yro, al capitán de la compañía D. M guel Párraga , al ayudante D. Mariano Casto!, y á los demas subalternos de l…</t>
  </si>
  <si>
    <t>Brandsedt</t>
  </si>
  <si>
    <t>ndrán una pensión igual á. so man la muerte del doctor Koes, y dicen que so antigua renta ; ios que tenían t3&gt; ó mas francos de compañero de víase el doctor Brandsedt piensa renta, peto que no pasase de 2:co, tendrán las pasar á la isla de Xanto para recoger sus manus­ tres quartas partes de pensión; los que tenían inas crito…</t>
  </si>
  <si>
    <t>Brau</t>
  </si>
  <si>
    <t>Gaceta de Madrid n.º 188</t>
  </si>
  <si>
    <t>on la limera , en virtud del qual esta úitim- suBerlín 16 de mayo. iniühtr..rí las cantes uecesati&lt;s á las tropas austtla­ S. M. ha nombrado al señor coronel Brau- cas que hai actualmente eu Gullitzu.</t>
  </si>
  <si>
    <t>Brau, Josef</t>
  </si>
  <si>
    <t>Josef Brau</t>
  </si>
  <si>
    <t>dentes de sueldos anteriores art. 11. Se entregarán á estos interesados las al C de julio de i8oi. cédulas hipotecarias correspondientes, con arreglo D. Josef Brau................................ 473 4 al articulo 3.0 de nuestro decreto de 9 de junio D. Francisco Diez del Valle...... 710 13 de 1809. D. Mariano Herranz........…</t>
  </si>
  <si>
    <t>Bravo, Antonio</t>
  </si>
  <si>
    <t>Antonio Bravo</t>
  </si>
  <si>
    <t>capitanes á D. Manuel Vicente y D. Bartolomé Ruiz, tenientes del regimiento de la Corona, D. Marcos Antonio Mane so, teniente del primero de Gnariix, D. Antonio Bravo , teniente de Aimansa , y D. José María Ponce, teniente de Guadalaxara: á ayu­ dante mayor segundo, á D. Juan José Fernandez, subteniente del! regimiento de Alp…</t>
  </si>
  <si>
    <t>Bravo, Manuel</t>
  </si>
  <si>
    <t>Manuel Bravo</t>
  </si>
  <si>
    <t>ndez , 25. D. Sebastian Puga, 50. El comendador de la Merced , 50. D. Dio-, go Granados , 20. D. Luis Noli, 10. Teodoro Garóes , 4. Tomas Duarte , 4. D. Manuel Bravo, 5. D. José Florencia, 6. D. Ventura Bustamante, G. Don Pedro Ríos , 10. D. Juan María Morillo , 10. D. Mariano Arcia y Tello, 20. D. José Camilo Morillo, 10. D.…</t>
  </si>
  <si>
    <t>Bray, Antonio</t>
  </si>
  <si>
    <t>Antonio Bray</t>
  </si>
  <si>
    <t>de la Princesa, que tuvo á sus inmediatas órdenes, manifestando que su coronel D. Ramón Albear, y los comandantes de tiradores de Cádiz el co­ ronel D. Antonio Bray, y el de Alcázar de S. Juan el capitán gra­ duado de teniente coronel D. Juan Francisco Toledo, cumplieron sus deberes completamente; y asimismo el teniente de ar…</t>
  </si>
  <si>
    <t>Brayer</t>
  </si>
  <si>
    <t>112</t>
  </si>
  <si>
    <t>(1). Os pido aeepteis las seguridades de mi perfecta consideración. — El general de división gefe del estado mayor del exército — Conde Gaxan. — Sr. general Brayer.” (1) Este aviso puede ser útil á t ~&gt;s españoles que sirven b se hallaren en tentación de servir á los franceses, para que sepan lo que deben esperar de semejante…</t>
  </si>
  <si>
    <t>Brea</t>
  </si>
  <si>
    <t>nfermos de edad avanzada y de constitución fanegas de trigo , y llegó á hacerse sospechoso { pe­ débil degenera en una fiebre pútrida maligna y ro el doctor Brea no quiso dar cuenta á la justicia, njertrf ; pero en las personas fuertes y robustas no y se contentó cor) que Ignacio y sn familia fuesen es tetn b i,y hasta ahora …</t>
  </si>
  <si>
    <t>Bregnier</t>
  </si>
  <si>
    <t>Rodrigo ío« enemigos en número, según dicen , de 12 á 13000 infantes y 1500 caballos , aunque muy estropeados. Son dos divisiones á las ór­ denes del general Bregnier: conducen gran porción de carros des­ cargados y otros con escalas de 50 pasos , siendo su plan. por no traer piezas de batir, tomar por escalada á Almeyda, y c…</t>
  </si>
  <si>
    <t>Breña, Luis Fernandez</t>
  </si>
  <si>
    <t>Luis Fernandez Breña</t>
  </si>
  <si>
    <t>en Vdliáfranlo que 1-s conviniese y las hicíc.c píos petar. ca de las Agujas................... . 2200 S. M. se dignó hablar eri seguida con cada uno D. Luis Fernandez Breña, id. en Posada». 2 2co de los diputados , y todos salieron tan pe ictiados D. Francisco García, id. eu Ecija......... . 2100 de reconocimiento por las bo…</t>
  </si>
  <si>
    <t>Bretaña, Josef Casimiro la Gran</t>
  </si>
  <si>
    <t>Josef Casimiro la Gran Bretaña</t>
  </si>
  <si>
    <t>y suplicándole ponga sus D. Manuel Velasen , segundo comandante ge­ producciones en el mismo pie en que están las de neral de la plaza de Valencia ; D. Josef Casimiro la Gran Bretaña. Lavalie, segundo ídem de la mi nera división del El Hyperion, que acaba de llegar de Vera- 2.0 exército; D. Joaquín Zea, subinspector de ernz, …</t>
  </si>
  <si>
    <t>Brice, Manuel</t>
  </si>
  <si>
    <t>Manuel Brice</t>
  </si>
  <si>
    <t>. Justo Medina , 25. Oficial de id. , 15. Administrador de Moquegua D. José Dávila , 200. Id. de Tacna Don Joaquín Vigil , 50. Teniente administrador D. Manuel Brice ño, 13. Conduc­ tor D. Juan Manuel Rriceño , 12. Id. D. Pedro Navarrete , 10. Id. D. Pedro IJarriosas, 10. Carrera del Cuzco. Administrador de Huancave-.ica D. M…</t>
  </si>
  <si>
    <t>Briceño, Bernardo</t>
  </si>
  <si>
    <t>Bernardo Briceño</t>
  </si>
  <si>
    <t>Sra. de la Paz , por sí, JOO. José Márquez, escribano cíe cofradías, 20. D. Francisco María Adurriaga, cura de Pachas , y vicario de Huamalies , 200. D. Bernardo Briceño , cura de Llamellin , 100. D. Lorenzo Cos, 12. Tres niñas solteras, y otros indivi­ duos del pueblo de Guamachuco, 31 -y 3 rs. y medio. Administración de ren…</t>
  </si>
  <si>
    <t>Bringas, Francisco</t>
  </si>
  <si>
    <t>Francisco Bringas</t>
  </si>
  <si>
    <t>l gobierno; y por vocales al Dr. D. Francisco Ramiro de Arcayo, visitador eclesiástico de las parroquias de Madrid; á D. Juan Ignacio ae Ayestarín, á D. Francisco Bringas y á D. Manuel ¿artiga. El comandante general interino espera que el nombramiento de tán respetables sugetos merecerá la aprobación del público, y que se dir…</t>
  </si>
  <si>
    <t>Bringas, Francisco Antonio</t>
  </si>
  <si>
    <t>Francisco Antonio Bringas</t>
  </si>
  <si>
    <t>amente de fi lelidad al Rei nuestro deñor. D Antonio Castillo Lerin ; á D. Juan Cataneo ea S. M., justo apreciadbr del mérito y talentos reemplazo de D. Francisco Antonio Bringas; á de Cibat, y de su constante adhesión á sn perso­ D. Manuel de la Viña en logar dé D. Josef de na, le nombró á su regreso á España en 1809 ins­ Ca…</t>
  </si>
  <si>
    <t>Brisiula, Manuel</t>
  </si>
  <si>
    <t>Manuel Brisiula</t>
  </si>
  <si>
    <t>■ o&gt;¿H Continúan los donativos del Perú. D. Manuel Brisiula, 10 ps. fs. Mariano Roxas, 4 rs. Gregorio Perez, 4 rs. Manuel Nufiez , 4 rs. D. Timoteo Aranda, 2. Rafael Preciado, 1. José Jáuregui , 3. Doña Gregoria Nuñez , 7. Doña Victoria Jáurigui , 2</t>
  </si>
  <si>
    <t>Britapajas, Clemente</t>
  </si>
  <si>
    <t>Clemente Britapajas</t>
  </si>
  <si>
    <t>gento primero Manuel Saceda, ídem segundo Bernabé Miñano, cabo prime­ ro Manuel Alcántara y D. Joaquín Nuñez. Del presidio: D. Juan Jacinto Iztueta , D. Clemente Britapajas, D. Antonio Guzman, D. Faustino Ru­ bio, D. Josef García Peña, D. Francisco Armendi, D. Melchor de Somarrivas, D. Antonio Saquero , ei cabo de brigada D. …</t>
  </si>
  <si>
    <t>Brizart</t>
  </si>
  <si>
    <t>Gaceta de Madrid n.º 167</t>
  </si>
  <si>
    <t>eos los bu­ segnn lo del regimiento de Madrid, i.°de infante­ ques siguientes: los Dos Hermanos, cargado de ría de línea. trigo y harinas; el Ligero, capitán Brizart, car­ Por decreto de ia del expresado mes D. Ge­ gado de cebada y harinas; el Amor de la patriat rónimo de la Cuesta , arcediano titular de Avila, cargado de jud…</t>
  </si>
  <si>
    <t>Brock</t>
  </si>
  <si>
    <t>1353</t>
  </si>
  <si>
    <t>de 5 pulgadas y medía, que rompieron el fuego el 15, después de intimar al general Hull la rendición del fuerte. Lis fuerzas de que podía disponer el general Brock el dia 15 en la» inmediaciones dé Sándwich , desembarcaron la mañana del 16 en Spring-Well ,* á tres millas al O', del Estrecho. Los indios desem­ barcaron al mism…</t>
  </si>
  <si>
    <t>Brock, Isaac</t>
  </si>
  <si>
    <t>Isaac Brock</t>
  </si>
  <si>
    <t>osfc, gobernador de las pro­ vincias de la América septentrional, ha remitido los detalles que le había comunicado con feoha de 17 de Agosto el mayor general Isaac Brock, de las victorias conseguidas contra el ejército americano que mandaba el general Hull. Por ellos se ve qué el ériemigo paso el rio Estrechó el 12 de Julio ,…</t>
  </si>
  <si>
    <t>Brosey, Juan</t>
  </si>
  <si>
    <t>Juan Brosey</t>
  </si>
  <si>
    <t>¿ Digan ahora todos los teólogos y Juristas del de Sevilla, 3.0 de infantería de línea; al teniente mundo si estas que se llaman cautelas son confor­ D. Juan Brosey, ayudante de la plaza de Granada, mes á los principios elementales de ia justicia? ¿Si capitán de infantería de linea ; al capitán del regi­ hai tribunal que pued…</t>
  </si>
  <si>
    <t>Brote</t>
  </si>
  <si>
    <t>353</t>
  </si>
  <si>
    <t>n en esta ciudad 11 p ezas, qne están colocadas enfren­ te B 'orio y en la nuesta y patio del castillo. E ’ T-&gt;ro estabi á fi sus de! m s anterior el general Brote con unos 600 infantes, 5 cañones y una compañíi de zapadores , q le conti­ nuaban fortificando el castillo y haciendo atrincheramientos : entre</t>
  </si>
  <si>
    <t>Broussier</t>
  </si>
  <si>
    <t>re Navoi-Bickow. El 23 al rayar el día que guarnecido, de infantería y artillería. El gene­ 3® cosacos-atacaron-al 3.0 de cazadores , y le hicie* ral conde Broussier ocupó una eminencia con el re­ ron’ loó prisioneros, éntre ellos el Coronel y quagimiento 5.3.", dando con esto lugar á.que superAse tro oficiales, todos heridos…</t>
  </si>
  <si>
    <t>miga, que le disputaba. A las 10 de la mañana de uñ barranco que mantenían, quemado el puente.' el 8.° regimiento, que habla despejado el bosque, El general Broussier se aprovechó del movimien­ encontró al enemigo formado en posición ventajosa to retrógrado del enemigo; y pasando el arroyo,sobre un plano elevado, protegido co…</t>
  </si>
  <si>
    <t>Browne</t>
  </si>
  <si>
    <t>1297</t>
  </si>
  <si>
    <t>egunda línea fuese asaltada aque­ lla'tarde al poner fuego á la mina, y que al mismo tiempo la linea fu ese escalada. ,.La mina hizo su efecto , y el teniente coronel Browne apostó una partida del noveno de cazadores , y un destacamento de tropas españolas, del regimiento de Asturias en la obra exterior. Otro desta­ camento d…</t>
  </si>
  <si>
    <t>Bru</t>
  </si>
  <si>
    <t>neral conde Nansout:}r, con una división de corace­ póles sigue nicando la retaguardia .al enemigo : el t ros , la división de -caballería ligera del conde Bru- encontró la caballería enemiga, que habia tomado yeres, y la divisiotn de infantería del conde Mo- posición sobre el Dfcian.iVy mandó cerrase contra rand, se trasladó…</t>
  </si>
  <si>
    <t>Bruguera, Pedro</t>
  </si>
  <si>
    <t>Pedro Bruguera</t>
  </si>
  <si>
    <t>654</t>
  </si>
  <si>
    <t>D. Florencio Ceruti, á los capitanes Don José Chacón y D. Ramón Un zaga , sus ayudantes de campo ; al ca­ pitán D. Jos £ Trillo, al teniente corone? D. Pedro Bruguera, al te­ niente coronel D. José Masané?, capitán de zapadores, á D. Ma­ riano Villaespesa, teniente coronel del regimiento de Ausona, que fué herido , at capitán…</t>
  </si>
  <si>
    <t>Brull, Pedro</t>
  </si>
  <si>
    <t>Pedro Brull</t>
  </si>
  <si>
    <t>Gazeta de la Regencia de las Españas n.º 134</t>
  </si>
  <si>
    <t>10S0 subteniente de la cuarta compañía D. Pedro Brull. Debo recomen­ dar á Y. S., como lo hago, ¿ todos los señores oficiales y soldados que sé han batido con tanto honor y firmeza , desbaratando los pla­ nes que el enemigo pudo habrr formado</t>
  </si>
  <si>
    <t>Bruno, Pedro Alcántara</t>
  </si>
  <si>
    <t>Pedro Alcántara Bruno</t>
  </si>
  <si>
    <t>la Punta de Sta. Elena, ha entregado D. José Ig* nació Gorrochategui, 100. D. Dionisio Faxardo , 12. El maestro mayor del gremio de barberos ,29 y 5. D. Pedro Alcántara Bruno , 100. D. Juan Mi* guel Germán , 4. D. Esteban José Amador, 100. D. Lupercio Robles, 10. D. José Gorostiza y Garzón , 25. D. Miguel Terrario va y Aviles…</t>
  </si>
  <si>
    <t>Bruyeres</t>
  </si>
  <si>
    <t>234</t>
  </si>
  <si>
    <t>ríncipe Poniatowski, y su izquierda sobre la derecha del ataque que hacia el príncipe de Eckmüih. A las dos de la tarde la división de caballería del conde Bruyeres, después de haber rechazado á los cosacos y á la caballería enemiga, se aproximó al puente, estableció una batería de 10 piezas, é hizo fuego sobre la parte del e…</t>
  </si>
  <si>
    <t>risioneros, la mayor parte heridos, y Dos horas después del medio dia la divi­ de 7 á 8© heridos mas. Entre los muertos se en­ sión de caballería del conde Bruyeres ocupó la al­ cuentran cinco generales rusos. Nuestra pérdida as­ tura mas próxima al puente, arrojando de allí á los ciende á 790 hombres muertos, y 3100 ó 20© he…</t>
  </si>
  <si>
    <t>Bsgr</t>
  </si>
  <si>
    <t>Gazeta de la Regencia de las Españas n.º 136</t>
  </si>
  <si>
    <t>latow, que está á des jornadas, ha recibido orden de traer su cuerpo al'frente de Smoíeiuko , á fin dé cubrir los mcvimie&amp;tcs del primer exército: el príncipe Bsgr&amp;tion, por auparte, avanza » Smo» lemko á marchas forzadas. El teniente general conde de Witfgenstein da parte de que aun mantiene su.posición en Drissa., y que hab…</t>
  </si>
  <si>
    <t>Bsrcsford</t>
  </si>
  <si>
    <t>P-stefsburgo se han hecho inmensas. Bt$ciip6Íones, 7 »e organizaban 70080 reclutas. PORTUGAL. Lisboa 15 de Setiembre. El día 5 del corriente Uegó el mariscal Bsrcsford á Almeyda. Una de la» heridas que se le había cerrado, se ie abrió de nuevo con el movimiento del carruage , y de la otra se ie sacó un pedazo de hue­ so. El 1…</t>
  </si>
  <si>
    <t>Bsrnadoite</t>
  </si>
  <si>
    <t>«. Ana. GRAN-BRETAÑA. Londres 22 de Setiembre. Según las gacetas y cartas de Suecia, que llegan hasta el 10 de este mes, se esperaba en Gotemburgo ai príncipe Bsrnadoite. Las mismas refieren que se han activado extraordinariamente los prepara­ tivos de la expedición proyectada, desde la conferencia que tuvieron el emperador y…</t>
  </si>
  <si>
    <t>Bssseceurt</t>
  </si>
  <si>
    <t>Gazeta de la Regencia de las Españas n.º 68</t>
  </si>
  <si>
    <t>infor­ mado. Creo que esto bastará para que los enemigcs vuelvan á la cos­ ta, y que por ahora no ocurrirá cosa de importancia por aquella parte. El general Bssseceurt salió ayer de Almansa para el valle de Ay ora, de donde amenaza las coís.umGaciooes del enemigo, y los dos batallones de Alcázar y Baylen permanecen en continu…</t>
  </si>
  <si>
    <t>Bssseconrt</t>
  </si>
  <si>
    <t>671</t>
  </si>
  <si>
    <t>cito 1). José O- Donnell y al gefe del estado mayor general. „Excmo. Si.: Noticioso de que los enemigos habían formado una combinación para atacar al general Bssseconrt, que con sil división se hallaba en Ay ora, dirigiéndose para este fin una columna de mas de 2000 hombres por Jorque!a, mandados por el general Musnier, y par…</t>
  </si>
  <si>
    <t>Bstkavute</t>
  </si>
  <si>
    <t>batalla, principié él cañoneo por ambas partes, y tuvimos ia desgracia de perder á las primeras descargas á nuestro valeroso compañero ei te­ niente general Bstkavute , por cuya muerte recayd el mando del des­ tacamento en el teniente general Altusioff. „A1 mismo tiempo salió de los bosques con tres regimientos el general Ost…</t>
  </si>
  <si>
    <t>Bsttüaeourt, Torlbio</t>
  </si>
  <si>
    <t>Torlbio Bsttüaeourt</t>
  </si>
  <si>
    <t>a Telíería, D. Juan Agustín Oberfco, D. Esteban Pe tí, D. Manuel Osteycochea y D. Manuel E ysaga; de teniente de las mismas milicia» de infantería, á D. Torlbio Bsttüaeourt, D. Casimiro García, D. C &gt;sme Armera, D. José Torres, D. Teles foro Montero, D. Ignacio de Medina, D. Vicente Zavala, D. José María ViUavicsncio, D. Féli…</t>
  </si>
  <si>
    <t>Bu, Isidro</t>
  </si>
  <si>
    <t>Isidro Bu</t>
  </si>
  <si>
    <t>y los recur os de ios habitantes en una goerra tan D. Manue Sardio........................ ■ 2537 10 larga, y coyo resultado deberá ser volver á caer D. Isidro Bu.naposad.................. 186 baxo el yugo de los otomanos. D. Francisco López Moya...... 3058 26L D .ña Bernarda Costar.morid , co­ ESPAÑA. mo tutor» y curadora de…</t>
  </si>
  <si>
    <t>Buba, Melchor</t>
  </si>
  <si>
    <t>Melchor Buba</t>
  </si>
  <si>
    <t>uan Muril!o, O. Francisco Benito, D. Francisco Alameda, D. Pedro Panla­ gua, D. Luis Muñoz?, D. Vicente Ortiz, D. Manuel Benito, D. Pe­ dro Latorre, D. Melchor Buba, D. Francisco Alvarez , D. Luis Angel García, O. Pedio Toruno, D Antonio Rosado, D. Ildefon­ so Sierra, D Vicente Herrera, D. José C.uóps, D. Manuel L no, D. Pedr…</t>
  </si>
  <si>
    <t>Buenaventura</t>
  </si>
  <si>
    <t>, como pa­ El gusto de las bellas artes, y con especialidad dre, tutor y legítimo administra­ á la música, se ha extendido muchísimo. Casi to­ dor de D. Buenaventura , D. Jo­ dos los dias dan los aficionados excelentes concier­ sef, Doña Micaela de los Santos, tos en sus casas; por lo regular la música está Doña Maria Dolores…</t>
  </si>
  <si>
    <t>Buendia, Antonio José</t>
  </si>
  <si>
    <t>Antonio José Buendia</t>
  </si>
  <si>
    <t>10. IX José Metieses , 6. 10. Mariano Ñauarte, D. Fernando Berospi, 6. D. Bartolomé Iíuiz, 2. Don Mauúei Ruiz, 2. La universidad de S. Marcos, 8000. D. Antonio José Buendia, á cuenta de su oferta de 330 ps. anuales, 110. D. Antonio de O vague, 60. D. Fernando Q-uadrado, oidor de esta real audiencia , 600. D. MiguA Li­ sa guir…</t>
  </si>
  <si>
    <t>Bueno</t>
  </si>
  <si>
    <t>ad á las inmediaciones del cuartel de Sta. Clara, pero no es posible puntualizar su número ni aun por aproximación : nosotros hemos tenido muertos al capitán Bueno (oficial acreditadísi­ mo por su valor, y cuya memoria se conservará siem­ pre en la división), i un sargento y 4 soldados de Rio­ ja y á un cabo de caballería ; h…</t>
  </si>
  <si>
    <t>Bueno, Dionisio</t>
  </si>
  <si>
    <t>Dionisio Bueno</t>
  </si>
  <si>
    <t>, vacante por re­ poseedor D. Antonio García , á D. Rafael de la nuncia de D. Josef Mt-xía, al ex-caorn-üia calza­ Chica, ex-franciscano descalzo. do D. Dionisio Bueno. Para la de Campotejar, su ú'tiino poseedor Y para el d- IVigrns, vacante por renuncia de D. Juan Fernandez, á D. Manuel Llórente, exD. Julián de H-riera, al e…</t>
  </si>
  <si>
    <t>Bueno, Juan</t>
  </si>
  <si>
    <t>Juan Bueno</t>
  </si>
  <si>
    <t>José Ma­ ría Cartagena y D. Dionisio Baldiola. Tabuenca dis­ tingue entre los que estuvieron á sus ordenes , á los capitanes de Rioja D. Ramón Arroz, D. Juan Bueno, D. Antonio Herrera , D. José Gándara y D. Antonio Pendón: el primero á la cabeza de su compañía, no paró hasta ponerse encima de los cañones, y el se­ gundo murió…</t>
  </si>
  <si>
    <t>Bueno, Manuel María</t>
  </si>
  <si>
    <t>Manuel María Bueno</t>
  </si>
  <si>
    <t>acometió con un martillo , y le dio varios golpes D. Adrián Márcos Martínez................. 1436 3 en la cabeza; pero Feret tuvo bastante fuerza pa­ D. Manuel María Bueno...................... 1904 *8 ra poder escapar de manos de su asesino, y para D. Tomas López Antón...................... 2131 5 pedir socorro á los vecinos…</t>
  </si>
  <si>
    <t>Buentiempo, Nicolás Martin</t>
  </si>
  <si>
    <t>Nicolás Martin Buentiempo</t>
  </si>
  <si>
    <t>Gaceta de Madrid n.º 199</t>
  </si>
  <si>
    <t>801</t>
  </si>
  <si>
    <t>la Fuente. tes; reciben sus diputados cu Lóndtes , y en­ Para el de Caudilla al ex-regular observante vían cónsules á los puertos sublevados {3). ;Y D. Nicolás Martin Buentiempo. se encuentran españoles tan ioiquos qne se presten fr) Diarios de cortes. queman en todos los barrios figuras que le representan, (O Los niños, en l…</t>
  </si>
  <si>
    <t>BuíLr, Ricardo</t>
  </si>
  <si>
    <t>Ricardo BuíLr</t>
  </si>
  <si>
    <t>ales 36 docenae d#¿ camisas. El Sr. Campbell, 21 L-;-s; se* rióles Tuve mera, y M., varios efectos de valer para el hospital. D¿n Guillermo 'IVA?, 5. D. Ricardo BuíLr y compañía, 52 y 10.” Ademas se han suministrado 3000 capotes con sus corras pon dien­ tes correas, 620 camisas para la tropa y 72 para oficiales, 3205 pares de…</t>
  </si>
  <si>
    <t>Buíriel, Antonio</t>
  </si>
  <si>
    <t>Antonio Buíriel</t>
  </si>
  <si>
    <t>ados por el desmo­ res D. Joaquín de Zea’, sobinspéctdr de °la ‘ caba­ ronamiento de lá nieve' de las montañas. Desde el llería del segundo cuerpo, y D. Antonio Buíriel, dia 15 hasta el 17 de febrero ha habido nueve gefe deltltido ma^yor' déTcuerpo expedicionario; accidentes de esta especie entre Martinsbruck y y los coronele…</t>
  </si>
  <si>
    <t>Bujalance, Isidoro</t>
  </si>
  <si>
    <t>Isidoro Bujalance</t>
  </si>
  <si>
    <t>d....................................... 2200 D. I'defonso Arévalo , id............................... 3200 D. .Rafael Serrano ,Id.............. 2200 D. Isidoro Bujalance, residente en Bacna. 2200 D. Josef López, id............. .......................... 2200 D. Pedro Rodríguez , id............................... 2200 D. Joi…</t>
  </si>
  <si>
    <t>Bujalance, Manuel</t>
  </si>
  <si>
    <t>Manuel Bujalance</t>
  </si>
  <si>
    <t>iales D. Alfonso de Vida, y Gamboa. de ellas. Capitanes. Tenientes. D. Bartolomé Pineda. D. Joaquín Cañete, de granadero». D. Juan Francisco Ramírez. D. Manuel Bujalance, de tiradores. D. Juan de Tienda. Tenientes. D. Josef Joaquín Henares. D. Vicente Ort'z y Alguacil. D. Pedro Atiza. D. Juan Pioeda. D. Josef Vexijar. Subteni…</t>
  </si>
  <si>
    <t>Bulan, Josef</t>
  </si>
  <si>
    <t>Josef Bulan</t>
  </si>
  <si>
    <t>Gramática francesa para uso de los españoles, por Donat, hermanos y compañía......... 33*7 *S el mismo autor. Se vende en dicha librería de Quiroga, D. Josef Bulan.................................. 37711 y en la de Barco, carrera de S. Gerónimo, á 20 rs. en D. Amorío y D. Vicenie María rústica'. Boasi.........................…</t>
  </si>
  <si>
    <t>Bulbastro</t>
  </si>
  <si>
    <t>ado parte con fecha de 5 del actual el gobernador de! puerto de Aguilas, deque habiéndose presentado en aquel dia un corsario francés, al mando de su capitán Bulbastro, con rumbo ha­ cia las playas inmediatas, perseguido por otros buques ingleses, ha­ bía dado tas disposiciones conducentes á estorbar el desembarco ■con la par…</t>
  </si>
  <si>
    <t>Burd, Francisco Xavier</t>
  </si>
  <si>
    <t>Francisco Xavier Burd</t>
  </si>
  <si>
    <t>retario D. Migoel Perez. " D. Pedro Ezquerra. ¡BARRIO DE LAS DESCALZAS REALES. BARRIO DE SANTIAGO* Alcalde de barrio Alcalde de barrio D. Josef Roe!. D. Francisco Xavier Burd.di®. Diputado eclesiástico Diputado eclesiástico D. Cayetano Sae¿. D. Cayetano Aravaca. Diputados seculares Diputados seculares D. Gregorio Zorrilla. D.…</t>
  </si>
  <si>
    <t>Bureta, Juan</t>
  </si>
  <si>
    <t>Juan Bureta</t>
  </si>
  <si>
    <t>uran , 4. Capitán D. Se­ bastian A costa, 4. Subteniente D. José Ralao, 1. Id. D. Antonio Pardave, 2,—- Partido de Ckimcay. Doña Natividad Nuñez , 2. D. Juan Bureta, 4. L iña Jacoba Pacheco, 1. .Lucas Barrete, l. Doña .Narcisa Pacheco, 4 rs. Martin Rivas, 2. '{Se continuará ) GADIZ : EN LA IMPRENTA REAL.</t>
  </si>
  <si>
    <t>Burga, Santiago</t>
  </si>
  <si>
    <t>Santiago Burga</t>
  </si>
  <si>
    <t>Id. D. Francisco Barragan, 6. Id. D. Joté Villalobos, 12. El portaguión D. Silvestre Rodríguez, 25. El cadete. Don José María de las Muñecas, 4. Id. D. Santiago Burga, G. Id. D. Manuel An­ tonio Quiñones , 2. Id. D. José María Quiñones , 4. Los individuos de la dé­ cima compañía , 8. D. Tomas Ausejo , comandante militar de le…</t>
  </si>
  <si>
    <t>Burgcyne</t>
  </si>
  <si>
    <t>745</t>
  </si>
  <si>
    <t>ue mandaba la artillería , baxo la dirección del coronel Franningham, y los cficiaies y soldados de la artillería reai y portuguesa de su mando, y al teniente coronel Burgcyne, al teniente Raed, y á loa cficiaies de ingenieros, así como al mayor Thompeoc del re­ gimiento 74, que obró como ingeniero en estes operaciones. ,.Ei …</t>
  </si>
  <si>
    <t>Burgos, Custodio</t>
  </si>
  <si>
    <t>Custodio Burgos</t>
  </si>
  <si>
    <t>José Bernatd y D. Leandro Baró , y los soldados* D.: Estbban .Quarteto , y Agustín Jarqüe : y eri eh de Soria, el cabo primero Francisco Atasío y el soldado Custodio Burgos , que cogieron'á dos enemi­ gos un caballo, 2 clarines , 3 caxas de guerra y 2 tercerolas, á todos los cuales recomiendan i»us respectivos gefes , y yo lo…</t>
  </si>
  <si>
    <t>Burguillos, Juan</t>
  </si>
  <si>
    <t>Juan Burguillos</t>
  </si>
  <si>
    <t>arrasco, D. Diego Perez, D. León Gordo, Don Josef González Yuste, D. Juan Manuel Calero, D. Calixto Rodríguez, Don Ildefonso Ruiz, D. Agustín Lázaro, D. Juan Burguillos, D. Santiago López Ruiz, D. Pedro Fernandez, D. Josef Muela, D. Josef Mafia XimenezDon Domingo Draper, D. Manuel Guio, D. Juan Utrero, D. Benigno Merchan, D. …</t>
  </si>
  <si>
    <t>Buro, Salvador Rodríguez</t>
  </si>
  <si>
    <t>Salvador Rodríguez Buro</t>
  </si>
  <si>
    <t>ezaeta, jnecc» pais mal adquirido, pues ni lo fue por tratado ni' de las juntas criminales de Gu.Malaxara y Segovia, por derecho Be. conquista. , ■ y D. Salvador Rodríguez Buro.u , alcalde mayor d« . ; Siguen los calores mui fuertes. . ¡ Cuenca. . EN LA IMPRENTA' REAL.</t>
  </si>
  <si>
    <t>Buron, Salvador Rodríguez</t>
  </si>
  <si>
    <t>Salvador Rodríguez Buron</t>
  </si>
  <si>
    <t>s de infantería ae la guardia para refor­ mera instancia, con la misma calidad, D. Boque zar las quatro divisiones que la guarnecían dentro. Noveila, D. Salvador Rodríguez Buron, y Don Todas estas fuerzas reunidas componían una mitad Domingo Jáuregui. EN LA IMPRENTA REAL.</t>
  </si>
  <si>
    <t>Buron, Tomas Rodríguez</t>
  </si>
  <si>
    <t>Tomas Rodríguez Buron</t>
  </si>
  <si>
    <t>. Ramón Labroche........................ 20847 asi al ex-regalar carmelita D. Francisco de la Llana. Ei coaoe de Goendaiain................ . 6949 84 D. Tomas Rodríguez Buron........... 1978 84 P. Pedro García Piailtos................. 100322 84 La real academia de S. Fernando... 237235 3* ItlK*. D. Juan López Gnzman.........…</t>
  </si>
  <si>
    <t>Burr</t>
  </si>
  <si>
    <t>229</t>
  </si>
  <si>
    <t>as noticias que trae de los exércitos del Norte son las mismas que las que habíamos recibido ya por otro conducto. Un diario de Boston refiere que el coronel Burr ha regresado á los Esta­ dos-Unidos , y que se halla en Nueva-Yorck baxo un nombre supuesto. La semana última se han enviado á Morlaix sin cange 51 prisioneros de g…</t>
  </si>
  <si>
    <t>Burtlfo, Josél</t>
  </si>
  <si>
    <t>Josél Burtlfo</t>
  </si>
  <si>
    <t>so Roldan para el de la villa de Vi- ledo, vacante por muerte de D. Tomafe MerltidJ’1 ‘ tigudino, vacante por xnuerte de D. Lorenzo Y al: ex-gerónimo D. Josél- Burtlfo para^óffo Sacchez. beneficio'en encomienda de SrBtas dé ÁlbotñozV A D. Agnstin González para el de Pelabravo,’ en el obispado' de Cúenc3’, vacamé' por falieciv…</t>
  </si>
  <si>
    <t>Bustamante, Antonio</t>
  </si>
  <si>
    <t>Antonio Bustamante</t>
  </si>
  <si>
    <t>r y su es­ posa , id., 9. El teniente D. Agustin de Cárdenas, por 3, 27. D. Claudio Ma­ teo , por uno, 9. D. Francisco Gómez, mientras pueda , id, 9. D. Antonio Bustamante, por 2 durante la guerra, 18. D. Francisco López Gamuza, por «no , 9. D. Pió Miliar, id., 9. D. Martin Domínguez, id. 9. D* Joaquín de Cárdenas, id., 9. I)…</t>
  </si>
  <si>
    <t>Bustamante, José</t>
  </si>
  <si>
    <t>José Bustamante</t>
  </si>
  <si>
    <t>Gazeta de la Regencia de las Españas n.º 151</t>
  </si>
  <si>
    <t>ideas bené­ ficas y liberales , sabiamente adoptadas por el Excmo. Sr. consejero de Estado D. José Ayzinena, nombrado por el Excmo. Sr. presi­ dente D. José Bustamante, para exercer en comisión el mando mi­ litar y político de ella , luego que ocurrieron las primeras conmocio* nes; cuyo exemplo ¿ seguido en la provincia de Le…</t>
  </si>
  <si>
    <t>Bustamante, José Antonio</t>
  </si>
  <si>
    <t>José Antonio Bustamante</t>
  </si>
  <si>
    <t>nes. D. Tomas López , visitador de almacenes, 100. Id. segundo 1). Francisco Erazu , 100. D Bernardo Cerran . guarda, 50. Id. D. Mateo Calero, 41, Id D. José Antonio Bustamante , 41. Id. D. Francisco Luna, 41. Id. D. Juan Bonanza , 41. Jd. D. Francisco Celeueyra, 41, Idem D. Santiago del Aguila, 41. — Almacenes de pólvora. Fi…</t>
  </si>
  <si>
    <t>Bustamante, Juan</t>
  </si>
  <si>
    <t>Juan Bustamante</t>
  </si>
  <si>
    <t>Salvador , comandante de la partida veterana, 10. D. Francisco Zúñiga, vecino de dicha villa, 10. D. José Manuel Herróse, 10. D. Damian Jáuregui, 10. D. Juan Bustamante , 10. D. Agustín Fernandez, 10. D. Francisco Ilervoso , 6. D. Simón Hurtado, 6. D. Narciso Aponte , 6. D. Juan José Herdoyza, 4. D. Andrés Orive , 4. D. J*sé …</t>
  </si>
  <si>
    <t>Bustamante, Ventura</t>
  </si>
  <si>
    <t>Ventura Bustamante</t>
  </si>
  <si>
    <t>dador de la Merced , 50. D. Dio-, go Granados , 20. D. Luis Noli, 10. Teodoro Garóes , 4. Tomas Duarte , 4. D. Manuel Bravo, 5. D. José Florencia, 6. D. Ventura Bustamante, G. Don Pedro Ríos , 10. D. Juan María Morillo , 10. D. Mariano Arcia y Tello, 20. D. José Camilo Morillo, 10. D. Juan..... .. 50. D. Guillermo Gutiérrez, …</t>
  </si>
  <si>
    <t>Bustarnanie, José Mariano</t>
  </si>
  <si>
    <t>José Mariano Bustarnanie</t>
  </si>
  <si>
    <t>D. Manuel de Zumaeta, 50. D. Ignacio Odum; 50. D. Tomas Larrea, 50. D. Joaquín de Arece , 50. D. Francisco González Pavón, 50.— Oficiales amanuenses. D. José Mariano Bustarnanie , 41 y 5. D. Ignacio Talamantes yBaeza,41y5. D. Gregorio Laiseca , 41 y 5. — Contadores de moneém. D. Pedro Vaivevde , 45 y 6 y medio. D. Tiburcio Ro…</t>
  </si>
  <si>
    <t>Bustillo, Rafael</t>
  </si>
  <si>
    <t>Rafael Bustillo</t>
  </si>
  <si>
    <t>Córdoba. 1100 D. Vicente -López Hervís, id en Villacarrillo , provincia de Jaén.......................... 2200 Ex- hospitalarios de S. Juan de Dios. D. Rafael Bustillo, residente en Ecija........ 2200 -D. Josef Je Córdoba , id ................................ 2 ICO D. Vicente Su-zo, residente en Córdoba.. 2200 D. Diego Falcon…</t>
  </si>
  <si>
    <t>Bustos, Patricio</t>
  </si>
  <si>
    <t>Patricio Bustos</t>
  </si>
  <si>
    <t>carne que se les habla encargado cond ucir al par­ tido de Velez. Las bulas estaban impresas en 1810 y firmadas por el comisario general de cruzada, D. Patricio Bustos; y aunque e9te murió hace ya mucho tiempo,*e expresa en las bulas que por delega­ ción suya se han habilitado psra el año de 1812. Alicante 19 de abril. El ber…</t>
  </si>
  <si>
    <t>Butler, Jayme</t>
  </si>
  <si>
    <t>Jayme Butler</t>
  </si>
  <si>
    <t>anguardia, el &lt;Ie la misma clase de la división de caballería D. Manuel Sistemes, los coroneles de Lena , inmemorial del Rey y primero de Catalu­ ña, D. Jayme Butler, D. Felipe Borenguér y D. Antonio Sota; y los sargentos mayores D. José Qulntanilia, y O. Constancio Martí­ nez , que mandaban ios regimientos de Cangas de Tineo…</t>
  </si>
  <si>
    <t>Butrón, José</t>
  </si>
  <si>
    <t>José Butrón</t>
  </si>
  <si>
    <t>Gazeta de la Regencia de las Españas n.º 126</t>
  </si>
  <si>
    <t>1032</t>
  </si>
  <si>
    <t>rtillería del departamento de Andalucía al mariscal de campo D. José Navarro F&amp;Ioon , gefe de escuela del de Cartagena. El teniente de navio retirado D. José Butrón, vecino de Medi­ na Sidonia, ha hecho el donativo de 10 caballos que legró libertar de la rapacidad de los enemigos para el servicio de ia caballería del exército…</t>
  </si>
  <si>
    <t>Buxhouden</t>
  </si>
  <si>
    <t>vo Bennigsen la satisfacción de hacer retroceder á los franceses con gran pérdida, y á no ser porque no llegó á tiempo el socorro que espe-r raba del general Buxhouden, hubiera podido perseguir al enemigo y com­ pletar su victoria; pero la total falta de provisiones y forrage le obligaron á retirarse á Rozow. Retirados ambos …</t>
  </si>
  <si>
    <t>Buzca, Juan</t>
  </si>
  <si>
    <t>Juan Buzca</t>
  </si>
  <si>
    <t>nte Chacón, 30. D. Manu-1 Rodríguez Plaza, 10. D. Mariano Eraso, 2. D. José María Castro, ayudante de Piura , 47 y 2 y medio. Don Antonio Mirón , 10. D. Juan Buzca. 15. J#sé Maria Gainza, 6 D. José Ariza, 6. D. Domingo Pombar, 16. D. Antonio Lardo, 16. D. Ramón Ribero, 10. D. José Juan de Echevarría , 25. D. Juan Midan, 100. …</t>
  </si>
  <si>
    <t>C, Antonio</t>
  </si>
  <si>
    <t>Antonio C</t>
  </si>
  <si>
    <t>Gazeta de la Regencia de las Españas n.º 117</t>
  </si>
  <si>
    <t>ente. — Joaquín de Mosquera y Figueros.—Juan Villavicencio. —Ignacio Rodriguez de Ricas. — El conde del Ahisbal. — En Cádiz á 8 de agosta de 1812. —A D. Antonio C&amp;no Manuel* Circulares del ministerio de hacienda. Ocupado el zelo de la Regencia del reyno en dictar todas las me­ didas que proporcionen ei m* j :r orden y exactit…</t>
  </si>
  <si>
    <t>C, Jivquin</t>
  </si>
  <si>
    <t>Jivquin C</t>
  </si>
  <si>
    <t>Gaceta de Madrid n.º 12</t>
  </si>
  <si>
    <t>onspiradores, y al día siguiente de­ del ilustre cabildo de e.-.ta cuidad la junta ha des­ bían sufrir la misma suerte otros varios. A unos tituido á D. Jivquin C -“ip,.n-!, secretario de guer­ 300 se les ha puesto presos en un castillo ; estado ra y del gobierno, y yer por la noche le han mas cruel que la muerte , pues solo …</t>
  </si>
  <si>
    <t>C, José</t>
  </si>
  <si>
    <t>José C</t>
  </si>
  <si>
    <t>o Latorre, D. Melchor Buba, D. Francisco Alvarez , D. Luis Angel García, O. Pedio Toruno, D Antonio Rosado, D. Ildefon­ so Sierra, D Vicente Herrera, D. José C.uóps, D. Manuel L no, D. Pedro Rueda, D. Santiago B-dhmia , O. José Clemente, D. Jo­ sé Me-reno Muñoz, D. Andrés López, D. Baldomcro Espartero, D. Jo&amp;é Sema , D. Ferna…</t>
  </si>
  <si>
    <t>C, Josef</t>
  </si>
  <si>
    <t>Josef C</t>
  </si>
  <si>
    <t>5 4°° mas luego que acabe de derribarse el templo de Doña María González Moreno............... loboo Santa Eufemia- Esta plaza se adornará con la co­ Doña Josef- C ya'gt por medio de su lima Trajma. marido D Antonio Xhnenez de Eí célebre botánico Nectons ha sido nombrado Muriilo................................................…</t>
  </si>
  <si>
    <t>C, Josef Pascasio de Santa</t>
  </si>
  <si>
    <t>Josef Pascasio de Santa C</t>
  </si>
  <si>
    <t>habiá llegado la nacían: solo se dis­ D. Antonio ViHena , id................................ 2200 curría sobre el modo con que se efectuaría esta mu­ D. Josef Pascasio de Santa C.ur., id. en danza tan indispensable como necesaria. L 1 solem­ Baezi.................................. ...................... 2200 ne renuncia de lo…</t>
  </si>
  <si>
    <t>C, Manuel</t>
  </si>
  <si>
    <t>Manuel C</t>
  </si>
  <si>
    <t>reunidos en el lugar citado, y fueron conduci­ dos con una escolta de 42 caballos les sugetos siguientes : D. Ni­ colás Maestre, D Agustín Moreno, y D. Manuel C^rasa, canónigos de esta santa iglesia; D. Miguel Gutiérrez, campanero de la mis­ ma ; el doctoral de la catedral de Toledo ; un arcediano de la cate­ dral de Salamanc…</t>
  </si>
  <si>
    <t>sé de Xazartc ; de cazadores, á D Julián García Montarroso; y de fusile­ ros, á D. Manuel Ortiz de Villa te, D. Francisco Mendoza, D. Ra­ fael López, D Manuel C &gt;h?.ro y T^gle, D. Andrés Sánchez de Q iros, D. José A nez-aga, D. Manuel'Antoai© de P.;ctido, D, Fraacisco de la Casa y Piedra , D. Joan B/ucíe ta Enea . D. Pedro Ca…</t>
  </si>
  <si>
    <t>C, Oracio Antonio</t>
  </si>
  <si>
    <t>Oracio Antonio C</t>
  </si>
  <si>
    <t>659</t>
  </si>
  <si>
    <t>arques Tomra¿si. Y continuando en e! car­ go de director da su real secretaría de gracia y justicia, negocios eclesiásticos y alta policía el marques D. Oracio Antonio C ippel i, lo ha nombrado S M. ademas para director de la real secretaría de estado y ca^a real. Esta real secretaría de estado y gracia y justicia lo particip…</t>
  </si>
  <si>
    <t>C, Pedro</t>
  </si>
  <si>
    <t>Pedro C</t>
  </si>
  <si>
    <t>. Continúan los donativos del Perú. Oficiales voluntarios de dragones. El capitán D. Juan Ponce, 50 ps. fs. Id. D. Francisco Campuzano, *25. Teniente D. Pedro C onejo , 40. Id. D. Sebas­ tian Baquerizo , 200. Alférez D. Bernabé Cornejo , 25. Cadete D. Manuel de Aviles, 12. — Aventureros del mismo cu rpo. D. Vicente Décima-Vil…</t>
  </si>
  <si>
    <t>C, Strangford</t>
  </si>
  <si>
    <t>Strangford C</t>
  </si>
  <si>
    <t>er : Arthuro Paget, el conde Weliington, J. Ludlow, S. Hood, el conde de Northesk, R. J. Strache-u, A. Cochsane, J. Stuart, P. Francis, H. Barlow, el vizconde Strangford* C. G. Keats, G. Backvith, D. Baird, J. Hope, B. Spencer, lord Co hrane, J. Sherbroch3, W. C. Beresford, T. Graham, S. Auchmuty y H. Wellesiey. El número de …</t>
  </si>
  <si>
    <t>C-drlos</t>
  </si>
  <si>
    <t>al segunda de Soria; O. Bisiiio Roldan y Go* diuez, subteniente agregado al de Africa ; D. Pedro Pirez, cadete del regimiento infantería del infante D. C-drlos; D. José Carlier , y Don Francisco de Paula Piazaola, cadetes y alumnos de la academia mili­ tar de la isla de León ; D. Miguel A fouso Villagomez, cadete de Or­ denes…</t>
  </si>
  <si>
    <t>C-mbronero, Manue María</t>
  </si>
  <si>
    <t>Manue María C-mbronero</t>
  </si>
  <si>
    <t>. Sras. María topez , M.iqucda , Virg y Cabo. Sres. Muñoz , CristiaPor decreto dé 14 del corriente el consejero de ni, Fernandez, Mas y Camas. Estado D. Manue&gt; María C-mbronero h., sido En el de la Cruz, á las quatro de la tarde, se esenombrado director de' la sociedad económica de cutara la comedia titulada la Virtud consist…</t>
  </si>
  <si>
    <t>Ca, Antonio</t>
  </si>
  <si>
    <t>Antonio Ca</t>
  </si>
  <si>
    <t>1003</t>
  </si>
  <si>
    <t>El duque del Infantado. — Joaquín de Mosqueray Figueroa.— Juan Villavicencio. — Ignacio Rodríguez de ¿Uvas. — En Cádiz á 21 de Setiembre de 1812. — A D. Antonio Ca­ no Manuel. ,</t>
  </si>
  <si>
    <t>Ca, Francisco</t>
  </si>
  <si>
    <t>Francisco Ca</t>
  </si>
  <si>
    <t>Verdugo, D. Pedro José Pórtela, D Francis­ co Rodríguez, D. Rosendo Lagoa, D* Xavier Perez Címbrelo y D. Manuel Fernandez; los de ayudantes mayores á D Francisco Ca­ rayaca y D. Juan Bautista Cabaleri; los de tenientes á D. Gregorio Domínguez. D. José Martínez, D. Juan Matalobos, D. Bernardo Mari ño, Id. Manuel Iglesias y Váz…</t>
  </si>
  <si>
    <t>Ca, Ignacio</t>
  </si>
  <si>
    <t>Ignacio Ca</t>
  </si>
  <si>
    <t>ta que á media-dos de setiem­ bre supo que había ya un grueso de consideración,: entonces envió contra ellos al capitán de milicias de aquella costa, D Ignacio Ca­ ro, el cual, habiéndolos visto el 17 de aquel mes reunirse en la al­ tura fronteriza de la en número corno de unos 400, que con las palabras y acciones mas grosera…</t>
  </si>
  <si>
    <t>Ca, Juan</t>
  </si>
  <si>
    <t>Juan Ca</t>
  </si>
  <si>
    <t>Gaceta de Madrid n.º 221</t>
  </si>
  <si>
    <t>a tarde el nombre articulo T. ,, Se formará una comisión (Com­ del Reí de Prusi.i, ó del .nt.¡ue de Yon k. Entre­ puesta de 1&gt;. Martin Antonio Hüici, D. Juan Ca­ gue vmd. a tales bomb.e, á ¡o. mejh. chos para que tante y D. Juan Fr-wcisco Pintado, y encargada jueguen con ellos como con !t s si iniuguiboí , les de vetar sobre …</t>
  </si>
  <si>
    <t>Ca, Nicolás García</t>
  </si>
  <si>
    <t>Nicolás García Ca</t>
  </si>
  <si>
    <t>uciendo el terror y la Canillejas, D. Ignacio María Luzuriaga, D. Ma­ desolación en el seno de todas las familias, y reti­ nuel de Rivacoba y Gorbea, D. Nicolás García Ca­ rándose luego cobardemente á su madriguera al me­ ballero, y al marques de Tolosa. nor asomo de peligro , abandonando á los incautos á quienes han alucinad…</t>
  </si>
  <si>
    <t>Ca, Pedro</t>
  </si>
  <si>
    <t>Pedro Ca</t>
  </si>
  <si>
    <t>o y T^gle, D. Andrés Sánchez de Q iros, D. José A nez-aga, D. Manuel'Antoai© de P.;ctido, D, Fraacisco de la Casa y Piedra , D. Joan B/ucíe ta Enea . D. Pedro Ca­ bero y Tcgle, D. Manuel I). Juan EfznUle, D. Toma? Ugr» te, D. Yícente Navas, D. Manuel Vázquez, D. Tcm&amp;s Rico, D. Ma­ nuel Esteban Martínez , y D. José Santos de A…</t>
  </si>
  <si>
    <t>Ca, Ramón</t>
  </si>
  <si>
    <t>Ramón Ca</t>
  </si>
  <si>
    <t>sido testi­ gos del aprovechamiento, compostura y ayre marcial que se advier­ te en todos los a uamos , y con espec andad en lo? caballeros cade­ tes D. Ramón Ca bete, O. Manuel Montero, D. Miguel Vázquez Vá­ rela, D. Manuel Gil y D. José Saavedra; y en les externos D. Ber­ nardo González, D. Manuel Montero y t), Luis Fociños…</t>
  </si>
  <si>
    <t>Caballero, Isidro Redondo</t>
  </si>
  <si>
    <t>Isidro Redondo Caballero</t>
  </si>
  <si>
    <t>........ 22co Ex-agustinos descalzos. D. Melchor Izquierdo, residente en CucnD. Bernardo Perez, residente en Madrid... 2200 bil................. 22CO D. Isidro Redondo Caballero, id. en Al- D. Pedro Anacleto García , id. en Arqui­ modovar del Campo................... 2200 llos de Sierra-Morena.................. 2200 Bx-trinit…</t>
  </si>
  <si>
    <t>Caballero, Juan Sánchez</t>
  </si>
  <si>
    <t>Juan Sánchez Caballero</t>
  </si>
  <si>
    <t>timo secretario, caridad de lor barrios que existen continuarán ba­ D. Fernando de ia Barcena. ’ jeo ia vigilancia y.dirección de la junta general, y D. Juan Sánchez Caballero. cuidaráa de conocer el número de pobres que ha­ D. Eugenio Lainez. ya en cada uno , .de clasificarlos, y de recoger y distribuir las limosnas , comida…</t>
  </si>
  <si>
    <t>Caballero, Manuel</t>
  </si>
  <si>
    <t>Manuel Caballero</t>
  </si>
  <si>
    <t>iados al general enemigo vol­ Al sargento de la compañía de gendarmería des­ vieron de tu comisión, y entregaron á S. E. un pa­ tinada 4 esta capital D. Manuel Caballero subte­ pel en qne veoian tas condiciones de la capitula­ niente de caballería de línea. ción que aquel proponía; y habiéndose leido y dis­ Al teniente del re…</t>
  </si>
  <si>
    <t>Caballero, Nicolás García</t>
  </si>
  <si>
    <t>Nicolás García Caballero</t>
  </si>
  <si>
    <t>mente, por haber incorporado á la municipalidad los re-* gidores conde de Canillejas, D. Ignacio María de Luzuriaga , D. Manuel de Rivacoba y Gorvea, D. Nicolás García Caballero, y marques de Tolosa, de los quales solo tomaron posesión los dos últimos. El dia 6, tras varios movimientos extraordinarios, el marques de Alinée na…</t>
  </si>
  <si>
    <t>Caballero, Pedro</t>
  </si>
  <si>
    <t>Pedro Caballero</t>
  </si>
  <si>
    <t>Gazeta de la Regencia de las Españas n.º 149</t>
  </si>
  <si>
    <t>1229</t>
  </si>
  <si>
    <t>sición se .aprehendieron varios individuos del pueblo por. sospe­ chosos , y de hecho resultaron presos el mariscal de campo Rr. Don Vicente Ochoa el coronel Pedro Caballero y,otros de inferior gra­ duación éntrelos insurgentes, á quienes en número de 16 mandé pasar por las anuas en la tarde del propio uia»</t>
  </si>
  <si>
    <t>Caballero, Ramón</t>
  </si>
  <si>
    <t>Ramón Caballero</t>
  </si>
  <si>
    <t>Fuster, 15. ]), Antonio Pcrez , 10. I). Julián de Herrera, 100. D. Juan Calderón , 50. D. Domingo Miranda,’ 25. D. Francisco Antonio de Taegui , 50. D. Ramón Caballero , 25. D. José do ílercsa , 50. D. Silvestre Pon ce de León , 25. D. Francisco González, 50. D. Simón Muñoz, 25. D. Manuel Miranda, 12. D. José María Viso, 25. …</t>
  </si>
  <si>
    <t>Caballero, Vicente</t>
  </si>
  <si>
    <t>Vicente Caballero</t>
  </si>
  <si>
    <t>lfonso Mejorada,. 100. TX José González, 12. D. Jo­ sé Baldisan, 25. D. José Gregorio de la Mata, 10. D.Felipe Sánchez, 1 y 4. Don Manuel Marín , 16. D. Vicente Caballero, 2. Doña Antonia Cárdenas, 2. Doña Encarnación Carrillo, 2. Doña Manuela Carrillo, 2. D. Marcelo Aravnbulo, 2. IX Manuel Mtrabal, 3. D., Cipriano Mirabal, 4…</t>
  </si>
  <si>
    <t>Cabañas, Bonifacio</t>
  </si>
  <si>
    <t>Bonifacio Cabañas</t>
  </si>
  <si>
    <t>nco. D. Jnlian Caín pe lo. Diputadas seculares Diputados seculares D. Tomas San* de Xbarrola. D. Gerónimo’Marrazi, D. Francisco Alvares de Santullar. D. Bonifacio Cabañas;. D. Fausto Blanco. Secretario Secretario D. Bernardo Casio. D. Antonio Villaducva. BARRIO DB XAS MONJAS DE TINTO, SARRIO Z&gt;S SAN PLACIO». Alcalde de barrio…</t>
  </si>
  <si>
    <t>Cabarrus, Bartolomé</t>
  </si>
  <si>
    <t>Bartolomé Cabarrus</t>
  </si>
  <si>
    <t>lgu­ nos heridos, de los que murió uno en el camino, y otro, que es sar­ gento , está para morirse en el hospital. Del 22. JEl dia 16 llegó de Madrid D. Bartolomé Cabarrus en un coche , y salió el 17 para Mora escoltado por 200 hombres , que vol­ vieron el 18. Los criados de Cabarrus dicen que su via^e es á Mála­ ga á recoger…</t>
  </si>
  <si>
    <t>Cabero, Vicente María</t>
  </si>
  <si>
    <t>Vicente María Cabero</t>
  </si>
  <si>
    <t>el orden siguiente. Regente. EL Sr. D. Josef Vaca de Guzinan. Ministros. Sr. D. Francisco Alfonso de Tuero. = Sr. D. Ildefonso Cres­ po Mayor. = Sr. D. Vicente María Cabero. = Sr.- D. Francisco Cándido Paz. = Sr. D. Ramón Satue. =Sr. D. Josef García de la Torre. = Sr. D. Ra­ món Macia Lleopat. = Sr. D. Manuel Lartiga. = $r. D…</t>
  </si>
  <si>
    <t>Cabre, Francisco</t>
  </si>
  <si>
    <t>Francisco Cabre</t>
  </si>
  <si>
    <t>cer particular mención del bizarro bri­ gadier D. J uan Downie, que fué herido y prisionero, como del ca­ pitán de ia compañía de cazadores de Guadix D. Francisco Cabre­ ra ; del subteniente de dicho cuirpo D. Juan Quijana , y del de la le­ gión ligera de caballería dni Condado D. Simón Rodríguez, que igualmente fueron herido…</t>
  </si>
  <si>
    <t>Cabrejos, Santos</t>
  </si>
  <si>
    <t>Santos Cabrejos</t>
  </si>
  <si>
    <t>6. El capitán D. Bartolomé Celis, 2. Id. D. José Chavarría, 17. El ayudante mayor D. Baltasar Muro , 12. El teniente D. Francisco Ren­ teros, G. Id. D. Santos Cabrejos, 12. Id. D. Bartolomé Dapelo r6. Id. D. Eulalio Guzman , 4. El alférez D. José Manuel Muro, 12. Id. D. José Ledesma, 2. Id. D. Jacinto Quesada, 6, Id. D. Franc…</t>
  </si>
  <si>
    <t>Cabrera</t>
  </si>
  <si>
    <t>imiento que hizo desde Ga­ licia el general Abadía. Creo que intentaba atacar á Astorga ; pero se retiró á Viliafrauca á principios de este mes, y el general Cabrera que se habla adelantado hasta Labañeza, retrocedió á la Puebla de Sanabria, por hallarse el enemigo en Beuavente con muchas fuerzas, infiero que la derecha del e…</t>
  </si>
  <si>
    <t>S54vseJía para P-jríogal, por babor éntralo en ella el general Cabrera con £¥¡ di/ido i. La enemiga de Bjauet se halla en Paont-.? Orbigo, después de h&gt;b:?r evacuado el principado de Asturias , abandonan jo eu el puerto de Poj.-yes, por razón, ¿o la mucha nieve, su artillería,</t>
  </si>
  <si>
    <t>854</t>
  </si>
  <si>
    <t>ronel Sir Iloward Do ligias sé que el general-Santocildes ha dexado 8000 hombres para seguir el si­ tio de Astorga, y se ha reunido á la división del general Cabrera, que estaba en -Remírente , con 3000, y qae el total en numero de 7000 nombres viene marchando á lo largo del Ezla hacía ei Duero. Tengo la hunra de ser 3tc.— Fi…</t>
  </si>
  <si>
    <t>Cabrera, Blas</t>
  </si>
  <si>
    <t>Blas Cabrera</t>
  </si>
  <si>
    <t>osme Martínez , 8. D. Manuel Muelle, 8. D. José María Murga , 8. D. Antonio Urrutia , 8. D. Manuel Rio, 8. D. Luis Gamio , 8, JD. Mariano Albiuri, 8. D. Blas Cabrera, 8.1). Francisco Delgado, 8. Don Manuel Herrera , 6. D. José Amezaga , 35. D. Francisco León , 5. D. Ma­ nuel León, D. Diego Noriega , 8. D. Juan de üfeían, 8. D…</t>
  </si>
  <si>
    <t>Cabrera, Fernando</t>
  </si>
  <si>
    <t>Fernando Cabrera</t>
  </si>
  <si>
    <t>............ 2200 D. Andrés de Villacueva , residente cu AlD. Miguel del Rincón,.id............................ 2200 caracejos.................. 22CO D. Fernando Cabrera, id.............................. 2200 D. Juan Eulogio Rodríguez, subdiáconp, D. Martiu Josef López , id......................... 2200 idem...... ...........…</t>
  </si>
  <si>
    <t>Cabrera, Juan Vázquez</t>
  </si>
  <si>
    <t>Juan Vázquez Cabrera</t>
  </si>
  <si>
    <t>nemigos la pérdida de un capitán y varios soldados muertos, con muchos heridos, resultando por nuestra parte, la del mismo co­ mandante de la columna D. Juan Vázquez Cabrera, y del teniente de cazadores de Zaragoza D. Antonio Moreno Navarro, con un sar­ gento y 6 soldados prisioneros, el subteniente de granaderos de Moadoñedo…</t>
  </si>
  <si>
    <t>Cabriaga, Tadeo Rodríguez</t>
  </si>
  <si>
    <t>Tadeo Rodríguez Cabriaga</t>
  </si>
  <si>
    <t>oXerez... 2200 tin de Valdeiglesias.......................... 2200 Ex-agustinas recoletas. Ex-premostratense. Doña María Xaviera de Vinuesa, residen­ D. Tadeo Rodríguez Cabriaga, residente te en Logroño................ ........................... 2200 en Madrid.......................................... 2200 Doña Francisca de …</t>
  </si>
  <si>
    <t>Cacado, Francisco</t>
  </si>
  <si>
    <t>Francisco Cacado</t>
  </si>
  <si>
    <t>residente en Córdoba.... 2200 D. Josef de Arroyo, id. en Sanraella.......... 2200 D. Rafael Serrano, id........................................ 2299 D. Francisco Cacado , id........ ................ 2200 D. Pedro Serrano, id......................... . 220O D. Juan de Hita, residente en Cañete de D. Rafael Perez y Carredas , i…</t>
  </si>
  <si>
    <t>Cáceres, Antonio</t>
  </si>
  <si>
    <t>Antonio Cáceres</t>
  </si>
  <si>
    <t>de presas del minis­ dre de D. Juan Fra ncisco,..,........ 924 terio de Mirina............................... 23465 D. Francisco García del Riego, y D. Antonio Cáceres, por medio ds en su nombre el mismo D. Juan su apoderado D. Celedonio de Vicente Perez.............................. 1848 Lope.................................…</t>
  </si>
  <si>
    <t>Cadabal, José</t>
  </si>
  <si>
    <t>José Cadabal</t>
  </si>
  <si>
    <t>que podían, serle de mucha utilidad. Al ir yo á emprender mi marcha á ocupar las flechas, recibí orden de V. E., comunicada por su ayudanta de campo D. José Cadabal, para que regresase yo con el batallón de la Corona á Cuarte sin pérdida de momento, lo que efectué, diciéndole avisase á Y. E. quedaban los 2 obuses á la órden d…</t>
  </si>
  <si>
    <t>Cadenas, José</t>
  </si>
  <si>
    <t>José Cadenas</t>
  </si>
  <si>
    <t>ia del reyno se ha servido promover á subtenientes en el cuerpo de artillería á los caballeros cadetes D. Manuel Gutiérrez Rastillos, D. José Venene, D. José Cadenas, D. Miguel E razquio, D. Francisco Ovando, D. R^mon Lavandeyrs, D. Lázaro Viílasante, D. Francisco Leoni, D. Francisco Torrado, D. Joaquín Pczusla, D. Mariano Az…</t>
  </si>
  <si>
    <t>Cadogan</t>
  </si>
  <si>
    <t>aban. se hubiera podido hacer el a&gt;jue ántes-de amanecer, el re­ gimienta 92, á las órdenes del teniente coronel Cameron,y ei resto deí 71, á las del teniente coronel Cadogan, hubieran escalado y des­ truido la cabeza de puente al mismo tiempo que ge hacia el ataque contra elfuejte Na peleen. ,,La imposibilidad de avanzar les…</t>
  </si>
  <si>
    <t>Cadrana, Ignacio González</t>
  </si>
  <si>
    <t>Ignacio González Cadrana</t>
  </si>
  <si>
    <t>por sí y su hijo el cadete D. Lucas José , por uno , 9. El comisario ordenador D. Francisco de Isla por uno , 9. Doña María Dolores Orue por uno , 9. D. Ignacio González Cadrana por uno , 9, Doña Blanca Resentí por uno, 9. D. Braulio D ego de Vivanco , oficial roal honorario, por uno , 9. D. Nicolás Fernandez por 2,18. D. Lúe…</t>
  </si>
  <si>
    <t>Caediza</t>
  </si>
  <si>
    <t>41</t>
  </si>
  <si>
    <t>u rendición c\vValenoia. nas cartas de las fronteras turcas anuncian que las tropas rusas habían evacuado á Belgrado, y se ha­ Extracto del parte del general Caediza bal , co­ bían alejado del Danubio. Tambieo se dice que mandante cíe la primera división del cuerpo Czerni- Jorge quería someterse á la Puerta, si esta de exérci…</t>
  </si>
  <si>
    <t>Caella, Jacinto López</t>
  </si>
  <si>
    <t>Jacinto López Caella</t>
  </si>
  <si>
    <t>esde la mina del imperio de Oriente hasta nues­ Normella..................................... 4200 tros dias, ha propuesto con este ño las siguientes D. Jacinto López Caella, por cuestiones, exigiendo al mismo tiempo que siem­ medio de su apoderado D. To­ pre qae se hable de hechos históricos en las me» mas López.............…</t>
  </si>
  <si>
    <t>Cafarelli</t>
  </si>
  <si>
    <t>39</t>
  </si>
  <si>
    <t>rineos, estaban muy descontentos y aun inquietos, con motivo de la cons­ cripción pedida últimamente. Los franceses recibieron ayer noticia de que el general Cafarelli había entrado en Pamplona con su división, compuesta de 3500 infantes y 400 caballas , y que ya habían salido tropas á ocupar los puntos de Estella, Puente de …</t>
  </si>
  <si>
    <t>Gaceta de Madrid n.º 253</t>
  </si>
  <si>
    <t>1017</t>
  </si>
  <si>
    <t>t:‘if¿i:ségdif su marcha qüando se acercase Las gázctaS'ael eflemigó llamdrotí¡; htoida á esto el REI. ... . • movimiento del exército del centro. El general Cafarelli ha vuelto por Burgos á to­ ¿ Y cómo llamaremos ahora la retirada del lord mar los acantonamientos acostumbrados, trayéndo­ Well.ingtop.á Portugal ? se consigo …</t>
  </si>
  <si>
    <t>CafF</t>
  </si>
  <si>
    <t>877</t>
  </si>
  <si>
    <t>dalegui, en donde refsizados con los que iban saliendo de Vidotia , se hicieroa fuertes. A la novedad de los primeros tiros te consternó Vitoria : su gobernador CafF&amp;reli y general ea gefe , perdido el co­ lor montó á caballo, y recorriendo las calles , obligaba á todos sus soldados á salir al campo ; Thouvenot visitaba los b…</t>
  </si>
  <si>
    <t>CafF, Julián</t>
  </si>
  <si>
    <t>Julián CafF</t>
  </si>
  <si>
    <t>e la» posiciones dei enemigo, roendé en la madrugada dei £7 á los mandantes de compañías D. Narciso Iglesias, que lo es de la primera de cazadores, y D. Julián CafF* de la seguuda de fusileros, y D. Cristóbal Bdxuial y D. Fian cisco Cormi-</t>
  </si>
  <si>
    <t>CafFarelli</t>
  </si>
  <si>
    <t>9 piezas de artillería, y la de 3 generales muertos y otros 3 he­ ridos (1), adeihas del mismo mariscal. Se queja amargamente del procedi­ miento del general CafFarelli, comandante del exército del norte , por no ha­ berle enviado los socorros que le tenia prometido del modo mas solemne, ni á lo menos hizo alguno de los movim…</t>
  </si>
  <si>
    <t>Caffarellí</t>
  </si>
  <si>
    <t>Gazeta de la Regencia de las Españas n.º 164</t>
  </si>
  <si>
    <t>1546</t>
  </si>
  <si>
    <t>ber perdido el camino , cayó prisionero. ,,Con fecha de 7 comuniqué á V. E. mi opinión en cuanto á las fuerzas del enemigo ; pero después supe que el general Caffarellí se Labia reunido con el exército de Portugal; por tanto r todas sus fuer­ zas disponibles en España estaban sobre et-Tormes á mediados d«: e9te mes, y ciertam…</t>
  </si>
  <si>
    <t>Caffarelli</t>
  </si>
  <si>
    <t>l punto, fueron solo 1000 hombres que desde Burgos se acercaron á Beynosa en busca de ganado, y parece son de los feOQO que llegaron á Vitoria con el general Caffarelli. Alicante 12 de Diciembre. El exército combinado que se halla en esta provincia se ha hecho tan respetable que causa el mayor cuidado é inquietud al enemigo, …</t>
  </si>
  <si>
    <t>Caffaxelli</t>
  </si>
  <si>
    <t>n buen orden por las alturas, entre las cuales corre dicho rio, y que vienen á con­ currir á la misma ciudad , donde la nochs del 16 habla llegado el general Caffaxelli con una escolta de300 hombres, ¿exaudo 6000 conscriptos nuevamente llegados en Bribiesca, á cuyo punto *&amp; en­ caminó todo el exército del enemigo la mañana de…</t>
  </si>
  <si>
    <t>CaíeUc, Francisco Rodríguez</t>
  </si>
  <si>
    <t>Francisco Rodríguez CaíeUc</t>
  </si>
  <si>
    <t>Gazeta de la Regencia de las Españas n.º 170</t>
  </si>
  <si>
    <t>sidente y uno de sus secretarios ; salieron electos , para presidente el Sr. D. Francisco Ciscar, diputado per Valencia; para rice-presiden­ te el Sr D. Francisco Rodríguez CaíeUc , diputado por Asturias; y para .secretario el Sr. D. Jes6 María Couto. diputado por Nueva» España. La Regencia del reyno s* ha servido expedir el …</t>
  </si>
  <si>
    <t>Caiicja, Joaquín Díaz</t>
  </si>
  <si>
    <t>Joaquín Díaz Caiicja</t>
  </si>
  <si>
    <t>Gazeta de la Regencia de las Españas n.º 25</t>
  </si>
  <si>
    <t>por la ciudad de Teruel: para vice-presidente el Sr. D. Juan do Valle , diputado propietario por el principado de Cataluña ; y para secretario el Sr. D. Joaquín Díaz Caiicja, diputado propietario por la provincia de León. CADIZ : EN LA IMPRENTA REAI.j.</t>
  </si>
  <si>
    <t>Caillard, Juan</t>
  </si>
  <si>
    <t>Juan Caillard</t>
  </si>
  <si>
    <t>............ 5 4i 17 ta y seis mil trescientos y cinco reales y diez ma­ D. Andrés Gilabert............................... 3429 17 ravedís de vellón. D. Juan Caillard.................................... 2346 17 art, ir. Se entregarán i esto* interesados lat D. Rafael Yarza............ 8t2 8f cédulas hipotecarias correspondien…</t>
  </si>
  <si>
    <t>Caín, Jnlian</t>
  </si>
  <si>
    <t>Jnlian Caín</t>
  </si>
  <si>
    <t>DiputAdo eclesiástico Diputado eclesiástico D. Fermín Blanco. D. Jnlian Caín pe lo. Diputadas seculares Diputados seculares D. Tomas San* de Xbarrola. D. Gerónimo’Marrazi, D. Francisco Alvares de Santullar. D. Bonifacio Cabañas;. D. Fausto Blanco. Secretario Secretario D.</t>
  </si>
  <si>
    <t>Cainacho, Juan Antonio</t>
  </si>
  <si>
    <t>Juan Antonio Cainacho</t>
  </si>
  <si>
    <t>de Sta. Catalina , G. D. J uíian Valdivia , 3. D. Tomas Palacios, 1. D. Fernando Bao Calderón , 1. 1). José Antonio Martínez, 1. D. Tomas Castro , l. D. Juan Antonio Cainacho , 1. D. Luis Alfonso , capellán de Sta. Rosa , 2. D. Bernabé de Tamarjcia, 25. D. Manuel Concha,!. D. Gabriel Oroviogoitia, 6. D. Manuel de la Daga , 10…</t>
  </si>
  <si>
    <t>Caitañazor, Joan Crisóstomo García</t>
  </si>
  <si>
    <t>Joan Crisóstomo García Caitañazor</t>
  </si>
  <si>
    <t>nación del pueblo contra los ingleses, y hacer que fallecimiento de D. Juan Bautista Ezpeleta. mire con indiferencia las vigorosas providencias de A D. Joan Crisóstomo García Caitañazor, nuestro gobierno.” presbítero , ex- trinitario descalzo para una ca­ Otra carta de la misma ciudad dice que el ban^ pellanía de coro de la s…</t>
  </si>
  <si>
    <t>Caitos, Pedro</t>
  </si>
  <si>
    <t>Pedro Caitos</t>
  </si>
  <si>
    <t>jo el 4 de noviembre próximo- pasado en Rio Janeyro, la se­ renísima señora princesa Doña María Teresa, esposa del serenísimo señor infante de España D. Pedro Caitos: las luminarias fueron magníficas, y continuaron las des noches siguieñtes. Las cartas del Aientejo refieren que los franceses meten en Ba­ dajoz cuantos manteni…</t>
  </si>
  <si>
    <t>Caiveton, Antonio María</t>
  </si>
  <si>
    <t>Antonio María Caiveton</t>
  </si>
  <si>
    <t>era compañía del primero de Vizcaya , mand&amp;da por el espi­ tan del segundo de Iberia , ayudante de campo del comandante general de la misma división, D. Antonio María Caiveton ( que cen asuercia de su general te hallaba acompañándome), y 25 hú­ sares de Ríoja ccn el subteniente D. Pedro Barrutia. EÍ grueso de los batallones i…</t>
  </si>
  <si>
    <t>CaJano, Juan Serra</t>
  </si>
  <si>
    <t>Juan Serra CaJano</t>
  </si>
  <si>
    <t>a y Alba, jooo La colana mandada por el comandante de es- La Hxcma. Sra. marquesa de Ariz... 50o quadron Piessen , y el capitán de la compañía da Sr. D. Juan Serra CaJano...................... loo cazadores de mont ña D. Nicolás VilLgarcía , ha Sr- D. Henrique Serradle................ 300 hecho prisionero el dia ai en Tamajon…</t>
  </si>
  <si>
    <t>Cal, Ignacio</t>
  </si>
  <si>
    <t>Ignacio Cal</t>
  </si>
  <si>
    <t>a ayudantía del primer batallón á D. Juan de Palma; tenen­ cias, de granaderos á D. Bartolomé Carvajal, y de fusileros á Don Juan González de Caldas, D. Ignacio Cal?o, D. Alexandro de ios Reyes , D José Viangui, D. Ambrosio Agustín, D. José de los Ríos y D. Manuel Aivarez de Navia; subtenencia de granaderos á D. José: Gonzále…</t>
  </si>
  <si>
    <t>Calado, Ramón</t>
  </si>
  <si>
    <t>Ramón Calado</t>
  </si>
  <si>
    <t>Gordo Arce , id. del valle de D. FranciscoAguileras, id. de Solares.......... 2200 Toraozó......¡.2::..;...:..............................*•••• 2200 D. Ramón Calado l^orrilia, id. de Ca- D. Manuel Lienzo ¿ id. de Santander......... 2200 margo................. ...................... ...................... 2200 D. Lorenzo de Ce…</t>
  </si>
  <si>
    <t>Calahorra, Antonio</t>
  </si>
  <si>
    <t>Antonio Calahorra</t>
  </si>
  <si>
    <t>Relación de los individuos de esta división que se distinguieron asal­ tando Jos primeros la plaza de Soria. „ Batallón de Numantinos. Ei subteniente D. Antonio Calahorra. El sargento segundo Juan Rubio. Los cabos primeros Antonio Ro­ mano y Ruperto Sanz. Los soldados Francisco García, Vicente An­ drés y Angel Jsyme. Ligero d…</t>
  </si>
  <si>
    <t>el batallón de Rioja, fueron los primeros que entraron en la plaza. Murcia recomienda á todos los individuos de su compañía , y nombra al subteniente D. Antonio Calahorra y cadete D. Fran­ cisco Martínez, de la de Numantinos , que estuvo á sus órdenes. Los enemigos tuvieron muchos muertos y heridos, con especialidad á las inm…</t>
  </si>
  <si>
    <t>Calaut</t>
  </si>
  <si>
    <t>.din llego por mi espalda, y al momento deseaba ocupar. Todos han cumplido con su deber. di las cii' pos i iones necesarias para tomar la posición El general Calaut y el marques de Guil.ino, mis del enemigo. Mandé atacar á las divi iones de los edecanes, han sido heridos. Dirigiré al estado ma­ Genera!;'; t tu din y Razout, y…</t>
  </si>
  <si>
    <t>Calbelo, Angel</t>
  </si>
  <si>
    <t>Angel Calbelo</t>
  </si>
  <si>
    <t>D. Francisco Lacón*.... Idem 2.a . . D. Pedro G jrae* de la Pena D. Anselmo May té...... '-"•¡.'Sr:: D. Gerónimo Media?......... &gt;• 7 • 8 abteniente D. Angel Calbelo.............. Otro . . . . D. G maro Vinaeía.............. O iro.. . . . D. José Ginuz Amigo.... J. /i i. . i Canitan. . . O. P edro Pierrs. 0 1 • Galicia. .d „ …</t>
  </si>
  <si>
    <t>Caldero, Miguel</t>
  </si>
  <si>
    <t>Miguel Caldero</t>
  </si>
  <si>
    <t>D. Domingo DutarL El Sr. D. Lúeas de Carranza. El Sr. D. Saturio Cantabrana. El Sr. D. Mariano de Villodas. El Sr. D. Joaquín García Domeneeh. El Sr. D. Miguel Caldero» de la fiafftfc</t>
  </si>
  <si>
    <t>Calderón, Andrés Alvarez</t>
  </si>
  <si>
    <t>Andrés Alvarez Calderón</t>
  </si>
  <si>
    <t>o, durante la guerra, 9 ps. fs. mensuales. D. Gonzalo Luis Alfonso, por 6 en un año y des­ pués 3 , á reserva de aumentar los que pueda, 54. Él oidor D. Andrés Alvarez Calderón, por 2 (durante sn año) 18. D. Francisco Ajuria, por 2, durante un año, y en adelante por «no, 18. D. Juan de la Sierra, por uno (un año) 9. D. Franci…</t>
  </si>
  <si>
    <t>Calderón, Antonio Gómez</t>
  </si>
  <si>
    <t>Antonio Gómez Calderón</t>
  </si>
  <si>
    <t>da de esta eorte. El Sr. marques de Iturbieta, alcalde primero de esta villa. El Sr. D. Pedro Sainz de Baranda, regidor subdecano de la misma. El Sr. D. Antonio Gómez Calderón, procurador síndico general primera de ella. El Sr. D. Pantaleon Beramen-^ Como hombres buenos, vecinos de la di. \ provincia, elegidos por la junta mi…</t>
  </si>
  <si>
    <t>Calderón, Antonio González</t>
  </si>
  <si>
    <t>Antonio González Calderón</t>
  </si>
  <si>
    <t>54 Procuradores síndicos generales. El Sr. D. Antonio González Calderón. El Sr. D. Juan Ramón Matute. Secretario de Ayuntamiento. El Sr. D. Angel González Barreyro. Señores regidores comisarios de ios altárteles en que está dividido Madrid. Quartel de S. Isidro</t>
  </si>
  <si>
    <t>Calderón, Domingo</t>
  </si>
  <si>
    <t>Domingo Calderón</t>
  </si>
  <si>
    <t>e Ja ciudad de Carmona su patria, que quedaron sin apoyo de resultas de la batalla de Andujar , y otras á que han concurrido aquellos vecinos, 10000. D. Domingo Calderón , capellán de la Cárcel de Corte, 25. — Recibidos de Guayaquil. El gobernador D. Bariolomé Cucalón , 500. El ministro tesorero D. Luis de Ariza, 100. El cont…</t>
  </si>
  <si>
    <t>Calderón, Fernando Bao</t>
  </si>
  <si>
    <t>Fernando Bao Calderón</t>
  </si>
  <si>
    <t>yague , 1. D. Mariano de León , G. D. Cayetano 'Forres , capellán del monasterio de Sta. Catalina , G. D. J uíian Valdivia , 3. D. Tomas Palacios, 1. D. Fernando Bao Calderón , 1. 1). José Antonio Martínez, 1. D. Tomas Castro , l. D. Juan Antonio Cainacho , 1. D. Luis Alfonso , capellán de Sta. Rosa , 2. D. Bernabé de Tamarjc…</t>
  </si>
  <si>
    <t>Calderón, Juan</t>
  </si>
  <si>
    <t>Juan Calderón</t>
  </si>
  <si>
    <t>í y su madre , 50. I). .Manuel Varela, 25. D. Dá­ maso Huidobro , 50. D. José Antonio Fuster, 15. ]), Antonio Pcrez , 10. I). Julián de Herrera, 100. D. Juan Calderón , 50. D. Domingo Miranda,’ 25. D. Francisco Antonio de Taegui , 50. D. Ramón Caballero , 25. D. José do ílercsa , 50. D. Silvestre Pon ce de León , 25. D. Franc…</t>
  </si>
  <si>
    <t>Calderón, Miguel</t>
  </si>
  <si>
    <t>Miguel Calderón</t>
  </si>
  <si>
    <t>seculares D..................... vacante. D. Andrés dei Peral. Diputados seculares D. Ramón Ballesteros. ! D. Lorenzo A raín.yo.'D. Gregorio Espala. D. Miguel Calderón. Secretario Secretario D. Manuel Arce. D. Francisco Marchámalo. BARRIO DEL AMOR D« DIOS* BARRIO BE SAN PASCUAL. Alcalde de barrio Alcalde de barrio D. Fraacisc…</t>
  </si>
  <si>
    <t>Calderón, Tomas González</t>
  </si>
  <si>
    <t>Tomas González Calderón</t>
  </si>
  <si>
    <t>on los sueldos, goces y demas que ccrao á tales secreta­ rios de estado y del despacho corresponde. Pero hallándose ausentes el marque» de Casa Lujo, D. Tomas González Calderón, D. Luis María Salazar y D. Francisco Xavier Abadía, deberán quedar exerciendo durante su respectiva ausencia, D. Ignacio de.la Pezuela el destino que…</t>
  </si>
  <si>
    <t>Calero, Andrés</t>
  </si>
  <si>
    <t>Andrés Calero</t>
  </si>
  <si>
    <t>D. Camilo” Mon­ tes , escribiente de la. administración , 12 y 4. D. Francisco Calero , id. de 1*. contaduría , 25. D. Martin Tallo , archivero , 25. D. Andrés Calero , escriba­ no del ramo , 33 y 2 y medio. D. Feliciano Salas , cobrador , 6 y 2. I). Fran­ cisco Fiorcs, oficial de expedientes y procurador del ramo , 10 y 3. (…</t>
  </si>
  <si>
    <t>José Mariano Arris , 41 y 5. D. Juan Zapatiu. 41 y 5. D. Julián Sarmiento , 41 y 5. D.' Juan Cosío , 41 y 5. D. Alexapdro Morales, agregado, 39 y 6. D. Andrés Calero, escribano de cámara, 133 y 2 y medio. D. José María Varela, archivero , 06 y 5. D. Pedro Noel, por­ tero, 25. El coronel y demas gefés, oficiales y soldados del…</t>
  </si>
  <si>
    <t>Calero, Francisco</t>
  </si>
  <si>
    <t>Francisco Calero</t>
  </si>
  <si>
    <t>de la administración, 12 y 4. D. Fidel Hontañon , cuarto de la contaduría , 37 y 4. D. Camilo” Mon­ tes , escribiente de la. administración , 12 y 4. D. Francisco Calero , id. de 1*. contaduría , 25. D. Martin Tallo , archivero , 25. D. Andrés Calero , escriba­ no del ramo , 33 y 2 y medio. D. Feliciano Salas , cobrador , 6 y…</t>
  </si>
  <si>
    <t>Calero, Juan Manuel</t>
  </si>
  <si>
    <t>Juan Manuel Calero</t>
  </si>
  <si>
    <t>los cuerpos del segundo y tercer exército, á D. Juan Vela, D. Juan Mozas, D. Josef Carrasco, D. Diego Perez, D. León Gordo, Don Josef González Yuste, D. Juan Manuel Calero, D. Calixto Rodríguez, Don Ildefonso Ruiz, D. Agustín Lázaro, D. Juan Burguillos, D. Santiago López Ruiz, D. Pedro Fernandez, D. Josef Muela, D. Josef Mafi…</t>
  </si>
  <si>
    <t>Calero, Juan Marmol</t>
  </si>
  <si>
    <t>Juan Marmol Calero</t>
  </si>
  <si>
    <t>á los cuerpos del segundo y tercer exército á D. Juan Vela, D. Juan Mozas, D. José Carrasco, D. Diego Perez, Don León Gordo, D. José González Yuste, D. Juan Marmol Calero, Don Calixto Rodríguez, D. Ildefonso Rulz, D. Agustín Lázaro, D. Juan Biirguiilos, D. Santiago López Ruiz, D. Pedro Fernandez, D.'José Muela , D. José María…</t>
  </si>
  <si>
    <t>Calero, Mateo</t>
  </si>
  <si>
    <t>Mateo Calero</t>
  </si>
  <si>
    <t>de vista y administraciones. D. Tomas López , visitador de almacenes, 100. Id. segundo 1). Francisco Erazu , 100. D Bernardo Cerran . guarda, 50. Id. D. Mateo Calero, 41, Id D. José Antonio Bustamante , 41. Id. D. Francisco Luna, 41. Id. D. Juan Bonanza , 41. Jd. D. Francisco Celeueyra, 41, Idem D. Santiago del Aguila, 41. — …</t>
  </si>
  <si>
    <t>Calhcart</t>
  </si>
  <si>
    <t>ICIEMBRE DE 1812, GUAN-BRETANA. Londres II efe Noviembre. En gacela* extraordinaria de este día se ha publicado el slguieny te oficio dirigido por el vizconde Calhcart, embaxador extraordinario y plenipotenciario de S. M. en Petersburgo al vizconde Castlereagh, secretario de Estado. Petersburgo 27 de Octubre. ,,Tengo !a honra…</t>
  </si>
  <si>
    <t>Calieron, Luis</t>
  </si>
  <si>
    <t>Luis Calieron</t>
  </si>
  <si>
    <t>io, D. Francisco Ovando, D. R^mon Lavandeyrs, D. Lázaro Viílasante, D. Francisco Leoni, D. Francisco Torrado, D. Joaquín Pczusla, D. Mariano Aznarez, D. Luis Calieron, D. José Salomón y D. Juan Arnaiz ; en atención á la aplicación , aprovechamiento y bue­ na conducta que han manifestado en el colegio milt¿¿r de artillería. Av…</t>
  </si>
  <si>
    <t>Calleja</t>
  </si>
  <si>
    <t>gosto , una cuadrilla de 3 á 4000 rebeldes , af man­ do de los cabecillas llamos y OropeSa, entraron renda, v-i lia dé Aguascalientes ; por lo que el general Calleja destacó inmediatamente con­ tra ellos la división del coronel D. Diego García Conde, de lo cual, noticiosos los rebelde s , mudaron su posición, apoderándose par…</t>
  </si>
  <si>
    <t>213</t>
  </si>
  <si>
    <t>ado allí una junta en nombre de nuestro amado monarea Fernando vn, de la que se dice presideute el mismo Rayón: lo cual luego que llegó á noticia del general Calleja, circuló las órdenes convenientes , para que no pudiesen alucinar á nadie con estas imposturas, y redobló sus esfuer­ zos, para impedir que la esparciesen por lo…</t>
  </si>
  <si>
    <t>Calleja, Félix</t>
  </si>
  <si>
    <t>Félix Calleja</t>
  </si>
  <si>
    <t>gefes revoltosos, que escaparon á «ña de caballo. Esta noticia puede influir mucho á los sucesos de NuevaEspaña, para donde dicen está nombrado virey D. Félix Calleja, sugeto de mucho mérito. Al trib unal de secuestros y conñscos se ha comunicado por el limo. Señor Gefe civii y político D. Antonio Ignacio de Cortabarría la in…</t>
  </si>
  <si>
    <t>Callejts, Alfonso</t>
  </si>
  <si>
    <t>Alfonso Callejts</t>
  </si>
  <si>
    <t>P.ula Hidalgo, id............. 2200 D. S’tnon Oriiz y B-lrran, id...................... 2200 D. P,dro P tieto, residente en RambL....... 2200 TEATRO. D. Alfonso Callejts, id...,............................... 2200 En el de la Cruz , á las ocho de la noche , se eje­ D. Francisco Toüarate , id........... ................. 2200 …</t>
  </si>
  <si>
    <t>Calonge, Jnsef María</t>
  </si>
  <si>
    <t>Jnsef María Calonge</t>
  </si>
  <si>
    <t>art. II, Se entregarán á estos interesados las D. Antonio Saracbaga...................... 2075 *í4 cédulas hipotecarias correspondientes, con arreglo D. Jnsef María Calonge................... 90 84 al artícuio 111 da nuestro real decreto de 9 de ju­ D. Antonio de Torres.................... 90 Sí- nio de 1809. D. Pablo Coma...…</t>
  </si>
  <si>
    <t>Calpe, Ramón</t>
  </si>
  <si>
    <t>Ramón Calpe</t>
  </si>
  <si>
    <t>nte de la misma; á D J)sef Pastian, subteniente de caballería reformado, subteniente París Ji de mayo. de ia compañía de húsares de Guidaiaxara , y á D. Ramón Calpe, cirujano reformado, cirujano El dia 6 de mayo entraron eo Burdeos los bu­ segnn lo del regimiento de Madrid, i.°de infante­ ques siguientes: los Dos Hermanos, ca…</t>
  </si>
  <si>
    <t>Calvia, Fernando</t>
  </si>
  <si>
    <t>Fernando Calvia</t>
  </si>
  <si>
    <t>nca; el corregidor de esta ciudad D. Joaquín Goyoneta; los regidores, marques de la Granja y D. Francisco Cavaleri; el regente de esta real audiencia D. Fernando Calvia, y los oidores D. Teótimo Escudero, D. Pedro Simo y O. Tema3 Romero Agredano ; un oidor de Vals adalid; los dos hijos del marques de la Granja; el primogénito…</t>
  </si>
  <si>
    <t>Calvo, Ignacio</t>
  </si>
  <si>
    <t>Ignacio Calvo</t>
  </si>
  <si>
    <t>stas por el señor general en gefe , y qne si no capitán de,la segunda compañía, en -reemplazo de podía cons- guirse qne el enemigo las admitiese, era D. Ignacio Calvo. d • ■ &gt; preciso confirmarse con las qne él proponía. Al teniente del mismo regimiento D. Juan Tri,, Después propaso S. E. que se disentiese en vino ayudante ma…</t>
  </si>
  <si>
    <t>Calvo, Joaquín</t>
  </si>
  <si>
    <t>Joaquín Calvo</t>
  </si>
  <si>
    <t>te por muerte de D. San­ mas anhela ; privilegios y .consideración á dbs- no­ tiago Terrero. bles , «tapíeos y mandos á-Toí-ambiciosos :,‘ áV co­ Y á D. Joaquín Calvo para la vicaría de Na­ merciante alivio en los derechos , al labrador dis­ vales , vacante por ascenso de D. Pedro González minución de tributos y gabelas , bar…</t>
  </si>
  <si>
    <t>Calvo, Luis</t>
  </si>
  <si>
    <t>Luis Calvo</t>
  </si>
  <si>
    <t>cisco Chacón , 60. El un­ décimo D. Tomas Doblado, 50. El duodécimo D. Lorenzo Amat, 50. El agregado D. Domingo Gangutia , 66. El escribiente primero D. Luis Calvo, 41. El segundo 3). Francisco Calderón , 41. El tercero D. Francisco Menentlez Camina, 41. Provisional D. Gregorio Larrefitier, 25. Archivero D. Manuel López Solan…</t>
  </si>
  <si>
    <t>.................................. 22co D. Juan Fernandez Delgado, id.................... 2 200 D. Jos, f de ía Cruz, id en Mantilla............ 2200 D. Luis Calvo, id.......................... ...................... 2 200 D. Francisco Morente , id. en Agilitar....... 22co D. Andrés de Cuenca , id............... .............…</t>
  </si>
  <si>
    <t>Calvo, Ramón</t>
  </si>
  <si>
    <t>Ramón Calvo</t>
  </si>
  <si>
    <t>po, 25. D. Manuel Franco , 60. D- Juan Carcioli , 25. D Ignacio Hidalgo, 50. D Gregorio Mascóte, 10. D. Francisco Carbajai , 30. Vicente Pacheco, 10. D. Ramón Calvo, 100. D. Miguel Isusi, 1Ó. D. Vtcente Chacón, 30. D. Manu-1 Rodríguez Plaza, 10. D. Mariano Eraso, 2. D. José María Castro, ayudante de Piura , 47 y 2 y medio. Do…</t>
  </si>
  <si>
    <t>Calvo, Toribio Antonio</t>
  </si>
  <si>
    <t>Toribio Antonio Calvo</t>
  </si>
  <si>
    <t>ntos en cada año que dure la guerra. El presbíte­ ro D. Pablo Tena, 25 , y lOcada año durante la guerra. D. Vicente Tena, 2. D. Vicente Baldisan , 1. D. Toribio Antonio Calvo, oficial de la aduana de íluaura, 25 , é igual cantidad cada año. que dure la guerra. El subdelega­ do de Chancay D. Pedro Espejo , 100 y lo mismo cada …</t>
  </si>
  <si>
    <t>CALZADO, BARRIO del CARMEN</t>
  </si>
  <si>
    <t>BARRIO del CARMEN CALZADO</t>
  </si>
  <si>
    <t>ín Rodrigo. Diputados seculares D1. Jusef Sebastian. D. Juan Amonio Perez. Secretario D. Pedro de las Muelas. D. Fermín Gutiérrez. D. Juan Ximenez. ¡ Secretario BARRIO DEL CARMEN CALZADO. D. Manuel Aotonio Echeverría. Alcalde de'barrio D. Antonio Aivarez. BARRIO DE LA PLAZUELA DB SAN JUAN* Diputado eclesiástico Alcalde dt 'ba…</t>
  </si>
  <si>
    <t>Calzones</t>
  </si>
  <si>
    <t>Gaceta de Madrid n.º 124</t>
  </si>
  <si>
    <t>gada de los nuestros. ro i.°, et día 30 de abril de 1812, —El pacífico ,,Entienda vmd. que los tales nuestros son el ma­ español." riscal Chaleco, el general Calzones, el capitán Bo­ tines, el sargento Zamarra, el cabo Pretina , el va­ liente Soleta , el inmortal Corbata, el invencible TEATROS. Guiñapo, y otros héroes, que pa…</t>
  </si>
  <si>
    <t>Camacho, Mariano</t>
  </si>
  <si>
    <t>Mariano Camacho</t>
  </si>
  <si>
    <t>n de la real lotería celebrada Alcalá la Real............................................ 2200 en la tarde del 2 2 del corriente han sa ido sorteados D. Mariano Camacho, id. en Linares......... 2200 los números siguientes : 15,63,36, 65 y 47. D. Luis Santiago, id. en Porcuna............... 2100 D. Mmuel Muñoz, id.............…</t>
  </si>
  <si>
    <t>Camacho, Pedro</t>
  </si>
  <si>
    <t>Pedro Camacho</t>
  </si>
  <si>
    <t>1. D. Francisco Antonio García, 500. Los pueblos de Palenque y Babahoyo , por mano de D. Manuel Ignacio Moreno, 1494 y 4 y medio. D. Jaime Isern, 25. D. Pedro Camacho, 50. D. Juan de Avi­ les, 10. Por los pueblos de la Punta de Sta. Elena, ha entregado D. José Ig* nació Gorrochategui, 100. D. Dionisio Faxardo , 12. El maestro…</t>
  </si>
  <si>
    <t>Camacho, Yhuia</t>
  </si>
  <si>
    <t>Yhuia Camacho</t>
  </si>
  <si>
    <t>po de ingenieros. á lamentes ,• á los subtenientes O. Juan Miguel y I). Antonio Arrmnbide, O. Antonio GuHuzo . IX Antonio de [a .Xidesia'y SYvi'dh , D. Yhuia Camacho, DY José A i ¿puma y I). Carlos Montenegro; Jos dos.primeros, graduados de tenientes.</t>
  </si>
  <si>
    <t>Camas, Benito</t>
  </si>
  <si>
    <t>Benito Camas</t>
  </si>
  <si>
    <t>natural del valle Ex geránimos. de Meruelo.......... .......................................... 2200 D. Juan de la Portilla, id. de Hscobedo... 22c» D. Benito Camas, natural de Peñacastiilo. 2200 D. Dámaso de Villaoáeva , id. .en San­ 1 Ex-franciscanos. tander.................. 2200 D. BtJiaiío Solana , id. de Santiago de Fie…</t>
  </si>
  <si>
    <t>Cameron</t>
  </si>
  <si>
    <t>distinguidos cuerpos, y de tes oficiales que les mandaban. se hubiera podido hacer el a&gt;jue ántes-de amanecer, el re­ gimienta 92, á las órdenes del teniente coronel Cameron,y ei resto deí 71, á las del teniente coronel Cadogan, hubieran escalado y des­ truido la cabeza de puente al mismo tiempo que ge hacia el ataque contra …</t>
  </si>
  <si>
    <t>Camina, Francisco Menentlez</t>
  </si>
  <si>
    <t>Francisco Menentlez Camina</t>
  </si>
  <si>
    <t>Lorenzo Amat, 50. El agregado D. Domingo Gangutia , 66. El escribiente primero D. Luis Calvo, 41. El segundo 3). Francisco Calderón , 41. El tercero D. Francisco Menentlez Camina, 41. Provisional D. Gregorio Larrefitier, 25. Archivero D. Manuel López Solano, 66.—Tesorería. Oficial primero y tesorero interino D. Joaquín Jordán…</t>
  </si>
  <si>
    <t>Camino, Manad</t>
  </si>
  <si>
    <t>Manad Camino</t>
  </si>
  <si>
    <t>icia por el importe de 5 vestuarios de tropa de caballería, 14-5. Comerciantes de Piltra. D. Joaquín de Elguedo , juez diputado del co­ mercio , 2JO. D. Manad Camino, itl. segundo, 100. 30. Joaquín de Elguero y Aloo , 250. D. Tomas Cavieses , del cuerpo de pilotos del comercio , 50. 15. Bernardo Martínez , 6. D. Manuel Villar…</t>
  </si>
  <si>
    <t>Camino, Manuel Perez</t>
  </si>
  <si>
    <t>Manuel Perez Camino</t>
  </si>
  <si>
    <t>baterías enfiladas la ocupa­ respondientes á la sala de alcaldes y junta crimición de los caminos cubiertos. Sin embargo, dos ho­ s nal de esta corte D. Manuel Perez Camino , Don ras después de medio dia el general enemigo , que Domingo Agüero ,■ D. Manuel Silvela , D. Fran­ pudo ya&gt; rezelarse que habia proyeetqs bien serios …</t>
  </si>
  <si>
    <t>Camino, Miguel</t>
  </si>
  <si>
    <t>Miguel Camino</t>
  </si>
  <si>
    <t>Rodríguez Quesada, 4. D. Manuel Ramos , 25. D. Vicente de la Mata, 10. D. Jacinto de la Mata, 10 D Francisco Paredes, 200. D. Mi­ guel Navarrete , 4. D. Miguel Camino , 30. D. Joaquín Malo, 6. D. José Ma­ ría Tello , 6. D. Juan Silvestre Touroi , 20. D. Lorenzo Espinosa , 30. D. Jo­ sé Ramón Menendez, 25. D. Félix de la Cruz,…</t>
  </si>
  <si>
    <t>Camp</t>
  </si>
  <si>
    <t>hacia el distinguido proceder del t-miente coronel O-Coole del segundo de cazadores, del mayor Ridge, del segundo batallón dfíl quinto de á pie, del teniente coronel Camp­ bell del regimiento 94, del mayor Manners del 74, y del mayor Grey del segundo batallón del quinto de á pie, que fué herido dos veces durante el sitio. La …</t>
  </si>
  <si>
    <t>Campbell</t>
  </si>
  <si>
    <t>­ biendo escalado el muro de la falsabraga , tomó por asado la brecha principal en el cuerpo de la plaza, en unión con el regimiento 94 del mando del teniente coronel Campbell, que se dirigió por el foso al mismo tiempo , asaltando la brecha de la falsabraga los dos al frente de la brigada del mayor general Mackinson. Así est…</t>
  </si>
  <si>
    <t>rcero de cazad»res se distinguie­ ron en esta ocasión. El primer regimiento portugués , á las órdenes del teniente coro­ nel Hill, y el lfí á las del coronel Campbell, que formaban la brigada del brigadier general Pack, se distinguieron igualmente en el asalto baso su mando, y dicho brigadier hace particular recuerdo del ma­ …</t>
  </si>
  <si>
    <t>ro. Y al mismo tiempo se aprovecha de esta ocasión para hacer el debido elogio de dos escuadrones del regimiento de caballería número 4, al mando del coronel Campbell, que unidos á otros dos escuadrones del exército británico, atacaron al enemigo con singular bizarría el 3 de enero en Fuente del Maestre, distinguiéndose vario…</t>
  </si>
  <si>
    <t>anners del 74, del mayor Carr del h3, y del honorable mayor Palienhara, ayudante general de la tercera división. También recomienda la con­ ducta del coronel Campbell del 94, oficial que he recomendado á V. S. en repetidas ocasiones , y que en ausencia del honorable raay or general Colville, encargado de la cuarta división , …</t>
  </si>
  <si>
    <t>teniente general Leith ; á los brigadieres ge­ nerales Bradford y Spry, al brigadier general Power y al coronel Stubbs , al servicio de Portugal; al teniente coronel Campbell del 94 que mandó una brigada de la tercera división ; al teniente coronel William del 60, al teniente coronel Wallace del 88, que mandó una brigada de l…</t>
  </si>
  <si>
    <t>e el general Leith fue herido: \í los brigadieres generales Bradford, Spry y Power : al coronel Stubbs, que está ai servicio portugués: igualmente al coronel Campbell del regimiento 94-.°* qúe mandaba uña brigada en la ter­ cera división. |Son también muy dignos de consideración el coronel Williams del regimiento 6o.°: el ten…</t>
  </si>
  <si>
    <t>Reales que marchasen para Palencia á proteger la destrucción de los puentes del Carrion : pero el enemigo juntó tales fuerzas en aquel punto , que el teniente coronel Campbell, juzgó necesario retirarse sobre Villa-Muriel , y el enemi­ go pasó el Carrion por Pal encía. „ E sto nos obligó á mudar el frente, y mandé al mayor ge…</t>
  </si>
  <si>
    <t>Campbell, Jayme</t>
  </si>
  <si>
    <t>Jayme Campbell</t>
  </si>
  <si>
    <t>dei infantado, ICO libras esterlinas. D. Ma­ nuel de la Torre, 210. El cónsul general de España, 50. D. Vicente Duvango, 50. D. Ricardo Sbield, 100. D. Jayme Campbell, 100. D. Andrés Loughnan, 50. Los Sres. Gordon, Murfiy compañía, 105. D. José Moreno de Mora, ¿0. Un patriota español, 100 y 120 cami­ sa?. D. Jorge Sacdcman, 1…</t>
  </si>
  <si>
    <t>Campero, Mariano</t>
  </si>
  <si>
    <t>Mariano Campero</t>
  </si>
  <si>
    <t>isfruta del mismo escudo en unión del coronel Pierola, teniente coronel D. Ru­ fino Bcrcolme, y mis fieles y valerosos edecanes , conde de Casa Real, D. Mariano Campero, D. «Tesé García Santiago, D. José Moya, Don Juan Iinaz, D José Casellasy D. José Guerra, que todos llevaron mis órdenes , y me acompañaron con serenidad. — E…</t>
  </si>
  <si>
    <t>D. José María Galindo, 12. D. Juan Contreras , 12 D. Félix Devo’.i ? 10. D. Manuel Moreno , 10. D. Vicente Pastrana , 10. — Estudiantes de medicina. D. Mariano Campero, 17. D. Mariano Murga, 8. D. Norberto Ve­ ga , 4. D. Isidro Andrade , 4. D. Ramón Anderos, 4. D. José Pequeño , 4. D. Juan Fernandez, 2. D. José Gordilio , 2. …</t>
  </si>
  <si>
    <t>Campesino, Ignacio</t>
  </si>
  <si>
    <t>Ignacio Campesino</t>
  </si>
  <si>
    <t>Gazeta de Madrid bajo el Gobierno de la Regencia n.º 31</t>
  </si>
  <si>
    <t>324</t>
  </si>
  <si>
    <t>. Juan de, Dios Alonso y Herrera. = D. Ra­ fael Garrido y Rodríguez. = D. Lorenzo Gotaredona. = D. Gerónimo de Zemborain. = D. Mateo de Norzagaray. = D. Ignacio Campesino. Madrid 20 de octubre de 1812. = Juan Garrido. = Clemente de Cavia y Diez. Por resolución del Sr. D. Francisco Antonio Góngora, intendente general en comisi…</t>
  </si>
  <si>
    <t>Campido, D Tomas</t>
  </si>
  <si>
    <t>D Tomas Campido</t>
  </si>
  <si>
    <t>e los comandan­ tes me pasen las relaciones , las remitiré á V. K. Dios guarde &amp;c. —• El Empecinad). ” • -Orihwda de A Ib arrecia 13 de diciembre. El capitán D Tomas Campido, comisionado en el partirlo de Alcañiz, ha,'remitido al comandante general de Aragón, el parte del tenor siguiente-: „ Mi general: continuando los encarg…</t>
  </si>
  <si>
    <t>Campillo, Juan López</t>
  </si>
  <si>
    <t>Juan López Campillo</t>
  </si>
  <si>
    <t>Gazeta de la Regencia de España e Indias n.º 8</t>
  </si>
  <si>
    <t>la Montaña evacuada por los enemigos de resultas de la acción del 14 de agosto ultimo, dis­ puse que un batallón de patriotas, formado y mandado por D. Juan López Campillo , al que para su arreglo é instrucción mandé va­ rios oficiales de este exército , circulase desde la carretera del Escu­ do hasta las provincias de Vizcay…</t>
  </si>
  <si>
    <t>380</t>
  </si>
  <si>
    <t>rtes remitidos al general en gefe del séptima exérci'o , O. Gabriel de Mtndizabal. l.° Del comandante del segando batallón de tiradores de Cantabria, D. Juan López Campillo. — Cuartel ambulante 10 de febrero de 1812. — Excoio. Sr.: Ei 5 del que rige me dirigí con 2 compa­ ñías de las de mi mando al pueblo de Meruelo , dictant…</t>
  </si>
  <si>
    <t>Campillo, Tomas</t>
  </si>
  <si>
    <t>Tomas Campillo</t>
  </si>
  <si>
    <t>de Suresnes, de edad de 1-8 años y nneve mese», D. Gregorio Peta......Á...................... 3001 9 convencidos, la primera de haber incitado hacia D. Tomas Campillo..................... 260 3» quatro meses á dicho jóven á que viviese con ella D. Juan Ccberio, por medio de su criminalmente, y á que matase á su marido; y el a…</t>
  </si>
  <si>
    <t>Campiñas, Angel Fernandez</t>
  </si>
  <si>
    <t>Angel Fernandez Campiñas</t>
  </si>
  <si>
    <t>... 2209 D. Francisco Gil, residente en Valseca.... 2200 D. Pedro Ruiz, i.d- de Villarcayo............. . 2200 D. Tomas González , id. en Santa María D. Angel Fernandez Campiñas , id. de de Nieva......................................................... 2200 Quintana, provincia de Alava................... 2200 D. Ruñno García'…</t>
  </si>
  <si>
    <t>Campino, José Santiago</t>
  </si>
  <si>
    <t>José Santiago Campino</t>
  </si>
  <si>
    <t>Francisco Ortega, contador de la corbeta Peruano , 160. El tercero D. José María Bastarre.chea , 200. El cuar­ to D. Antonio Allegue del Villar, 14Ó. D. José Santiago Campino , con­ tador de la fragata Astrea, 140. El oficial mayor de la comisaría de guer­ ra y capitán de milicias D. Juan Bailera, 50. El segando D. Tomas Meló…</t>
  </si>
  <si>
    <t>Campos, Manuel</t>
  </si>
  <si>
    <t>Manuel Campos</t>
  </si>
  <si>
    <t>iiiefctc... D. Bernardo Triineno... .. 1 Otro • •... D. Francisco Paianecs.......... .1 Teniente . . D. Ja&amp;n Mariscal.................. 1 Otro • •... D. Manuel Campos............. .. 1 Subteniente: D. Baltasar De’gadc............. 1 « StVÑensa Otro........... D. Mariano Sánchez............. 1 Otro • • • • i O. Félix Basiane..…</t>
  </si>
  <si>
    <t>Camps, Antonio</t>
  </si>
  <si>
    <t>Antonio Camps</t>
  </si>
  <si>
    <t>r­ denes del capitán D. Manuel Porta, y con particularidad del coman­ dante de cazadoras D. Benaidmo Pana, el que elogia mucho el porte de sn segundo D. Antonio Camps, que quedó muerto, y al teniente D. Antonio Fio!, herido. V. E. se servirá observar que la mayor pér­ dida de los enemigos fué ocasionada por la valerosa conduc…</t>
  </si>
  <si>
    <t>Campuzano, Francisco</t>
  </si>
  <si>
    <t>Francisco Campuzano</t>
  </si>
  <si>
    <t>, que vivo calle de la Za ja, núm. 169. Continúan los donativos del Perú. Oficiales voluntarios de dragones. El capitán D. Juan Ponce, 50 ps. fs. Id. D. Francisco Campuzano, *25. Teniente D. Pedro C onejo , 40. Id. D. Sebas­ tian Baquerizo , 200. Alférez D. Bernabé Cornejo , 25. Cadete D. Manuel de Aviles, 12. — Aventureros d…</t>
  </si>
  <si>
    <t>Canales</t>
  </si>
  <si>
    <t>Gazeta de la Regencia de España e Indias n.º 9</t>
  </si>
  <si>
    <t>nte emboscada) , a las órdenes del capitán D. José de Creff, esperando picarían los enemigos la retirada de las primeras tropas según costumbre. — El coronel Canales llenó sus deberes, ha­ ciendo correr á los del Olivo y Lorito, y rompiendo un vivo fuego que fué contestado en todo aquel frente : siguieron las guerrillas en to…</t>
  </si>
  <si>
    <t>Canales, Domingo</t>
  </si>
  <si>
    <t>Domingo Canales</t>
  </si>
  <si>
    <t>1242</t>
  </si>
  <si>
    <t>l y cle^ Capuchinos, para cortar la retirada á los del puerto y.contener Citalquiér salida que se intentase de la plaza, entre tanto que el coro­ nel D. Domingo Canales, con 100 hombres del batallón de Tarragona, la compañ a de cazadores de Cardona y la preferencia de Cervera se apoderaba del Olivo ; manteniéndome yo con el c…</t>
  </si>
  <si>
    <t>Cañarelli</t>
  </si>
  <si>
    <t>463</t>
  </si>
  <si>
    <t>artes dirigidos por el brigadier /)• Francisco Espox y Mina al general en gcfe del séptimo exército, 10. Gabriel de McnáizabaL I. ,, Excreto. Sr.: El general Cañarelli, celoso por restaurar á su segunda brigada de la humillación que sufrió el 5 de febrero en los campos de Sangüesa, marchó con 4000 infantes y 200 caballos por …</t>
  </si>
  <si>
    <t>Cañaveral, Vicente</t>
  </si>
  <si>
    <t>Vicente Cañaveral</t>
  </si>
  <si>
    <t>ilva y D. Vicente Segurado : ídem de cazadores ai alférez D. Pe­ dro Cabañas : segundas tenencias de fusileros al alférez D. J uan de la Chaussee y á D. Vicente Cañaveral, capitán de cazadores del ba­ tallón de Guadalaxara; y empleos de alícreces de fusileros á D. An* tonio Torres , teniente del regimiento provisional de ¿inf…</t>
  </si>
  <si>
    <t>Cancio, Pedro</t>
  </si>
  <si>
    <t>Pedro Cancio</t>
  </si>
  <si>
    <t>Fer­ Se remitirán las memorias á ios consulados ge­ nando López............................... 5995° nerales de Francia en Janina y Pairas, ó al en­ D. Pedro Cancio............................ 25300 3 cargado de negocios del imperio francés en Cons- D. Antonio Ugena......................... 4077 9 tantínopla , con otro sobre …</t>
  </si>
  <si>
    <t>Candarías, José</t>
  </si>
  <si>
    <t>José Candarías</t>
  </si>
  <si>
    <t>tán del ber­ gantín corsario Cantabrios de Buenos-Ayres D. Martin Salas , 100. El segundo D. Saturnino Escuti ,70. El contramaestre y primer teniente D. José Candarías, 50. La tripulación de dicho corsario, 302. D. Vicente Marino , 153. (Se continuará.) CADIZ : EN LA IMPRENTA PtEAL.</t>
  </si>
  <si>
    <t>Candolfcr, Andrés</t>
  </si>
  <si>
    <t>Andrés Candolfcr</t>
  </si>
  <si>
    <t>ordénes ele V. E. dispuse que á la una de ia madrugada de este día emprendiese su marcha el comanda uto agregado al regimiento infantería de Galicia D. Andrés Candolfcr con la compañía fie cazadores de este cuerpo, la del de Cargas y una de cada batallón de los de esta Sierra, con el objeto de que, apostándose á las inmediaci…</t>
  </si>
  <si>
    <t>Cañedo, Francisco</t>
  </si>
  <si>
    <t>Francisco Cañedo</t>
  </si>
  <si>
    <t>&amp;nt y D. Francisco Perez Maro; á tenientes de grana­ deros k D. José Alpanscque y D. José Declouuf; á tenientes de fu­ sileros á D. Antonio Dubrevii, D. Francisco Cañedo, D. Juan Do­ mínguez , D. J usé Bernardo, D. Pedro Rey-yo , D. Carlos Reggio, D Bernardo Prieto, D. Cirilo Lessacier, í). Juan Galguare, Don Francisco Dalcou…</t>
  </si>
  <si>
    <t>Canel, José</t>
  </si>
  <si>
    <t>José Canel</t>
  </si>
  <si>
    <t>que lian sido conducidos á Astorga y León en 34 carros. Nuestra columna tuvo 5 muertos y 15 heridos, entre estos el teniente del regimiento de Oviedo D. José Canel, y prisionero el teniente del primero del Rivero D. Ramón Vázquez, con un húsar. — Elogia el expresado gefe la conducta de la oficialidad y tropa, recomendando el …</t>
  </si>
  <si>
    <t>Canell, Josef</t>
  </si>
  <si>
    <t>Josef Canell</t>
  </si>
  <si>
    <t>uso un pedazo que se ha­ Subtenientes. lla plantado de huerta: su valor á 700 rs. fanega. Otra en dicho sitio del Castañar, que la cruza dicho camino D. Josef Canell. de Carabanchel, y linda al mediodía con tierra del D. Antonio Mesa. conde de Francos, y al poniente con otra de un veci­ D. Josef Echevarría. no de Madrid, cono…</t>
  </si>
  <si>
    <t>Canesoltas, Feliciano</t>
  </si>
  <si>
    <t>Feliciano Canesoltas</t>
  </si>
  <si>
    <t>Parera, capitán de la fragata Cárnien Nícolasa , 17. Su maestre D. Liborio Vendrell, 17. El segundo piloto D. Ignacio Ereñozaga, 12. El tercer piloto D. Feliciano Canesoltas , 10. El contramaestre y tripulación de dicho buque , 31. El escribano y tripulación de la fragata Truxillana, 12 y 4. Don Francisco Antonio Aldecoa, cap…</t>
  </si>
  <si>
    <t>Cañete, Joaquín</t>
  </si>
  <si>
    <t>Joaquín Cañete</t>
  </si>
  <si>
    <t>D. Gerónimo Montilla. Quedaa nombrados para capitanes y oficiales D. Alfonso de Vida, y Gamboa. de ellas. Capitanes. Tenientes. D. Bartolomé Pineda. D. Joaquín Cañete, de granadero». D. Juan Francisco Ramírez. D. Manuel Bujalance, de tiradores. D. Juan de Tienda. Tenientes. D. Josef Joaquín Henares. D. Vicente Ort'z y Alguaci…</t>
  </si>
  <si>
    <t>Cañete, Pedro Yicente</t>
  </si>
  <si>
    <t>Pedro Yicente Cañete</t>
  </si>
  <si>
    <t>do Y. E. presente que León estuvo á mi lado en las lloras del fuego y del riesgo. — Igualmente me acompañó mi auditor D. Podro López Segovia y el Sr. D. Pedro Yicente Cañete , que fue­ ron espectadores de la batalla. „ Los cocha barí Linos cortaron el puente que echaron entre el Des­ aguadero y Machaca , y los creo en fuga ; …</t>
  </si>
  <si>
    <t>Canicoba, Benito</t>
  </si>
  <si>
    <t>Benito Canicoba</t>
  </si>
  <si>
    <t>Casa y Piedra , D. Domingo Laspiur, D. José CasiiuIto Sctimayor, í). Francisco María Zu^oaga, D. Marcelo B &gt;za y Edava, D. Manuel Morales y IJgalde, D. Benito Canicoba, Don José Mari?. Galdraio, D. Pedro Moreno y A-tazarra, D. José Pío García y D. M-.trña CuisascJa ; subtenencias de granaderos, á Don Juan Esteban G&amp;rate, D Ma…</t>
  </si>
  <si>
    <t>Cañizares, José</t>
  </si>
  <si>
    <t>José Cañizares</t>
  </si>
  <si>
    <t>ariano Murga, 8. D. Norberto Ve­ ga , 4. D. Isidro Andrade , 4. D. Ramón Anderos, 4. D. José Pequeño , 4. D. Juan Fernandez, 2. D. José Gordilio , 2. D. José Cañizares, 2. D. Juan Melgar , 2. D. Lorenzo Vargas , 2. D. José Ramírez , 2. D. Juan Sta. María, 2. — Cirujanos, i). José Gay i no Chacaltana , 25. Tomas Ortigoso , 25.…</t>
  </si>
  <si>
    <t>Cano, Antonio</t>
  </si>
  <si>
    <t>Antonio Cano</t>
  </si>
  <si>
    <t>an García de Lara , ex *gerónimo, á D. Jo- Y para la de la Peza, en la diócesis de Guasef Navero , ex-carmelita calzado. dix , vacante por ascenso de D. Antonio Cano, Para la de Mec;n. de Buen-bafon, vacante por ex-franciscano dtscalzo, á D. Fernando Granados, ascenso de D. Josef Guerrero , ex-domiuico , á Don ex-agustíno des…</t>
  </si>
  <si>
    <t>Cano, Antonio G-ircía</t>
  </si>
  <si>
    <t>Antonio G-ircía Cano</t>
  </si>
  <si>
    <t>............ Alcalde- .de barrio Diputados seculares D. Juan Tarquis. D. A-ífonso Lticeño. Diputado eclesiástico D. Gregorio Sánchez. .be'»' . ,-•/ . D. Antonio G-ircía Cano. D. Roque de Lema. ,j\ , , ; ‘ , Diputados seculares Secretario ¡ D. Manuel Antonio Rodríguez. D. Santiago Alvares. D. Juan Tarquis, substituto de alcald…</t>
  </si>
  <si>
    <t>Cano, José</t>
  </si>
  <si>
    <t>José Cano</t>
  </si>
  <si>
    <t>ones é .infantería se portaron con la mayor bizarría , no pudiéndose elogiar á los unos sin injuriar á los otros. Con todo recomienda á los oficiales D. José Cano, D. José Zurita y D Tomas Suero Taviel ; al sargento distinguido de dragones Don Manuel José de Salas y al cabo Francisco Méndez ; al sargento José Medrano , al cab…</t>
  </si>
  <si>
    <t>Cano, Josef</t>
  </si>
  <si>
    <t>Josef Cano</t>
  </si>
  <si>
    <t>zoo libras de azúcar purificado contarían: 300 li­ que fue del regimiento de caballería de España bras de azúcar sin purificar 225 francos; gasros de D. Josef Cano subteniente de caballería de línea, purificación jo francos. Total 275 francos, dedu­ y al subteniente de caballería de línea D. Amonio ciendo el valor del melote …</t>
  </si>
  <si>
    <t>Cano, Manuel Corral y Don Nicolás</t>
  </si>
  <si>
    <t>Manuel Corral y Don Nicolás Cano</t>
  </si>
  <si>
    <t>34</t>
  </si>
  <si>
    <t>nido su merecida reputación ; los tenien­ tes D. José Mu ñoz y D. Román de la Madrid, del fixo de México; los capitanes del provincial de Tres Villas D. Manuel Corral y Don Nicolás Cano ; el teniente D. Luis de la Portilla y el alférez D. An­ tonio Mendivil, se han portado con mucho valor , así como las tro­ pas que mendaban.…</t>
  </si>
  <si>
    <t>Cano, Rafael</t>
  </si>
  <si>
    <t>Rafael Cano</t>
  </si>
  <si>
    <t>886</t>
  </si>
  <si>
    <t>­ ración : en ella se cuenta herido á mi benemérito ayudante de campo D. Manuel de la Lastra, y mortalmente el co­ mandante del batallón del general, D. Rafael Cano, oficial de continuado y distinguido mérito, digno sucesor del va­ liente Cevallos , que murió gloriosamente en la batalla del Guadalete. El sargento mayor D. San…</t>
  </si>
  <si>
    <t>Cañoli, José</t>
  </si>
  <si>
    <t>José Cañoli</t>
  </si>
  <si>
    <t>D. Miguel Navarro , id. , 21. D. Ramón Montano , oficial primero de talla , 33. D. José María Soto , segundo, 33. D. Atanasio Davalos, tercero , 30. D. José Cañoli , aprendiz, 16. D. José Mariano Oya* gue , portero marcador, 29. D. Manuel Noguera , portero de la calle, 33. D. Ignacio Cisne ros Merino, 33. —E! monasterio de St…</t>
  </si>
  <si>
    <t>Cantabrana, Saturio</t>
  </si>
  <si>
    <t>Saturio Cantabrana</t>
  </si>
  <si>
    <t>Sr. D. Francisco Marchámalo. El Sr. D. Mariano de San Juaa. El Sr. D. Josef de Arratia. El Sr. D. Domingo DutarL El Sr. D. Lúeas de Carranza. El Sr. D. Saturio Cantabrana. El Sr. D. Mariano de Villodas. El Sr. D. Joaquín García Domeneeh. El Sr. D. Miguel Caldero» de la fiafftfc</t>
  </si>
  <si>
    <t>rgo del 'Sr. D. Miguel Calderón de Ja Barca. Quartel de S. Gerónimo, al cargo del Sr. marques de Gástelfuerte. Quartel de S. Martin, al cargo ael Sr. D. Saturio Cantabrana. Quartel de S. Francisco, al cargo del Sr. D. Lúeas de Carranza. Quartel de Avapies, al cargo del Sr. D. Mariano de S. Juan. DON CARLOS DE ESPAÑA, caballer…</t>
  </si>
  <si>
    <t>Cantarero, Josef</t>
  </si>
  <si>
    <t>Josef Cantarero</t>
  </si>
  <si>
    <t>............. ............... 22CO D. Rafael Veleña, id................................... 2200 D. Antonio Navarro, ..subdiácono , id......... 2 2 00 D Josef Cantarero , id.................................... 2200 D. R-lícl Apo!inario Fernandez , id........... 2 200 D JosefcD Flores , id................... ................. 2…</t>
  </si>
  <si>
    <t>Cantarero, Manuel</t>
  </si>
  <si>
    <t>Manuel Cantarero</t>
  </si>
  <si>
    <t>Gaceta de Madrid n.º 70</t>
  </si>
  <si>
    <t>s del arco iris. A medida que el sol Para la de la villa de Xerez, Vacante por falle­ se elevaba, se p-olongaban las faxas; y por la par­ cimiento de D. Manuel Cantarero, al ex-merce­ te superior, encima del sol, formaban una especie nario calzado D. Manuel Miraotes, sacristán de de arco, que se vio distintamente á eso de las…</t>
  </si>
  <si>
    <t>Capalti, Josef</t>
  </si>
  <si>
    <t>Josef Capalti</t>
  </si>
  <si>
    <t>Gaceta de Madrid n.º 112</t>
  </si>
  <si>
    <t>4 de marzo. también los candidatos pira el cuerpo legislativo, y ton los stñcrcs Lorenzo, príncipe de Aitieri; En el palacio de S. A. R. nuestro gran duque Josef Capalti , corregidor de Civita-vccchia, y se están haciendo grandes preparativos para recibir Feliciano Scarpeilini, todos ellos miembros actua­ á S. A., que está to…</t>
  </si>
  <si>
    <t>Capitain</t>
  </si>
  <si>
    <t>ad todos lo» enfermos dei exército de Marmont, la mayor parte para Castilla, y para Ta­ layera los pertenecientes á la división de Foy.El 16 Ciego el general Capitain , que estaba en A5over, después de haber destruido las barcas que había en aquella parte del Te jo. Traxo alguna caballería y bastante grano, pan , vino y oíros…</t>
  </si>
  <si>
    <t>Capitaine</t>
  </si>
  <si>
    <t>n) / ayudante primero de nos: Firmados! Mariano Luis de Urquijo.” la guardia cívica de Madrid. ar Ramírez ( D. Ignacio ), teoicnte de lancero* es­ El general Capitaine ha sorpreheodido la quapañoles. drilla de Fermin ,cerca de Aldea del Fresno, en Rodríguez (D. Ignacio) , sargento primero del una casa decampo llamada el Santo…</t>
  </si>
  <si>
    <t>Car</t>
  </si>
  <si>
    <t>a vez al ano. gundo ele: propio cuerpo; y al teniente del regi­ 12. Para que no se abuse de esto, todo barco miento número i.° de cazadores á caballo D. Car­ que tenga dicho privilegio, y se Je encuentra fue­ los Lrmeler ayudante cn^yox del mismo cuerpo. ra de estás agu-is ,y que se ¿cercad una línea tirada desde Fp&gt;khuizen á…</t>
  </si>
  <si>
    <t>Cár</t>
  </si>
  <si>
    <t>Ancos. i ■ D. Tomas Roxo. &gt;. Diputado eclesiástico BARRIO DE LA PUERTA DE SEGQVLA.-- . D;1 Joan Balboa. Alcalde de Harria' . a ' Dipittados seculares D. Cár!os:Bosch. &gt; -i D. Pedro Perez García. Diputados seculares D. Francisco Agustin, Crespo. D. Tomas Peña. - D. Francisco Santíüsté. D. Tomas Zapalena. Secretario D. Manuel M…</t>
  </si>
  <si>
    <t>Gaceta de Madrid n.º 158</t>
  </si>
  <si>
    <t>1794</t>
  </si>
  <si>
    <t>como uno de los hasta han celebrado la guerra que los insurgentes papeles mas interesantes que se han publicado en de Buenos-Aires han declarado á la princesa Car­ aquel puerto. lota , porque usando de los sagrados derechos de ,»¿ F!s veidadera ó apócrifa? ¿Se ha forjado en su apellido, quería aplicar unas quantas plazas y C …</t>
  </si>
  <si>
    <t>Cár, Francisco María</t>
  </si>
  <si>
    <t>Francisco María Cár</t>
  </si>
  <si>
    <t>or quanto el regimiento *28.* se Por decreto de 24 de diciembre último S. M. ha formado aquí, y casi todo se compone de jóve­ se ha servido nombrar á D. Francisco María Cár­ nes de este país. (Diario de las bocas del Elba.) denas, alcalde mayor, juez de primera instancia de la ciudad de Cuadix, y al alcalde mayor d* París j&gt; …</t>
  </si>
  <si>
    <t>Car, Santiago</t>
  </si>
  <si>
    <t>Santiago Car</t>
  </si>
  <si>
    <t>ria, durante el asalto i/ después de él. „Numantinos. Los tenientes D. ficctao£C Carrascon y D. León Parag.?. C:b^ primero Temas Herrero. Los cadetes D. Santiago Car­ rasco n y D. Francisco Martínez. Los soldados D. Tadeo Safosa, dis­ tinguido, fíauion Miguel y Blas Martínez. Ligero de Soria. El sub­ teniente D. Gregorio ller…</t>
  </si>
  <si>
    <t>Carames, Aíiguel</t>
  </si>
  <si>
    <t>Aíiguel Carames</t>
  </si>
  <si>
    <t>a............................... 1100 D. Antonio Junquico.id........................... 2290 D. Alfonso de Ribas, lego, id...................... 1100 D. Aíiguel Carames, id................... ....... ........ 2290 .D.. Antonio Perez, id. , id............................. 1100 D. Joaquín de Torres, id..........................…</t>
  </si>
  <si>
    <t>Carasa, Josef</t>
  </si>
  <si>
    <t>Josef Carasa</t>
  </si>
  <si>
    <t>..... 270 2j 2. a ¿ Quaies han sido los establecimientos de P. Plácido Ortiz de Eléxalde..... 6458 instrucción pública fundados por los griegos fuera D. Josef Carasa, por medio de su de la Grecia para la educación de la juventud? apoderado D. Josef Telmo La3 f ¿ Las tipografías de Moscópolis, de J tssi y rumbe................…</t>
  </si>
  <si>
    <t>Carb, Ciríaco González</t>
  </si>
  <si>
    <t>Ciríaco González Carb</t>
  </si>
  <si>
    <t>o confiere el de secretario in­ terino de la gobernación del reyno para Ultramar, y durante la au­ sencia del expresado D. Tomas González Calderón, á D. Ciríaco González Carb »jal,* ministro del supremo tribunal de justicia; reser­ vándose premiar correspondientemente á D, José María Carbijal y D. Ignacio de la Pezuela les re…</t>
  </si>
  <si>
    <t>Carbajai, Francisco</t>
  </si>
  <si>
    <t>Francisco Carbajai</t>
  </si>
  <si>
    <t>casa, 1000 Doña Jacin­ ta Olave, 50. D. José Crespo, 25. D. Manuel Franco , 60. D- Juan Carcioli , 25. D Ignacio Hidalgo, 50. D Gregorio Mascóte, 10. D. Francisco Carbajai , 30. Vicente Pacheco, 10. D. Ramón Calvo, 100. D. Miguel Isusi, 1Ó. D. Vtcente Chacón, 30. D. Manu-1 Rodríguez Plaza, 10. D. Mariano Eraso, 2. D. José Mar…</t>
  </si>
  <si>
    <t>Carbajaí, José María</t>
  </si>
  <si>
    <t>José María Carbajaí</t>
  </si>
  <si>
    <t>Gazeta de la Regencia de las Españas n.º 96 (extraordinaria)</t>
  </si>
  <si>
    <t>798</t>
  </si>
  <si>
    <t>uchos años.«— Campo de batalla, cerca del pueblo de Árapiles, á uná íegiia de Salamanca , 2*2 de julio de 1312.—Excmo. Sr^Cárlos España. ■—Excmo. Sr. D. José María Carbajaí.” Por noticia de fecha del 24 se ha sabido de oficio que la retaguardia del exército enemigo fué alcanzada por las tro­ pas aliadlas, y batida completamen…</t>
  </si>
  <si>
    <t>Carbajal, José</t>
  </si>
  <si>
    <t>José Carbajal</t>
  </si>
  <si>
    <t>. — Joaquín de Mosquera y Fígueroa. — Juan Viílaviceneio. — Ignacio Rodríguez de Itrúas.— El conde del Abisbal* — En Cádie á 16 de febrero de 1812.—A D. José Carbajal. CADIZ : EN LA IMPRENTA REAL.</t>
  </si>
  <si>
    <t>Carbajal, José María</t>
  </si>
  <si>
    <t>José María Carbajal</t>
  </si>
  <si>
    <t>á á su cargo de secretario interino del despacho de es­ tado ; vos , D. José Vázquez Figur?roa, el de secretario interino del despacho de hacienda, y D. José María Carbajal el de secretario in­ terino del despacho de guerra: así como confiere el de secretario in­ terino de la gobernación del reyno para Ultramar, y durante la …</t>
  </si>
  <si>
    <t>Gazeta de la Regencia de las Españas n.º 87 (extraordinaria)</t>
  </si>
  <si>
    <t>724</t>
  </si>
  <si>
    <t>patriotismo y el júbilo que ha demostra­ do el pueblo de Salamanca , justamente apreciado por su ilustración y afabilidad._ Carlos España—Excmo. Sr. D. José María Carbajal._Junio 30 de 1812.”</t>
  </si>
  <si>
    <t>curriese lo avi­ saré á V. S. al- momento. „ No tenemos noticia alguna del exército de Galicia—Dios guarde á V. S. mu­ chos años—Miguel de Alava._Sr. D. José María Carbajal.” CADIZ . IMPRENTA REAL.</t>
  </si>
  <si>
    <t>Carbnjal, José Segundo</t>
  </si>
  <si>
    <t>José Segundo Carbnjal</t>
  </si>
  <si>
    <t>no de la referida academia ; D. Diego Galvez cadete y alumno de la misma ; D Francisco Luque, cadete del regimiento infantería del infante D. Carlos; D. José Segundo Carbnjal cailete del de Cantabria: D. José Aparici y García , cadete de reales guardia de infantería Walona ; como asimismo á los distin­ guidos .y alumnos de la…</t>
  </si>
  <si>
    <t>Carbó, José</t>
  </si>
  <si>
    <t>José Carbó</t>
  </si>
  <si>
    <t>coronel de ingenieros D. Luis Rícj, 300 ps. fs. D. Manuel Uojia, 406. D José Merino , 200. Doña Teresa Ortega y 'Páralos, J00. El ttNÍente co­ ronel D José Carbó , 200. D Dionisio Fascardo , ,6. ©. Bernardo Roca, 500. T). Domingo Ordeñana, 500. D. Santiago Víctores , .500. D. José María Luzeaudo , auditor de guerra, 200. D. M…</t>
  </si>
  <si>
    <t>Carbonel, Francisco</t>
  </si>
  <si>
    <t>Francisco Carbonel</t>
  </si>
  <si>
    <t>70 Continúan los donativos del Perú. Remitidos del Cuzco, 1067S ps. fs. y 4 rs. Individuos de mar. La tripu­ lación de la fragata Sacramento ,10 y 4. D. Francisco Carbonel, capitán de la fragata Dos Amigos , 20. Su escribano D. Juan Fuente, 8. El contramaes­ tre y tripulación de dicho buque , 20. El capitán de la fragata Cibe…</t>
  </si>
  <si>
    <t>Carcalen, Miguel Fernandez</t>
  </si>
  <si>
    <t>Miguel Fernandez Carcalen</t>
  </si>
  <si>
    <t>vechamiento y buena conducta , á los cadetes de la misma arma y -alumnos dél bolégío tfé Mallorca 1). Mariano Yerástégui, D- Fran­ cisco Yillagomez, D. Miguel Fernandez Carcalen,, D. Manuel Fér■ñaiidéz dé'IqS1 Senderos, 0.' Francisco Soler , D. José Perez, D. Luis Arzu, D. Rafaei Lacy , D. Antonio Elizaldi, D. Francisco Reyes…</t>
  </si>
  <si>
    <t>Carcer, Cayetano</t>
  </si>
  <si>
    <t>Cayetano Carcer</t>
  </si>
  <si>
    <t>Gazeta de la Regencia de las Españas n.º 77</t>
  </si>
  <si>
    <t>612</t>
  </si>
  <si>
    <t>ro ccmpañía de cazadores al capitán de fusileros D. Dionisio Máznelo; compañía de fusileros al primer te­ niente de granaderos , graduado de coronel, D. Cayetano Carcer; primera tenencia do granaderos al de fusileros D. José Perez de Tafalla ; primera tenencia de fusileros al segundo teniente, con grado de teniente coronel, D…</t>
  </si>
  <si>
    <t>Carcer, Joaquín</t>
  </si>
  <si>
    <t>Joaquín Carcer</t>
  </si>
  <si>
    <t>o teniente marques de Iranda; segunda tenencia de cazadores, ai de fusileros D. José de las Cuevas ; segundas tenencias de fasile ios á ios alféreces D. Joaquín Carcer, D. Pió Sotoiengo, D. Juan Velarde yRoxas, D. Manuel de San Llórente y D. Joaquín MaTÍa Es­ criba, este8 dos últimos de granaderos ; empleo de alférez de gra­ …</t>
  </si>
  <si>
    <t>Cardador, Bartolomé de Luque</t>
  </si>
  <si>
    <t>Bartolomé de Luque Cardador</t>
  </si>
  <si>
    <t>va, id. en Aguilar............. 2200 D. Gonzalo Josef del Real , id...................... 2200 D. Josef de Luna, id. en Cabra................... 2200 D. Bartolomé de Luque Cardador, id....... 2200 D. Pedro Ponce Tobiüa, id............................ 2200 D. Francisco Xavier Casado, id..................... 2200 D. F rancisco …</t>
  </si>
  <si>
    <t>Cárdenas, Antonia</t>
  </si>
  <si>
    <t>Antonia Cárdenas</t>
  </si>
  <si>
    <t>José González, 12. D. Jo­ sé Baldisan, 25. D. José Gregorio de la Mata, 10. D.Felipe Sánchez, 1 y 4. Don Manuel Marín , 16. D. Vicente Caballero, 2. Doña Antonia Cárdenas, 2. Doña Encarnación Carrillo, 2. Doña Manuela Carrillo, 2. D. Marcelo Aravnbulo, 2. IX Manuel Mtrabal, 3. D., Cipriano Mirabal, 4. XX Miguel Cevallos,4. I)…</t>
  </si>
  <si>
    <t>Cárdenas, Felipe</t>
  </si>
  <si>
    <t>Felipe Cárdenas</t>
  </si>
  <si>
    <t>n y maestro , 12. D. Pedro Amezaga, id., 12. D. José Beltran, id., 6. D. Redro Rolando., id* 6. D. José Navarrete , id. , 6. D. José Tacaño, id., 12. D. Felipe Cárdenas, 4 y 2- rs?. D. Miguel Mascare, S. I). Manuel Tejada, '8. D. Antonio Amezaga , 35. D. José Peña, 13. D. José Dámaso Árgueda, 8. D. Matías pastor, 8. D. Manuel…</t>
  </si>
  <si>
    <t>Cárdenas, José García</t>
  </si>
  <si>
    <t>José García Cárdenas</t>
  </si>
  <si>
    <t>de los Ríos y D. Manuel Aivarez de Navia; subtenencia de granaderos á D. José: González; de fusileros á D. José Ramón Moreno, D. José Benito Mendez, D. José García Cárdenas, D. Antonio Quintana, D. Anto­ nio Villegas, D. Pedro Perez Uriondov D. José Guerra y D. José María Celada; y de bandera á D. Juan López y D. José Benito …</t>
  </si>
  <si>
    <t>Cardiner</t>
  </si>
  <si>
    <t>e la ar­ tillería real y portuguesa durante este sitio, particularmente al tenien­ te coronel Robe que abrió las baterías en brecha, al mayor May, al capitán Cardiner, al mayor íloiccmbe y aí teniente Bourchier de la artillería real, al capitán de Resberg de ia artillería alemana, y al mayor Juíiot de la portuguesa. „ Atendie…</t>
  </si>
  <si>
    <t>Carios</t>
  </si>
  <si>
    <t>ste se va ieron dos griegos que hicieron un lidad. _ ensayo en e! T.,jo junto á Toledo en presencia del 5.0 Como este aparato lo lleva el mismo .bozo Emperador Carios v, de lo qual hace mención el atado á su cuerpo y es poco voluminoso, puede célebre Bacoo. Posteriormente se modificó y per­ entrar en los parages estrechos, y …</t>
  </si>
  <si>
    <t>Cárir</t>
  </si>
  <si>
    <t>.... . I4Ó0 sona de los vasallos , quaJquiera que sea. Excmo. Sr. D. Jum Bautista Stroiz..... 200 ,, La prestóte ordenanza se insertará en el pe­ Sr. D. Cárir/s C Tuina............................ -200 riódico ministerial del gran ducado. Sr. D........ Parin............ . • 5© ,,Dado en Wurtzbargo 4 14 de diciembre de Sr. D..…</t>
  </si>
  <si>
    <t>Carleton</t>
  </si>
  <si>
    <t>leras. Es imposible portarse mejor que !ó hicieron estos oficiales. .También merecen elogio el teniente Gdronel Brooke del 4, el ho­ nor abe tejiente coronel Carleton del 44, y el teniente coronel Grey dd 30, el cual por desgracia fué muerto. El segundo batallón del regimiento 38, á las órdenes del teniente coronel Nugent, y …</t>
  </si>
  <si>
    <t>Carlier, José</t>
  </si>
  <si>
    <t>José Carlier</t>
  </si>
  <si>
    <t>de Soria; O. Bisiiio Roldan y Go* diuez, subteniente agregado al de Africa ; D. Pedro Pirez, cadete del regimiento infantería del infante D. C-drlos; D. José Carlier , y Don Francisco de Paula Piazaola, cadetes y alumnos de la academia mili­ tar de la isla de León ; D. Miguel A fouso Villagomez, cadete de Or­ denes Militares …</t>
  </si>
  <si>
    <t>Carlo</t>
  </si>
  <si>
    <t>an) que hubo el 12 del raes pasado en Cari— ton- Iiouse. Ea este dia el Príncipe-Regente dio un Madrid s de abril. grao banquete, á que asistieron ia princesa Carlo­ ? 1 u ta , ia duquesa de Ybrck don sus damas de honor, S. M. ha celebrado hoi consejo de ministros. los duques de Yorck y de Cambridge, lp£"lores Moira , Erskine…</t>
  </si>
  <si>
    <t>Carlos</t>
  </si>
  <si>
    <t>por io qual se ha desordenado' en términos, que no nífica , á la qual asistieron ei Príncipe Real y el debe ser considerado como una fuerza efectiva. Príncipe Carlos. El sábado hemos recibido, aviso de que habían salido de Brest 14 coríariosde macho porre para Ntiremberg a de diciembre. cruzar en el canal. - Esta noche ha lle…</t>
  </si>
  <si>
    <t>Gaceta de Madrid n.º 14</t>
  </si>
  <si>
    <t>muchos estragos de esta especie en Pentridee, pueblo francés arrttst rara á V. Al d un cadalso Ileage , South- Wingfield , Ikeston , Shcepshea- como d Carlos 1 de Inglaterra. Luis, aunque in­ de Los que hacen estos destrozos toman tales clinado naturaiiiunio al ¡neo , no quiso seguir aquel precauciones y guardan tal secreto, …</t>
  </si>
  <si>
    <t>ares y alumno de la referida academia ; D. Diego Galvez cadete y alumno de la misma ; D Francisco Luque, cadete del regimiento infantería del infante D. Carlos; D. José Segundo Carbnjal cailete del de Cantabria: D. José Aparici y García , cadete de reales guardia de infantería Walona ; como asimismo á los distin­ guidos .y al…</t>
  </si>
  <si>
    <t>Cárlos</t>
  </si>
  <si>
    <t>ca. 'régimiento de Mtfrcia , a.° de inlantetía ligera. Cejudo (D. Josef), alcalde de corte. Hervás (D. Juan Pablo), maestro de ceremoniasr Charpenay (D. Cárlos), capitaa de tiradores de de.S.M. la guardia real. ÍÍOcés (D. Antonio)', capitán de artillería. Charricu (D. Juan Bautista), granadero de la Inganni (D. Franciico), su…</t>
  </si>
  <si>
    <t>Gaceta de Madrid n.º 126</t>
  </si>
  <si>
    <t>o en sü carta aquello de ¿ quién le jñáadá fiiv.tnd. &lt;er;frán,ces ? ¿Lolera vmd. la China y el Mogol* .¿ Sabe vmd. por casualidad en tiempo del señor D. Carlos iv ? No por cierto. la razón que ha tenido para ello? Yo,no la alcan­ Sin embargo , e^t£.Soberano era:nieto de Felipe V, zo i y voi á buscarla echándome á discurrir po…</t>
  </si>
  <si>
    <t>mitad de ella; pero .esta mitad jamas podrá pasar tura dinamarquesa con una excelente traducción de 800 francos, pnes esta es iapensioa mayor que del D. Carlos, del señor SJíiller. puede tenerse. . ‘ El to del corriente perdió la universidad de Los titulates.entrarán en el goce de estas pen­ Kiel uno de sus mas célebres profe…</t>
  </si>
  <si>
    <t>Gaceta de Madrid n.º 145</t>
  </si>
  <si>
    <t>a en esta manera: Encomiéndoos, porque de aquí adelante no reguéis á Dios por él , sino hermanos míos, un Ave María por la santísima comu­ por el Reí D. Carlos y por la Reina Doña J nana, que nidad, perqué nunca caiga: encomiéndoos otra Ave son Reyes verdaderos, y dad al diablo estos Reyes to­ María peí S. M. del Reí Juan de …</t>
  </si>
  <si>
    <t>an), subteniente del mismo regi­ dé. dirigirse á Masegoso, y apoderarse de su puente miento. sobre ei T juña, que aseguraba su marcha á Bri- Gayaho ( D. Carlos), teniente dé granaderos de bueg-i: obligado á'eombatir, rechazó los ataques del ídem. enemigo mientras este pudo hacerlos con sus fuer- Gil ( D. Sebastian), capitán d…</t>
  </si>
  <si>
    <t>Para la caballería. Pellicer (D. Antonio), hacendado. Oasaca corta de paño axul turquí abrochada Saochez (D. Carlos), cazador de montaña de por delante -hasta la cintura, coa cuello , vuelta y Avila. •vivos amarillos. 'Tamarit (D. Mariano), comerciante. Pantalón .ancho de paño axul turquí con bota Teofel</t>
  </si>
  <si>
    <t>Gaceta de Madrid n.º 209</t>
  </si>
  <si>
    <t>840</t>
  </si>
  <si>
    <t>ervarle de todo insulto , y di­ articulo I. ,, La función de iglesia, que por sipar sus temores.....Podrá parecer inoportuna esta disposición del Reí D. Carlos 11, y desde su tiem­ digresión , pero ia justifica la indignado!* contra un po , se ha celebrado lodos los años el dia del vier­ hombre, que, por machos motivos hubier…</t>
  </si>
  <si>
    <t>ndación, y le ha adquirido la consideración y respeto de todo el exército. ,,Por todas razones estoy satisfecho de la conducta del mariscal -de campo D. Carlos España, y del briga iier D. Julián Sánchez, y délas tropas de su mando respectivo, así como de la del mariscal de Campo I). Miguel de Alava, y del brigadier D. José Ol…</t>
  </si>
  <si>
    <t>ción formada por ias Cortes ex­ traordinarias y generales del reyno que ha de gobernar én adelante la nación española, presidiendo este acto el señor D. Carlos de España, gobernador dé esta capital y su provincia, y el mariscal de campo D. Miguel de Alava. El concurso dél pueblo fue tan inmenso, qua^parecía haberse multiplica…</t>
  </si>
  <si>
    <t>edición de tropas inglesas, y el 9 debía salir de Mesina y Malta, sin que se sepa su dirección y objeto. Los periódicos franceses refieren que el Sr. D. Carlos iv salió de Marse­ lla el 2 y de mayo, dirigiéndose por el Piamonte y Toscana á Roma, adon­ de debía llegar el 1.7 de junio con la Rey na su esposa, y la familia que t…</t>
  </si>
  <si>
    <t>n la reserva la sexta división al mando del mayor general Clinton: la séptima división mandada por el ma­ yor genera! Hope, y la división española de D. Carlos de España: previne al general Pack que apoyase la izquierda de la quarta división, atacando la altura de los Arapiles, que el enemigo sostenía. La primera división lig…</t>
  </si>
  <si>
    <t>do el respeto y la mas alta estimación de todo el exército. Ele tenido todos los motivos para ectar satisfecho de la conducta del ma­ riscal de campo D. Carlos de España, de la de D. Julián Sánchez, asi como de las tropas de sus respectivos mandos: igualmente han llamado mi atención la buena conducta del mariscal de campo D. …</t>
  </si>
  <si>
    <t>este dia el nuevo Ayuntamiento salió en cuerpo de las casas consistoriales con las ceremonias de estilo, baxo la presidencia del ma­ riscal de campo D. Carlos de España, comandante general interino de Cas­ tilla la Nueva y de esta corte, y se dirigió al real palacio con el objeto de cumplimentar al Exorno. Sr. capitán general…</t>
  </si>
  <si>
    <t>ución for­ mada por las Cortes extraordinarias y generales del reyno, que ha de gobernar en adelante la nación española; presidiendo este acto el Sr. D. Cárlos de España, gobernador de esta capital y su provincia, y el mariscal de campo D. Miguel de Alava. El concurso del pueblo rué tan inmenso que parecía hubiese multiplicad…</t>
  </si>
  <si>
    <t>último de las generales extraordinarias que actualmente se celebran en Cádiz. Los individuos de que sé compone esta junta son los siguientes: El Sr. D. Cárlos de España, mariscal de campo, y comandante general interino de Castilla la Nueva. El limo. Sr. D. Atanasio Puyal y Poveda, obispo de Caristo y auxiliar de Madrid. El Sr…</t>
  </si>
  <si>
    <t>r las diabólicas maquinaciones de Napoleón y sus agentes. E11 el dia 10 del corriente se instaló con las debidas formalidades, y asis­ tencia del Sr. D. Carlos de España, mariscal de campo, comandante gene­ ral de esta provincia, y gobernador interino de Madrid, en la sala principal de la real cárcel de corte el tribunal inte…</t>
  </si>
  <si>
    <t>e setiembre. Parte dirigida por el general en ge/e del segundo y tercer exércko T&gt;m -Francisco Xavier Elio al comandante general de Castilla la Nueva D. Carlos de España. Al amanecer de este dia rompí el fuego con seis cañones y dos obuses centra el castillo de Consuegra, que tenía rodeado de tiradores á medio tiro de fusil á…</t>
  </si>
  <si>
    <t>de haber encontrado marcado tan acertadamente por la sabiduría, zelo y prudencia de mi predecesor en este gravísimo encargo él Sr. mariscel de campo D. Cárlos de España, el sendero que debo seguir para fixarla. Madrid 23 de setiembre de 1812. = Antonio Ignacio de Cortabarría. 2 Por mandado de S. S. I. 2 Manuel Abad , secretar…</t>
  </si>
  <si>
    <t>Carlos, Don</t>
  </si>
  <si>
    <t>Don Carlos</t>
  </si>
  <si>
    <t>1104</t>
  </si>
  <si>
    <t>, ha tenido á bien mandar la Regencia del reyno se le den gracias, y que se anuncie en la gaceta. En el parte que se insertó en la gaceta dado por el general Don Carlos España recomendando la buena conducía de los gefes dé su división eu íes acciones á que asistió con el exército de lord Wellingtoo , se puso por equivocación …</t>
  </si>
  <si>
    <t>Cárlos-Chretiem</t>
  </si>
  <si>
    <t>Gaceta de Madrid n.º 17</t>
  </si>
  <si>
    <t>idos, que valian 140 libras ester­ La sociedad de latinidad de Jena perdió el $ linas cada ano: de 20 á 30 se han roto en una so­ de abril de 1808 al conde Cárlos-Chretiem de la la noche. En todo este pais y 10 millasen coaLippc, que era el quinto profesor ; en su lugar ha torno se ven continuamente excesos de esta espe­ nomb…</t>
  </si>
  <si>
    <t>Carlota</t>
  </si>
  <si>
    <t>teger 1a in­ complet • ría , y qu- "o encontrarán níngua obstá­ dependencia del gobierno siciliano. culo q e vencer. S Femando conserva todavía el La Reina Carlota, dexando ó fingiendo que título y nombre de Rei, lo cierto es que no rei­ dexa los cuidados y vanidades de estq mundo, se na ya. Verdad es que el gazetero de Messi…</t>
  </si>
  <si>
    <t>Carmena, Miguel</t>
  </si>
  <si>
    <t>Miguel Carmena</t>
  </si>
  <si>
    <t>del Olmo, id. en Ecija................. 2200 D. Antonio Nadales, id................. 2200 D. Francisco Ximenez, id............................. 2200 D. Miguel Carmena, id................................... 22co D. Juan Fernandez Delgado, id.................... 2 200 D. Jos, f de ía Cruz, id en Mantilla............ 2200 D. Lui…</t>
  </si>
  <si>
    <t>Carmiñany, Sebastian</t>
  </si>
  <si>
    <t>Sebastian Carmiñany</t>
  </si>
  <si>
    <t>debo omitir tampoco la bizarría de- ios lanceros alemanes, ni ia de su sargento mayor Deereíf, ni menos el elogio debido á ¿a memoria del subteniente D Sebastian Carmiñany , que fué muerto después ce ha­ ber acreditado el valor mas dístirguido. Ei ayudante mayer £'.hune« ringner, y los subtenientes Knatz y Fink, también del e…</t>
  </si>
  <si>
    <t>Carmona, José</t>
  </si>
  <si>
    <t>José Carmona</t>
  </si>
  <si>
    <t>rte, 17. Portero, Pablo Tello , 2. — médicos. D, Gabriel Moreno, catedrático de matemáticas, 100. D. Baltasar Villalobos, 50. D/ Manuel Dávalos , 50. D. José Carmona , 50. D. Domingo Bgoaguirre , 25. D. Manuel Rubia, 25 D. José Manuel Valdés , 25. D.'Lo­ renzo niñones , 25. D. Juan de la Roca , 25. D. Andrés Gómez , 25. D. Jo…</t>
  </si>
  <si>
    <t>Carmona, Juan</t>
  </si>
  <si>
    <t>Juan Carmona</t>
  </si>
  <si>
    <t>rico Hortet, residente en Plañóles D. Antonio Serrano , residente en Cabra... 2200 en Cataluña...................... ........................... 2200 D. Juan Carmona, subdiácono , id............ 22.a D. Joaquín Padilla, id.................................. 2200 D. Elias Olmedo, id.................................... 3200 Ex-a…</t>
  </si>
  <si>
    <t>Carnerero, León María Lopíz</t>
  </si>
  <si>
    <t>León María Lopíz Carnerero</t>
  </si>
  <si>
    <t>« QUARTEL DE SAN FRANCISCO. . k BARRIO DE LAS VISTILLAS- .■ r&gt; V ojíícfi».' í ,&lt;s Alcalde de barrio En virtud de providencia déj !)r, p.Leon desgas­ D. León María Lopíz Carnerero. ta , caballero de la Orden Real.de España ¿ consejo Diputado eclesiástico de S. M., juez de primera instancia ¡apesta cojrtejr«dada en 11 del corri…</t>
  </si>
  <si>
    <t>Carnicero, Diego</t>
  </si>
  <si>
    <t>Diego Carnicero</t>
  </si>
  <si>
    <t>, na podrán venderlas por sí á ninguna otra carrero , D Josef M..rtinez Campo, D. Martin Fo­ persoga, sino que la venta ha de hacerse por me­ ronda y D. Diego Carnicero; quienes contesiaroo dio de un maestro armero, con mucho tino, inteligencia y despejo á quantas 11. Los prenderos, quinquilleros, y qoales- preguntas se les h…</t>
  </si>
  <si>
    <t>Carnicero, Fernando</t>
  </si>
  <si>
    <t>Fernando Carnicero</t>
  </si>
  <si>
    <t>. Mariano del Pino, I&gt;. José de Osea y D. Manuel Luxan. El Consejo de Regencia se ha servido promover á subtenientes del real cuerpo de ingenieros, á D. Fernando Carnicero subtenien­ te agregado al regimiento segundo de Sevilla ; D. José Antonio An­ drés, subteniente del de Africa: ü. Francisco Xavier de Mariatcgui, subtenien…</t>
  </si>
  <si>
    <t>Caro, Nicolás</t>
  </si>
  <si>
    <t>Nicolás Caro</t>
  </si>
  <si>
    <t>to. Talentos y saber guel................................................................... 2200 son necesarios. ¡Quáotas víctimas ha sacrificado en D. Nicolás Caro, id. enCubos...................... 2200 esta revolución la ignorancia! ¿Qué responderá al D. F rancisco Brioso, id. en Sta. María de cielo y á su patria el gefe …</t>
  </si>
  <si>
    <t>Carolina</t>
  </si>
  <si>
    <t>81</t>
  </si>
  <si>
    <t>Orillas del Mein 18 de diciembre. chiduque Roduifo , acompañado de los condes Desde el año de 1790 h.ist» 1801 se regola la Laurencie y Thierheioj la princesa Carolina de cosecha de patatas en este distrito un año con otro Lobkowitz , princesa de Schwarzenberg , presi­ en 30.651411 scheffeh , esto es , 1.245521 schedenta de l…</t>
  </si>
  <si>
    <t>Gaceta de Madrid n.º 254</t>
  </si>
  <si>
    <t>lor del menosprecio ¿esn que venibs tratadas'las -¡ . . w -Ñápales $ de,ocfubre. .; innumerables peticiofi^ que se han presentado desg Se dice que la Reina Carolina ha obtenido en de 30 años para obtener el desagravio del mayor fin el permiso para salir de Sicilia, y que los ingle­ maf que aflige á la nación, sin que el puebl…</t>
  </si>
  <si>
    <t>Carpegua, Felipe</t>
  </si>
  <si>
    <t>Felipe Carpegua</t>
  </si>
  <si>
    <t>ara este efecto; las quales son tanto bien nombrar al capitán primero del real cuerpo tic mas á propósito para esto, quanto ia mayor parte Artillería D. Felipe Carpegua comandante de ba­ ocupan la ti rra por mili poco tiempo. Él miagro tallen del mismo cuerpo; y al capitán segunda solo nec.^ita tres me-es, por cuya razón lo r…</t>
  </si>
  <si>
    <t>Carpió, Vicente</t>
  </si>
  <si>
    <t>Vicente Carpió</t>
  </si>
  <si>
    <t>Han hecho , pues , los españoles en esta ocasión D. Justo Serrano, id. en Alcaudete............ 2200 lo tnismo que en las dos anteriores mudanzas de D. Vicente Carpió, id. en Linares............. 2200 dinastía, que ha sido oponer la mas obstinada re­ D. Gil de Gamez, id. en Jaén................... 2200 sistencia al nuevo orde…</t>
  </si>
  <si>
    <t>Carr, Francisco</t>
  </si>
  <si>
    <t>Francisco Carr</t>
  </si>
  <si>
    <t>resente croenanzá, liega á morir antes Sr. D. Jtiiii Deslinde............. ............... 200 que este vasallo nos haya pedido la investidura, ó Sr. D. Francisco Carr.-f-........................ aoo si Ueg.se á sobrevenir alguna mutación en la per­ Volteadores de 1 1 gu.ud.a reo............. . I4Ó0 sona de los vasallos , qua…</t>
  </si>
  <si>
    <t>Carranza, Jostf</t>
  </si>
  <si>
    <t>Jostf Carranza</t>
  </si>
  <si>
    <t>ngel de Di-go. Diputados seculares D. Francisco de Santiago. D. Félix A var z VilLt. .ó. Secretario . D. Juan Josef Rubio. D. Vicente M., ri* Teraya. D. Jostf Carranza. .. ; . &gt;4 ¿j. Secretario BARRIO DB MIRA Mí RIO. D. Lúeas Escolar. ••• •• Alcalde de barrio ' BARRIO DEL HUMILLADERO. , D. Francisco María de Odiaga. ■ ^ .W Di…</t>
  </si>
  <si>
    <t>Carrasco, Catalina</t>
  </si>
  <si>
    <t>Catalina Carrasco</t>
  </si>
  <si>
    <t>, 2. I). Gaspar Silva , 2. Don Francisco ligarte, 2. D. Matías Cuello , 2. D. Francisco Siadas , 4. 1&gt;. Fran­ cisco Figueiras, 2. Manuel Artiaga , 1. Doña Catalina Carrasco , 2. Doña Ma­ ría Blanco por sí y su madre , 2. D. Baltasar Vargas , 4. D. Gaspar Ramí­ rez , 1. D. Pedro Vinces , 2. 1). Sebastian Ramírez, 1. D. Francis…</t>
  </si>
  <si>
    <t>Carrasco, Femando</t>
  </si>
  <si>
    <t>Femando Carrasco</t>
  </si>
  <si>
    <t>la, que vacó por fallecimiento de D. Antonio: y por la constitución del estado, REI de las Es- Ferrando. • j panas y de las Indias. Y ai ex- Cayetano D. Femando Carrasco, pres- j Hemos decretado y decretamos lo que sigue: bítero, para que también sirva en encomienda otro i „En los batallones de milicia cívica de esta ca­ bene…</t>
  </si>
  <si>
    <t>Carrasco, José</t>
  </si>
  <si>
    <t>José Carrasco</t>
  </si>
  <si>
    <t>a del reyno se ha servido nombrar subtenientes de in­ fantería con destino á los cuerpos del segundo y tercer exército á D. Juan Vela, D. Juan Mozas, D. José Carrasco, D. Diego Perez, Don León Gordo, D. José González Yuste, D. Juan Marmol Calero, Don Calixto Rodríguez, D. Ildefonso Rulz, D. Agustín Lázaro, D. Juan Biirguiilos…</t>
  </si>
  <si>
    <t>Carrasco, Josef</t>
  </si>
  <si>
    <t>Josef Carrasco</t>
  </si>
  <si>
    <t>a del reyno sé ha servido nombrar subtenientes de infantería, con destino á los cuerpos del segundo y tercer exército, á D. Juan Vela, D. Juan Mozas, D. Josef Carrasco, D. Diego Perez, D. León Gordo, Don Josef González Yuste, D. Juan Manuel Calero, D. Calixto Rodríguez, Don Ildefonso Ruiz, D. Agustín Lázaro, D. Juan Burguillo…</t>
  </si>
  <si>
    <t>Carrasco, Manuel Celestino</t>
  </si>
  <si>
    <t>Manuel Celestino Carrasco</t>
  </si>
  <si>
    <t>e Salcedo............ ........ 12600 D. Santiago Arias................................... 1459 33 D. Josef Antonio Salcedo..................... 12600 D. Manuel Celestino Carrasco , por sí Doña Juana de Abarrátegu¡.;;.í7........ 118800 y como apoderado de Doña Juana D. Ramón María de Ripa....... ............ 5x6ñií no María Ló…</t>
  </si>
  <si>
    <t>Carrascon, Santiago</t>
  </si>
  <si>
    <t>Santiago Carrascon</t>
  </si>
  <si>
    <t>isión. La pérdida de esta ha consistido en 19 muer­ tos y 54 heridos, poces de gravedad : entre aquellos Jo fue el ca* dete cr n funciones de oficial D. Santiago Carrascon , joven de gran­ des esperanzas. „Eíí el parte detallado que me da ei teniente corcnel Tabuenca</t>
  </si>
  <si>
    <t>Carrea, José Miguel</t>
  </si>
  <si>
    <t>José Miguel Carrea</t>
  </si>
  <si>
    <t>1819</t>
  </si>
  <si>
    <t>del putb'o, procediéndose luego á la execucion de la primera petición, relativa á la deposición de los vocales del poder executivo, y subrogación de D. José Miguel Carrea, Don Bernardo O’ higgins, y D. Gaspar Mario. Ignoramos los últimos resultados de esta convulsión, aunque es de creer haya terminado felizmente.” „Chile.— Pe…</t>
  </si>
  <si>
    <t>Carrera</t>
  </si>
  <si>
    <t>Gazeta de la Regencia de las Españas n.º 19</t>
  </si>
  <si>
    <t>171</t>
  </si>
  <si>
    <t>iotas ; y sir­ viéndole de ayudante y so'dado el capellán del batallón ligero de México, D. Ramón Eoheveste, avanzó á ellos, desando ennd cen­ tro al capitán Carrera con 2 piezas. Los rebeldes entonces. viendo la resolución de esta valiente tropa, y no podiendo resistir su bien di­ rigido luego y el de la artillería, abandona…</t>
  </si>
  <si>
    <t>Carrera, José</t>
  </si>
  <si>
    <t>José Carrera</t>
  </si>
  <si>
    <t>170</t>
  </si>
  <si>
    <t>oneli, de que si los enemigos se adelantaban , los atacase decididamente, se dirigió con 2 piezas al mando del comandante de artillería, el capi­ tán D. José Carrera, y los dragones de S. Carlos al punto que ocupaba Sola , que creyendo mas propio de su honor acometer al enemigo que esperarlo, había llegado ya á las manos. Ent…</t>
  </si>
  <si>
    <t>é Annenteros, por sí y su hijo D. Florentino, por 5 soldados , du­ rante la guerra, 45 ps. fs. mensuales. I). Santiago Malagamba , por 4 , idern, 36. D. José Carrera, por 4,36. D. Juan Reynols por 4 , 36. El comisario or­ denador honorario D. Próspero Amador García, por 4,36. El tesorero de exército honorario T). Bernabé de C…</t>
  </si>
  <si>
    <t>Carrera, Manuel</t>
  </si>
  <si>
    <t>Manuel Carrera</t>
  </si>
  <si>
    <t>del consejo de H&lt;t do, á los diie,_tores de bienes Para capital) de esta compañía queda nombra­ nacionales y del Tesoro púbiieo, y á los conseje­ do D. Manuel Carrera, para teniente D. Ju..n An­ ros de Estado conde de Melito y D. Andrés Ro­ drés Fascio, y para subteniente D. Josef María mero Valdés. Marzan. Para comandante de…</t>
  </si>
  <si>
    <t>Carretero, Nicolás Rodríguez</t>
  </si>
  <si>
    <t>Nicolás Rodríguez Carretero</t>
  </si>
  <si>
    <t>................... 2 200 D. Juan S ntos, id. en Ecij ■.......................... 2200 D B,rt'&gt;!oin-é de Lara, id.............................. 2 2CO D. Nicolás Rodríguez Carretero, id. en D. josef Prrez , residente en Cabra........... 2 200 Castro de! Rio................................................. 22co D. Juan S reino,…</t>
  </si>
  <si>
    <t>Carriazo, Juan Alonso</t>
  </si>
  <si>
    <t>Juan Alonso Carriazo</t>
  </si>
  <si>
    <t>orreos D. José de Fuertes, 1000 anua'es que disfruta de sobresuel­ do. El contador D. Félix López Ayllon , mensuales, 18. D. José María Piar, id., 9. D. Juan Alonso Carriazo, id., 9. D. Juan Suavedra, id. , 4. D. Juan. José Hortelano , id., 2. D. Juan Cayetano de Miranda, id., 12. D. José Her­ nández , id. , uno. D. Vicente G…</t>
  </si>
  <si>
    <t>Carrier</t>
  </si>
  <si>
    <t>dole creer me hallaba con porción 'de artillería. — Francisco Heñirá” Puebla de Sanabria 25 de febrero. Un cuerpo de 1200 franceses, mandados por el general Carrier, llegó en los dias 16 y 17 del corriente á Villar de Ciervos. El objeto de estas correrías es recoger víveres , saquear, y destruir el país. En Villar de Ciervos …</t>
  </si>
  <si>
    <t>odrigo, mandó marchar su quarta divi­ sión á atacarle¿ y se verificó cargándole á la bayoneta, y logrando el feliz; resultado de hacer prisionero .al general Carrier.con 200 hombres, después CO Estas son las mismas expresiones que usaron los franceses para disculpar su retirada de Portugal en sus papeles ministeriales. Si hub…</t>
  </si>
  <si>
    <t>Carrillo, Alfonso</t>
  </si>
  <si>
    <t>Alfonso Carrillo</t>
  </si>
  <si>
    <t>os: te ( á teniente de la segnnda comoañía de granade­ ros, en reemplazo de D- Pedro Cárdenas. Capitanes. ART. x. Nuestros ministros de lo Interior y D. Alfonso Carrillo. de la Guerra quedan encargados de la execneion D. Manuel Romero. de este decreto.s: Firmado = YO EL RtT = Por D. Joaquín Gosdejuela. S. M., el ministro secr…</t>
  </si>
  <si>
    <t>Carrillo, Encarnación</t>
  </si>
  <si>
    <t>Encarnación Carrillo</t>
  </si>
  <si>
    <t>sé Baldisan, 25. D. José Gregorio de la Mata, 10. D.Felipe Sánchez, 1 y 4. Don Manuel Marín , 16. D. Vicente Caballero, 2. Doña Antonia Cárdenas, 2. Doña Encarnación Carrillo, 2. Doña Manuela Carrillo, 2. D. Marcelo Aravnbulo, 2. IX Manuel Mtrabal, 3. D., Cipriano Mirabal, 4. XX Miguel Cevallos,4. I). Ig­ nacio Carguacarschi,…</t>
  </si>
  <si>
    <t>Carrillo, Félix María</t>
  </si>
  <si>
    <t>Félix María Carrillo</t>
  </si>
  <si>
    <t>Henares. D. Vicente Ort'z y Alguacil. D. Pedro Atiza. D. Juan Pioeda. D. Josef Vexijar. Subtenientes. D. Josef de Osuna y Quadra. D. Andrés Padillo. D. Félix María Carrillo. D. Pedro Perez Garnacha. Subtenientes. art. vi. En la villa de Valenzaela se forma­ D. Agustin Cubero, de granaderos. rá una compañía. D. Francisco de Ri…</t>
  </si>
  <si>
    <t>Carrillo, Hipólito</t>
  </si>
  <si>
    <t>Hipólito Carrillo</t>
  </si>
  <si>
    <t>o , 7 y 7 rs. D. Anselmo Peña , 8. I). Isidoro Caraved» , 8. t&gt;. Luis Obregoso , 8 D. Martin Garro , 8. D. Juan Vázquez , 8. D. Francis­ co Casas,-8. D. Hipólito Carrillo , o Ü Manuel Pinillos, 8. D. Juan José Pi­ nillos , 8. I). Santiago Pinillos , 8 1). Luis Menacho , 8. D. Vicente Navar•rete , 3. D. Miguel Velez Villa , 8.…</t>
  </si>
  <si>
    <t>Carrillo, José</t>
  </si>
  <si>
    <t>José Carrillo</t>
  </si>
  <si>
    <t>Manuel Vera, 63 y 7. D. José Ureta, 55 y 5. D. José Castillo , 47 y 6. D. José. Cicilia, 47 y 6. D. Pedro Robles , 41 y 5. D. Manuel Solano, 41 y 5. D. José Carrillo, 63 y 6. El Excmo. cabildo de esta ciudad á cuenta de 100.000 ps. que ha ofrecido, 70.000. El capitán del ber­ gantín corsario Cantabrios de Buenos-Ayres D. Mart…</t>
  </si>
  <si>
    <t>Carrillo, Juan Manuel</t>
  </si>
  <si>
    <t>Juan Manuel Carrillo</t>
  </si>
  <si>
    <t>ue á continuación se expresan D. Amonio Varo Clavija. los batallones y compañías de milicia cívica qne á D. Francisco Chaparro. cada uno se detallan. D. Juan Manuel Carrillo. art. ir. En la villa de Baena se formará un art. iv. En la villa de Montemayor se for­ batallón de á ocho compañías. marán dos compañías. Nombramos para…</t>
  </si>
  <si>
    <t>Carrillo, Manuela</t>
  </si>
  <si>
    <t>Manuela Carrillo</t>
  </si>
  <si>
    <t>orio de la Mata, 10. D.Felipe Sánchez, 1 y 4. Don Manuel Marín , 16. D. Vicente Caballero, 2. Doña Antonia Cárdenas, 2. Doña Encarnación Carrillo, 2. Doña Manuela Carrillo, 2. D. Marcelo Aravnbulo, 2. IX Manuel Mtrabal, 3. D., Cipriano Mirabal, 4. XX Miguel Cevallos,4. I). Ig­ nacio Carguacarschi, 6. D. José Bodelon , 2. D. M…</t>
  </si>
  <si>
    <t>Carrillo, Pedro José</t>
  </si>
  <si>
    <t>Pedro José Carrillo</t>
  </si>
  <si>
    <t>uarto D. Mariano Almiron , 100. El quinto D Juan Ensebio Punentel, 83. El sexto D. Miguel de Jaras, 83. El séptimo D. Matías Gallardo , 83. El octavo D. Pedro José Carrillo , 66. El noveno D. Marcos Palma, 66. El décimo D. Francisco Chacón , 60. El un­ décimo D. Tomas Doblado, 50. El duodécimo D. Lorenzo Amat, 50. El agregado…</t>
  </si>
  <si>
    <t>Carro, Antonio</t>
  </si>
  <si>
    <t>Antonio Carro</t>
  </si>
  <si>
    <t>Clavo!. El cadete D, Victoriano Ta’baencrí. Los sargentos segundos Hilarión Harto y Ambrosio Rodrí­ guez. Caballería. Teniente D. P»blo Puerta. Posta D. Antonio Carro. Carabineros, Ventura Hernández , Juan Martínez y Miguel Orna. Soldados, Manuel Melero, Antonio Benito y Francisco García.” M/r. •,..Recomiendo particularmente …</t>
  </si>
  <si>
    <t>Carrol</t>
  </si>
  <si>
    <t>s guerrillas patrióticas , y los cñ 'Jales y solda­ dos de m riña de su mar-ido. Al mismo tiempo manifiesta cuanto ha debido á Sir Howard Oougks y ai general Carrol, que se embarca­ ron á bordo del Venerable, y se ofrecieron á servir en cuanto se les creyese fufes. Se inserta también el oficio del general Roes , comandante de…</t>
  </si>
  <si>
    <t>1058</t>
  </si>
  <si>
    <t>es. El 2 se resolvió atacar á Gartaria, para cuyo efecto desembar­ caron 2 compañías de soldados de marina al mando del mayor WilUana, acompañado del general Carrol, que hicieron un reconoci­ miento ; pero descubriendo destacamentos enemigos por las monta­ ñas y por ctro lado que las guerrillas, sobre cuya asistencia se con­ …</t>
  </si>
  <si>
    <t>Cartagena, José María</t>
  </si>
  <si>
    <t>José María Cartagena</t>
  </si>
  <si>
    <t>as tropas de la división se han portado con ei valor, serenidad y firmeza que acostumbran. Y no puedo menos de recomendar ca particular al arquitecto D. José María Cartagena por ios servicios importantes que ha hecho, y por los cnai-e* te eonaidero acreedor á plaza de subteniente de zapado­ res ; y é D. Vicente Pastor, vecino…</t>
  </si>
  <si>
    <t>Cartavarrh, Antonio</t>
  </si>
  <si>
    <t>Antonio Cartavarrh</t>
  </si>
  <si>
    <t>n 7 del cor­ riente, para las 16 plazas de ministros del tdbnnal supremo de justi­ cia , con el orden de preferencia que sigue, á D. José María Paig, D. Antonio Cartavarrh , D. Antonio López Quintaba, D. Francisco López Lisperguer, D. Gerónimo Diez, D. Ciríaco González Carva­ jal , D. Antonio Cano Manuel, D. Tadeo Segundo Góm…</t>
  </si>
  <si>
    <t>Carva, Ciríaco González</t>
  </si>
  <si>
    <t>Ciríaco González Carva</t>
  </si>
  <si>
    <t>n de preferencia que sigue, á D. José María Paig, D. Antonio Cartavarrh , D. Antonio López Quintaba, D. Francisco López Lisperguer, D. Gerónimo Diez, D. Ciríaco González Carva­ jal , D. Antonio Cano Manuel, D. Tadeo Segundo Gómez, D. Ma­ nuel dei Castillo Negrete , D. Francisco Ibañez de Ley va , D. Ma­ nuel'Antonio de la Bod…</t>
  </si>
  <si>
    <t>Carvajal, Bartolomé</t>
  </si>
  <si>
    <t>Bartolomé Carvajal</t>
  </si>
  <si>
    <t>é Francisco de Vera, D. José Vila y D. Juan Crisóstomo Mar­ tínez ; la ayudantía del primer batallón á D. Juan de Palma; tenen­ cias, de granaderos á D. Bartolomé Carvajal, y de fusileros á Don Juan González de Caldas, D. Ignacio Cal?o, D. Alexandro de ios Reyes , D José Viangui, D. Ambrosio Agustín, D. José de los Ríos y D. …</t>
  </si>
  <si>
    <t>Carvajal, Ciríaco González</t>
  </si>
  <si>
    <t>Ciríaco González Carvajal</t>
  </si>
  <si>
    <t>1358</t>
  </si>
  <si>
    <t>ado —Joaquín de J^lo^quera y Figucroa —Juan Vtfíavicexcio.—Igrtacw Rodrigue» de Riñas*— Juan Peres VdlamiL —• En Cádiz á 13 de Noviembre de 1812, — A D. Ciríaco González Carvajal. Segundo. D. Fernando vii, por la gracia de Dios y por la Constitución de la monarquía española, rey de las Espadas, y en su ausencia y cautividad l…</t>
  </si>
  <si>
    <t>Carvajal, Francisco</t>
  </si>
  <si>
    <t>Francisco Carvajal</t>
  </si>
  <si>
    <t>Joaquín Miguel de Arna­ do , subdelegado de Cajamarca , 200. D. Claudio Fernandez Prada, hacendado ,de Laran , 1000. Dependientes de dicha hacienda. D. Francisco Carvajal, 25. I). Manuel Chaves y Caravero, 25. D. Manuel Roxas, médico, 25. D. Pedro Chaves , 25. D. Gerónimo N. , 10. José Severino, 10. Individuos de mar. El capi…</t>
  </si>
  <si>
    <t>Carvajal, José María</t>
  </si>
  <si>
    <t>José María Carvajal</t>
  </si>
  <si>
    <t>862</t>
  </si>
  <si>
    <t>guarde la vida de V. E. muchos años. Campa­ mento sobre el Cega cerca de la Lastra 3 de agosto de 1812. — Excmo. Sr. — Cárfos de España»— Excmo. Sr. D. José María Carvajal.” /</t>
  </si>
  <si>
    <t>Carvalho</t>
  </si>
  <si>
    <t>s despoja regularmente todos los años de tu tan e ntraría al derecho de gentes, afectó dema­ producto. Ua mes después que llega ia flota dei siado al ministro Carvalho, entonces conde de Brasil, no qaeda ni una sola moneda de oro &lt;a Oeyras, y después marques de Pombal , para que Portug-d. La totalidad pasa á Inglaterra , y au…</t>
  </si>
  <si>
    <t>Cas</t>
  </si>
  <si>
    <t>ritorio , situado á la iz­ quierda del Guadiana, se trasladen irremisiblemente á la otra orilla*. Según avisan de Cádiz , por allí se ha dicho que el general Cas­ taños pasaría á mandar al campo de S. Roque , llevando de segundoai general ingles Graham : y que el general Ballesteros iría á servir baxo las órdenes de lord Weli…</t>
  </si>
  <si>
    <t>Casado, Francisco Xavier</t>
  </si>
  <si>
    <t>Francisco Xavier Casado</t>
  </si>
  <si>
    <t>Luna, id. en Cabra................... 2200 D. Bartolomé de Luque Cardador, id....... 2200 D. Pedro Ponce Tobiüa, id............................ 2200 D. Francisco Xavier Casado, id..................... 2200 D. F rancisco Fuilierat, id.............................. 2200 D. Francisco de Soto, id..................................…</t>
  </si>
  <si>
    <t>Casado, Luis</t>
  </si>
  <si>
    <t>Luis Casado</t>
  </si>
  <si>
    <t>diácono, id........... 2200 P. Juan Perez, id...... ................................ 1...... 2200 P. Miguel Aguado, id.......................... 2200 D. Luis Casado, subdiácono, id................... 2200 P. Mariano Arroyo, id.................................. 2200 D. A ntonio Ramos, diácono , id................. 22CO P- Jose…</t>
  </si>
  <si>
    <t>Casado, Manuel</t>
  </si>
  <si>
    <t>Manuel Casado</t>
  </si>
  <si>
    <t>....... 1100 Ex-carmelitas descalzos. Bx—esculapios. D. Pedro Texada, residente en Jaén......... 2200 D. Antonio Muñoz, residente en esta corte. 2200 D. Manuel Casado, id. en Porcuna........... 2200 D. Felipe de Siles, id. en Valdepeñas de Ex-mínimos. Jacú.............................................................. 2200 D. …</t>
  </si>
  <si>
    <t>Casan</t>
  </si>
  <si>
    <t>ue el batallón se retiró por falta de municiones. Los enemigos tuvieron una pérdida horrorosa; entraron en Tafalla muchísimos heridos, entre ellos el general Casan. Esperamos los detalles de esta gloriosa acción. Continuación/ del discurso Espíritu publico. {Véase la gazeta núm. 17. ) Vulgo. 1 Se habían sometido nuestros ante…</t>
  </si>
  <si>
    <t>1180</t>
  </si>
  <si>
    <t>y repetir la resistencia ai enemigo. En su vista comenzó este á retirarse y a seguir su camino con pérdida de 25 muertos y 63 heridos, entre estos el general Casan que acompañaba á Abbé , de cuyas resultas ha quedado en la caserna de Tafalla sin poder regre­ sar á Piamplona , y algunos contusos. La nuestra es de 6 de estos, d…</t>
  </si>
  <si>
    <t>Casanova, Gaspar</t>
  </si>
  <si>
    <t>Gaspar Casanova</t>
  </si>
  <si>
    <t>D. Loren­ zo Bodero, G. D. Santiago Serón, G. El ayudante de gobierno y varios i ndtviduos , 7$ y 4. Pedro José Vargas , 25. D. Alexo Guiraldez, 25. D. Gaspar Casanova , 25. D. Isidro Arauz, 6. D. José Bernal , 25. D. Ramón Menendez , 25. D. Sebastian Puga, 50. El comendador de la Merced , 50. D. Dio-, go Granados , 20. D. Lu…</t>
  </si>
  <si>
    <t>Casanova, Juan</t>
  </si>
  <si>
    <t>Juan Casanova</t>
  </si>
  <si>
    <t>, 100. D. Valentín Tío, durante la guerra , lO. I). Juan Rafael de Agn-ar, por una vez, 100. D. Antonio Ildefonso Belanconvt, oficial de libros, 30. D. Juan Casanova , id., 25, D. Andrés Váleles Archivero, id., 10. Escribiente D. Pe­ dro I anguenein , id., 6. II. D. Benigno Quiñones, id., 6. Icl. D. Lu»s Blan­ ca, id., 6. Ei …</t>
  </si>
  <si>
    <t>Casas</t>
  </si>
  <si>
    <t>„de Cataluña son. los que lian tenido mas parte en esta acción. Es de esperar igual resultado cuantas veces se presenten en los mis­ mos términos. Al coronel Casas le mataron su cabillo. Elche de la, Sierra 4 de entro de 1812. Una columna francesa compuesta de 600 infantes y 400 cabnlk&gt;s', de bu guarniciones de Jaén , Vülacar…</t>
  </si>
  <si>
    <t>ataques; pero fue en todos vigorosamente rechazada, y se le siguió el a'canee por los batallones de tiradores y cazadores de Cataluña del mando d *l coronel Casas y del teniente coronel D. José Mango, con alguna caballería de húsares de Cataluña, que persi­ guieron á los enemigos hasta Granollers. Penetrados estos, sin duda, …</t>
  </si>
  <si>
    <t>124</t>
  </si>
  <si>
    <t>taluña han hecho por tres puntos un movimiento , al parecer combinado. De la Cerdaña baxaron 1800 hombres, que han sido re­ chazados y batidos por el coronel Casas mas acá de Puigcerdá. Desde Olot se dirigieron 4© á Ripoll, dexando dos batallones en aquella villa, á los que atacó el doctor Robira, haciéndoles considerable núm…</t>
  </si>
  <si>
    <t>Casas, Juan Inocente</t>
  </si>
  <si>
    <t>Juan Inocente Casas</t>
  </si>
  <si>
    <t>16 Continúan los dónaivoos del Perú. Oficiales segundos. D. Juan Inocente Casas , 66 pesos y 5 reales. Don. Fr ancisco González Calvez , 66 y 5. D. Santiago Sánchez , 66 y 5. D. Fran­ cisco Iriondo , 66 y 5. D. Bartolomé Grillo , 66 y 5. D. José Julián de Sologuren, 66</t>
  </si>
  <si>
    <t>Casas, Ventura</t>
  </si>
  <si>
    <t>Ventura Casas</t>
  </si>
  <si>
    <t>subteniente, á teniente conrra las órdenes del consejo , á las quaies atri­ de la sexta compañía. ' buyen di dios fabricantes rodos los males que pa­ D. Ventura Casas, sargento primero, i subte­ decen en el dia. niente de la séptima compañía. Se ha diletido por algunos días la .importante Nuestro ministro de la Guvrra queda e…</t>
  </si>
  <si>
    <t>Casaseca</t>
  </si>
  <si>
    <t>425</t>
  </si>
  <si>
    <t>chos pun­ tos de dentro y fuera de la ciudad. Todo cuanto hacen no ileva otro objeto que tirar hasta la cosecha, y cogerla ó destruiría. Ha vuelto el prefecto Casaseca de su expedición á Toro y Za­ mora en busca de granos: mas |jarece que el fruto no ha correspon­ dido á las esperanzas. Aquí padecen la -mayor escasez, y amena…</t>
  </si>
  <si>
    <t>Casasola, Víctor</t>
  </si>
  <si>
    <t>Víctor Casasola</t>
  </si>
  <si>
    <t>go López Ruiz, D. Pedro Fernandez, D.'José Muela , D. José María Ximcnez , D. Domingo Draper , D. Ma­ nuel Guio, D. Juan Utrero , D. Benigno Merchau, D. Víctor Casasola , D. Pascual del Rey , D. Miguel Parrales, D. Francisco Ay uso, D. Miguel González, D. Antonio (González, D. Angel Liare, D. José Uiloa,D Francisco Acosta, D.…</t>
  </si>
  <si>
    <t>antiago López Ruiz, D. Pedro Fernandez, D. Josef Muela, D. Josef Mafia XimenezDon Domingo Draper, D. Manuel Guio, D. Juan Utrero, D. Benigno Merchan, D. Víctor Casasola, D. Pascual del Rey, D. Miguel Parrales, D. Francis­ co Ayuso, D. Miguel González, D. Antonio González, D. Angel Llave, D. Josef Ulloa, D. Francisco Acosta, D…</t>
  </si>
  <si>
    <t>Casaspla</t>
  </si>
  <si>
    <t>as, El mariscal de campo barón de Eróles ha hecho de general, de c la­ cero y de granadero al mismo tiempo. El cuerpo de coraceros 7 mAn­ dado por su comandante Casaspla, ha sobrepujado a mis espéraoslas. El bizarro comandante Reding del batallón de 'Buizá, ha sido grave­ mente herido : otros varios gefes y cuerpos se han dis…</t>
  </si>
  <si>
    <t>Cásásús, Francisco de Paula</t>
  </si>
  <si>
    <t>Francisco de Paula Cásásús</t>
  </si>
  <si>
    <t>icer, hacendado. pitulación se entregará la isla á los Estados-Uni­ D. Pedro Galabert , hacendado.v dos de América, con condición de que el puerto de D. Francisco de Paula Cásásús , caballero Ferriandina no estará sujeto á ninguna de las res­ maestrante del real cuerpo de Valencia. tricciones comerciales que actualmente están…</t>
  </si>
  <si>
    <t>Casaubon, Antonio</t>
  </si>
  <si>
    <t>Antonio Casaubon</t>
  </si>
  <si>
    <t>amexí........... 2200 D. Josef López , id............................... ;............. 2200 D. Josef Castellón, id. en Ecija................... 2200 D. Antonio Casaubon, id................................ arco D. Juan Prieto, id................... 2200 D. Antonio de Navas, id................................. 22.00 D. Mariano…</t>
  </si>
  <si>
    <t>Casavus, Pedro</t>
  </si>
  <si>
    <t>Pedro Casavus</t>
  </si>
  <si>
    <t>......................... D. Joan Antonio Pico. Diputados seculares, y el último exerce las D. Rafael Risco. dones de secretario, D. Domingo Rcinoso. D. Pedro Casavus., Secretario D. Rafael González del Valle. D. Alfonso Illevenes. Sarrio de mofíterei. : ' .QUARTEL DE AFLIGIDOS. Alcalde de barrio D. Josef de la Mano. BARRIO D…</t>
  </si>
  <si>
    <t>Cascon, Francisco</t>
  </si>
  <si>
    <t>Francisco Cascon</t>
  </si>
  <si>
    <t>rra, vacante por muerte de D. Mi­ de Baños, en la diócesis de'Jlen",’ vacante" pprfa¿ guel Martin García. lleclniiehto de D. Jtian Gütietrez.- "'y; A D. Francisco Cascon para el de Si Pedro de Al presbítero ex-cistercieníe D. Manuel LedO Ledesma, vacante por fallecimiento de D. Jaiba Gómez para otro beneficio en encomiéndá-dé…</t>
  </si>
  <si>
    <t>Caseda, José</t>
  </si>
  <si>
    <t>José Caseda</t>
  </si>
  <si>
    <t>dure la guerra, y servir á su costa, 30. El de la misma clase Don Francisco del Corral , cri cada año de los que dure la guerra , 100. El de la misma D José Caseda , 10. El subteniente D. José López Merino , ade­ mas de ofrecerse á servir á su costa en lo que se ie ocupare , 500. El de la misma clase D. Alai tiu José de Osiol…</t>
  </si>
  <si>
    <t>Casero, Zoilo</t>
  </si>
  <si>
    <t>Zoilo Casero</t>
  </si>
  <si>
    <t>go Falceto. Regidores.- , En virtud de providencia del Sr. D. Juan Bautísty D. Manuel Balza. Guitart, juez de primera instancia'en esta villa'; y por D. Zoilo Casero. la escribanía del número de D. Antonio López de Sa« D. Josef Calvo. lazar , se ha mandado sacar á púb'icsf subasta por tér­ D. Josef Hernández Delgados mino de …</t>
  </si>
  <si>
    <t>Casimiro</t>
  </si>
  <si>
    <t>dez), oñeial primero Lanza (P. Elias’Xavier) , limosnero de S." M. del ministerio de Hacienda. Lery (D^Luis), capitán del regimiento de caba-" Darau (D. Casimiro), sargento d« caballos ligero) líos ligeros de. la gaardia real. de la guardia real. : Letbufñéur (D. Luis), capitán de tiradores de la Daubenton (D. Pedro Josef) , …</t>
  </si>
  <si>
    <t>Casrriilo, Marcos</t>
  </si>
  <si>
    <t>Marcos Casrriilo</t>
  </si>
  <si>
    <t>de sus xarcias. 18. Que la carta del conmódoro Rodgers, de D. Femando Agustín Aguilar, de granadero*. fecha del dia 23 de mayo último en la altura de D. Marcos Casrriilo, de tiradores. Sandy-Hook, dirigida al ilustre secretario de Es­ D. Antonio Martel. tado por el-ministerio de Marina de los Estados- D. Gerónimo Aguilar. Uni…</t>
  </si>
  <si>
    <t>Cassero</t>
  </si>
  <si>
    <t>Gaceta de Madrid n.º 93</t>
  </si>
  <si>
    <t>374</t>
  </si>
  <si>
    <t>punta de tierra , que avanza y en­ P. D. „Me han dicho que ha sido nombrado tra bastante en el Mediterráneo. No hemos recibi­ secretario de Evt.do el príncipe Cassero, sugeto do noticias circunstanciadas de este ataque ; pero mui respetable. Yo presumo que los demás nom­ parece que la guarnición no ha podido resistir á la bra…</t>
  </si>
  <si>
    <t>Cast, Francisco Xavier</t>
  </si>
  <si>
    <t>Francisco Xavier Cast</t>
  </si>
  <si>
    <t>696</t>
  </si>
  <si>
    <t>su debido conocimiento. — Dios guarde á V. E. muchos años. - Cuartel general de Sta. Catalina 20 do junio de Ib 12.— Marques de Portago. — Excmo. Sr. D. Francisco Xavier Cast ños.” 2. ° „Excmo. Sr.: E i eshs dia entrego el manió del exército al mariscal de campo D. José María Santocildes, coa arreglo á las ór­ denes que para …</t>
  </si>
  <si>
    <t>Castañeda, Domingo González</t>
  </si>
  <si>
    <t>Domingo González Castañeda</t>
  </si>
  <si>
    <t>al Confianza , 200. Doña Francisca Querejazi* y su hijo D. Pablo Avellafuerte , 500. D José Gutiérrez de la Parra ,400 Doit José de Lizarralde , 500. D. Domingo González Castañeda , 200, y otros tan­ tos en cada año que dure la guerra. D. Juan Bernardo Aliaras y su hermano, 100. D. .i uau Francisco Azpiroz y hermanos , 300. D…</t>
  </si>
  <si>
    <t>Castañedo, Josef de Bolado</t>
  </si>
  <si>
    <t>Josef de Bolado Castañedo</t>
  </si>
  <si>
    <t>Joan Alzaibar , ex-mercenario calzado. 2200 D. Pablo Cicero, ¡d. de Cicero................... 2200 0. Manuel Alcocer, ex-franciscano............ 2200 D. Josef dé Bolado Castañedo, id. de Re- 0. Manuel Muñoz , ex-carmelita calzado. 2200 villa de Cunmgo................ .Vil................... 2200 0. Angel Moreno, ex-domioico..…</t>
  </si>
  <si>
    <t>Castañjs, Francisco Xavier</t>
  </si>
  <si>
    <t>Francisco Xavier Castañjs</t>
  </si>
  <si>
    <t>Gazeta de Madrid bajo el Gobierno de la Regencia n.º 9</t>
  </si>
  <si>
    <t>miento por haberla libertado del yugo francés. "Parte del mariscal de campo de los reales exércitos D. Francisco Espoz y Mina, dirigido al Excm3. Sr. D. Francisco Xavier Castañjs. „Excmo. Sr. Tengo un gusto particular en dirigir á V. E. un estado de los detalles de lo ocurrido con mi división y enemigos en este mes'de julio. …</t>
  </si>
  <si>
    <t>Castañon, Federico</t>
  </si>
  <si>
    <t>Federico Castañon</t>
  </si>
  <si>
    <t>la Co­ rana , y el de Santiago que estaba en Lugo, recibieron órdenes pa­ ra hallarse en el rio Narcea, mientras la sección, al mando del bri­ gadier D. Federico Castañon, se dirigía por el puerto de Leííaricgos al mismo rio , que se eligió como base de operaciones contra la divHo» del general Bonnct. La segunda división y la…</t>
  </si>
  <si>
    <t>Castañon, Manuel Antonio</t>
  </si>
  <si>
    <t>Manuel Antonio Castañon</t>
  </si>
  <si>
    <t>rio Araujo, residente en Segovia. 2200 En ouestro palacio de Madrid á 14 de julio D. Torquato Negro , id. en i i....................... 2200 de 1812. D. Manuel Antonio Castañon, id. en id.... 2200 Don Joief Napoleón por la gracia de Dios y D. Alfonso Martin Manzaneque , id. en id. 2200 por la coostirucion del estado, REI de l…</t>
  </si>
  <si>
    <t>Castaños</t>
  </si>
  <si>
    <t>a cosecha (á lo menos asi Las cartas de Valeucia de Alcántara de rodel parecía ) tenia la tropa que vender parte de su eta­ corriente astguran que.el general Castaños remite pa pa ra guisar ia restante. ¿ Qué puede hacerse coa este correo ai señor ministro de Guerra dos pares tropas asi ? Llegamos aqui, encontramos formán­ de…</t>
  </si>
  <si>
    <t>neutral entre Jos dos parti­ hecha al conde por un plan qué había concebido y dos, prostituyendo las augustas funciones de que se ha­ presentado |al general Castaños, relativo á qne llaba revestido. LaTormacion de las juntas de negocios abandonando la península por la imposibilidad contenciosos avivó sus sentimientos patrióti…</t>
  </si>
  <si>
    <t>en Roa, cerca de Peñafiel, á 8 leguas de Vallndoüd : aquella parte de Castilla se halla en el dia libre de enemigos. E! día anterior había escrito al general Castaños ía carta siguiente, que muestra la esclarecida lealtad y patriotismo de los pueblos de Castilla , que no han podido menoscabar ni la seducción ni el terror ni n…</t>
  </si>
  <si>
    <t>os de 28,29 y 30 de oct ubre , es tan vergonzoso , que no sé como calificarlo. El general Girard, después de haber dispersado el cuerpo espa­ ñol del general Castaños, se había adelantado hasta Cáceres, donde estaba desde el 13. Tenia orden de. ir el 22 á Mérida, y sin embargo tuvo por conveniente permanecer en Cáceres hasta …</t>
  </si>
  <si>
    <t>polacos de la guarnición de Badajoz que llegaron úHimameete ¿Za­ fra. —- Se asegura que los ingleses establecen en Mérida sus almace­ nes , y que el general Castaños irá á Salamanca; esta y otras varias medicas anuncian , que no está lejos el dia en que nos veamos libres de enemigos. Lo cierto es que viven aquí en una continu…</t>
  </si>
  <si>
    <t>217 mió con el general Castaños, y hoy se lia vuelto á su cuartel gene­ ral. — Ademas de las obras mencionadas , hay proyectadas otras, para las cuales contribuirán con auxilio* pecuniarios nuestros aliados. El general Ca</t>
  </si>
  <si>
    <t>star amigablemente sus desavenencias : y al mismo tiempo dicen que e! lord Weüington , por no sé que contestaciones, ha enviado preso á Inglaterra al general Castaños. Din 23. Si&amp;het se ha negado abiertamente á admitir á los que había nombrado el rey intruso para servir los empleos de Valencia. Aquí están los franceses sobrem…</t>
  </si>
  <si>
    <t>Los oficiales de guardias, ios de la ca­ ballería y de las divisiones tercera, cuarta y quinta , con el lord Wellington y todo su cuartel general. el general Castaños y su estado mayor, el mariscal Bereslórd y la oficialidad portuguesa, formaban el acompañamiento fúnebre. Llevaban el féretro los valientes que el difunto había…</t>
  </si>
  <si>
    <t>355</t>
  </si>
  <si>
    <t>355 tros generosos aliados , y á las activas y acertadas disposiciones del general Castaños. Ceruña 13 de marzo. Copia del parte d:l brigadier T). Francisco Espos y Mina al gene­ ral en gefe del séptimo exétcUo, U. G abril i de MendimtaL “Exorno. Sr.: Después de ía acción del 11 d</t>
  </si>
  <si>
    <t>Navarra (3 de abril de 1812. — Exorno. Sr. — B. L. M. de V. E. — Franchón Eípozy Mina. — Exorna. Sr. D. Francisco Xavier de Castaños.” Respuesta del general Castaños. *CE1 capitán D Fermín Argaiz rae ha entregado ayer el oficio de V. S. de 6 del presente y partes que le acompañaban , y por ello3 he visto, con tanta admiración…</t>
  </si>
  <si>
    <t>823</t>
  </si>
  <si>
    <t>oria y de grandeza nacional, resonando las bóvedas de aquel mage*tuose&gt; edificio con los repetidos vivas á la Nació??, ai Rey, á ‘a Constitución, al general Castaños y á tedes los héroe» de ía patria. Por la tarde, las comparsas de íes gremios con variedad de tra­ gos é invenciones accmp£ñhron á un magnífico carro triunfal, q…</t>
  </si>
  <si>
    <t>PDF p. 9</t>
  </si>
  <si>
    <t>notablemente de sus heridas. (Gazeta de Lisboa del y de agosto.) ESPAÑA. Cádiz &lt;T de agosto.. La comisión de Justicia acerca de la representación del general Castaños, presidente de la junta superior de Galicia, sobre las ocurrencias en la ciudad de Santiago con el arzobispo y cabildo de aquella santa iglesia con motivo de la…</t>
  </si>
  <si>
    <t>n Miranda con CaíFarelli, donde esperaban con impaciencia á Ms aseria paia tomar el mando dei exército, pero ann no trataba de moverse de Bayona. „E1 general Castaños tiene su cuartel general en Qaictanilla, y sus tropas están acantonadas sobre el rio Ubierna, excepto la reser­ va que está en Gamonal.” Nota de los oficiales, …</t>
  </si>
  <si>
    <t>Castaños, Francisco Xavier</t>
  </si>
  <si>
    <t>Francisco Xavier Castaños</t>
  </si>
  <si>
    <t>Gazeta de la Regencia de las Españas n.º 118 (extraordinaria)</t>
  </si>
  <si>
    <t>XTRAORDINARIA^ -4 '■ DE LA REGENCIA BEL MIERCOLES 2 DE SETIEMBRE DE 1812. ARTICULO DE OFICIO. El general en gefe del quinto, sexto y séptimo exército D. Francisco Xavier Castaños, dice al gefe del estado mayor general desde el cuartel general de Villafranca con fecha 20 de agosto último, lo que sigue: „Poí el gc-fe de estado …</t>
  </si>
  <si>
    <t>o á la disposición de V. E., cuya vida guar­ de Dios muchos años. Santa Cruz 20 de julio de 1812. = Excmo. Sr. = Francisco Espoz y Mina. = Excmo, Sr. D. Francisco Xavier Castaños.*’ Copia de los partes remitidos por el gobernador de la plaza de la Corti­ na al gefe del estado mayor del quinto , sexto y séptimo exército. Parte…</t>
  </si>
  <si>
    <t>heri­ dos, 5 soldados extraviados, y 19 caballos muertos ó heridos. Capitulación de Astorga. El general en gefe del quinto, sexto y séptimo exército D. Francisco Xavier Castaños dice al gefe del estado mayor general desde el quartel ge­ neral de VÜlafranca, con fecha 20 de agosto último, lo que sigue:</t>
  </si>
  <si>
    <t>1365</t>
  </si>
  <si>
    <t>izabal en oficio de l.° de No­ viembre desde su cuartel general de Zornoza, dice al Exento. Sr¿ general en gefe del quinto, sexto y séptimo exércitos D. Francisco Xavier Castaños lo siguiente: „Excmo. Sr. : Acordándome que hace cuatro años encerramos á los enemigos dentro de los muros de Dnrango, repetí y se consi­ guió la mi…</t>
  </si>
  <si>
    <t>Castellano, Félix</t>
  </si>
  <si>
    <t>Félix Castellano</t>
  </si>
  <si>
    <t>Príncipe, i' las. ocho de la noche, •• D. Manuel Ruizi id........................... ......... 2200 representará por la compañía española la ópera en D. Félix Castellano , residente en Ecija..... 2200 dos actos titulada la Siciliana, y un divertido saínete. ‘ EN XA IMPRENTA REAL.</t>
  </si>
  <si>
    <t>Castellano, Gerónimo</t>
  </si>
  <si>
    <t>Gerónimo Castellano</t>
  </si>
  <si>
    <t>del Príncipe, i las siete y media de la no­ pitao , en reemplazo de D. Fraocisco Perez Alga va. che, se representará por la compañía española la co­ D. Gerónimo Castellano i teniente, en b va- media en dos actos titulada el Café , y el sainete la «mu de D. Josef Gozaran. tragedia de Manolo. Actores en la comedia : Señoras art…</t>
  </si>
  <si>
    <t>Castellano, Miguel</t>
  </si>
  <si>
    <t>Miguel Castellano</t>
  </si>
  <si>
    <t>curso místico sobre el acto de contrición un to­ D. Ignacio de Muzquiz................... 16200 mo en 8.° con estampas finas. Se vezde en la librería D. Miguel Castellano........... ......... 17010 de la viuda de Quiróga, callé de las Carretas, i. 14 P. Diego de Cañas........................... 10125 rs en pasta. « p. Josef S…</t>
  </si>
  <si>
    <t>Castellanos, José</t>
  </si>
  <si>
    <t>José Castellanos</t>
  </si>
  <si>
    <t>50. D. Esteban Arescurrenaga, cura de Pisco, por sí y su clerecía , 84. Don Francisco Medina y Lanas , 25. — Curas y clerecía del partido de Haailas. D. José Castellanos, cura de Huailas , 100. D. Marcos Herrera, cura de Ca­ ras , 100 ; y ofrece igual cantidad anualmente durante la guerra. D. Bartolo­ mé Avenio, cura de Macat…</t>
  </si>
  <si>
    <t>Castellanos, Manuel</t>
  </si>
  <si>
    <t>Manuel Castellanos</t>
  </si>
  <si>
    <t>el Palomera, contador general, 31 y 2. D. Agustín Sauz , oficial mayor de la administración &gt; 53. D. Antonio Granger , id. de la contaduría , 22 y 1. D. Manuel Castellanos , segundo de la administración , 12 V 4. D Esteban Fernandez (’olunga, segundo de la contaduría, 50. D. Pablo Posada, tercero de la administración , 20 y 6…</t>
  </si>
  <si>
    <t>Castelli</t>
  </si>
  <si>
    <t>consiguieron el 20 de junio próximo pasado en el Desaguadero contra el cuerpo de insurgentes, enviado por ta junta de Bnenos-Ayres á las órdenes del doctor Castelli, pro­ curó este reunir en el Potosí las reliquias que pudo salvar de su exército, aunque en corto número. Entre los papeles de este gefe se encontró el bando que …</t>
  </si>
  <si>
    <t>Castellón, Josef</t>
  </si>
  <si>
    <t>Josef Castellón</t>
  </si>
  <si>
    <t>lgado, id...,.......... 220O D. Jacinto Gómez, id. en Benamexí........... 2200 D. Josef López , id............................... ;............. 2200 D. Josef Castellón, id. en Ecija................... 2200 D. Antonio Casaubon, id................................ arco D. Juan Prieto, id................... 2200 D. Antonio de Na…</t>
  </si>
  <si>
    <t>Castex</t>
  </si>
  <si>
    <t>las expediciones de Mohi- llegó allí de Semenets, y de ■ Rondina la brigada lovv, Ostrouno, Krasnoi y Sijtolensko, han sido de caballería ligera del general Castex. .... , decentadas en la de Vaiontina. A las tres de la tarde la coluna de equipages Todas las señales son de que el enemigo corre á desfiló á vista del enemigo, y…</t>
  </si>
  <si>
    <t>de Divin , haciéndole algu­ se distinguieron en esta carga , que sostuvo ademas nos centenares de prisioneros, y obligándole á que­ la caballería del general Castex; en general yo re­ mar sus bagages. Sin embargo, el general Bianehi, clamo la benevolencia de S. M.; las tropas merecen comandante de una parte Je la misma , le h…</t>
  </si>
  <si>
    <t>Castilla, Baltasar</t>
  </si>
  <si>
    <t>Baltasar Castilla</t>
  </si>
  <si>
    <t>Gaceta de Madrid n.º 173</t>
  </si>
  <si>
    <t>ecreto de la misma fecha S. M. se junio.) ha servido nombrar al duque de Mahon presiden­ te de la junta general de prefectura de Toledo; y TEATROS. á D. Baltasar Castilla, gobernador del obispado de Cuenca , presidente de la junta general de aque­ En el del Príncipe, i las ocho de la noche, se re­ lla prefectura. presentará p…</t>
  </si>
  <si>
    <t>Castilla, Francisco</t>
  </si>
  <si>
    <t>Francisco Castilla</t>
  </si>
  <si>
    <t>Don Josef Napoleón por ia gracia de Dios y D. Tomas Núcete. por la constitución del.estado, REI de las Espa­ D. Antonio Porras. das y de las Indias. D. Francisco Castilla. Hemos decretado y decretamos lo que signe: articulo t. ,,Con arreglo á lo prevenido ed Subtenientes. nuestro decreto de 19 de abril de 1810 se forma­ D. Ge…</t>
  </si>
  <si>
    <t>Castilla, Manuel Perez TeRuiztfb</t>
  </si>
  <si>
    <t>Manuel Perez TeRuiztfb Castilla</t>
  </si>
  <si>
    <t>n la de escudero, y 3 á teniente del Regimiento x.**de cazadores á caba­ D. Juan Pablo Martínez de Hervís y D. Antonio llo; al teniente de infantería D. Manuel Perez TeRuiztfb Castilla ea la de maestros dé cérémóniás. lló á tenieate de caballería de .línea; al subteniente El'baile de máscaras, que hubo anoche én el que fue de…</t>
  </si>
  <si>
    <t>Castillo</t>
  </si>
  <si>
    <t>gado á la compañía de infantería de la vicio de S. M. siciliana. plaza de Barcelona; á D. Francisco Rodríguez del Por el Excmo. Sr. duque de Bassano, ministro Castillo, cirujano segundo del regimiento de Cas­ de Relaciones exteriores, tilla , t.° ríe infantería ligera, á cirujano primero El Sr. Hallencreutz , mayor de la guar…</t>
  </si>
  <si>
    <t>Castillo, José</t>
  </si>
  <si>
    <t>José Castillo</t>
  </si>
  <si>
    <t>llegos, 143 y 2. D. Andrés Ámezaga, 95 y 4. D. Francisco Montoya, 79 y 5. D. Dionisio Parían,, 71 y 5. D. Manuel Vera, 63 y 7. D. José Ureta, 55 y 5. D. José Castillo , 47 y 6. D. José. Cicilia, 47 y 6. D. Pedro Robles , 41 y 5. D. Manuel Solano, 41 y 5. D. José Carrillo, 63 y 6. El Excmo. cabildo de esta ciudad á cuenta de 1…</t>
  </si>
  <si>
    <t>Castlereagh</t>
  </si>
  <si>
    <t>ga y la perfidia son,.mas bien que las armas, los-que han servido de pretexto para cubrir de luto á la Europa. GRAN BRETAÑA. Londres j i de julio. El vizconde Castlereagh ha recibido hoy, por el teniente Dobree del na­ vio de S. M. la Victoria, pliegos del ministro plenipotenciario de S. M. en Suecia'Mr. Eduardo Thorntcn, en …</t>
  </si>
  <si>
    <t>do extraordinario del Rey de Suecia, tuvo la primer audiencia dé S. A. R. el Príncipe Regente el 22 de este ihes1, ha­ biendo sido intródyeido por él vizconde Castlereagh, primer secretario de Estado de S. M. del despacho de Negocios extrangeros. ’ Las gazetas de Jaihayca refieren que el negro Cristóbal, que se apellida Rey d…</t>
  </si>
  <si>
    <t>Núm. 146. 1183 « bfl 09 GACETA DE LA REGENCIA DE LAS ESPAÑAS DEL SABADO 31 DE OCTUBRE DE 1812. G RA N-BRETAÑA. Londres 7 de Octubre. El vizconde Castlereagh ha recibido pliegas ,de nuestro mbaxador en Rusia., vizconde Cathcart, -desde Petersbnrgoeon fecha de 16 de Setiembre , incluyendo dos; boletines del. general K&gt;utusow so…</t>
  </si>
  <si>
    <t>e día se ha publicado el slguieny te oficio dirigido por el vizconde Calhcart, embaxador extraordinario y plenipotenciario de S. M. en Petersburgo al vizconde Castlereagh, secretario de Estado. Petersburgo 27 de Octubre. ,,Tengo !a honra de participar á Y. E. que. en este momento se están haciendo salvas de artillería , y mañ…</t>
  </si>
  <si>
    <t>Castlereas-h</t>
  </si>
  <si>
    <t>1315</t>
  </si>
  <si>
    <t>O 22 DE AGOSTO DE 1315. GRAN.BRETAÑA. Londres 31 de julio. (Gaceta extraordinaria de Londres de este dia.) Departamento de negocios extrangeros. — El vizconde Castlereas-h ha recibido hoy por el buque de S. M. la Victoria, coman­ dante Dobr *e, -pliegos del ministro plenipotenciario de S. M. en Suecia, E. Thornton, que contie…</t>
  </si>
  <si>
    <t>Casto, Mariano</t>
  </si>
  <si>
    <t>Mariano Casto</t>
  </si>
  <si>
    <t>, al sarges-to mayor D. José Domingo Brandis , á los profesores O. Angel Laborda T ¿r yro, al capitán de la compañía D. M guel Párraga , al ayudante D. Mariano Casto!, y á los demas subalternos de la compañía, por ei esmero é inteligencia con que se han conducido, ha dispuesto que para su sa­ tisfacción se ponga eu ta orden g…</t>
  </si>
  <si>
    <t>Castreño, Josef María</t>
  </si>
  <si>
    <t>Josef María Castreño</t>
  </si>
  <si>
    <t>nte por no haberse en el arzobispado de Granada á Jos sugetos si­ presentado á servirla D. Diego Martin , ex- francis­ guientes ; cano observante , á D. Josef María Castreño , exPara el beneficio patrimonial servidero de la franciseaao descalzo, sacristán de la de Ragol. ciudad de A luma, vacante por muerte de Don Para esta r…</t>
  </si>
  <si>
    <t>Castro, José María</t>
  </si>
  <si>
    <t>José María Castro</t>
  </si>
  <si>
    <t>bajai , 30. Vicente Pacheco, 10. D. Ramón Calvo, 100. D. Miguel Isusi, 1Ó. D. Vtcente Chacón, 30. D. Manu-1 Rodríguez Plaza, 10. D. Mariano Eraso, 2. D. José María Castro, ayudante de Piura , 47 y 2 y medio. Don Antonio Mirón , 10. D. Juan Buzca. 15. J#sé Maria Gainza, 6 D. José Ariza, 6. D. Domingo Pombar, 16. D. Antonio Lar…</t>
  </si>
  <si>
    <t>Castro, Manuel</t>
  </si>
  <si>
    <t>Manuel Castro</t>
  </si>
  <si>
    <t>ponda como alcalde or­ dinario de primer voto, 50. El ayudante mayor D. Cristóbal Zarja, 200. El teniente D. Miguel Cortabarria , 200. El subteniente D. Manuel Castro, 20. El capitán agregado D. Enrique Odonoban , 12.— Regimiento de caba­ llería. El coronel D. José Antonio Cacho , 200. El teniente coronel D. Juan José Martíne…</t>
  </si>
  <si>
    <t>Castro, Mariano</t>
  </si>
  <si>
    <t>Mariano Castro</t>
  </si>
  <si>
    <t>Domingo de Lima, ha dado de sus fondos, 4000. El co­ rone! 1&gt;. Benito Bonifaz y Vtlasco , vecino de Cajamarca, 85 y 4. El íenien- &gt;. te de anilleoda D. Mariano Castro, vecino de id. , 560. El coronel D. Tomas Bueno , vecino de id. 50-&gt;. £1 cabo Juan Manuel Pajares, de id., 10.D. Pedro .fosé de la 'forre cura de Huacho, 25. El…</t>
  </si>
  <si>
    <t>Castro, Nicolás</t>
  </si>
  <si>
    <t>Nicolás Castro</t>
  </si>
  <si>
    <t>ente. — Dios guar­ de á V. E. muchos años. Carrejo y Mayo. — Lorenzo Herrero*—? Continúan los donativos del Perú, D. Manuel Quesada, 4 pesos fuertes. D. Nicolás Castro, 30 D. Loren­ zo Bodero, G. D. Santiago Serón, G. El ayudante de gobierno y varios i ndtviduos , 7$ y 4. Pedro José Vargas , 25. D. Alexo Guiraldez, 25. D. Gas…</t>
  </si>
  <si>
    <t>Castro, Tomas</t>
  </si>
  <si>
    <t>Tomas Castro</t>
  </si>
  <si>
    <t>ellán del monasterio de Sta. Catalina , G. D. J uíian Valdivia , 3. D. Tomas Palacios, 1. D. Fernando Bao Calderón , 1. 1). José Antonio Martínez, 1. D. Tomas Castro , l. D. Juan Antonio Cainacho , 1. D. Luis Alfonso , capellán de Sta. Rosa , 2. D. Bernabé de Tamarjcia, 25. D. Manuel Concha,!. D. Gabriel Oroviogoitia, 6. D. M…</t>
  </si>
  <si>
    <t>Catalan, Josef</t>
  </si>
  <si>
    <t>Josef Catalan</t>
  </si>
  <si>
    <t>do de la influencia de ciertas gentes que, la renta de la lotería........................... 2200 ed ificadas con títu qs sagrados, se creían con de­ D. Josef Catalan , oficial de la renra recho para autorizar matrimonios p en ventajosos, de la loteiL................. 6600 y acaso reprobados por la mora!; y tal vez movi­ D. P…</t>
  </si>
  <si>
    <t>Catalina</t>
  </si>
  <si>
    <t>ementales bávaros mas que de los que publique Anteayer morió en esta capital de resaltas de la imprenta central de Munich. tsn ataque de apoplegía la princesa Catalina de Los municipales Metzger y Ilinterhuber han H.-ístein-Reck, esposa del príncipe Ivan-Batia- salido hoi para Munich á felicitará S, M. en nom­ tinski , embaxa…</t>
  </si>
  <si>
    <t>Habiendo muerto su esposa en 1773» entró al servicio de Rusia con el grado de teniente coronel, baxó los auspicios de Suwarow, y al año siguiente la Emperatriz Catalina 11 le dio el mando de un cuerpo de cosacos. En setiembre de 1774 acompañó Bennigsen al general Suwarow en una ex­ pedición para apaciguar la rebvhon de Pugatc…</t>
  </si>
  <si>
    <t>Cataneo, Juan</t>
  </si>
  <si>
    <t>Juan Cataneo</t>
  </si>
  <si>
    <t>o mayor, habla hecho el ja­ 3&gt;. Fulgencio de la Rita Agüero, eo reemplazo de ramente de fi lelidad al Rei nuestro deñor. D Antonio Castillo Lerin ; á D. Juan Cataneo ea S. M., justo apreciadbr del mérito y talentos reemplazo de D. Francisco Antonio Bringas; á de Cibat, y de su constante adhesión á sn perso­ D. Manuel de la Vi…</t>
  </si>
  <si>
    <t>Catarina</t>
  </si>
  <si>
    <t>de la provincia de Samogitia se distinguen por su pa­ triotismo*. eran libres y su país rico; pero su suerte mudó con la subversión de la Polonia. La Emperatriz Catarina dio á Soubow la mejor y mas her­ mosa porción de este país, y los paytaños, de libres que eran, se convirtie­ ron en esclavos. Con el movimiento de flanco he…</t>
  </si>
  <si>
    <t>CatbaHc, José</t>
  </si>
  <si>
    <t>José CatbaHc</t>
  </si>
  <si>
    <t>adier. D. Manuel uatDpn.... '* • , 1 Capitán. • . D. Francisco Soto.. ... f t 9 » 1 Lena . .. ^ Teniente . . D. Francisco Diaz...... * » , O ro ««.»• D José CatbaHc.c... .. , ? 9 . Otro ..... D. Matías (garrote...... 1 v_Síibtemente D. Juan Nuncí/...«;(. . • t 1 í Tea lente .. D. Antonio (jóme*.. .., I CABALr.. ?r(?T!A Alfére…</t>
  </si>
  <si>
    <t>Cathcart</t>
  </si>
  <si>
    <t>a considerarla á París y no á Roma como el centro de la cristiandad. Bel 2R. Está nombrado el buque de S. M. el Aquilón para conducir á Rusia al lord vizconde Cathcart, al lord Walpole, secretario de la legación, y á lo restante de la embaxada. Hay motivos para creer que todo se ha compuesto de un modo satisfactorio entre est…</t>
  </si>
  <si>
    <t>la figura de buque, en tanto que el schooner parece que ha recibido muy poco daño. El 27 de este mes S. A. R. el Principe Regente ha nombrado al lord vizconde Cathcart embaxador extraordinario y ministro plenipotenciario de S. M. cerca de S. M. el Emperador de todas las Rusias. TJn destacamento considerable de soldados de mar…</t>
  </si>
  <si>
    <t>S DEL SABADO 31 DE OCTUBRE DE 1812. G RA N-BRETAÑA. Londres 7 de Octubre. El vizconde Castlereagh ha recibido pliegas ,de nuestro mbaxador en Rusia., vizconde Cathcart, -desde Petersbnrgoeon fecha de 16 de Setiembre , incluyendo dos; boletines del. general K&gt;utusow sobre las acciones del 5 , 6 y 7 ; los cuales se recibieron e…</t>
  </si>
  <si>
    <t>1412</t>
  </si>
  <si>
    <t>ro tiempo'en los abrasados arénale» de la Arabia. \ Id, 10 de Diciembre, En gaceta extraordinaria de 8 dal corriente se han publicado lo» oficios del vizconde Cathcart, embaxadpr de S. M. B. en Rusia, al vizconde^ Casílereagh, secretario de Estado, relativos á la retirada de ios franceses de Moscow, jr acciones ocurridas en e…</t>
  </si>
  <si>
    <t>Católica</t>
  </si>
  <si>
    <t>trechas dirigidas por traneja, ó la jornada de Toro, la qne afianzó la Floridablanca á los inquisidores para qne reprimie­ corona en las sienes de la Reina Católica? - ; ran con todo el zelo-apostólico, de qúJe tan repe­ Con la muddnza de dinastía en Francia debía tidas muestras había dado la inquisición , quantas mudar la de…</t>
  </si>
  <si>
    <t>Cau</t>
  </si>
  <si>
    <t>de derecho lo­ que Jo guarnecían. En este momento cesó toda in- ca. Reunid mi pueblo cu vuestros templos para cevridumbre; nuestra es la victoria. Ei conde Cau­ que entone ¡as plegarlas, que el uso de la iglesia tie­ laincourt, que tanto acababa de distinguirse en este ne establecidas para semejantes casos. Y no teniendo bril…</t>
  </si>
  <si>
    <t>Caulaincourr</t>
  </si>
  <si>
    <t>988</t>
  </si>
  <si>
    <t>dió: Señor, rtieuo á sión favorable: esta orden se executó con tanta ce­ V. M. no me separe de su lado‘.'nadie esta malo el leridad como valentía. El general Caulaincourr, a la dia de una uai.úta. Por ultimo,' citaré al coronel Bo~ cabeza de la segunda división de coraceros, i Jas ór­ relli y los oiiu.iles Je mi estado mayor,…</t>
  </si>
  <si>
    <t>Caulaiucourt</t>
  </si>
  <si>
    <t>........ 7153 33 perador. A! dia siguiente continuó su viage, to­ D. Andrés de Luque Baldelomar, mando e! c &lt;mino de Cassei. or medio de so apoderado general Caulaiucourt y ei barón de Bougart pasaron también el dia 14 por Francfort, para in­ E &gt;. Salvador Alvarez y Moreno. El propio, por medio del misino. 99018 % 187199 33 c…</t>
  </si>
  <si>
    <t>Cauning</t>
  </si>
  <si>
    <t>434</t>
  </si>
  <si>
    <t>artillería, armas y municiones bailadas en la plaza. De los vívésres daré razonen mi próximo oficio, „Del actual es portador mi ayudante dé campo el capitán Cauning, el cual me permitirá V. S. recomiende á su protección. ,,También lleva la bandera de la guarnición y las del regimien­ to de Hesse Darmstadt para ponerlas á los …</t>
  </si>
  <si>
    <t>Cauüncourt</t>
  </si>
  <si>
    <t>17</t>
  </si>
  <si>
    <t>n esta acción ha sido inmensa, pues basta saber que el mismo boletín francés la hace subir (cosa extraña! á 10$ hombres entre muertos y heri­ dos. El conde Cauüncourt y el general de caballería Montbrun fueron muer­ tos en el campo de batalla con otros quatro generales mas de brigada; y de siete á ocho generales heridos, que …</t>
  </si>
  <si>
    <t>Cavaleri, Francisco</t>
  </si>
  <si>
    <t>Francisco Cavaleri</t>
  </si>
  <si>
    <t>edral de Toledo ; un arcediano de la cate­ dral de Salamanca; el corregidor de esta ciudad D. Joaquín Goyoneta; los regidores, marques de la Granja y D. Francisco Cavaleri; el regente de esta real audiencia D. Fernando Calvia, y los oidores D. Teótimo Escudero, D. Pedro Simo y O. Tema3 Romero Agredano ; un oidor de Vals adali…</t>
  </si>
  <si>
    <t>Cavero, Francisco</t>
  </si>
  <si>
    <t>Francisco Cavero</t>
  </si>
  <si>
    <t>el hospital de S. Lázaro, 12. D. Carlos Marin , 12. D. Félix Egusquiza , 12. D. Juan Prada, 25. D. Fer­ nando Quirós , 25. D. José Antonio Fuente, 4. D. Francisco Cavero , 2. Don Silvestre Peñaranda, 2. D. Sebastian Guerrero , 2. Y D. Matías y D. Clemen­ te Maestro , 100. — Provincia de llunrochiri. Los operarios de la hacien…</t>
  </si>
  <si>
    <t>Cavieses, Tomas</t>
  </si>
  <si>
    <t>Tomas Cavieses</t>
  </si>
  <si>
    <t>antes de Piltra. D. Joaquín de Elguedo , juez diputado del co­ mercio , 2JO. D. Manad Camino, itl. segundo, 100. 30. Joaquín de Elguero y Aloo , 250. D. Tomas Cavieses , del cuerpo de pilotos del comercio , 50. 15. Bernardo Martínez , 6. D. Manuel Villar, 25. D. Pió Garrido, 12. Don Pedro Tr el les , 12. D. Pedro Ruesta , 1. …</t>
  </si>
  <si>
    <t>Cay, Isidro José</t>
  </si>
  <si>
    <t>Isidro José Cay</t>
  </si>
  <si>
    <t>é Hortelano , id., 2. D. Juan Cayetano de Miranda, id., 12. D. José Her­ nández , id. , uno. D. Vicente González, id., uno. I&gt;. Tomas Calvo , id., 2. D. Isidro José Cay mar i, id., 4. I). Fernando Alonso de Coya , id., uno. DoJ ña María Josefa Bachpni, por un soldado por 4 meses, 9. D. Manuel Dono­ so , para un soldado durant…</t>
  </si>
  <si>
    <t>Cayetano</t>
  </si>
  <si>
    <t>129</t>
  </si>
  <si>
    <t>el regimiento de reales guardias españolas, se lia servido el Concejo de Urgencia coníérr compañías á los primeros tenientes I).&gt;B°pe de Mesa Ponte, D. Cayetano tic Frías y A!tan*?rano, Di»ü Francisco de Paula Santa María, D Antonio María Moxó y ? *on Francisco de Paula Mamnon , el primero y los dos ú.timos gra­ duados de cor…</t>
  </si>
  <si>
    <t>Cazalla, Andrés</t>
  </si>
  <si>
    <t>Andrés Cazalla</t>
  </si>
  <si>
    <t>P. F rancisco Moreno, id..-........ 2200 P. Andrés Varo , residente en Agailar...... 2200 P. Fernando Arando, id....... ....................... 2200 D. Andrés Cazalla, id. en Pedro Abad..... 2200 P. Josef de Fuentes, i !..................................... 2200 P. Sebastian Lozano, id. en Villafranca... 2200 P. Rafael Murill…</t>
  </si>
  <si>
    <t>Cazanove</t>
  </si>
  <si>
    <t>na a las órdenes de los mayores genera­ les Platow y Dicbstsch , y otra á las del coronel Riedíger del regi­ miento de húsares de Grodno. El teniente general Cazanove, viendo que sus tropas estaban muy próximas á Poíotsk, se arrojó también al enemigo, y fué el primero que entró en la ciudad. A las 3 de la mañana del dia 20 se…</t>
  </si>
  <si>
    <t>Cbire, Francisco</t>
  </si>
  <si>
    <t>Francisco Cbire</t>
  </si>
  <si>
    <t>rasco , 2. Doña Ma­ ría Blanco por sí y su madre , 2. D. Baltasar Vargas , 4. D. Gaspar Ramí­ rez , 1. D. Pedro Vinces , 2. 1). Sebastian Ramírez, 1. D. Francisco Cbire, 1. Doña Petrona Vaca, tí. Remitidos de lina manga sin acompañar la razón da los individuos que han contribuido , 15.725 ps. y 7 rs. y medio. 1). Manuel de la…</t>
  </si>
  <si>
    <t>Cblviüe</t>
  </si>
  <si>
    <t>del mismo sitio, y ers la última operación que lo ha terminado. „E1 servicio de trincheras .ha sido desempeñado •sucesivamente por el honorable mayor general Cblviüe, el mayor general Bowes y ei mayor general Kempt, baxo las órdenes ácl teniente y enera! Picton. He tenido ocasión de hacer mención de todos estos oficiales</t>
  </si>
  <si>
    <t>Cboissy</t>
  </si>
  <si>
    <t>que esraba sobre las ar­ D. Antonio Rodríguez , subtenieutes de caballe­ mas, y de los destacamentos de los lugares mas ría delinea. inmediatos , el coronel Cboissy, en nombre del ge­ Por otro decreto del mismo dia ha tenido á neral barón de Peurrilly, condecoró al harambas­ bien S. M. nombrar al capitán de caballería de lí­ …</t>
  </si>
  <si>
    <t>Ccberio, Juan</t>
  </si>
  <si>
    <t>Juan Ccberio</t>
  </si>
  <si>
    <t>001 9 convencidos, la primera de haber incitado hacia D. Tomas Campillo..................... 260 3» quatro meses á dicho jóven á que viviese con ella D. Juan Ccberio, por medio de su criminalmente, y á que matase á su marido; y el apoderado D. Juan Bautista de Goisegundo de haber puesto por su parte todos los tia.............…</t>
  </si>
  <si>
    <t>Ccrredo, Manuel López</t>
  </si>
  <si>
    <t>Manuel López Ccrredo</t>
  </si>
  <si>
    <t>pomuceno de Arauda....... 2087 16 D. Julián de Otarte.............................. 1148 4 ESPAÑA. D. Fernando Gómez Lozano............... sí. 5 73 9 D. Manuel López Ccrredo.................. 744 24 Madrid 03 de junio. D. Josef Vigil............ ........................... 723 24 Extracto de las minutas de la secretaría de D.…</t>
  </si>
  <si>
    <t>Cctinrcux</t>
  </si>
  <si>
    <t>791</t>
  </si>
  <si>
    <t>el rey: o de Córdoba. Los continuos movimientos de los enemigos y otras muchas señales indican el estado de inquietud y cuidado en que se hallan. Ei general Cctinrcux ha tenido con Gazan un altercado muy vivo, con motivo de haber recibido óíden pa­ ra salir hár ia el Ronquillo; y cvtin dicen que quiso tirarse un pisto­ letazo…</t>
  </si>
  <si>
    <t>Cdderon, Benigno García</t>
  </si>
  <si>
    <t>Benigno García Cdderon</t>
  </si>
  <si>
    <t>y D. Carlos Devílie; á capitanes de fusileros á D. Francisco Guerrero, D. Juan Mier, D. Juan Blanco; D. Francisco Morales, I). Juan Bautista PeÜerín, D. Benigno García Cdderon, D. Pedro Roia, B. Juan Moreno, O. Francisco Hevia , D. Antonio Gayarre y D. Francisco Martínez; á ayudantes á D. Luis Daunoy, Don ■Cirilo de Mor&amp;nt y …</t>
  </si>
  <si>
    <t>Ce, Pedro</t>
  </si>
  <si>
    <t>Pedro Ce</t>
  </si>
  <si>
    <t>Pérez Viilamil, del consejo de la guerra: á D. José Mariano de Aimansa , del consejo de hacienda, regidor , alférez real de la ciudad de Veraeruz; á D. Pedro Ce bailes ; á D. Bernardo Roa, marques de Piedras-blancas, regente de la audiencia de Caracas; á D. Justo Ma­ ría Ibar-Navarro , d'l consejo de Castilla ; á D- José Ayci…</t>
  </si>
  <si>
    <t>Ceboraim, Gerónimo</t>
  </si>
  <si>
    <t>Gerónimo Ceboraim</t>
  </si>
  <si>
    <t>isma, ha nombrado en su lugar el limo. Sr. Gefé político inte­ rinamente, y con subordinación á lo que la Regencia del reyno determine, á los señores D. Gerónimo Ceboraim, D. Mateo Norzagaray, y D. Ignacio! Campesino y Guerra. Siendo ele suma importancia que los objetos encargados al tribunal interi­ no de Secuestros tengan l…</t>
  </si>
  <si>
    <t>Gazeta de Madrid bajo el Gobierno de la Regencia n.º 29</t>
  </si>
  <si>
    <t>de una nación: este es el deber de todo ciudadano amante de su patria. nota. En la gazeta de: 17 de octubre núm. 28, pág. 289, lín. 13, don­ de dice D. Gerónimo Ceboraim, léase D. Gerónimo Ztmborain. Constitución de la monarquía española, reimpresa de orden superior en la Im­ prenta real de Madrid, en cuyo despacho se hallará…</t>
  </si>
  <si>
    <t>Cela, José María</t>
  </si>
  <si>
    <t>José María Cela</t>
  </si>
  <si>
    <t>ubteniente D. Rafael Ruimerc................ 1 Olio • • • • • O. Manuel Peyaado...... * Corone:!. .. *&gt;. Acxandro Hore................ 1 Capitán. . . D. José María Cela)a.. • .. 1 PRIMERA. Ordenes . 1 Triiiefctc... D. Bernardo Triineno... .. 1 Otro • •... D. Francisco Paianecs.......... .1 Teniente . . D. Ja&amp;n Mariscal.......…</t>
  </si>
  <si>
    <t>Celada, José María</t>
  </si>
  <si>
    <t>José María Celada</t>
  </si>
  <si>
    <t>sé Ramón Moreno, D. José Benito Mendez, D. José García Cárdenas, D. Antonio Quintana, D. Anto­ nio Villegas, D. Pedro Perez Uriondov D. José Guerra y D. José María Celada; y de bandera á D. Juan López y D. José Benito Azcuénaga. En la compañía de infantería de voluntarios de Madrid de nueva creación , subtenencia á D. Pedro A…</t>
  </si>
  <si>
    <t>Celeueyra, Francisco</t>
  </si>
  <si>
    <t>Francisco Celeueyra</t>
  </si>
  <si>
    <t>D Bernardo Cerran . guarda, 50. Id. D. Mateo Calero, 41, Id D. José Antonio Bustamante , 41. Id. D. Francisco Luna, 41. Id. D. Juan Bonanza , 41. Jd. D. Francisco Celeueyra, 41, Idem D. Santiago del Aguila, 41. — Almacenes de pólvora. Fiel de almacenes Don Luis Drliz , 66. D Manuvl Lauiarca , guarda , 20. D. Ventura Aguilar ,…</t>
  </si>
  <si>
    <t>Celis, Manuel</t>
  </si>
  <si>
    <t>Manuel Celis</t>
  </si>
  <si>
    <t>ldo que im­ portan , 615 y 1 y tres cuartos rs. El ministro tesorero interino D. Domingo de las Casas una mesada. D. Vicente Pena, oficial mayor, 30. D. Manuel Celis, 25. D. José Domínguez , 33 y 2 y medio. D. Francisco Taramona, 10. D. Pablo Antonio Moreno , 10. D. Francisco Ameta f oficial mayor jubi­ lado, 25. D. Marcelo L…</t>
  </si>
  <si>
    <t>Celis, Vicente</t>
  </si>
  <si>
    <t>Vicente Celis</t>
  </si>
  <si>
    <t>Gaceta de Madrid n.º 45</t>
  </si>
  <si>
    <t>les de azúcar de remolacha baxo el cui­ Por decreto de »2 de éste mes se ha servido dado y dirección dei ministro de lo Interior. Es­ S. M. uombrar á D. Vicente Celis i subteniente tas fábricas íe dispondrán de modo que con el pro­ que fue del regimiento de infantería de Castilla, ducto de la cosecha de 1812 á 1813 se fabriqu…</t>
  </si>
  <si>
    <t>Cellini, Pedro</t>
  </si>
  <si>
    <t>Pedro Cellini</t>
  </si>
  <si>
    <t>2617 7 Gramática española para uso de los franceses, im­ El mismo y D. Andrés de Aransai. I35IO presa en Francia el año 1797, en la ciudad de Nimes. D. Pedro Cellini y compañía.......... 3. Su autor D. M. D. Rueda León. Véndese en la li­ Aguirre é hijos.................................. 20820 brería de Quiroga, calle de las C…</t>
  </si>
  <si>
    <t>Centextábili, Luis</t>
  </si>
  <si>
    <t>Luis Centextábili</t>
  </si>
  <si>
    <t>ectado por el ayu­ dante de gobierno, 483. Id. posteriormente del pueblo de Bab .hoyo, 22. D. Pedro Nicolason , 5. El prior de S. Juan de Dios , 100. D. Luis Centextábili, 10. D. Gaspar Cenon de Medina, escribano de gobierno, 25 D. Pe­ dro Aguirre , 6. El prior de S. Agustin , 40. D. José Granada Espinosa , 10. D. Joaquín Tor…</t>
  </si>
  <si>
    <t>Cepeda, Lorenzo</t>
  </si>
  <si>
    <t>Lorenzo Cepeda</t>
  </si>
  <si>
    <t>ismo regimiento, 25. D. Cipriano Laos , teniente , 25. D. Luis Andrade , administrador del ingenio de Huaura, 25. D. x\ntonio Manrique, cirujano, 25. D. Lorenzo Cepeda, guarda de la renta de alcabalas, 20. Don José Salvador , comandante de la partida veterana, 10. D. Francisco Zúñiga, vecino de dicha villa, 10. D. José Manuel…</t>
  </si>
  <si>
    <t>Cerchiara, Pignaielli</t>
  </si>
  <si>
    <t>Pignaielli Cerchiara</t>
  </si>
  <si>
    <t>­ rina , al cargo del teniente Pipón, á presencia de un cuerpo enemigo de JOCO hombres entre tropas de línea y guardias nacionales, man­ dados por el príncipe Pignaielli Cerchiara. Los ingleses atacaron jr ganaron á viva fuerza la posición del enemigo. E te quiso recobrar­ la, y volvió á la carga, pero fue rechazado con mucha…</t>
  </si>
  <si>
    <t>Cereigido, Pedro López</t>
  </si>
  <si>
    <t>Pedro López Cereigido</t>
  </si>
  <si>
    <t>iudad dice que el ban^ pellanía de coro de la santa iglesia de Toledo, va­ co de los Estados-Unidos piensa hacer otra repre­ cante por destitución de D. Pedro López Cereigido. sentación al congreso pidiendo un privilegio, y Y para que obtengan y sirvan en encomienda que para conseguirlo está juntando un capital de los beiK-ti…</t>
  </si>
  <si>
    <t>Cerezo, Baltasar</t>
  </si>
  <si>
    <t>Baltasar Cerezo</t>
  </si>
  <si>
    <t>e Berrocal para el de Santiago de v» , vacante por fallecimiento de D, Nicolás “DíazMiranda del Castañal, vacante por fallecimiento de Tuesta. • f de D. Baltasar Cerezo. Al presbítero ex franciscano D. Iqocérieió' dé A D. Isidoro Perez González para el de-Moni- Cubas para el beneficio en encomienda de Ti vi Ha tejo de Salvati…</t>
  </si>
  <si>
    <t>Cerezo, Lorenzo</t>
  </si>
  <si>
    <t>Lorenzo Cerezo</t>
  </si>
  <si>
    <t>ción de Villacarrilío ; pero siendo inútil la ca­ ballería por hallarse fortificados los enemigos , pasó aviso al coman­ dante de voluntarios de Jaca D. Lorenzo Cerezo para combinar el modo y parage por donde operar de acuerdo. Fu efecto, dicho co­ mandante con su infantería y 100 cabedlos se presentó en Yillacarrillo, ínteri…</t>
  </si>
  <si>
    <t>Cerollos, José</t>
  </si>
  <si>
    <t>José Cerollos</t>
  </si>
  <si>
    <t>Gazeta de la Regencia de las Españas n.º 94</t>
  </si>
  <si>
    <t>783</t>
  </si>
  <si>
    <t>o me dan lugar k deteiter los acontecimiento?. Dios guarde á V. S. muchos años. Leal vida de ñiquislque 19 de de 1812. — Domingo de Montcoerde* — Sr. D. José Cerollos, gobernador ccaiaEd^nte gene­ re! de. la provincia de Coro.” 3.a Del comandante de la provincia de Coro al capitón general de Venezuela D. Femando Miyares. „Cca…</t>
  </si>
  <si>
    <t>Cerran, Bernardo</t>
  </si>
  <si>
    <t>Bernardo Cerran</t>
  </si>
  <si>
    <t>Juan Díaz del Campo , 25- — Ron­ da de vista y administraciones. D. Tomas López , visitador de almacenes, 100. Id. segundo 1). Francisco Erazu , 100. D Bernardo Cerran . guarda, 50. Id. D. Mateo Calero, 41, Id D. José Antonio Bustamante , 41. Id. D. Francisco Luna, 41. Id. D. Juan Bonanza , 41. Jd. D. Francisco Celeueyra, 41,…</t>
  </si>
  <si>
    <t>Cerutti, Fíorencio</t>
  </si>
  <si>
    <t>Fíorencio Cerutti</t>
  </si>
  <si>
    <t>dos del estado mayor de los exércitos á los capitanes D. Manuel Zapatero, de artillaría ; D. Mariano Goicoechea y Urrutia , teniente de ingenieros ; D. Fíorencio Cerutti, alférez de reales guardias esp~;ño­ las ; D. Carlos Victoria, de caballería del Infante; D. Antonio Ta­ hona , del batallón de la Victoria ; D. Francisco Ga…</t>
  </si>
  <si>
    <t>Cervan, Pedro</t>
  </si>
  <si>
    <t>Pedro Cervan</t>
  </si>
  <si>
    <t>D. Pedro maravilla que la pobre esté grasicnta, mugrienta, Josef Periusa. holliníeota y empecinada. Y^eamos pues si pode­ Y a¡ ex-carmelita descalzo D. Pedro Cervan­ mos lavar á esta cuitada dueña de tos tiznones y tes para la vicari, de Navalcarnero , vacante por thafarrinazos con que trabajos y malas compañías muerte de D. …</t>
  </si>
  <si>
    <t>Cervantes, Josef</t>
  </si>
  <si>
    <t>Josef Cervantes</t>
  </si>
  <si>
    <t>371</t>
  </si>
  <si>
    <t>os de oficiales# tropa y demás individuos del cuerpo de ar­ tillería de esta plaza......................... ............. 13212 22 Idem satisfechos á D. Josef Cervantes, admi­ nistrador de la fábrica de pan, importe de 254496 libras de pan blanco al précio cor­ riente para consumo de los¡ exercitos aliados. 566035 24 Idem al …</t>
  </si>
  <si>
    <t>Cervera, Josef</t>
  </si>
  <si>
    <t>Josef Cervera</t>
  </si>
  <si>
    <t>Gaceta de Madrid n.º 249</t>
  </si>
  <si>
    <t>e. yas fuerzas son indivisibles, sean los fundamentos Por decretos de 17 y 24 del corriente S. M. se de su felicidad permanente. ha servido nombrar á D. Josef Cervera prefecto in­ ,, Declaro que la dieta general de la Suiza está terino de la prefectura de Guadalaxara ; al asistente reunida y abierta.” del consejo de Estado D.…</t>
  </si>
  <si>
    <t>Cervsra, Juan Ignacio</t>
  </si>
  <si>
    <t>Juan Ignacio Cervsra</t>
  </si>
  <si>
    <t>sado, se ha servido promo­ ver á capitán, teniente y subteniente en la primera compañía del quinto batallón del regimiento de zapadores minadores , á D. Juan Ignacio Cervsra, capitán segundo del batallón de vo’unt&amp;rio3 de Barbastro, D. Casimiro Pueyo, subteniente del regimiento de infante­ ría primero de Mallorca, y O. Leandr…</t>
  </si>
  <si>
    <t>Cesar, Juan</t>
  </si>
  <si>
    <t>Juan Cesar</t>
  </si>
  <si>
    <t>Juan de Zakíivaz. Y en el batallón de Volunta­ rios de infantería de-Montevideo el empleo de sargento mayor á Don Miguel Granada, y el de ayudante á D. Juan Cesar. Asimismo S. A. se ha servido conceder en el batallón de in« fardería íixo de Go&amp;temala , compañía de ganaderos á D. An« Ionio María, y de fusileros á D. José María…</t>
  </si>
  <si>
    <t>Cestzo, Lererzo</t>
  </si>
  <si>
    <t>Lererzo Cestzo</t>
  </si>
  <si>
    <t>Y. K. con encarecimiento al comandante del escuadrón de cazadores de Jaén, Dt Bernardo M&amp;rqiií z, y al del batallón de voluntarios del rnrrmo ncmbie, D. Lererzo Cestzo, ios que con su acostumbrado' valor y coito cimientos militares, dieron durante la acción l&amp;s mas oportunas y aceitadas disposiciones. Lea partes de ámhos son …</t>
  </si>
  <si>
    <t>Ceurroux</t>
  </si>
  <si>
    <t>173</t>
  </si>
  <si>
    <t>al enemigo ; cuando me desembarace de estas atenciones, lo veri­ ficaré.— Acaban de presentarme mis soldados entre otros prisioneneros un edecán del general Ceurroux.” E! Consejo de Regencia con fechas de 10, 14, 21,19 y 22 de enero próximo pasado mandó publicar y circular los decretos de las Cortes que siguen. I. „ Las Corte…</t>
  </si>
  <si>
    <t>Cevalíos, Pedro</t>
  </si>
  <si>
    <t>Pedro Cevalíos</t>
  </si>
  <si>
    <t>religión católica: medios de-que se vale para extinguirla* y subyugar los españoles por la seducción , ya que no puede dominarlos "por la fuerza. Por D. Pedro Cevalíos. Su autor cede en beneficio de los exércitos el producto de la impresión. — Se hallará en el despacho de la Imprenta Real, y en casa de Font y Closas , calle d…</t>
  </si>
  <si>
    <t>Cevallos</t>
  </si>
  <si>
    <t>882</t>
  </si>
  <si>
    <t>, contra la Guayana; pero que sitiada en una isla del rio Orinoco, precisamente había de ren íirse; que en el ínterin ha b ixado dicha expedición, el general Cevallos ha conquistado la insinuada provincia de Bananas : que 500 hombres 1 ---- 1 ’ - * ’* 1 ' ciudad rao cía ló «le jumo en que .___ _____ _ ___ _ , ... .. leta prec…</t>
  </si>
  <si>
    <t>Cevallos, Alexandro Odiantes</t>
  </si>
  <si>
    <t>Alexandro Odiantes Cevallos</t>
  </si>
  <si>
    <t>— Caras y clerecía del partido de Pasco. D. Francisco Fuster, 50. D. Antonio de la Serna, 12. D. Lorenzo Sánchez Ribera, 12. I). Manuel Alvarez , 12. D. Alexandro Odiantes Cevallos, 50. D. Espíritu Zamudio, 12. IX Fermín Hernández, 25. D. Nicolás Berrocal , 25. D. Francisco Xavier de Arias , 25. D. Dionisio Mesedua , 25. D. M…</t>
  </si>
  <si>
    <t>Cevallos, José</t>
  </si>
  <si>
    <t>José Cevallos</t>
  </si>
  <si>
    <t>. D. Agustín de los Ríos, cura de la parroquia de Sta. Ana, 100. — Real cara de Pasco. D. Juan Agustín Morales, ministro contador, 159 con 2 y medio. D. José Cevallos , ministro tesorero interino, 100. D. Alonso Francisco de España, oficial segundo , 41 con 5. Id. tercero D Joaquín Roxas , 20. Milicias de Piura, 105 con 7. Co…</t>
  </si>
  <si>
    <t>Cftfcnera, TtftrisVdé</t>
  </si>
  <si>
    <t>TtftrisVdé Cftfcnera</t>
  </si>
  <si>
    <t>nio Martines Díaz para e! de cimiento de D. Juan JBaotiíta de ÓñatV.’vif‘:?.n-' S. Julián y Sta. Basilisa de dicha ciudad, vacante AI ex-franciscario D. TtftrisVdé Cftfcnera para por muerte de D. Francisco Marcos. • el ''benefi'cío de Leciñana, en ' laJ provincia ddJ AláA D, Vicente Berrocal para el de Santiago de v» , vacant…</t>
  </si>
  <si>
    <t>Cha, Eugenio</t>
  </si>
  <si>
    <t>Eugenio Cha</t>
  </si>
  <si>
    <t>elita descalzo. Para la de Arenas y Jatar , vacante por no ha­ Valla do!íd 4 de marzo. berse presentado á servirla D. Antonio Ecija , ex­ dominico, á D. Eugenio Cha..fdi, ex-francisca­ Cinco mil bandidos de las qoadrillas de Du­ no del orden tercero , sicristan de la de Pitres. ran, de Amor, de Vasura, del Empecinado y de Par…</t>
  </si>
  <si>
    <t>Chacón, Antonio</t>
  </si>
  <si>
    <t>Antonio Chacón</t>
  </si>
  <si>
    <t>residente en España , ademas de 400 ps. anuales que ofrecen , 800. Real tribunal da dientas. Contadores mayores. D. Pedro Dioni­ sio Calvez, 289 y 3. D. Antonio Chacón, 289 y 3. El marques de Valde1 ¡ríos, 289 y 3. El marques de Laca, jubilado, 192 y 7 y medio. El mar. (.{■jes de S. Felipe , id. 192 y 7 y medio. Contadores de…</t>
  </si>
  <si>
    <t>Chacón, Francisco</t>
  </si>
  <si>
    <t>Francisco Chacón</t>
  </si>
  <si>
    <t>El sexto D. Miguel de Jaras, 83. El séptimo D. Matías Gallardo , 83. El octavo D. Pedro José Carrillo , 66. El noveno D. Marcos Palma, 66. El décimo D. Francisco Chacón , 60. El un­ décimo D. Tomas Doblado, 50. El duodécimo D. Lorenzo Amat, 50. El agregado D. Domingo Gangutia , 66. El escribiente primero D. Luis Calvo, 41. El…</t>
  </si>
  <si>
    <t>Chacón, Juan</t>
  </si>
  <si>
    <t>Juan Chacón</t>
  </si>
  <si>
    <t>á ayudante segando. la fundación de Roma, en el qual innumerables D. M anuel de Trigo á abanderado. bandas de langostas, después de haber acabado con D. Juan Chacón , teniente, á capitán. todas las yerbas, árboles, y aun raices de aquella D. Josef Chamorro , subteniente , á teniente. tierra , arri-bttadas por un viento fuerte…</t>
  </si>
  <si>
    <t>Chacón, Monserrate</t>
  </si>
  <si>
    <t>Monserrate Chacón</t>
  </si>
  <si>
    <t>ro Valverde por uno , 9. D. Joaquín Madan por uno , 9. Doña María Dolores Velez por uno, 9. D. Luis Amedey por uno , 9. D. Ramiro Hervías por 2 , 18. Doña Monserrate Chacón por uno , 9. D. José Matías de Azebal por 2 , 18. D. Ignacio Pedroso , durante la guerra por 4 , 36. El Dr. D. Dionisio Vicente Matamoros por uno , 9. El …</t>
  </si>
  <si>
    <t>Chacón, Vtcente</t>
  </si>
  <si>
    <t>Vtcente Chacón</t>
  </si>
  <si>
    <t>cioli , 25. D Ignacio Hidalgo, 50. D Gregorio Mascóte, 10. D. Francisco Carbajai , 30. Vicente Pacheco, 10. D. Ramón Calvo, 100. D. Miguel Isusi, 1Ó. D. Vtcente Chacón, 30. D. Manu-1 Rodríguez Plaza, 10. D. Mariano Eraso, 2. D. José María Castro, ayudante de Piura , 47 y 2 y medio. Don Antonio Mirón , 10. D. Juan Buzca. 15. J…</t>
  </si>
  <si>
    <t>Chaire, Francisco Xavier</t>
  </si>
  <si>
    <t>Francisco Xavier Chaire</t>
  </si>
  <si>
    <t>; y á D. Manuel Gutiérrez, sargento Juan Bautista Piehard , «obteniente, i teniente en primero, á subteniente: al teniente de infantería reemplazo de D. Francisco Xavier Chaire, y á Don de linea D. Josef Melchor de Anguita á capitán en Graciano Leger, ay udante sob-oficial, á subte­ la misma arma; y á D. Francisco Saldarriaga…</t>
  </si>
  <si>
    <t>Chaleco</t>
  </si>
  <si>
    <t>otivada por la engañosa arenga que el gobernador de la plaza de Uheda hizo á sus tropas , leyéndoles un supuesto papel, que dixo le habla dirisido el comandante Chaleco en estos términos: , Sr. Gobernador de la plaza ij tropas francesas: pongo en vuestra noticia como me hallo en estas inmediaciones con mi columna , con el fin…</t>
  </si>
  <si>
    <t>Chamorro, Josef</t>
  </si>
  <si>
    <t>Josef Chamorro</t>
  </si>
  <si>
    <t>banderado. bandas de langostas, después de haber acabado con D. Juan Chacón , teniente, á capitán. todas las yerbas, árboles, y aun raices de aquella D. Josef Chamorro , subteniente , á teniente. tierra , arri-bttadas por un viento fuerte y repen­ D. Josef G -.lindo, abanderado, á teniente. tino, y vagando por los aires duran…</t>
  </si>
  <si>
    <t>Chap</t>
  </si>
  <si>
    <t>la Fran­ remo!.cha que ha establecido eti Passi Mr. Benja­ cia no necesitará enviar fuera sa numerario para mín D lessert; hallábase allí el senador conde Chap- comprar el azúcar que consuma; lo sacará de sa tal. S. M. visitó mui por tncoor todo el establecí-, propio territorio, y para purificarlo no tendrá que miento, y mani…</t>
  </si>
  <si>
    <t>Chaparro, Francisco</t>
  </si>
  <si>
    <t>Francisco Chaparro</t>
  </si>
  <si>
    <t>a­ D. Gerónimo de Buros. rán en ios pneblos que á continuación se expresan D. Amonio Varo Clavija. los batallones y compañías de milicia cívica qne á D. Francisco Chaparro. cada uno se detallan. D. Juan Manuel Carrillo. art. ir. En la villa de Baena se formará un art. iv. En la villa de Montemayor se for­ batallón de á ocho c…</t>
  </si>
  <si>
    <t>Chaparro, Juan</t>
  </si>
  <si>
    <t>Juan Chaparro</t>
  </si>
  <si>
    <t>Gon­ zalo..... ................................................................ 2200 D. A!onso Jurado, id............. ......................... 2200 D. Juan Chaparro, subdiácono, id.............. 2200 D. J uan Quiroga, id...................................... . 220a D. Antonio Navajas, residente en Caitro D. Juan Garrid», id…</t>
  </si>
  <si>
    <t>Chapt</t>
  </si>
  <si>
    <t>il áster Novae-Angliae, el áster Novae- Adoptado en sesión general , 4 de setiembre de Jjslgiae, el áster biminalis de Litsneo , y el áster1 1811.—El conde Chapt*l , presidente. =. Guytoutubricanits de L ,marck. MorVeau, Dapont (de Nemours) vice-presidenLa solidará altisshna , la solidado sempervi- tes. ~Ei barón Degerando , …</t>
  </si>
  <si>
    <t>Charao</t>
  </si>
  <si>
    <t>Gazeta de Madrid bajo el Gobierno de la Regencia n.º 22</t>
  </si>
  <si>
    <t>224</t>
  </si>
  <si>
    <t>a al capitán general copia de los partes que le han dado los comandantes de dos destacamentos, cuyo resumen es el siguiente: ,, El 9 de abril tuvo el capitán Charao una acción con una partida de 80 y tantos gauchos, que andaban cometiendo atrocidades contra las personas y bienes de los buenos vasallos de S. M. Católica en las…</t>
  </si>
  <si>
    <t>Charpeney, Carlos</t>
  </si>
  <si>
    <t>Carlos Charpeney</t>
  </si>
  <si>
    <t>á co­ conducirlas á nuestros puertos. ronel ; ¿ D. Antonio Lebre, comandante de bata­ El colegio de los jesuítas de Polocs en la Lt- llón, á mayor; á D. Carlos Charpeney, capitán, tnania ha sido erigido en academia con el título de á comandante; á D. Francisco Miqueau, teniente, Academia de la orden de los Jesuítas, y tendrá …</t>
  </si>
  <si>
    <t>Charum, Francisco María</t>
  </si>
  <si>
    <t>Francisco María Charum</t>
  </si>
  <si>
    <t>do Ximenez , 166 y 5. D. Ramón Sarrio , 125. Don José Darregueiva , alcayde interino , 125. — Oficiales primeros. D. Juan de la Daga, 83 y 2 y medio. D. Francisco María Charum , 83 y 2 y me­ dio. D. Diego Antonio Posada , 166 y 5. D. Antonio Franca, 83 y 2 y me­ dio. D. Manuel Ferreiros , 83 y 2 y medio. D. Manuel Duran , 83y…</t>
  </si>
  <si>
    <t>Chauveiin</t>
  </si>
  <si>
    <t>661</t>
  </si>
  <si>
    <t>o se crea que se trata solo de apariencias, ha nombrado y enviado ios gefes páralos nuevos departamentos. A primeros de abril llegaron á Barcelona el barón Chauveiin, consejero de estado, nombrado intendente de los depar­ tamentos de Monserrat y Bocas del Ebro, y el conde Treiihar 1, pre­ fecto de el de Monserrat; y el genera…</t>
  </si>
  <si>
    <t>Chauvell</t>
  </si>
  <si>
    <t>28 podía dudar, en que me comunicaban que el general Chauvell había Rega­ do á Pollos en el dia anterior con la caballería y artillería de á .caballo del exército del Norte con el fin de reunirse al mariscal Marment. Durante la noche del dia 21 el enemigo se situó en el lugar llamado Cabvarrasa de arriba, en una altura inmediat</t>
  </si>
  <si>
    <t>Chavarría, José</t>
  </si>
  <si>
    <t>José Chavarría</t>
  </si>
  <si>
    <t>Romualdo de Vidaurre y de la Parra, 100. Ei comandante D. José Andrés Delgado , 200. Id. D. Ma­ nuel Gómez, 6. El capitán D. Bartolomé Celis, 2. Id. D. José Chavarría, 17. El ayudante mayor D. Baltasar Muro , 12. El teniente D. Francisco Ren­ teros, G. Id. D. Santos Cabrejos, 12. Id. D. Bartolomé Dapelo r6. Id. D. Eulalio Guz…</t>
  </si>
  <si>
    <t>Chaves, Pedro</t>
  </si>
  <si>
    <t>Pedro Chaves</t>
  </si>
  <si>
    <t>hacendado ,de Laran , 1000. Dependientes de dicha hacienda. D. Francisco Carvajal, 25. I). Manuel Chaves y Caravero, 25. D. Manuel Roxas, médico, 25. D. Pedro Chaves , 25. D. Gerónimo N. , 10. José Severino, 10. Individuos de mar. El capitán y tripulación de la fragata Tránsito, 22 y 4. Eí capitán de la fragata Tria! D. Salva…</t>
  </si>
  <si>
    <t>Chcwne</t>
  </si>
  <si>
    <t>ctei Coronel Aafcwrlh, que formaban ía reserva de este aüque. ^Favoreció macho nuestras operaciones en este sit’o una diver»ion hecha por el teniente general Chcwne con las tropas de su man­ do contra el casti'lo de Mira ve te ; ía cual persuadió ai enemigo que no ataca* temos el fue&amp;te que está ai pie del puer to antes de fo…</t>
  </si>
  <si>
    <t>Cherta, Ric y la de Guillem</t>
  </si>
  <si>
    <t>Ric y la de Guillem Cherta</t>
  </si>
  <si>
    <t>tera, y no pasa ningún convoy que no lleve 400 ó 500 soldados de escolta. Han formado una columna volante para perseguir y dispersar las paiíidas del capitán Ric y la de Guillem Cherta , sin que hasta ahora hayan podido conseguirlo. En Alcalá dieron orden de prender á to­ dos los desertores y dispersos, pero soló se verificó …</t>
  </si>
  <si>
    <t>Cheserebqurg, Cristóbal</t>
  </si>
  <si>
    <t>Cristóbal Cheserebqurg</t>
  </si>
  <si>
    <t>nde*, secretario de;, -la- o • comandancia general de Castilla la, Nueva,-; . para gastoá de escritorio depila....... ............ . , 1.3.73. Idem á D. Cristóbal Cheserebqurg, capitán . ■ del Inmemorial del Rey, herido y prisione- « ro que fue, para hacer su viage al Ferrol.... loco Idem por importe de una pieza de cinta de …</t>
  </si>
  <si>
    <t>Chevalier, Pedro Remi</t>
  </si>
  <si>
    <t>Pedro Remi Chevalier</t>
  </si>
  <si>
    <t>Gaceta de Madrid n.º 44</t>
  </si>
  <si>
    <t>que al lado del antiguo astillero de Castellamare El corone! D. Pedro Remi Chevalier con lo? se están haciendo otros á toda priesa , para dar á la granaderos y tiradores de la guardia real, á que so construcción naval toda la extensión posible. El unieron los tiradores del i.° de</t>
  </si>
  <si>
    <t>Chgg</t>
  </si>
  <si>
    <t>esquadra de S. M. el Emperador estaba cargamento valia 1.930® francaSr.el otro se lla­ ya á 14 leguas de distancia de la Calzada de los maba el Juan, capitán Chgg, der.292 toneladas, Santos al O. S O. Vinieron á reconocerla dos na­ de 20 hombres de equipage, dos pasageros y 11 vios enemigos; pero se quedaron á unas tres legua…</t>
  </si>
  <si>
    <t>Chiclana, Feliciano</t>
  </si>
  <si>
    <t>Feliciano Chiclana</t>
  </si>
  <si>
    <t>ara por 5® libras esterlinas; y es regular que no executivo compuesto de tres individuos, qpe enenentre otras j© Ijbras pata volver á compr.irío. spn D. Feliciano Chiclana, D. Manuel .de Sarra- ¡ Oxalá que en otros casos de esta naturaleza hu­ jtea, y el doctor í&gt;. Juan Josef Paso, que antes biese manifestado I3 cámara mayor …</t>
  </si>
  <si>
    <t>itusterio. qne la ciudad y provincia de Buenos-Aires están hoi dia a la merced de una junta compuerta de trej , Pari'í i.0 de junio. vocales* qne son D. Feliciano Chiclana, D. Ma­ nuel de Sarratea y D. Joan Josef de Passo, cón El célebre geómetra condé y senador Lágíai!i¿e</t>
  </si>
  <si>
    <t>Chiston</t>
  </si>
  <si>
    <t>ue no estuvo un momento dudosa la victoria, aunque la quarta división se vio algunos instantes apurada r. pues la llegada de la sexta, mandada por el general Chiston, que dispuso ei Duque fuese á su socorro, hizo que momentáneamente la acción tomase el alhagüeño sem­ blante que antes tenia. Desalojado el enemigo de todas part…</t>
  </si>
  <si>
    <t>Chiva, Manuel</t>
  </si>
  <si>
    <t>Manuel Chiva</t>
  </si>
  <si>
    <t>gor q«« qflaaJo «I soldado eiti en pobu- art. ir. Don Josef Alegre, D. Josef Beneito «lODti. ¿a caballería permanecerá acantonada has» y Cha inri e y D. Manuel Chiva, abogados del co­ ta nueva orden. Todavía no está nombrado el ge­ legio de Valencia , quedan nombrados alcaldes del neral qoe debe mandar en gefe este exéreito, …</t>
  </si>
  <si>
    <t>lde de! crímea de la real que luya guerra entre la I iglaterra y los Estados- audiencia de Valencia. U idos j el puerto de F.rnandina estará abierto- D. Manuel Chiva, idem. , para los buques y mercancías Inglesas, y será con­ D. Josef.Ingles , hacendado. siderado como puerto libre hasta i.° de mayo de D. Mariano Tamarit, come…</t>
  </si>
  <si>
    <t>Chuto</t>
  </si>
  <si>
    <t>l.te­ niente general Leith recibió Una herida, que desgraciadamente le obligó á dexur el campo Mandé qn e la sexta división, al cargo del mayor gener.d Chuto.¡, relevase- á la quarta , y pronto se restableció la batalla coa la ventaja que. aníes». ?; . ■ „Sin embargo, la derecha deí enemigo7 reforzada con las tropas</t>
  </si>
  <si>
    <t>Ciau</t>
  </si>
  <si>
    <t>1045</t>
  </si>
  <si>
    <t>igios de valor y cxecutaroa ac­ ciones dignas de ios franceros. A pesar de ello, el accidente ocurrido al duque da Rag esa al principio, determinó al general Ciau?el á reti­ rarse á la derecha del Termes. Después d*3 vados reencuentros igual­ mente reñidos de una y otra parte , repasó esta rio en A b?., dexando una de sus div…</t>
  </si>
  <si>
    <t>Ciaz</t>
  </si>
  <si>
    <t>1044</t>
  </si>
  <si>
    <t>aj Dronet. „McJ envía !a.carta inc!u?s del coronel Skerrett, que manda las tropas británicas y portuguesas que componen parte de¿ destácameos to de?. general Ciaz, per ia cual sé que ios aliados entrares en Sevi­ lla el-27. Infiero que as hh devinta :1o el bloqueo de Cádiz, por cuan­ to he recibido varios avisos de la destruc…</t>
  </si>
  <si>
    <t>Cibzt, Antonio</t>
  </si>
  <si>
    <t>Antonio Cibzt</t>
  </si>
  <si>
    <t>e hacer bien, y su corazón El dia 20 da diciembre último falleció en esta no reconocía en los enfermos sino el hombre que corte á los 40 años de edad D. Antonio Cibzt, ca­ sufre ; y asi indistintamente asistía por amistad al ballero de la Orden Real de España, inspector de ¡odivliuo de elevado carácter, y por caridad al sanid…</t>
  </si>
  <si>
    <t>Cicero, Pablo</t>
  </si>
  <si>
    <t>Pablo Cicero</t>
  </si>
  <si>
    <t>bernardo , por....... azoo laate................................................................. 2200 0. Joan Alzaibar , ex-mercenario calzado. 2200 D. Pablo Cicero, ¡d. de Cicero................... 2200 0. Manuel Alcocer, ex-franciscano............ 2200 D. Josef dé Bolado Castañedo, id. de Re- 0. Manuel Muñoz , ex-carmelita…</t>
  </si>
  <si>
    <t>Cíe</t>
  </si>
  <si>
    <t>ento de Granada , &lt;¡.° de infante­ vino y Pontejos, de quien es apo­ ría de línea , á subteniente del de Madiid , t.° de derado y habilitado judicial D. Cíe­ la misma arma; 4 D. Josef Negiete y Arteagi, me.ice de Cabía................................ I2J2LO guardia de Corps que fue, á subteniente del regi­ D. Francisco de Pau…</t>
  </si>
  <si>
    <t>Cieagh</t>
  </si>
  <si>
    <t>fSO la segunda sección ; todo al ñauado dd mariscal de campo D. Feli­ pe R jsh, y de su segundo el brigadier Cieagh. El centro vibaqueaba á media leg m de Castalia con los batallones de la Corona y G .íadix á las órds aoj del brigadier Michekna ; y la reserva á las del comandante ds la primera sección, e</t>
  </si>
  <si>
    <t>Cíement</t>
  </si>
  <si>
    <t>22</t>
  </si>
  <si>
    <t>de 500 hombres de pérdida, entre ellos un coronel y va­ rios oficiales , no habiendo excedido ia de Mil&amp;ns de 60. Ei S del mismo mes, la división del general Cíement , com­ puesta de 17G0 hombres, peleó en la montaña de la Pina con el primar batallón del regimiento de S. Fernando, del mando del brigadier Revira, que se retiró…</t>
  </si>
  <si>
    <t>CienfuefgoB, José</t>
  </si>
  <si>
    <t>José CienfuefgoB</t>
  </si>
  <si>
    <t>ado de teniente coronel de las com­ pañías de zapadores de Cataluña, D. Ramón González, capitán del segundo del batallón de voluntarios de Santiago , D. José CienfuefgoB, capitán del batallón del General del sexto exército , D. Jsyme Fablegues, capitán con grado de teniente coronel del segundo de Bur­ gos y D. Pedro Martínez …</t>
  </si>
  <si>
    <t>Cimbolii, Cristóbal</t>
  </si>
  <si>
    <t>Cristóbal Cimbolii</t>
  </si>
  <si>
    <t>dura teudri lugar respecto de todos aque­ Sr. D. Juan Biptlsta Parnitse................ 200 llos vasallos nuesrros que no la hubiesen, recibid© . Sr. D. Cristóbal Cimbolii...................... 50 todavía, de«pues de h.foeise mudado la persona Sr. D. P-.dró Bandi u.............................. . 40 del señor feudal ; es deci…</t>
  </si>
  <si>
    <t>Cíñete, Felipe</t>
  </si>
  <si>
    <t>Felipe Cíñete</t>
  </si>
  <si>
    <t>nfluido en nuestros alborotos es ia D. Diego Arroyo, id........... ....................... 2200 ignorancia de nuestra historia. Ella nos hace ver que D. Felipe Cíñete, id. en Aicauicte.......... 2 200 España por sus ap-eciables circunstancias , y por D. Vicente de Funes, id............ ................ 2200 su peso en la bala…</t>
  </si>
  <si>
    <t>Cini, Juan</t>
  </si>
  <si>
    <t>Juan Cini</t>
  </si>
  <si>
    <t>ronel D. Santiago Bañueics y al coronel D. Ildefonso Diez de Ribera : em­ pleos de ayudantes primeros á los segundos D. Francisco de Paula Figuerss , D. Juan Cini, D. Ventura Escalio , D. Agostía de Salazar 9.,D. Joaquín Escario, D Jaecho Escario y D. Luis Cepeda; y empleos tle ayudantes segundos á los adictos D. Jacobo Mstia…</t>
  </si>
  <si>
    <t>Circular, Antonio Cano Manuel</t>
  </si>
  <si>
    <t>Antonio Cano Manuel Circular</t>
  </si>
  <si>
    <t>o órdenes militares de Santiago, Calatrava, Alcántara y Monte2a. Tendieislo entendido para su cumplímiento.— En Cádiz á l.° de setiembre de 1812. — A D. Antonio Cano Manuel/’ Circular del ministerio de hacienda. Los secretarios délas Cortes me han comunicado en oficio de ayer la resolución siguiente r r „Las Cortes generales …</t>
  </si>
  <si>
    <t>Ciria</t>
  </si>
  <si>
    <t>en los principios del ór­ den social; que Ballestero» con ios -sesinos del D1 Jcsef de la Concha, el subprefeefó de Osuna Doti magistrado- Rico y del gobernador Ciria , y qjialDiego Tanco, el subprefecto de Aracena D.Diego qoiera otro que siga su barñaro y cri.ninal excm— Montero, y otros. - pió, sefátr condenados individualm…</t>
  </si>
  <si>
    <t>Cirios</t>
  </si>
  <si>
    <t>Gaceta de Madrid n.º 28</t>
  </si>
  <si>
    <t>a capital. Es verdad ricas de los condes palatinos del Rín , tronco de que signen ¡as negociaciones ; pero tegua' parece la casa de Haviera, desde el conde Cirios hasta el dorarán mucho tiempo. Se está esperando otro ple­ duque Federico ,.padre dd Soberano reinante. nipotenciario que viene de Constantinopla , y que En seguida…</t>
  </si>
  <si>
    <t>erpool. I. Salamanca 18 de junio de 1812.—„E1 exército pasó el Agueda el 13 dél comente, y marchó adelante en 3 columnas. Las trepas á las órdenes de D. Cirios de España formaban una coarta columna. Todo el exérclto llegó el 16 sobre el Valmuza, riachuelo que dista unas 6 millas de aquí. El enemigo mostró alguna caballería y …</t>
  </si>
  <si>
    <t>100</t>
  </si>
  <si>
    <t>s guarniciones de la provincia. Madrid i 9 de agosto. El comnaüaatc g?n-ral interino de Cutida la nmva, y de esta villa y corte, el maascaí de ca-npa D. Cirios E*¿&gt;añi, pondos ór­ denes expedidas el dii lo dsí corr éate , ka manda la xpií? todos !g3 oü da.es da aua'qutara graduación, y ios empleados q,e estaban ai servicio de…</t>
  </si>
  <si>
    <t>Gazeta de la Regencia de las Españas n.º 159</t>
  </si>
  <si>
    <t>hi artillería que no pudo retirarse, las obras &amp;c., fueron destruidas ántes que las tropas se retirasen de Aranjuez. , i „Las divisiones españolas de D. Cirios, España y el conde de Penrte Villemur están con el teniente general Sir R. Hill. „Un pequeño cuerpo de tropas enemigas estaba en Valdemoro el 31 , y entró en Madrid á …</t>
  </si>
  <si>
    <t>Ciriteca</t>
  </si>
  <si>
    <t>: que los nombrados* ;Pues por qué el acto* titulada las Juventudes de Ilenrique v, y el sai­ •cñor Arguelles y su partido no Ja han conseguido? nete D. Ciriteca. Actores en la comedia. Señores -Ma» Respuesta: No se sabe1 que Ballestcros-.eXceda en valor queda y Torres. Señores Ponce, Infantes, Avecilla, £}i méritos.al duque …</t>
  </si>
  <si>
    <t>Cirro</t>
  </si>
  <si>
    <t>turcas serán las abril de uno de estos años sembró dos granos de que ataquen, pues según todas las apariencias los este arroz , que le Intbia dado el doctor Cirro: lo* enemigos tratan de estar solamente á la defensiva. sembló en esta época con la mira de evitar los daÉns que podrían causar las heladas de! invierno, y ■ Andrtn…</t>
  </si>
  <si>
    <t>Cisaeros</t>
  </si>
  <si>
    <t>Gaceta de Madrid n.º 4</t>
  </si>
  <si>
    <t>spondí ncia , que es el alma de de los Reyes. Sin embargo, ya en tiempo del car­ las relaciones mercantiles. Se creía en Rusia qu» denal é inquisidor general Cisaeros se trató de re-</t>
  </si>
  <si>
    <t>Cisamayor, Juan</t>
  </si>
  <si>
    <t>Juan Cisamayor</t>
  </si>
  <si>
    <t>n empleos distinguidos. r,Hc conferido en el campo de batalla , á nombre de S. A., al sar­ gento mayor dei b zarro regimiento de húsares de Cast lía, D. Juan Cisamayor, el empleo de comandante de escuadrón: y espero que S. A. se servirá expedirle el real despacho.— Dios guarde á V. E. muchos años. Canrtei general del Padul l&amp;…</t>
  </si>
  <si>
    <t>Ciscar, Francisco</t>
  </si>
  <si>
    <t>Francisco Ciscar</t>
  </si>
  <si>
    <t>la •esion de 24 del corriente á la renovación de su presidente , vice-presidente y uno de sus secretarios ; salieron electos , para presidente el Sr. D. Francisco Ciscar, diputado per Valencia; para rice-presiden­ te el Sr D. Francisco Rodríguez CaíeUc , diputado por Asturias; y para .secretario el Sr. D. Jes6 María Couto. di…</t>
  </si>
  <si>
    <t>Ciscar, Gabriel</t>
  </si>
  <si>
    <t>Gabriel Ciscar</t>
  </si>
  <si>
    <t>crito. En seguida se restituyeron al palacio de la Aduana, donde recibieron la posesión de manos de los señores re­ gentes anteriores 6. Pedro Agar y D. Gabriel Ciscar. JParte que da el brigadier 1). Juan Creagh, comandante general de la segunda división del tercer exército, al teniente general D. Nicolás Mahy y general en ge…</t>
  </si>
  <si>
    <t>ros de Estado, ademas de D. Joaquín Blake, capitán general de los exércitos nacionales, á D. Pedro de Agar, eapitan de navio de la armada nacional, y D. Gabriel Ciscar, gefe de escuadra , comprehendidos en el decreto’ de 22 del propio mes de enero; al cardenal arzobispo de Toledo D. Luis de Borbon; á D. Andrés García Fernande…</t>
  </si>
  <si>
    <t>Cisne, Ignacio</t>
  </si>
  <si>
    <t>Ignacio Cisne</t>
  </si>
  <si>
    <t>o Davalos, tercero , 30. D. José Cañoli , aprendiz, 16. D. José Mariano Oya* gue , portero marcador, 29. D. Manuel Noguera , portero de la calle, 33. D. Ignacio Cisne ros Merino, 33. —E! monasterio de Sta. Catalina, 109. D. Domingo Ramírez de Arel Inno , 2000. J)r. D. Manuel Lorenzo Vid turre , por tres meses de su oferta dur…</t>
  </si>
  <si>
    <t>Ciudad-Rodrigo, Je</t>
  </si>
  <si>
    <t>Je Ciudad-Rodrigo</t>
  </si>
  <si>
    <t>Gazeta de Madrid bajo el Gobierno de la Regencia n.º 27</t>
  </si>
  <si>
    <t>arma en honor y ventaja de su patria. ,, Dios guarde á V. S. muchos años. Quartel general de Flores de Avila 2 5 de julio de 1812.= Lord Wellington.* duque Je Ciudad-Rodrigo. =Sr. I). Juan Palarea.’* Ccf/a de la contestación d este oficio. ,, Excmo. Sr.: he recibido con todo el aprecio que se merece el sable que "V~. É. me ha…</t>
  </si>
  <si>
    <t>Ciur, Francisco</t>
  </si>
  <si>
    <t>Francisco Ciur</t>
  </si>
  <si>
    <t>Fink, también del escuadrón de alemanes, merecen la consideración de V. E.: los dos primeros han sido heridos gravemente por la metralla. Mi ayudante D. Francisco Ciur&amp;na y el capitán D. José Verdugo, me han servido muy eficaz­ mente , cumpliendo con exactitud mis órdenes. Ll batallón de tazadores de Cataluña ns me ha dado pa…</t>
  </si>
  <si>
    <t>Ciurana, Narciso</t>
  </si>
  <si>
    <t>Narciso Ciurana</t>
  </si>
  <si>
    <t>nfantería'de Palma D. J osé Caries , el capitán del regimiento de cazadores españoles D. Aiexaudro González, ayudante de campo del expresado general, D. Narciso Ciurana, capitán del regimiento de infantería de Ultouta , y el capitán de caballería D. Juan Acuevera.—Dios guarde &amp;c. Cuartel general de Berga 28 de febrero de 1812…</t>
  </si>
  <si>
    <t>CkKkdyud-inté</t>
  </si>
  <si>
    <t>castigarlos. 2 a Dbs muertos, heridos, y contuso$ del estado mayor son, el briga­ dier D. Pascual blüupoey^que mugió en el ampo; herido el tenien­ te coronel CkKkdyud-inté íefExcmo. Sr. general en gefe ; y contu­ so el ayudante segundo de e.siadó mayor D. José Antonio Fació. 3. a' Desde el general en gefe, de toda la clase de…</t>
  </si>
  <si>
    <t>Claudio</t>
  </si>
  <si>
    <t>a Daubenton (D. Pedro Josef) , teniente de grana­ guardia real. . . . deros de i» gaardia real. López Montero. (D. Ventora), ¿apitan de caba­ Doucet (D. Claudio), primer artillero de i caba- llería , y ayudante dé la plaza de Mad/id. , , llo de la guardia real. Lorésecha (D.Jpan), alcalde de corte.. Doz (D. Joaquín) , capitán…</t>
  </si>
  <si>
    <t>Clausel</t>
  </si>
  <si>
    <t>muy probable haya muerto de las heridas recibidas en la acción del 22; igualmente han si­ do heridos una porción de generales, entre ellos Bónnet. El general Clausel parece había tomado el mando del exército derrotado , que se dirige por Arévalo. Se asegura que el 25 entre Arévalo y Peñaranda ha habido otra acción, cuyas resu…</t>
  </si>
  <si>
    <t>la izquierda del Tórmes , mudarían de plan , y maniobrarían por la orilla opuesta. ,,En el discurso de la noche recibí noticias indudables de que el general Clausel había llegado á Pollos el 20 con la caballería y ar­ tillería volante del exército del; Ñort^ para reunirse al mariscal Marmont, y estaba cierto de que estas trop…</t>
  </si>
  <si>
    <t>148</t>
  </si>
  <si>
    <t>horas con grande furia: obráronse prodigios de valor dignos del nombre francés. A pesar de esto el accidente de que fue víctima Marmont determinó al general Clausel á retirarse sobre la derecha del Tormes, y des­ pués de alternativos sucesos, ya prósperos, ya adversos, el exército pasó el rio por Alba, dexando una división pa…</t>
  </si>
  <si>
    <t>Clavero, Juan</t>
  </si>
  <si>
    <t>Juan Clavero</t>
  </si>
  <si>
    <t>00 D. Josef Qnesada, id.......................... 2200 Ex-carmelitas descalzof. D. Josef Alcoba, id............................................' 2200 D. Juan Clavero, residente en Córdoba-. 22po D, Aíanuel Fernandez, residente en Orche D. Diego Pozuelo y B &gt;rja , id...................... 2200 provincia de Guadalaxara.........…</t>
  </si>
  <si>
    <t>Clavija, Amonio Varo</t>
  </si>
  <si>
    <t>Amonio Varo Clavija</t>
  </si>
  <si>
    <t>o prevenido ed Subtenientes. nuestro decreto de 19 de abril de 1810 se forma­ D. Gerónimo de Buros. rán en ios pneblos que á continuación se expresan D. Amonio Varo Clavija. los batallones y compañías de milicia cívica qne á D. Francisco Chaparro. cada uno se detallan. D. Juan Manuel Carrillo. art. ir. En la villa de Baena se…</t>
  </si>
  <si>
    <t>Clda</t>
  </si>
  <si>
    <t>ras de bía - lo provistt de víveres hacia poco tiempo, y paño azul, de hilo y de alg. d &gt;n teñido con la fé- se h.,bía renor,.do su guarnición ; y su gobernador Clda del añil líquido, extraído del pastel hacia el va Ente general Bertholetti hizo ver en breve qmtr;i ó cinco dias, y al mismo tiempo le remi­ al enemigo la temeri…</t>
  </si>
  <si>
    <t>Clement</t>
  </si>
  <si>
    <t>340</t>
  </si>
  <si>
    <t>dis­ puso la retirada, disputando el avance de cañada en cañada por es­ pacio de 5 horas de no interrumpido fuego. A i es que toda la di­ visión del general Clement, compuesta de 1500 infantes, 40 caba­ llos y unos 150 parrotes (sin atreverse á entrar en Aulót soldado alguno hasta el anochecer que cesó el fuego) peleó con mi …</t>
  </si>
  <si>
    <t>Clemente</t>
  </si>
  <si>
    <t>Alvarez.............................. 20412 D. Sebastian de 'Alolliuedo..... ............. 18000 D. Josef López de Arcos...................... 60750 D. Clemente deíPerea, por medio de D. Zoilo Saenz de Texada................... i6tO su apoderad£jL)l'Juan deJBelaodía. 80000 D. Simón García Puerta, por medio D. Tomas Cotop.....…</t>
  </si>
  <si>
    <t>re el séptimo cuerpo. Sorprehendló y cortó »»al brigadier general saxon Klengel, que mandaba una vanguardia de dos » batallones y dos escuadrones del príncipe Clemente. Después de dos horas »&gt; de resistencia casi todos los que componían esta vanguardia quedaron muetr»tos ó prisioneros. El general conde Regnier llegaba á su so…</t>
  </si>
  <si>
    <t>el 27 del mes pasado con su brigada compuesta del regimiento del Rey, de una parte del regimiento de infantería ae Niemenschel, y de los huíanos del príncipe Clemente contra el cuerpo del general ruso Tormasow, ha sido obligado después de 10 horas de combate á ceder á la superioridad del enemigo, y ha sido hecho prisionero. I…</t>
  </si>
  <si>
    <t>ras. Otros jo generales vanguardia , compuesta de dos batallones y dos es- han sido heridos, y quatro coroneles muertos. quadrones del regimiento del príncipe Clemente. El general Ricard entró el 1.® de agosto con Al cabo de seis horas de resistencia la mayor parre su brigada en Dunaburgo. Solo encontró ocho pie­ de esta, van…</t>
  </si>
  <si>
    <t>Clemente, Justo</t>
  </si>
  <si>
    <t>Justo Clemente</t>
  </si>
  <si>
    <t>ascual del Rey , D. Miguel Parrales, D. Francisco Ay uso, D. Miguel González, D. Antonio (González, D. Angel Liare, D. José Uiloa,D Francisco Acosta, D. Justo Clemente, D. José Sánchez, D. Eustaquio Hidalgo, D. Basilio Aguado, D. Tomas Aparicio, Don Fernando Villanueva, D. Antonio Ansaldo , D. Sebastian de Moya, D. Antonio Ma…</t>
  </si>
  <si>
    <t>cual del Rey, D. Miguel Parrales, D. Francis­ co Ayuso, D. Miguel González, D. Antonio González, D. Angel Llave, D. Josef Ulloa, D. Francisco Acosta, D. Justo Clemente, D. Josef Sánchez, D. Eustaquio Hidalgo, D. Basilio Aguado, D. Tomas Aparicio, D, Fernando Villanueva, D. Antonio Ansaldo, D. Sebastian de Moya, D. Antonio Ma­…</t>
  </si>
  <si>
    <t>Cliasría</t>
  </si>
  <si>
    <t>Gaceta de Madrid n.º 247</t>
  </si>
  <si>
    <t>994</t>
  </si>
  <si>
    <t>an limi­ terreno, el general Grouchy hizo una hermosa car­ tarse á conservar la altura; cinco líneas de infante­ ga con la división de caballería del general Cliasría rusa avanzaban para recobrarla, y acometían la tel, que apoyaba en este momento la izquierda de ala derecha del general Morand. Al punto hice formar la infanter…</t>
  </si>
  <si>
    <t>Cliavier, Julián</t>
  </si>
  <si>
    <t>Julián Cliavier</t>
  </si>
  <si>
    <t>arios miembros de esta rios en la de Guardias de Corps; D. Dionisio Es- ilustre sociedad, ó qne le han sido presentadas por tebez en la de Afligidos; D. Julián Cliavier en I2 otros sabios como un homeoage debido á este cé­ de Monterei, y D. Juan Bagur en la de S. Anto­ lebre cuerpo , que preside y sanciona , por decirlo nio a…</t>
  </si>
  <si>
    <t>Clinton</t>
  </si>
  <si>
    <t>314</t>
  </si>
  <si>
    <t>diarios hablan de que el Congreso se suspenderá por algún tiempo. — Parece que Mr. Madisson no será reelegido presiden­ te: se dice si le sucederá el general Clinton. — El 23 deí pasado murió de repente en Plimouth Sir Cárlos Cotton, comandante de la escuadra de la Mancha. Se han perdido las fragatas de la marina real, JLaure…</t>
  </si>
  <si>
    <t>lería clel mando del teniente general Sir Stapleton-Cotton la atacaban por el frente, sostenida^ en reserva por la sexta división del mando del mayor general Clinton , la sépti­ ma del mayor general Hope , y la división española de D. Cí&gt;rlos .España. El brigadier general Pack debía sostener la izquierda de la cuarta división…</t>
  </si>
  <si>
    <t>y la caballería al mando del teniente general sir Stapleton Cotton atacasen por el frente; dexando en la reserva la sexta división al mando del mayor general Clinton: la séptima división mandada por el ma­ yor genera! Hope, y la división española de D. Carlos de España: previne al general Pack que apoyase la izquierda de la q…</t>
  </si>
  <si>
    <t>eneral Léith recibid otra herida, que por desgracia le obligo á retirarse: dispuse entonces que avanzase la sexta división á las or­ denes- del mayor general Clinton, con el objeto de socorrer á la división quarta; con esto se restituyo la batalla á su primitivo y buen estado. No obstante, reforzada la derecha del enemigo con…</t>
  </si>
  <si>
    <t>corriente, y aun­ que el general Druet había estado en movimiento por tres dias consecuti­ vos , no parece que sean de importancia alguna. ,,E1 mayor general Clinton me participa desde Cuellar, con fecha de 13 de este mes, que un destacamento del exército denominkdo de Portugal ha­ bía hecho un movimiento desde las inmediacio…</t>
  </si>
  <si>
    <t>Clor, Francisco</t>
  </si>
  <si>
    <t>Francisco Clor</t>
  </si>
  <si>
    <t>pa­ ró del campo , á pesar de la absoluta falta de agua que aumentó en todos el sufrimiento. vEl batallón de Cataluña, aí mando de su segun­ de mayor D. Francisco Clor, y la columna formada de varias com­ pañías de todos los cuerpos al del primero D. Constancio Martínez, se unieron á la de cazadores y aumentaron sus ventajas.…</t>
  </si>
  <si>
    <t>separó del campo, á pesar de la absólu ta falta de agua que aumentó én todos el sufrimiento. El batallón de Cata­ luña, al mando de su segundo mayor D. Francisco Clor, y la coluna forma­ da de varias compañías de todos los cuerpos al del primero D» Constancio Martínez, se unieron á la de cazadores y aumentaron sus ventajas» M…</t>
  </si>
  <si>
    <t>Cmchaga, Oregorio</t>
  </si>
  <si>
    <t>Oregorio Cmchaga</t>
  </si>
  <si>
    <t>159</t>
  </si>
  <si>
    <t>o Espoz y Min^r— Vííl. ..Exento. Sr.: Ei 27 de agobio marcharon 1500 franceses desde Aoiz sobre el ptieb’o de Nagore, en el que se hallaba mi segundo D. Oregorio Cmchaga. Los recibió con serenidad, á pesar de no Us«</t>
  </si>
  <si>
    <t>CMombi, Bonito</t>
  </si>
  <si>
    <t>Bonito CMombi</t>
  </si>
  <si>
    <t>guerra, 9. D. Ber­ nardo García, por un año , al mes, 5. El doctor D. Juan Perez Delgado, por uno durante la guerra , 9. D. Pedro Fernandez , id., 9. D. Bonito CMombi, id., 9. D. Ramón Pita, id., 9. El escribano D. Cayetano Ponton, id., 9. D. An. tonio Rodríguez , mensuales , 4. El comisario ordenador administrador prin- cipa…</t>
  </si>
  <si>
    <t>Cnrdiii</t>
  </si>
  <si>
    <t>tamento, y ha si­ principalme te en ¡a .iccion en que sucumbió la do presidido por el Exento. Sr. senador pro cipe fragua la Renomée , que mandaba el comandante Cnrdiii , ei qual ha record,do en su discurso de de la dividon. z.° Haberse separado del comandan­ abertura los grandes beueiicios que la ciudad de te casi eu el mome…</t>
  </si>
  <si>
    <t>Coca, Antonia</t>
  </si>
  <si>
    <t>Antonia Coca</t>
  </si>
  <si>
    <t>que cor» su llegada se secuestrarán los bienes de todos los que han abandonado el puebla, así como ya lo están de su orden los de D. Pedro Aceytuno, Doña Antonia Coca , D. Pedro Maza y ca­ nónigo Ubago. Alicante 7 de febrero. Según una relación que acaba de recibirse, habiendo entrado el brigadier Espoz y Mina en el arrabal d…</t>
  </si>
  <si>
    <t>Cock</t>
  </si>
  <si>
    <t>Gaceta de Madrid n.º 63</t>
  </si>
  <si>
    <t>ncia para los militares. 20 caxas de añil, 21600 astas, 25 caxas de té, remitido todo á Mr. Phclippon. BAVIBRA. La goleta la Vesta, de 190 toneladas, capitán Cock , que salió 'de Baltimore el 29 de diciembre Munich 29 de enero. con un cargamento de 297 fardos de azúcar, 848 caxas de pimienta , 6 cax-s de añil , 4 toneles de U…</t>
  </si>
  <si>
    <t>Codrington, Eduardo</t>
  </si>
  <si>
    <t>Eduardo Codrington</t>
  </si>
  <si>
    <t>Granollers, como lo intentaron. ,,Creeria faltar á mis deberes si no hiciese un justo elogio dé la actividad y &lt; fieacia con que así el referido Sr. D Eduardo Codrington, como todos los demas ge fes y oficiales ingleses se han esmerado enauxil iarnos, llegando al extremo d? servir algunos de estos por sí mismos la artillería,…</t>
  </si>
  <si>
    <t>Cof, Tomas</t>
  </si>
  <si>
    <t>Tomas Cof</t>
  </si>
  <si>
    <t>mo Hi.1! pBaisló!), 50.. I31. Jnao Stock (Co^k), 20. O. Miguel Alomo (Guernesty) , 25. D M. Lara ( Jlanugate ), 10. 13 G. M igni?; f Manchester) , 1. D. Tomas Cof kburn, 10. E.\ lord H--lían*.f, 100. L s srfí 2YK J. L bbik y compañía, 100. Sr. García, 25. La Sra. A. Tastet, 10. E. Sr. Loughnsn, 5 y 5. El Sr. S., 30. El Se* fí…</t>
  </si>
  <si>
    <t>Coíeman</t>
  </si>
  <si>
    <t>l general envió un destacamento de trabajadores, los corriente. quaies ábríeron: una Sepultura en el cementerio, y depositaron en ella los restos del general Coíeman, Xa factoría ha dado parte de este suceso al lord Wellingtou ; pero no sabemos su respuesta. AGRICULTURA. ESPAÑA. La patata , papa ó trufa roza de las Indias, so…</t>
  </si>
  <si>
    <t>Col</t>
  </si>
  <si>
    <t>ricia del mayor general Wa ker, que también fué herido, y la de los oficiales y soldados de su mando. „Las disposiciones dadas por el honorable mayor general Col vilie para el ataque de la cuarta división fueron muy acertadas, y marchó al asalto á la cabeza de la división con la mayor bizarría. ,,Pcr ausencia del mayor genera…</t>
  </si>
  <si>
    <t>Colaviia, Joaquín</t>
  </si>
  <si>
    <t>Joaquín Colaviia</t>
  </si>
  <si>
    <t>promovidos regreso de SS. MM. D. Antonio Rivera ,_sarg4»oto 1.°, á subteniente í de la primera compañía; en reemplazo de D.Josef GRAN BRETAÑA. Frera. D. Joaquín Colaviia , sargento i.°, á subtenien­ Zóndres aTS de diciembre. te de la tercera compañía, en la vacante de D. Jo­ sef de’Vargas. Yarmouth 2 7 de diciembre. El Snipe,…</t>
  </si>
  <si>
    <t>Colborne</t>
  </si>
  <si>
    <t>lgún tiempo. Asimismo fué herido el general Bandeleur, per© no tan grave­ mente que no hubiese podido continuar en el campo. Foéronlo igual­ mente el teniente coronel Colborne del regimiento 52, y el mayor Jorge Napier sobre la brecha, mandando en el asalto una parte de la división ligera. Tengo gran satisfacción en manifesta…</t>
  </si>
  <si>
    <t>E. se sirva tener presente el proce­ der del mayor general Crawford , del mayor general Bandeleur, del teniente coronel Barnard del 95, del tenieute coronel Colborne, del mayor Gibbs, del mayor Napier del 52, y del teniente coronel Macleod del 43. El capitán Divfféy del 43, y el teniente Garwood del re­ gimiento 52 , que fué …</t>
  </si>
  <si>
    <t>Colé</t>
  </si>
  <si>
    <t>123</t>
  </si>
  <si>
    <t>rotegida y asegurada por esta operación. El mayor general el ho­ norable C. Colville, que manda la cuarta división en ausencia del honorable teniente general Colé, atacó igualmente un puesto enemigo en el convento de S. Francisco la última noche, y tomó posesión de él, haciendo lo propio con otros puestos fortificados en los …</t>
  </si>
  <si>
    <t>Cole</t>
  </si>
  <si>
    <t>la del. Norte; Lisboa ha Rábido un altercado curioso. El mariscal también se les mataron tres caballos, y cogieron Beresford quiso qué el cadáver del general Cole- ocho carabinas , seis sables y dos lanzas. man se enterrase en un cementerio católico, y no En el mismo dia prendió este destacamento tres en el campo, como acostu…</t>
  </si>
  <si>
    <t>ba ya empeñada con la caballería enemiga, y había hecho prisionero, entre otros, al general francés Carriel , por lo cual mandé al honorable teniente general Colé que atacase con las brigadas de infantería del mayor general '¡Anson y del brigadier general Iíervey (mandada esta última por el coronel Stubbs) á la infantería del…</t>
  </si>
  <si>
    <t>lturas de detras del lugar de Arapiles, y á ocupar este con la infantería ligera, colocando en él la quarta división del mandó del honorable teniente general Colé; y aunque por la variedad de los movimientos del enemigo era difícil formar juicio seguro de sus intenciones, consideré que en general era su objeto la izquierda de…</t>
  </si>
  <si>
    <t>£3 1 nicnte general Colé , y la caballería clel mando del teniente general Sir Stapleton-Cotton la atacaban por el frente, sostenida^ en reserva por la sexta división del mando del mayor general Clinton , la sépti­</t>
  </si>
  <si>
    <t>kenham, sostenida por las tropas españolas dél general España, ínterin que las divisiones quarta y quinta, mandadas la primera por el noble teniente ‘general Colé, y la otra por él teniente general Leith, con la caballería al mando del teniente general sir Stapleton Cotton, al abrigo de un numero proporcionado de tropas liger…</t>
  </si>
  <si>
    <t>ones num. 3.0 combatiendo con la ca­ ballería enemiga, y hablamos cogido prisionero, entre otros, al general francés Carrier; dispuse que el teniente general Colé con las brigadas de infantería al mando dei mayor general Willíen Anson y del brigadier Hervey (hallándose esta última baxo el mando del coronel Stubbs), atacase á …</t>
  </si>
  <si>
    <t>á la espalda del lugar de los Arapiles, y ocu­ par este con la infantería ligera. Para este fin aposté allí la quarta división al mando del teniente general Colé. Aunque por la variedad de los movi­ mientos del enemigo no era fácil formar un juicio satisfactorio de siis inten­ ciones, concebí en vista de todo que sus intentos…</t>
  </si>
  <si>
    <t>é que la brigada del general Bradford, ia quinta división al mando del te­ niente general Leith, la quarta división mandada por el honorable teniente general Colé, y la caballería al mando del teniente general sir Stapleton Cotton atacasen por el frente; dexando en la reserva la sexta división al mando del mayor general Clint…</t>
  </si>
  <si>
    <t>Colina, Luis</t>
  </si>
  <si>
    <t>Luis Colina</t>
  </si>
  <si>
    <t>sus diputados cerca de V. M. , bien los caballeros gefede trozo D. Francisco Mar­ á fin de qoe presentemos á sus reales pies e! hotínez; seminaristas D. Luis Colina , D. Joan Josef menage de sumisión y respeto que deben á V. M. Cámara, D. Mariano Tejada, D. Nicanor Esterri- todos los pueblos de su vasta monarquía. pa, D. Carl…</t>
  </si>
  <si>
    <t>Collas, Tomas</t>
  </si>
  <si>
    <t>Tomas Collas</t>
  </si>
  <si>
    <t>de Torres, 10. D. Carlos Villa-Chica, 8. D. José Sánchez, 6. D. José Alegre, 10. D. Mariano Lucar, 6. D. Toribio Echeverría, 6. D. Lino Figueroa , 2. D. Tomas Collas, 2. D. Domingo Sánchez , 6. D. Feliciano Eche­ varría , 2. D. Calixto López , 2. D. Gaspar de Castilla , 6. D. José Arana , 2. D. Benito Lacea, 2. D. Jorge Gadea…</t>
  </si>
  <si>
    <t>Colmenares, Pedro José</t>
  </si>
  <si>
    <t>Pedro José Colmenares</t>
  </si>
  <si>
    <t>25. D. Andrés Gómez , 25. D. José Fiaría Dávila , 25. D. José Puente , 25 D, Manuel Sequin , 25. D. Pedro Echeverría , ti. D José María Palqoij , 17. D. Pedro José Colmenares , pres­ bítero , 12. D. José María Galindo, 12. D. Juan Contreras , 12 D. Félix Devo’.i ? 10. D. Manuel Moreno , 10. D. Vicente Pastrana , 10. — Estudia…</t>
  </si>
  <si>
    <t>Colmenero, Luis Alonso</t>
  </si>
  <si>
    <t>Luis Alonso Colmenero</t>
  </si>
  <si>
    <t>tará cada uno de los cuer­ pos militares las nóminas de la existencia de sus Octavo batallón. respectivos caballeros dé dichas clases» con expre­ u ■ D. Luis Alonso Colmenero» sargento primero» sión de la fecha de los reales decretos en qne ha­ á subteniente de ia novena compañía. yan sido agraciados hasta la citada época de …</t>
  </si>
  <si>
    <t>Colon, Félix</t>
  </si>
  <si>
    <t>Félix Colon</t>
  </si>
  <si>
    <t>778</t>
  </si>
  <si>
    <t>onal; mar­ ques de Súmemelos , teniente general de los exércitos nacionales; D. Francisco Uñarte y B;rja, gefe de escuadra de la armada na­ cional, y D. Félix Colon, madscal de campo de los exércitos nacionaie?&gt;: para las dos de la ciase de intendentes, al del exército de Valencia D. Anselmo de Riv&amp;g, y á D. Francisco García …</t>
  </si>
  <si>
    <t>Colon, Jqsef</t>
  </si>
  <si>
    <t>Jqsef Colon</t>
  </si>
  <si>
    <t>l fuego se hizo mui En la sesión de corte? del 25 de octubre ante­ general; pero el enemigo penetró repentinamente rior se leyó una representación de D. Jqsef Colon, en los atrincheramientos. La confusión se apoderó decano suspenso del consejo de Castiga, en que, de las tropas de lo interior, y fue tanto mayor con referencia …</t>
  </si>
  <si>
    <t>Colosno, Joan</t>
  </si>
  <si>
    <t>Joan Colosno</t>
  </si>
  <si>
    <t>lvarez de Villanueva, id. D. Francisco ds la Cruz, id......................... 2200 en Madrid.......................... ........................ 2200 D. Joan Colosno, id..................................... 2200 D. Francisco Andrés, residente en Vicál- D. Juan Sánchez, id...................................... 2200 varo.......…</t>
  </si>
  <si>
    <t>Colquhoun</t>
  </si>
  <si>
    <t>orez, 10. D. Fer­ mín de Taatet, 200. D. J. C. de Bsmales, 105. O. Di?go Coion, 10. El R. Di. CoUin3,Sl y 10 chelines. D. Guillermo Barry, 26 y 5. El coronel Colquhoun, 12 y 10. Los redactores del periódico titulado Times, 25. Un amigo de E. M. D., 17. D. José Barn, 2Z. D. Antonio Muñoz, 40. Los señores Co-okas, J&amp;ckson y cor…</t>
  </si>
  <si>
    <t>Colubi, José María</t>
  </si>
  <si>
    <t>José María Colubi</t>
  </si>
  <si>
    <t>738</t>
  </si>
  <si>
    <t>de fragata á los 5 segundos. En el primer exército se ha servido la Regencia del rey no pro­ mover á comandante del batallón de tiradores de Buza, á D. José María Colubi, sargento mayor del regimiento de infantería de Mata­ ré ; y á sargentos mayores de los regimientos de Mataré y Leales manresanos, á D. Bartolomé Moretini y …</t>
  </si>
  <si>
    <t>Colville</t>
  </si>
  <si>
    <t>rdenes del mayor Wiison del 46 , asaltaba el rebellín de S. Roque por su izquierda, y mientras la cuarta división , al man­ do del honorable teniente general Colville , con la división de tropas ligeras del mando del teniente Birnard , asaltaba la brecha de los ba­ luartes de la Trinidad y Santa María, y la cortina que los un…</t>
  </si>
  <si>
    <t>mienda la con­ ducta del coronel Campbell del 94, oficial que he recomendado á V. S. en repetidas ocasiones , y que en ausencia del honorable raay or general Colville, encargado de la cuarta división , tuvo el mando de su brigada. ,.Los oficiales y soldados de los cuerpos de ingeniaros y artille­ ría se han señalado igualment…</t>
  </si>
  <si>
    <t>Coma, Pablo</t>
  </si>
  <si>
    <t>Pablo Coma</t>
  </si>
  <si>
    <t>ría Calonge................... 90 84 al artícuio 111 da nuestro real decreto de 9 de ju­ D. Antonio de Torres.................... 90 Sí- nio de 1809. D. Pablo Coma.................... ........... 992 as! art. iu. Nuestro ministro de Hacienda queda D. Zoilo Saenz de Texada........... . 10830 encargado de la execucion del prese…</t>
  </si>
  <si>
    <t>Commtnit</t>
  </si>
  <si>
    <t>Gaceta de Madrid n.º 48</t>
  </si>
  <si>
    <t>día 7 S. A. I. el archiduque Palatino pren­ obra escrita ed lengua latina coa el tirulo de Redió la 49.a sesión de la dieta, y entregó á los es­ rum d Commtnit gestarum librixy. También me­ tados reunidos la resolocion deS. M. I. en respues­ rece citarse una ODra postuma dei señor Meiners, ta á las representaciones que le hiz…</t>
  </si>
  <si>
    <t>Como, Pantaleon Beramen</t>
  </si>
  <si>
    <t>Pantaleon Beramen Como</t>
  </si>
  <si>
    <t>El Sr. D. Pedro Sainz de Baranda, regidor subdecano de la misma. El Sr. D. Antonio Gómez Calderón, procurador síndico general primera de ella. El Sr. D. Pantaleon Beramen-^ Como hombres buenos, vecinos de la di. \ provincia, elegidos por la junta mis— El Sr. D. Cristóbal Gómez y { ma, según dicho decreto de las CocGüemes.....…</t>
  </si>
  <si>
    <t>Compans</t>
  </si>
  <si>
    <t>aterías, dé óo cañones cada una, que domi­ naban la posición enemiga. A las seis principió el fuego de las baterías: á la* seis y media fue herido el general Compans: á las siete le mataron ei caballo á Davoust: el ataque principió por el fuego de fusilería. Beauharnais por la izquierda-forzó la aldea de Borodino, que no pudo…</t>
  </si>
  <si>
    <t>ieron lo mis­ mantenerlos hasta que llegasen las tropas que. esta­ mo en todos los puntos. . : ban por escalones entre estas posiciones y Mohilow. El general Compans, al frente del iii.° y del Tomadas estas disposiciones ,, me retiré á Mohilow 6i.°, de la división quinta, persiguió al enemigo para acelerar el arribo de la div…</t>
  </si>
  <si>
    <t>951</t>
  </si>
  <si>
    <t>por un buen cerro, co­ rodeando la cabeza de la posición del enemigo. A ronado con un reducto de 25 piezas. Otros dos las seis y media fue herido el general Compans. A cerros coronados con reductos , y a too pasos uno las siete mataron el caballo al príncipe de Eckmiihl. de otro, protegían su línea hasta 1111a grande aldea, E…</t>
  </si>
  <si>
    <t>prolongándose el combate el reducto con la caballería, Li división Cumpans y pt*r cerca de dos horas ; pera en lin, después de el cuerpo polonés. El general Compans dispuso sus muchas cargas mu; sangrientas para el enenligo, se eolunas de ataque, y marchó sobre la aldea de..... retiró en gran desórderr, y no se presentaron ya…</t>
  </si>
  <si>
    <t>Compere</t>
  </si>
  <si>
    <t>arti­ VARIEDADES. do republicano.” (The Star.) IMPERIO FRANCES. Noticia histórica y geográfica de la villa de *• París ir de diciembre. Murvtedro. El general Compere ha llegado á Paq con 40 A la fdda septentrional de una montaña de coroneles y tenientes coroneles» 300 oficiales y mármol negro, á. una legua ai E. del mar y 5 a…</t>
  </si>
  <si>
    <t>Con, José Gil</t>
  </si>
  <si>
    <t>José Gil Con</t>
  </si>
  <si>
    <t>os, mas de 40 heridos que entraron en Mora y los 955' 0 rs. que llevaban recogidos. En la refriega fué muerto el caballo del comisionado galo-hispano D. José Gil Con le, primer oficial de rentas, y esta tarde han llegado aquí muchos de los heridos. Del 26. El prefecto estrecha al pago de los 400000 rs., y se te­ me que se cum…</t>
  </si>
  <si>
    <t>Conant</t>
  </si>
  <si>
    <t>antes para hacer presente al gobierno ia sitoacion en que se halla Koteingham 12 de diciembre. aquel país, y de resultas ha salido para Nottingham el magistrado Conant y varios oficiales de po­ Desde los tiempos de Carlos 1, contra quien licía. Se ha dado también orden á un cuerpo do este país se declaró con tanto ardor, no s…</t>
  </si>
  <si>
    <t>Concha, Manuel</t>
  </si>
  <si>
    <t>Manuel Concha</t>
  </si>
  <si>
    <t>osé Antonio Martínez, 1. D. Tomas Castro , l. D. Juan Antonio Cainacho , 1. D. Luis Alfonso , capellán de Sta. Rosa , 2. D. Bernabé de Tamarjcia, 25. D. Manuel Concha,!. D. Gabriel Oroviogoitia, 6. D. Manuel de la Daga , 10. D. Francisco Moreno , 1. — D. Francisco Moretra y Matute , fiel de moneda , 1000. El monasterio del Pr…</t>
  </si>
  <si>
    <t>Conde</t>
  </si>
  <si>
    <t>los derrotó completamente el 2 de setiembre, cogién­ doles toda su artillería, que constaba de 10 cañones, municiones, cargas &amp;c. Al mismo tiempo el coronel Conde, que había enviado dos escuadrones contra los que acababan de entrar en el real de Asientos , después de haberlos derrotado , matándoles entre otros mu­ chos un co-…</t>
  </si>
  <si>
    <t>Conde, Antonio Mirtinez</t>
  </si>
  <si>
    <t>Antonio Mirtinez Conde</t>
  </si>
  <si>
    <t>0 varo.......................... 2200 D. Juan de Ortega, id.................................. 2200 D. Manuel Gallego , id. en Madrid............ 2200 D. Antonio Mirtinez Conde, id.................. 2 2co D. Francisco Alvarez de Villanueva, id. D. Joan Josef Raíz , id. en Viüardonpardo. 2200 desde 14 de setiembre de 1809, en q…</t>
  </si>
  <si>
    <t>Conde, García</t>
  </si>
  <si>
    <t>García Conde</t>
  </si>
  <si>
    <t>1216</t>
  </si>
  <si>
    <t>ste país español, y convencer á todos de que nuestra guerra e* de buenos á malos, de fieles á insurgentes, j de cristianos á libertinos. 4.° Él mismo brigadier García Conde , en parte de 16 de Junio, participa al Sr. virey que caminaudo con el convoy á Arroyozarco, antes de llegar al puerto de Calpnialpa , le avisó la descubi…</t>
  </si>
  <si>
    <t>Conde, Tomas</t>
  </si>
  <si>
    <t>Tomas Conde</t>
  </si>
  <si>
    <t>alde de barrio Alcalde de barrio I). Manuel de la Cámara. i D. Felipe Várela y Suarez. Diputados seculares Diputado eclesiástico D. Francisco Moreno. D. Tomas Conde. D. Fernando G.ilan. Diputados seculares D. Eugenio Diai. D. Manuel Lázaro. Secretario D. Antonio Neyra. D. Rafael Antonio Mazon. D. Pedro Ezquerra. Secretario BA…</t>
  </si>
  <si>
    <t>Conejo, Francisco</t>
  </si>
  <si>
    <t>Francisco Conejo</t>
  </si>
  <si>
    <t>37, D. Josef Gil. mana. 109., la qual tiene de' sitó- .izqSíJ pies cuadra­ D- Isidro de Lara._ dos superficiales , tasada'én la cantidad de 118457 «. D. Francisco Conejo. Quien quisiere hacer joscura á eúa, acuda á dicha es­ D. Ignacio Lerena. /t cribanía, que se le admitirá siendo arreglada. I). Josef Martin. D. Manuel Solan…</t>
  </si>
  <si>
    <t>CONFIDENCIALES, NOTICIAS</t>
  </si>
  <si>
    <t>NOTICIAS CONFIDENCIALES</t>
  </si>
  <si>
    <t>por Irf Ut V llidid. un vado la infantería y caballería; pero fueron obli­ Badajoz 19 de noviembre de 1812. gadas á repasar el rio por las tropas del general NOTICIAS CONFIDENCIALES. Oswaldy españolas. El fuego de la izquierda fue terrible todo el dia, en el que hemos sufrido bas­ Salamanca, i j de noviembre. tante; y el gene…</t>
  </si>
  <si>
    <t>Connell, O</t>
  </si>
  <si>
    <t>O Connell</t>
  </si>
  <si>
    <t>exercer las altas funciones judiciales que quien echó ios brindis, qu£. fueron proclamado* en la actualidad exerzo,no he cesado de desear ar­ por el consejero O- Connell. Inmediatamente des­ dientemente ver disfrutar de sus derechos á esta pués de la comida se cantó el Non nobis Domine gran mayoría de la nación irlandesa, de …</t>
  </si>
  <si>
    <t>Connok, Josef</t>
  </si>
  <si>
    <t>Josef Connok</t>
  </si>
  <si>
    <t>que quiera exáminur la serie entera de estos do* gencia de las Espadas por el capitán de fra­ periódicos, verá con facilidad qual es el espirita gata D. Josef Connok, su fecha en la Cora­ que los ha dictado, y las miras con que se han da á iC de abril, quejándose de no adminis­ publicado , que no pueden ser otras que la,s de …</t>
  </si>
  <si>
    <t>Connor</t>
  </si>
  <si>
    <t>el corriente se-han embarcado á bordo del Lighifoot varios destaca­ mentos, que van á reforzar los regimientos de Nueva-Escocia , baxo el man­ do del capitán Connor del 8.° regimiento. Ciento y sesenta hombres desti­ nados á los regimientos del Canadá se embarcaren igualmente el 12 del cor­ riente en la isla de Wight á bordo …</t>
  </si>
  <si>
    <t>Conroux</t>
  </si>
  <si>
    <t>685</t>
  </si>
  <si>
    <t>e retiraron impunemente todos los heridos. ,,En vano mis tropas por espacio de dos horas aguardaron que el enemi­ go intentase de nuevo combatir ; el general Conroux permaneció inmóvil en sus posiciones , y yo me vi con sentimiento en la necesidad de dar ia orden de retirada para que refrescasen y descansasen mis soldados de …</t>
  </si>
  <si>
    <t>Conset, Fermín</t>
  </si>
  <si>
    <t>Fermín Conset</t>
  </si>
  <si>
    <t>870</t>
  </si>
  <si>
    <t>inferioridad de fuerza tuvieron que retroceder algunos paso#; pero reanimadas con el pronto auxilio del pri mero de Vizcaya, que dispuso mi ayudante D. Fermín Conset, volvieron á cargar con el mayor ardor, se situaron en las primeras, posiciane?, y el enemigo hubo de encerrarse en sus baterías. En esto s^pe que venían al soco…</t>
  </si>
  <si>
    <t>Constantino</t>
  </si>
  <si>
    <t>Gaceta de Madrid n.º 7</t>
  </si>
  <si>
    <t>punto fixo de qué modo se dieron la muerte. Hai El Emperador ha manifestado su satisfacción quien dice que el poeta mató primero á su amiga, al gran duque Constantino por la prontitud con y que después se mató á sí mismo.” 1 que ha formado el nuevo cuerpo de guardias de corps tilandeses. AUSTRIA. Acaban de llegar de Estockolm…</t>
  </si>
  <si>
    <t>Gaceta de Madrid n.º 43</t>
  </si>
  <si>
    <t>rados con esta órden, fueron al palacio de invierno, precedidos de los oficiales su­ Lóndres 8 de enero. periores, á cuyo frente iba S. A. I. el gran duque Constantino; se formaron en dos filas en ios salo­ Los ésfaerzos de la compañía de las Indias nes de palacio , y por medio de ellas pasó la co­ orientales han conseguido p…</t>
  </si>
  <si>
    <t>313</t>
  </si>
  <si>
    <t>hombres y 78 piezas de artillería. El Emperador pasé revista á todas estas tropas, man­ El gobierno de Saxonia-Memmingen ha publi­ dadas por el gran duque Constantino. Mientras cado nna amnistía general para los prisioneros. duró la. parada las Emperatrices, los principales El empréstito qué abrieron l,os banqueros Reí» perso…</t>
  </si>
  <si>
    <t>os caminos que cruzan las campi­ 'Witepsk.gx de julio de 18 ti. El Emperador ñas , dirán que spmí»s una procesión • de'peregrino?, de Rusia y el gran duque Constantino se' han rétíaunque»la comparación no es exácta, .porque á; lá xadoi del ..exército, y vuelto á la capital. El 17 -el verdad'nosotros no yamos tan. recogidos y …</t>
  </si>
  <si>
    <t>ruso, y .cercanías-de Semióvo} el 29 en un castillo distan­ que. tomó el mando el 28. 1 ' te una legué de Viasma* .y:ef 30 en esta ciudad. . El gran duque Constantino, que- habla vuelto El exórcito marcha eni tres coluius: la izquierda, al exército-, acaba de dexarlo otra veé por indispo­ ?¡ue forma «d.exéteito del.vicei, por…</t>
  </si>
  <si>
    <t>Cónsul, Manuel Torras</t>
  </si>
  <si>
    <t>Manuel Torras Cónsul</t>
  </si>
  <si>
    <t>Cádiz. Pasa las 7 pkz ,s de ministros togados á D. M mú Femando Ruiz del Burgo, D. Esteban Antonio de O rellana, D. Juan Miguel Paez de la Cade­ na, D. Manuel Torras Cónsul, D. Eimon Navarro Pingarron , Don Francisco M vin y D. Francisco Toxibio de Ugarte : para la de fis­ cal militar á D. Martin González de Menchaca, marisca…</t>
  </si>
  <si>
    <t>Contredispararon, Francisco</t>
  </si>
  <si>
    <t>Francisco Contredispararon</t>
  </si>
  <si>
    <t>ntos la plaza de Soria. Des­ Para l , de Almocita y Beyres, sn último po­ pués de varios ataques y de ico cañonazos que se seedor D, Félix B-nitrz, á D. Francisco Contredispararon, «e retiraron vergonzosamente con pér­ ras, ex tranciscano observante. dida de 3© hombres muertos , y de unos 160 he­ Para la de Portubus, su últim…</t>
  </si>
  <si>
    <t>Contreras, Eduardo</t>
  </si>
  <si>
    <t>Eduardo Contreras</t>
  </si>
  <si>
    <t>............ 300 Se anunciárañ al público con arreglo á lo manda­ Unos incógnitos..,.■ 510 20 do por el REI nuestro Señor los socorros sucesivos. Sr. D. Eduardo Contreras..................... loo Sr. 1L Cáríos (jodant,,.¿¿.i,,. ■ faol Continúa la Iista.de los subscriptores áq.lg.comi­ Sr. D. Amonio Lagarde........ .......' • …</t>
  </si>
  <si>
    <t>Contreras, Francisco Rodríguez</t>
  </si>
  <si>
    <t>Francisco Rodríguez Contreras</t>
  </si>
  <si>
    <t>ncral- la Carrera ha «ido muerto: las reliquias d« D. Francisco Rodríguez Contreras. este exército bán llegado á Cádiz el dia' 20 iie éste' D. M.»oueT Qúiróz. mes. D. Juan del Viso. Han llegac^ á Gibraltar tres navios de guerra D. Josef Marouez. ingleses mui destrozados de</t>
  </si>
  <si>
    <t>Contreras, Juan</t>
  </si>
  <si>
    <t>Juan Contreras</t>
  </si>
  <si>
    <t>D, Manuel Sequin , 25. D. Pedro Echeverría , ti. D José María Palqoij , 17. D. Pedro José Colmenares , pres­ bítero , 12. D. José María Galindo, 12. D. Juan Contreras , 12 D. Félix Devo’.i ? 10. D. Manuel Moreno , 10. D. Vicente Pastrana , 10. — Estudiantes de medicina. D. Mariano Campero, 17. D. Mariano Murga, 8. D. Norberto…</t>
  </si>
  <si>
    <t>Cook</t>
  </si>
  <si>
    <t>Gazeta de la Regencia de las Españas n.º 43</t>
  </si>
  <si>
    <t>eleemos hasta sacarle del po* der de los -malvados y restituirle al seno de sus pueblos. Las lágrimas de tcrnuiá seguían á estas escenas sublimes: al general Cook se le rió llorar repetidas veces, y el que allí no lo hizo, bien puede de­ cir que tiene seca la fuente del corazón y de la sensibilidad. En eito, cayendo ya la tar…</t>
  </si>
  <si>
    <t>Cooke</t>
  </si>
  <si>
    <t>­ al paso de VVingo, en donde se le reparó lo mejor pool ha recibido las cartas siguientes del mayor que se pudo, hasta querías oficiales dixerou que general Cooke:</t>
  </si>
  <si>
    <t>ñor conde Liverpool.” migo; pues los muros de la ciudad están dominados! de suerte que coo pocas horas de trab.jo se ha tracto de una carta del mayar general Cooke puesto por . todas partes á cobieito mucho mejor; escrita desde Cddiz al vizconde Welltngton, que nosotros. El enemigo rompió ayer et fuego á con fecha del *7 de d…</t>
  </si>
  <si>
    <t>1194</t>
  </si>
  <si>
    <t>San James lian anunciado hoy al público este suceso; en orden al cual lia circulado el boletín siguiente: Departamento de ia gw rm 6 de Octubre. „El capitán Cooke ha llegado á esta secretaria con pliegos de Sir Jorge Prevost, noticiando la rendición del general Huii y de to­ do su exército, que asciende á 2500 hombres-, como …</t>
  </si>
  <si>
    <t>Coóke</t>
  </si>
  <si>
    <t>e que el general Ballesteros haya pasado a Síemunorena ni hecho movimiento alguno desde el 17 de Setiembre, en que entró en. Granada : tampoco sé del general Coóke desde que recibió mis últimas instrucciones para el movimiento de las tropas de su mamlo. Tengo, vno obstante, noticies de que las tropas mar­ charon de Sevilla el…</t>
  </si>
  <si>
    <t>San James han anun­ ciado hoy al público este suceso, en orden al qual ha circulado el boletin siguiente. Departamento de la guerra 6 de octubre. „E1 capitán Cooke ha llegado á esta secretaría con pliegos de sir Jorge Prevost, noticiando la rendición del general Hull y de todo su exército, que asciende á 2500 hombres, como ta…</t>
  </si>
  <si>
    <t>Coole, O</t>
  </si>
  <si>
    <t>O Coole</t>
  </si>
  <si>
    <t>tropas de las divisiones tercera y ligera, y de la brigada del briga­ dier general Pack. Las 2 columnas de ia. derecha , conducidas por el teniente, coronel O1 Coole, del segundo de caza lores, y del mayor Ridgc, del regimiento quinto, fueron destinadas n proteger el avance de la brigada del -genera! mayor Mackinson . que for…</t>
  </si>
  <si>
    <t>Coorroux</t>
  </si>
  <si>
    <t>Gaceta de Madrid n.º 169</t>
  </si>
  <si>
    <t>e lo Interior, conven­ Esta victoria cubre de gloria las tropas que cido de la importancia de estos descubrimientos, formaban la brigada del valeroso general Coorroux. ha autorizado al autor pura qoe envíe prospectos Varios militares de todos grados se hau distin­ de sus máquinas á todas las cámaras de comercio guido mili .pa…</t>
  </si>
  <si>
    <t>Copenhague, Markow</t>
  </si>
  <si>
    <t>Markow Copenhague</t>
  </si>
  <si>
    <t>703</t>
  </si>
  <si>
    <t>pe­ queña Valaquia , y el general Essen manda el ala iz­ DINAMARCA. quierda ; pero dicen que va á salir par, la Lima­ da. Su este caso parece que el general Markow Copenhague $ de mayo. tomara el mando de la ala izquierda, y que el ge­ neral Sass volverá á mandar en la pequeña Vala­ El comendador Van-Docknm ha sido nom­ quia.…</t>
  </si>
  <si>
    <t>Copons</t>
  </si>
  <si>
    <t>tropas inglesas, y á todos los demas gafes y oficiales que hayan podido distinguirse; quedando S. A. en tener muy presente él mérito contraído por el general Copons, los gefes , oficiales y tro­ pa de su mando para concederles en ocasión oportuna las recompen­ sas á que pudieran ser acreedores.— Asimismo el Sr. gefe del estad…</t>
  </si>
  <si>
    <t>Gaceta de Madrid n.º 61</t>
  </si>
  <si>
    <t>a, que se admitirán las que se hiciesen, siendo Los ingleses,' que anhelaban por desembarazar­ arregladas. se de este huésped , habían hecho venir al general Copons con in división dé 4© hombres, y entre TEATROS. ellos un regimiento de infantería inglesa, que re­ unidos 1 los 5© que maeda Ballesteros, formaba En el del Prínci…</t>
  </si>
  <si>
    <t>los exércitos nacionales , y de todos los indi • vid líos del cuarto exército: el 21, del ayuntamiento, alcalde mayor y vecindario de Aígeciras; del general Copons ; de la comisión de gobierno del reyno de Valencia; de varias corporaciones civiles, eclesiásticas y religiosas de Alicante; de la junta superior y comi­ sión de p…</t>
  </si>
  <si>
    <t>Copons, Francisco</t>
  </si>
  <si>
    <t>Francisco Copons</t>
  </si>
  <si>
    <t>ueden enterados del aprecio, con que ha mirado este servicio S. A.: quien manda se den en su nombre las mas expresivas gracias a! ma­ riscal dé campo D. Francisco Copons, al coronel Skerret, coman­ dante de las tropas inglesas, y á todos los demas gafes y oficiales que hayan podido distinguirse; quedando S. A. en tener muy pr…</t>
  </si>
  <si>
    <t>Cor, Bartolomé</t>
  </si>
  <si>
    <t>Bartolomé Cor</t>
  </si>
  <si>
    <t>ado ambas; la primera el 6 del cor­ riente , y la segunda ei 13 del mismo, habiendo cometido poste­ riormente el mando de esta, en lugar dei teniente D. Bartolomé Cor­ dero, al cr; pitan del fixo D. Pedro Fernandez, el cual debe estar hoy en la ciudad de TiuxiHo, a?í como el comandante principal Cor­ rea operando sobre el pva…</t>
  </si>
  <si>
    <t>Cor, Pedro</t>
  </si>
  <si>
    <t>Pedro Cor</t>
  </si>
  <si>
    <t>a piedra , ó la pie­ Gutiérrez, D. Agustín Fernandez Estébanez, Don dra da en el cántaro, el mal es siempre, para el Manuel Gadea , b. Estéban Perez, D. Pedro Cor­ cántaro, y otras cosas por este estilo; ya se ve, la rales , D. Maxíiuino García , D. Luií Ribero y Don pobre cuitada se espiritaba y consumía; yá tal Antonio de T…</t>
  </si>
  <si>
    <t>Cora, Juan</t>
  </si>
  <si>
    <t>Juan Cora</t>
  </si>
  <si>
    <t>osef Molinero. Otra en el cerro del Castañar, que linda al oriente con D. Juan Andrés Palacios. tierra de D. Josef Zamorano, vecino de Leganes , y al D. Juan Cora. norte con el citado mayorazgo de Luzon; su caber tres fanegas y dos celemines, incluso un pedazo que se ha­ Subtenientes. lla plantado de huerta: su valor á 700 rs…</t>
  </si>
  <si>
    <t>Corbalan, Manuel</t>
  </si>
  <si>
    <t>Manuel Corbalan</t>
  </si>
  <si>
    <t>n o Gaona, cu­ ra de Carhuamayo , 100. D. Mariano Avellaneda, cura de Yanahuanca, 100. Fr. José Contreras , cura de Tarma, por sí y su clerecía, 169. D. Manuel Corbalan , cura de Ninacaca, 24 y 6 D. Manuel de 3as Casas, 12. D. Manuel Santos Nuñez, 25. — El M. R. arzobispo de Lima D. Bartolomé María de las lleras, para auxilio…</t>
  </si>
  <si>
    <t>Corbíneau</t>
  </si>
  <si>
    <t>opas al rededor de mi posición, espalda me habia privado de la mayor parte de ella y aprovechándose ae su enorme superioridad para en esta acción. El general Corbíneau, cuya brigada tomarla por la espalda y sin peligro : yo ocupaba la tenia en extremo cansados los caballos, no habia orilla izquierda de la Poiota, enfrente de …</t>
  </si>
  <si>
    <t>Corbinéau</t>
  </si>
  <si>
    <t>1021</t>
  </si>
  <si>
    <t>nuestros evércitos es donde es me­ el 2° regimiento suizo, el 7? de coraceros y la nester exponer al envidioso mirar de nue tros rivales brigada del general Corbinéau, para que llevando los recursos que nos ofrece el país conquistado, y también conmigo una brigada bávara de poca fuer­ todo Jo que le queda menos en adelante al…</t>
  </si>
  <si>
    <t>Corcamano, Gabriel</t>
  </si>
  <si>
    <t>Gabriel Corcamano</t>
  </si>
  <si>
    <t>bres de luces y probidad notorias, que ción de la misma iglesia. promuevan Ja reforma del parlamento. (The Star.) Para esta resulta al ex-franciscano D. Gabriel Corcamano, ESPAÑA. Para el beneficio que se halla vacante en la vi­ lla de Elburgo y sus anexos de Argornaniz y Ga­ Madrid ji de mayo. ceta, correspondiente á la mism…</t>
  </si>
  <si>
    <t>Cordero</t>
  </si>
  <si>
    <t>spetables , confirman la relación qne se ha hechos prisioneros. Dicen que antes de esta insur­ publicado en el Dubüng-Evcning- Post del márrección el gobernador Cordero , comandante de las tes. Tenemos la mayor satisfacción en añadir á es­ tropas internas, habiá reunido un cuerpo de 6&lt;ü to qne aquel pais está sumamente tranqu…</t>
  </si>
  <si>
    <t>hecho esta pregunta , porque aun­ do prisioneros á otros. Antes de esta última insur­ que la pérdida era tan sensible, íe servia de algún rección el gobernador Cordero, que manda, en lo consuelo el considerar, que según lo que habia di­ interior del reino de México, habia armado 60 cho Mr. Yorcke, Dadie tenia la culpa de este…</t>
  </si>
  <si>
    <t>Cordero, Jo e León</t>
  </si>
  <si>
    <t>Jo e León Cordero</t>
  </si>
  <si>
    <t>bierno revoluoicnmo, y entre ellos al corregidor ó teniente justicia muyo;, y he dado gufto ále* vecinos, concediéndoles la elección que han hecho en D. Jo*é León Cordero, sngeto de mucha recomemlucícn por sus virtudes y el patriotismo que siempre ha acreditado, y psjticul armen te en la actualidad. — Ahora se me presentan 17…</t>
  </si>
  <si>
    <t>Cordero, Juan Antonio</t>
  </si>
  <si>
    <t>Juan Antonio Cordero</t>
  </si>
  <si>
    <t>io, por 4, 36. D. José María de So-oícngo, anualmente durante la guerra , 500. D. Joaquín Pedroso, id., 100. El moreno Juan Nepomuceno Diez, id., 54. D. Juan Antonio Cordero, id., 54. D. Do­ mingo Urquijo, id., 54. D. Pedro Benitez, id. , 54. D. Juan Nadin , id., 54. D. Manuel Gualda, id., 34. Doña María de la.Concepción Gonz…</t>
  </si>
  <si>
    <t>Cordero, Toma</t>
  </si>
  <si>
    <t>Toma Cordero</t>
  </si>
  <si>
    <t>,. D. Nicolás Iuiesta. Diputados seculares Secretario D. Marcos Labia. D. Estiban Felipe Moría. D. Alfonso Perez. . Secretario BARRIO DE SAN ISIDRO. D. Toma* Cordero. Alcalde de barrio BARRIO DE SAN FRANCISCO. D. Francisco Xavier.de C.baza. Diputado eclesiástico Alcalde de barrio D. Pedro Q-vetami CLbezas. ' . D. Joan L&lt;so de…</t>
  </si>
  <si>
    <t>Cordnez, Pedro Antonio</t>
  </si>
  <si>
    <t>Pedro Antonio Cordnez</t>
  </si>
  <si>
    <t>inci­ piado hacerse en la Imprenta Real. — Ambas obras se venden en la librería de Salcedo, plazuela de S. Agustin. Continúan ¿os donativos del Perú« D. Pedro Antonio Cordnez , presbítero de Ta diócesis de Huamanga, 50 ps. D. Juan Miguel Cela de Neyra, cura de Cincos 100. D. Isidro Coueerio, ca­ pitán de la fragata Diana, 100…</t>
  </si>
  <si>
    <t>Córdoba, Antonio</t>
  </si>
  <si>
    <t>Antonio Córdoba</t>
  </si>
  <si>
    <t>rlategui, 2. D. 'Francisco Roxas, 2. D. Gerónimo Larriva, 2. D. Manuel Zarate, 1. D. Pedro ÍJuidrobo , 2. D. Pedro González, 2. D. José Pac hoco , 2. D. Antonio Córdoba , 2. D. Manuel Maza , 2. Don Mariano Hurtado, 1 y /i. D. José Perez, 1. I&gt;. Manuel Chacal tana, 2. Pon Francisco Aguirre, 2. FU mismo real Convictorio en plat…</t>
  </si>
  <si>
    <t>Córdoba, Josef Je</t>
  </si>
  <si>
    <t>Josef Je Córdoba</t>
  </si>
  <si>
    <t>arrillo , provincia de Jaén.......................... 2200 Ex- hospitalarios de S. Juan de Dios. D. Rafael Bustillo, residente en Ecija........ 2200 -D. Josef Je Córdoba , id ................................ 2 ICO D. Vicente Su-zo, residente en Córdoba.. 2200 D. Diego Falconero , id............................i...... 22 OO D.…</t>
  </si>
  <si>
    <t>Córdoba, Rafael</t>
  </si>
  <si>
    <t>Rafael Córdoba</t>
  </si>
  <si>
    <t>lmente respetables que pudiéra­ lla, i. de infantería ligeia; al teniente de ii ! iiitemos citar- Esta casa tenia también conexiones con ría de línea D. Rafael Córdoba teniente del regi­ 12 ó 13 casas de giro de la provincia. miento de Madrid, 1 .u de ii.lamería de ¡íne.&lt; • al Hdi algunas gentes que suponen saber exacta­ teni…</t>
  </si>
  <si>
    <t>Córdoba, Ramón</t>
  </si>
  <si>
    <t>Ramón Córdoba</t>
  </si>
  <si>
    <t>Tello , 6. D. Juan Silvestre Touroi , 20. D. Lorenzo Espinosa , 30. D. Jo­ sé Ramón Menendez, 25. D. Félix de la Cruz, 4. D. Cristóbal Barragan, 10. D. Ramón Córdoba, 12. D. Femando Plaza, 4. Colectado por el ayu­ dante de gobierno, 483. Id. posteriormente del pueblo de Bab .hoyo, 22. D. Pedro Nicolason , 5. El prior de S. Ju…</t>
  </si>
  <si>
    <t>Cordobés, Blas López</t>
  </si>
  <si>
    <t>Blas López Cordobés</t>
  </si>
  <si>
    <t>ego Fernandez y Roxas, id................. 2200 D. Juan Pedro Alarcon, id..................... neo D. Juaii Herrero, residente en Rute.......... 2200 D. Blas López Cordobés, id........ .................. 2200 D. Juan Antonio García, id........................... 2200 D. F rancisco Gallardo» id................ .............. 2…</t>
  </si>
  <si>
    <t>Coríavarria, Antonio Ignacio</t>
  </si>
  <si>
    <t>Antonio Ignacio Coríavarria</t>
  </si>
  <si>
    <t>919</t>
  </si>
  <si>
    <t>y en los decretos soberanos, y á 1o mandado por órdenes é instrucciones* Por el ministerio de gracia y justicia se ha comunicado la órdsn siguiente á D. Antonio Ignacio Coríavarria. Deseando la Regencia del reyno que en la capital de la monar­ quía española se con servo el orden en la parta política y guberna­ tiva, conforme …</t>
  </si>
  <si>
    <t>Cornelio</t>
  </si>
  <si>
    <t>s acreedores la cantidad de ¿o© coronel del .regimiento de los Patricios , en lpgár libras,esterlinas, y para escaparse libremente.” _d.el presidente D. Cornelio,de Saavedra. .Este cuer­ Mr. Burdett habló tafnbien largamente del po compone la principal fuerza del partido revo­ .giupto de-Mr. VVCiliiers , y de ciertas transacc…</t>
  </si>
  <si>
    <t>Corones, Estiban</t>
  </si>
  <si>
    <t>Estiban Corones</t>
  </si>
  <si>
    <t>Diputado eclesiástico Diputado eclesiástico D. Josef llar! Fernandez. D. Gerónimo Martines. Diputados seculares Diputados seculares D. Fermín Zéldót. D. Estiban Corones. D. Bernardo García. D. Francisco Antonio Martínez. D. Joan Bautista Lasa. D. Miguel Wranderoih. • Secretario Secretario D. Pedro Grigoén y Almousa. D, Felipe…</t>
  </si>
  <si>
    <t>Corral, Gaspar Perez</t>
  </si>
  <si>
    <t>Gaspar Perez Corral</t>
  </si>
  <si>
    <t>alamanca*» vacante por fallecimiento de Don agustino D. Juan de Alba , que, lo renunció , nom­ Manuel Sánchez Piñuelas. brados en el dicho decreto. A-D. Gaspar Perez Corral, presbítero, ex- Y en otro decreto de la misma fecha nombró S.M. para.el beneficio de la parroquial de la villa de í su servicio en Bruselas, donde le iba…</t>
  </si>
  <si>
    <t>Corralejo, Rafael Diass</t>
  </si>
  <si>
    <t>Rafael Diass Corralejo</t>
  </si>
  <si>
    <t>ompuesto de mas de 900 cabaüerías-y 2000 fanegas de trigo, desde Monibottmu á Na val moral de Piarencia, con la escolta de ,300 infantes francr s?s.. D. Rafael Diass Corralejo, capít-an del escuadrón de húsares francos saguntinos, encontró el convoy al ir á pasar por el puente de Rarmicasíañas, y aunque no tenia consigo mas q…</t>
  </si>
  <si>
    <t>Correa</t>
  </si>
  <si>
    <t>o oido en seguida Mar­ tínez el cañoneo del resto de vsu división, se dirigió con la tropa y oficialidad de Tres Villas al Veladero , donde estaba el cura Correa amparado de sus baterías, mientras que el alférez D. Tornas Suero con 4.0 hombres se apoderaba de una batería que estaba al frente de dicha hacienda. Avanzando las l…</t>
  </si>
  <si>
    <t>Correa, José</t>
  </si>
  <si>
    <t>José Correa</t>
  </si>
  <si>
    <t>Morillo, 25. D. Francisco Ufarte, 10.— Los sargentos , cabos y dragones voluntarios de dicho cuerpo , 1023. El pro­ curador D. Manuel de Aguirre,(i. D. José Correa, 30, D. Nicolás Angulo, 25. D. Juan Madriñan, 30. D. Manuel Ignacio Aguirre, 10 D. Francisco Ortias , 20. D. Miguel Guerrero , 10. D. Pedro Díaz, 25 D. Juan Bautis…</t>
  </si>
  <si>
    <t>Correa, Manuel Maaon</t>
  </si>
  <si>
    <t>Manuel Maaon Correa</t>
  </si>
  <si>
    <t>art. y... Xas jontas generales empezarán su* de Segó vía; á D. Manuel Maaon Correa para la sesiones luégñque lleguenlos diputados ¿tí ñáme­ de Talavéra de.íá.Reina; y al marques de la Ve­ lo de cinco individuos. Su.primera ocupación será ga , barón de Cjieste . gentilhombre de cámara de repartir entré''las municipalidades la …</t>
  </si>
  <si>
    <t>Corta, Antonio Ignacio</t>
  </si>
  <si>
    <t>Antonio Ignacio Corta</t>
  </si>
  <si>
    <t>ellos los desgraciados ingleses que gimen todavía en el pais enemigo. ESPAÑA. Madrid 2 j de setiembre. \ El 2 2,i las 11 de la mañana, el linio. Sr. D. Antonio Ignacio Corta-* barría, nombrado gefie político de Madrid y su provincia por S. A. S. la Re­ gencia de las Españas, se presentó en la sala consistorial, donde se halla…</t>
  </si>
  <si>
    <t>Cortabarría</t>
  </si>
  <si>
    <t>a revolución de America es tan aquella provincia. Para llevar á efecto este decreto wconocida en España, se ignoran por lo regular sus fue enviado el abogado Cortabarría, que tuvo lj» »* principios, historia y últimos resultados. Véanse discreción de fixar su residencia en Puerco-Rico, -da » Jos principales en el artícylo sig…</t>
  </si>
  <si>
    <t>Cortabarria, Antonio Ignacio</t>
  </si>
  <si>
    <t>Antonio Ignacio Cortabarria</t>
  </si>
  <si>
    <t>l corriente el lord Wellington tenia su quartel general en Ol­ medo. ✓ Por el ministerio de Gracia y Justicia se;ha comunicado la orden siguien­ te á D. Antonio Ignacio Cortabarria. Deseando la Regencia-del reyno que en la capital de la monarquía espa­ ñola se conserve el orden en la parte política y gubernativa , conforme á …</t>
  </si>
  <si>
    <t>Cortabarría, Antonio Ignacio</t>
  </si>
  <si>
    <t>Antonio Ignacio Cortabarría</t>
  </si>
  <si>
    <t>s indigentes algún socorro en memo­ ria de sus trabajos, formando un fondo voluntario de todos los vecinos y na­ turales, que puesto en poder del Sr. D. Antonio Ignacio Cortabarría, juez nombrado por S. A. el Consejo de Regencia para pasar á aquella corte, ten­ ga el destino mas análogo á remediar las necesidades mas perentor…</t>
  </si>
  <si>
    <t>166</t>
  </si>
  <si>
    <t>séptimo exército se hallan situadas en el- camino real que va desde Burgos á Vitoria. ' El sábado 19 del corriente entró en esta capital el limo. Sr. D. Antonio Ignacio Cortabarría, nombrado gobernador político de Madrid y su provin­ cia por el supremo Gobierno. Fue recibido con general aplauso; todo el pue­ blo espera ansios…</t>
  </si>
  <si>
    <t>s dedicados á la patria en su brillante carrera, ha adquirido tantos derechos al aprecio y gratitud del gobierno y dé la nación enteia.” El limo. Sr. D. Antonio Ignacio Cortabarría respondió á la anteceden­ te arenga en los términos mas lisonjeros para- el comandante general y el M. N. é I. Ayuntamiento. Por una carta fidedig…</t>
  </si>
  <si>
    <t>Cortabarria, Miguel</t>
  </si>
  <si>
    <t>Miguel Cortabarria</t>
  </si>
  <si>
    <t>la Puente, sin perjuicio de k&gt; que le corresponda como alcalde or­ dinario de primer voto, 50. El ayudante mayor D. Cristóbal Zarja, 200. El teniente D. Miguel Cortabarria , 200. El subteniente D. Manuel Castro, 20. El capitán agregado D. Enrique Odonoban , 12.— Regimiento de caba­ llería. El coronel D. José Antonio Cacho , 2…</t>
  </si>
  <si>
    <t>Cortace, Luis María Fernandez</t>
  </si>
  <si>
    <t>Luis María Fernandez Cortace</t>
  </si>
  <si>
    <t>oa D. Antonio Rubio peranzas , arrebatan el sustento á provincias ente­ Rolrigurz teniente. ras, pues no dexan levantadas cañas de trigos ni En Zuvia D. Luis María Fernandez Cortace- cebadas, cuyas espigas con las aristas no corten, to teniente. derriben y consuman, cebando su furia é insaciaart. n. En la milicia cívica de Al…</t>
  </si>
  <si>
    <t>Cortazar, Francisca</t>
  </si>
  <si>
    <t>Francisca Cortazar</t>
  </si>
  <si>
    <t>arado, 8. D. Vicente Sánchez, 6 D. Manuel Crespo , 6. El ilustre cabildo, 12J00. D. Francisco Oramas, 16 D José Moran por resto de los pulperos, 122. Doña Francisca Cortazar, 62 y 4 D Francisco Pareja, 30. D.-Pablo Mendiola, 60. D. Francisco Easaga, 8. D, Francisco Irrisarri , 20. El protomedico D. Ignacio Hurtado, y su mug&lt;r…</t>
  </si>
  <si>
    <t>Cortazar, Francisco</t>
  </si>
  <si>
    <t>Francisco Cortazar</t>
  </si>
  <si>
    <t>ueda, D. Santiago B-dhmia , O. José Clemente, D. Jo­ sé Me-reno Muñoz, D. Andrés López, D. Baldomcro Espartero, D. Jo&amp;é Sema , D. Fernando Borrero, y D. Francisco Cortazar.</t>
  </si>
  <si>
    <t>Cortés, Antonio</t>
  </si>
  <si>
    <t>Antonio Cortés</t>
  </si>
  <si>
    <t>tas dos faxas baxaban censo de su poseedor D. Manuel Jordán de Falen­ perpendicularmente al horizonte , y en la parte in­ cia, al ex-agustino calzado D. Antonio Cortés, terior, esto es, en lo mas inmediato al sol, presen­ predicador y confesor. taban los colores del arco iris. A medida que el sol Para la de la villa de Xerez,…</t>
  </si>
  <si>
    <t>666</t>
  </si>
  <si>
    <t>ientos (llamados de Ins Cántabros ) , que ra el uso de las escuelas de primeras letras, dispuesto por nudio de guardias mui nomerosis, y que casi por D. Antonio Cortés. Se hallará en las librerías de se tocv.b.n unas á otras , bloquearon el fue te hasta Peiez y Escribano, calle de las Carretas. el regreso de las coíunas , que…</t>
  </si>
  <si>
    <t>Cortés, Juan</t>
  </si>
  <si>
    <t>Juan Cortés</t>
  </si>
  <si>
    <t>.............. . 2200 D. Josef de Os tos , id....................................... 2200 D. Melchor Palomares , id.,........................... 220® D. Juan Cortés, id............................. .. ............. 2200 D. Juan Manrique, residente enCañcte de D. Juan Perez, id............................... ............... 22…</t>
  </si>
  <si>
    <t>Cortés, Vicente</t>
  </si>
  <si>
    <t>Vicente Cortés</t>
  </si>
  <si>
    <t>s de fu­ sileros á los adereces, D. Ramón de .Zuloaga , de granaderos , 1&gt;. Jo­ sé de ¡as Cuevas, B José María Vergara, D. Francisco Xavier VaUariuo, D. Vicente Cortés, O. Minml Monti, de cazadores, D. Flo­ rencio Cerutti, D. Antonio del Valle, D. Manuel María Rodríguez Rubio y D. Luis María Montero, ele cazadores ; al conde …</t>
  </si>
  <si>
    <t>Cos, Antonio</t>
  </si>
  <si>
    <t>Antonio Cos</t>
  </si>
  <si>
    <t>Continúan los donativos del Perú D. Clemente Ortiz, S ps. fs. D. Mariano Arias , 8. D. Antonio Cos, 10. Y D. Antonio González , 25. — Intendencia de Tarma. El gobernador é inten­ dente I). llamón de Urrotia y las Casas , ofrece dar en España , 1200 pesos, 500 por sí , 500 por su esposa D</t>
  </si>
  <si>
    <t>Cos, Lorenzo</t>
  </si>
  <si>
    <t>Lorenzo Cos</t>
  </si>
  <si>
    <t>ribano cíe cofradías, 20. D. Francisco María Adurriaga, cura de Pachas , y vicario de Huamalies , 200. D. Bernardo Briceño , cura de Llamellin , 100. D. Lorenzo Cos, 12. Tres niñas solteras, y otros indivi­ duos del pueblo de Guamachuco, 31 -y 3 rs. y medio. Administración de rentas de Paita. D. Ignacio Cruceta , administrado…</t>
  </si>
  <si>
    <t>Cosía</t>
  </si>
  <si>
    <t>o el general Hamilton que la in­ fantería del enemigo se habla aumentado considerablemente , lo quo. le movió á enviar á batallones de la brigada del general Cosía á la villa,,quedando el resto protegiendo los vados. „Durante la noclie , retiró el enemigo su artillería, dexando al­ guna caballería é infantería, que mantuvo un…</t>
  </si>
  <si>
    <t>Cosía, Juan</t>
  </si>
  <si>
    <t>Juan Cosía</t>
  </si>
  <si>
    <t>. El de la terce­ ra Eusebio Liceras y sus isdividuos , 21 y 3. El de la cuarta Aniceto Gaíindo y sus individvos, 12 y 0. Compañía de caballería. JL\ capitán Juan Cosía y sus individuos, 18 y 3. El retirado Casimiro Esparza, 6.—D. José Pinto y Torre Tagle , cura de la doctrina de Tapa , 100. D. Joaquín Miguel de Arna­ do , su…</t>
  </si>
  <si>
    <t>Cosío, Joaquin</t>
  </si>
  <si>
    <t>Joaquin Cosío</t>
  </si>
  <si>
    <t>imero de la contadu­ ría D. Joaquín Mispireta , 50. El segundo primero D. José Morote , 100. El segundo D. Antonio Gutiérrez , 25. El portero primero D. Joaquin Cosío , 25. El segundo D. José Cruzado, 10. — D. Juan del Valle, 50. El colegio dei Príncipe , rector , vice-rectores, maestros y estudiantes, 200. De las 3 cor­ rida…</t>
  </si>
  <si>
    <t>Cosío, Lorenzo</t>
  </si>
  <si>
    <t>Lorenzo Cosío</t>
  </si>
  <si>
    <t>igiese su localidad : colocó pues al O. en la garita de Chicaguaro al ca­ pitán del fixo de México D. Santiago Mora , con el de dragones de Paztquaro D. Lorenzo Cosío; la de Santa Catalina al S. la reservó para que la. guarneciese Robledo , cuando le fuese preciso replegarse; en la de Santiago al N- puso al teniente del fíxo …</t>
  </si>
  <si>
    <t>Costa, José</t>
  </si>
  <si>
    <t>José Costa</t>
  </si>
  <si>
    <t>­ lez : del de IvX iteró á D. Manuel Liauder; del de Ausona á D, José Mañ-'Z de la Torre; del de S. Femando á D. José de Calva; y del tle Barcelona á D. José Costa. Sargentías mayores : del regimiento do Leales Manresanos á D Manuel M-iscaró ; del de Palma á Don Francisco Piadas; del de Baza á D. José Mogollon; del de Barce­ …</t>
  </si>
  <si>
    <t>Cotop, Tomas</t>
  </si>
  <si>
    <t>Tomas Cotop</t>
  </si>
  <si>
    <t>te deíPerea, por medio de D. Zoilo Saenz de Texada................... i6tO su apoderad£jL)l'Juan deJBelaodía. 80000 D. Simón García Puerta, por medio D. Tomas Cotop................. .................. 43650 de su apoderado D. Nicolás BarDoña Rosa de'Stmoo Vpontero, por santi....................................................…</t>
  </si>
  <si>
    <t>Cototí</t>
  </si>
  <si>
    <t>mayor suceso, y el, &lt;general Cototí . 'o.détnvopor á abandonar aquel punto el dia 29, con mortivo de tres horas en el pasodef ílonnosa. La retaguardia haberse extendido el enemigo bácia la derecha : me commuí) retirándose en ,</t>
  </si>
  <si>
    <t>Cotton, Sir Stapelc-ton</t>
  </si>
  <si>
    <t>Sir Stapelc-ton Cotton</t>
  </si>
  <si>
    <t>eneral Ansoñ , habiendo hecho alto en la venta del Pozo una brigada de caballería del mayor general Bocks para protegerla; todo a! mando del teniente general Sir Stapelc-ton Cotton. D. Julián Sánchez marchó por la izquierda del Arianzon , y la partida de guerrilla, mandada antes por el difunto Marquinoz, se­ guía por lás altu…</t>
  </si>
  <si>
    <t>Cotton, Sir Stapeleton</t>
  </si>
  <si>
    <t>Sir Stapeleton Cotton</t>
  </si>
  <si>
    <t>moo frente de Celada del Camino, y el enemigo filé detenido mas.de tres horas portas tropas del teniente general Sir Stapeleton Cotton en ej paso de Hormaza enfrenté de aquel lugar. . ,, La retaguardia continuó retirándose en el mejor orden , hasta que habiendo sido atacadas las guerrillas de la izquierda, se dirigie­ ron par…</t>
  </si>
  <si>
    <t>Cotton, Sir Stapletoa</t>
  </si>
  <si>
    <t>Sir Stapletoa Cotton</t>
  </si>
  <si>
    <t>a de Badajoz, se retiró el 9 ántes de amanecer con dirección á tas fron­ teras de Andalucía. El teniente general Sir Tomas Graham ordenó, al teniente general Sir Stapletoa Cotton que siguiese á su retaguar- . dia con la caballería: este general atacó y derrotó la caballería francesa en Villagarcía la mañana del 11 del corrien…</t>
  </si>
  <si>
    <t>Cotton, Sir Stapleton</t>
  </si>
  <si>
    <t>Sir Stapleton Cotton</t>
  </si>
  <si>
    <t>lade á esta plaza, de la que me propongo ponerle en posesión con todo cuanto contiene. — Tengo el honor de ser &amp;c. — Weiiinglon” JP^rte del teniente general Sir Stapleton Cotton al teniente general Sir Temas Gvoham : recibido por el mismo ccncifcta, uVillagarcía 11 de abril de i. 8) 2.— Tengo el honor de comuni­ caros, que ha…</t>
  </si>
  <si>
    <t>Tengo la honra de remitir á V. E. copia de la carta que me di­ rigió el teniente general Sir Tomas Graham, incluyendo el parte que le dió el teniente general Sir Stapleton Cotton, y la lista de los muertos y heridos que tuvo en esta ocasión ; á que solo tengo que añadir mis elogios por la conducta del teniente generad Sir Sta-</t>
  </si>
  <si>
    <t>819</t>
  </si>
  <si>
    <t>bía destruido el puente del Duero, y ei grueso de su exército ss ha­ bía retirado svbre Tordesillas , dexamlo su retaguardia en Rueda. , Ei teniente general Sir Stapleton Cotton inmediatamente atacó con ia» br ga la* de cabal liria de ios mayores generales Ansons y Alten la retaguardia enemiga, ahuyentándola y obligándola á r…</t>
  </si>
  <si>
    <t>go, situado en él, déla marcha que al mismo tiempo hacían las tropas del mando del teniente general Colé. ,,La caballería, á las órdenes del teniente general Sir Stapleton Cotton, cargó tan bizarra como, felizmente á un cuerpo de infantería enemiga, arrollándolo y acuchillándolo» Eu-esta carga fué muerto el mayor general Le-M…</t>
  </si>
  <si>
    <t>por los bosques hácia el Tórmes. Yo, le perseguí con las divisiones primera y ligera y algunos escuadrones de caballería* á las órdenes del teniente general Sir Stapleton Cotton, ínterin pudimos hallar algunos reunidos, dirigiendo nuestra marcha sobre Huerta y los yados del Tórmes, por donde el enemigo habia pasado al ade-' l…</t>
  </si>
  <si>
    <t>Cottone, Cayetano Ventimiglia</t>
  </si>
  <si>
    <t>Cayetano Ventimiglia Cottone</t>
  </si>
  <si>
    <t>848</t>
  </si>
  <si>
    <t>Sicilia, que debe celebrarse en esta capital, la ciudad de Mesina ha nombrado por representante y la de Caíania por embaxador al benemérito caballero D Cayetano Ventimiglia Cottone , de la fami­ lia de los p íncipcs de Balmonte, sugeto qce reúne sentimientos sa­ bias y sublimes á uia grande elocuencia. Revestido de tan elevad…</t>
  </si>
  <si>
    <t>Coueerio, Isidro</t>
  </si>
  <si>
    <t>Isidro Coueerio</t>
  </si>
  <si>
    <t>an ¿os donativos del Perú« D. Pedro Antonio Cordnez , presbítero de Ta diócesis de Huamanga, 50 ps. D. Juan Miguel Cela de Neyra, cura de Cincos 100. D. Isidro Coueerio, ca­ pitán de la fragata Diana, 100. Pedro Dávila, cirujano. 4. R. Domingo Arnaiz, oidor de esta real audiencia, 500. D. Tomas Ignacio i *I¡omeque, id. , 400.…</t>
  </si>
  <si>
    <t>Courronx</t>
  </si>
  <si>
    <t>al prueba que la obra es mejor, y que se hace la noche el vado que separa esta ciudad de Arcos. coa mayor economía. De telas estrechas trabí ja uo El general Courronx se preparó para la baralla , y texedor con ia máquina de Mr. Vigneroo una ter­ la acción se empeñó al momento: tres cargas man­ cera parte mas, y se cansa mucho…</t>
  </si>
  <si>
    <t>Coutinho, Rodrigo de Sonsa</t>
  </si>
  <si>
    <t>Rodrigo de Sonsa Coutinho</t>
  </si>
  <si>
    <t>1312</t>
  </si>
  <si>
    <t>vadir aquella provincia. k- '■ PORTUGAL. Lisboa 30 de mayo. El 2$ de enero último falleció en Rio-Janeyro, de edad de 56 años, ei limo, y Exorno. $r. D. Rodrigo de Sonsa’Coutinho, conde de Linhares , Sr. dé Poyalvo , comendador de la orden de Cristo, gran-cruz de las órdenes de S. Benito, le Avie 3 y de la Torre y Es-</t>
  </si>
  <si>
    <t>Coutinho, Rodrigo de Souaa</t>
  </si>
  <si>
    <t>Rodrigo de Souaa Coutinho</t>
  </si>
  <si>
    <t>1018</t>
  </si>
  <si>
    <t>ese recesarlo tfanisitar por lá* calles , seria preciso por decencia cariarías ventanas. El 26 ds enero ú timo falleció en Rio Jaynero ei Exorno. Sr. D. Rodrigo de Souaa Coutinho, conde de Linhares, consejero de estado, y mmi¿tr&amp;y secretado de estado de íes negocios extrangeroa y de la guerra, á ios 56 años de edad. Su muerte…</t>
  </si>
  <si>
    <t>Couto, Jes María</t>
  </si>
  <si>
    <t>Jes María Couto</t>
  </si>
  <si>
    <t>rancisco Ciscar, diputado per Valencia; para rice-presiden­ te el Sr D. Francisco Rodríguez CaíeUc , diputado por Asturias; y para .secretario el Sr. D. Jes6 María Couto. diputado por Nueva» España. La Regencia del reyno s* ha servido expedir el dearete siguien­ te : D. Fernando vii por la gracia de Dios y por la constitución…</t>
  </si>
  <si>
    <t>Couturíer, Alfonso Lázaro</t>
  </si>
  <si>
    <t>Alfonso Lázaro Couturíer</t>
  </si>
  <si>
    <t>s de la guar­ re , diócesis de Palencta , vacante por muerte de dia real á los individuos siguientes : D. Diego Bernardo de Oraña , con Ja obligación D. Alfonso Lázaro Couturíer , teniente, á ca­ de ayudar al párroco de Cevico. en su ministerio. pitán en la vacante de D. Noel Oaletme; D Luis D. Buenaventura del Castillo presb…</t>
  </si>
  <si>
    <t>Covarrubias, José Ortiz</t>
  </si>
  <si>
    <t>José Ortiz Covarrubias</t>
  </si>
  <si>
    <t>469</t>
  </si>
  <si>
    <t>asesinar el 2 del corriente á D. Pedro Gordo, cura de Santibañez, vice-presidente de la junta superior de Burgos, D. Eulogio Muro, vocal de la misma, D. José Ortiz Covarrubias , intendente de la provincia , y D. Pedro Velasco, tesorero de la misma. Eos cadáveres de estos ilustres mártires de la libertad é in­ dependencia espa…</t>
  </si>
  <si>
    <t>Crac-haga</t>
  </si>
  <si>
    <t>os brazos ó piernas, sin contar los que han entrado en Salinas. Dirigiré &gt; V. E el detalle. „IIe recibido el oficio de V. E. y el que dirigía para el coronel Crac-haga, juntamente con las municiones. ,,Quedan todavía en el rey no varios columnas para perseguirme. ,,He determinado que uno de aiis oficiales haga la entrega de l…</t>
  </si>
  <si>
    <t>Craufurd</t>
  </si>
  <si>
    <t>asi agotados en términos, que es de temer que no Escriben de Lisboa s con fecha de 3 de febrero, podremos continuar por largo tiempo la guerra que ei general Craufurd ha muerto el 24 de ene­ actual. ro de resultas de sus heridas. Nuestros gasros van creciendo, al paso que es Las cartas de América dicen que el general imposibl…</t>
  </si>
  <si>
    <t>ultado en uno de. loñ jardines déj! Re­ descubrir y prender á los incendiarios. tiro, y que con tanta razón deseaba el benemérito Don Quaodo el mayor general Craufurd fue herido Antonio Ponz estuviese en un parage iiias público para tpmalmente en el ataqne de Ciudad-Rodrigo es­ que pudiese ser admirado de todos, es-obrd del c…</t>
  </si>
  <si>
    <t>ia para inspirar en los espectadores los mas tiernos y heroicos sentimientos, y hacer mas eficaz el exemplo &lt;le las virtudes militares que les dió el general Craufurd. — Las cenizas de este valiente guerrero descansan en la brecha de Ciudad * Rodrigo, que fué el teatro de su gloria, regado primero-con su sangre y despees con …</t>
  </si>
  <si>
    <t>Craufurd, Roberto</t>
  </si>
  <si>
    <t>Roberto Craufurd</t>
  </si>
  <si>
    <t>íncipe-regente un mensage, pidiéndole que tenga á bien man­ dar que en la iglesia catedral de S. Pablo se levante un monumento ú la memoria del mayor general Roberto Craufurd , muerto de las honrosas heridas que recibió el 19 de enero-, al frente de ía división li­ gera del cxército, en el asalto de Ciudad-Rodrigo.” Esta prop…</t>
  </si>
  <si>
    <t>Crawford</t>
  </si>
  <si>
    <t>en el desempeño de sus laboriosas tareas en el sitio. He dicho ya en mi oficio de 9 del corriente cuanto creí justo en órden á la conducta del mayor general Crawford, del teniente co­ ronel Colborne y de las tropas de la división ligera, en el asalto del reducto de S. Francisco en la tarde del 8 del que corre. El porte de est…</t>
  </si>
  <si>
    <t>: —„ÍCL vice*almirante Sir Samuel ííood, comandante en ge fe-de los buques de 8. M. ew la India oriental, ha remitido á J. W. Cloker dos cartas riel capitán Crawford del navio de S. M. el Hussar, escritas en la rada de Macassar el 10 de Marzo , y en Sidao el 20 de Abril último ; ia primera es concerniente á la toma de posesió…</t>
  </si>
  <si>
    <t>Creagh</t>
  </si>
  <si>
    <t>aya cabido en suerte un mando como este, aunque malogrado por otras combinaciones imprescindibles.” ( En el numero siguiente se insertarásl parte del brigadier Creagh.) Buques que kan recogido correspondencia en la administración de correos de Cádiz , dararde la semana finalizada en 18 del corriente. Para Poniente: místico-co…</t>
  </si>
  <si>
    <t>Creagh, Juan</t>
  </si>
  <si>
    <t>Juan Creagh</t>
  </si>
  <si>
    <t>gefe Don Josef Napoleón por la gracia de Dios y del estado mayor; los brigadieres conde de Mon- por la constitución del estado, REI de las Espatijo y D. Juan Creagh, gefe de división; D. Joa­ ñas y de las Indias. quín Herrera , comandante de la artillería, y to­ Deseando contener la subida progresiva del dos mis edecanes. Lo …</t>
  </si>
  <si>
    <t>Cres, Ildefonso</t>
  </si>
  <si>
    <t>Ildefonso Cres</t>
  </si>
  <si>
    <t>a capital* 12 señores ministros por el orden siguiente. Regente. EL Sr. D. Josef Vaca de Guzinan. Ministros. Sr. D. Francisco Alfonso de Tuero. = Sr. D. Ildefonso Cres­ po Mayor. = Sr. D. Vicente María Cabero. = Sr.- D. Francisco Cándido Paz. = Sr. D. Ramón Satue. =Sr. D. Josef García de la Torre. = Sr. D. Ra­ món Macia Lleop…</t>
  </si>
  <si>
    <t>Crespo, Francisca de Paula</t>
  </si>
  <si>
    <t>Francisca de Paula Crespo</t>
  </si>
  <si>
    <t>Domingo de Alonso y D. José Leston. En virtud de providencia del real tribunal del consulado de co­ mercio de Cádiz , se emplaza á los acreedores de Doña Francisca de Paula Crespo, para que en el preciso término de 8 meses acudan á deducir su derecho con los documentos que lo comprueben ; baxo prevención , de que pasado dicho…</t>
  </si>
  <si>
    <t>Crespo, Isidro</t>
  </si>
  <si>
    <t>Isidro Crespo</t>
  </si>
  <si>
    <t>lUOps. fs, , y io mismo cada año ele lo5* que dure la guerra. D. Miguel Francisco Maíz, 100, D. .Martin Maricluz, 20í&gt;. D. Ca­ yetano Vülarmeva, 100. D. Isidro Crespo , 50. O, Manuel González Matos, 200. O. Ignacio Beistogui, 200. 1). J'osó Carmen Grijaiba, 100. D. José Ro­ dríguez Vi gil, 2o. J). Domingo de Abeytua , JO. D. …</t>
  </si>
  <si>
    <t>Crespo, Joan</t>
  </si>
  <si>
    <t>Joan Crespo</t>
  </si>
  <si>
    <t>mportantes. Igualmente podréis Séptimo batallón. convocar á los deinas empleados del estado, y en­ cargarles que extiendan y remitan los informes que D. Joan Crespo , teniente , á espitan de la sép­ se Jes pidan. tima compañía. ,,Cada uno de los gefeí, como también I3 junta Octavo batallón. de hacienda, es responsable del ram…</t>
  </si>
  <si>
    <t>Crespo, José</t>
  </si>
  <si>
    <t>José Crespo</t>
  </si>
  <si>
    <t>mingo Ordeñana, 500. D. Santiago Víctores , .500. D. José María Luzeaudo , auditor de guerra, 200. D. Martin de Icasa, 1000 Doña Jacin­ ta Olave, 50. D. José Crespo, 25. D. Manuel Franco , 60. D- Juan Carcioli , 25. D Ignacio Hidalgo, 50. D Gregorio Mascóte, 10. D. Francisco Carbajai , 30. Vicente Pacheco, 10. D. Ramón Calvo,…</t>
  </si>
  <si>
    <t>Crespo, Manuel</t>
  </si>
  <si>
    <t>Manuel Crespo</t>
  </si>
  <si>
    <t>irre, 10 D. Francisco Ortias , 20. D. Miguel Guerrero , 10. D. Pedro Díaz, 25 D. Juan Bautista Sán­ chez, 6. Juan Al varado, 8. D. Vicente Sánchez, 6 D. Manuel Crespo , 6. El ilustre cabildo, 12J00. D. Francisco Oramas, 16 D José Moran por resto de los pulperos, 122. Doña Francisca Cortazar, 62 y 4 D Francisco Pareja, 30. D.-…</t>
  </si>
  <si>
    <t>Crewert</t>
  </si>
  <si>
    <t>nfantería. La única vez que avanzó hacia las chalupas fue desbaratado en pocos instantes con la pérdida de cinco hombres y dos caba­ llos muertos. El general Crewert, que manda las tropas del enemigo cerca de la plaza, en ausencia del mariscal Macdonald, mandó el 27 intimar la rendición al ge­ neral Essen, alegando que dentro…</t>
  </si>
  <si>
    <t>Criado, Juan</t>
  </si>
  <si>
    <t>Juan Criado</t>
  </si>
  <si>
    <t>id...................................... 2200 D. Josef de la Rosa, id.......................... ....... 2200 D. Francisco Vela, residente eb ia Zubia D. Juan Criado , id............................................ 2200 en Granad'........................................... 2200 D.J uan Márquez , ¡4........................ ....…</t>
  </si>
  <si>
    <t>Crias, Francisco Perez</t>
  </si>
  <si>
    <t>Francisco Perez Crias</t>
  </si>
  <si>
    <t>Diputado eclesiástico . -i D. Francisco Perez Crias.' D. Juan Josef Barrios. - &gt;, D. Bernardo' de Sotp y Vilarde. Dentados seculares, L ; Secretario D. Juan Amonio Villa. c '■ R. Domingo del Valle y Cano.-' D. Josef Ti ridw. BARRI® DE LA PAN</t>
  </si>
  <si>
    <t>Crias, Manuel</t>
  </si>
  <si>
    <t>Manuel Crias</t>
  </si>
  <si>
    <t>Amezaga , 35. D. Francisco León , 5. D. Ma­ nuel León, D. Diego Noriega , 8. D. Juan de üfeían, 8. D. Juan José Qui­ ñones, 8. D. Manuel Urquiju, 8. D. Manuel Crias, 8 D. Pedro Truxillo, 12. D. Toribio Alarco , 7 y 7 rs. D. Anselmo Peña , 8. I). Isidoro Caraved» , 8. t&gt;. Luis Obregoso , 8 D. Martin Garro , 8. D. Juan Vázquez …</t>
  </si>
  <si>
    <t>Cristóbal</t>
  </si>
  <si>
    <t>2, hicieron 6 prisioneros, entre ellos al oficial, y se apoderaron del carro, y de varias armas y cíestos. — La guerrilla de Honimaciet, con su gefe D. Cristóbal ^cnení, pasó el Taria el dia 14 por la línea de Monte-Olívete en compañía de Antonio Cros, de orden del gobernador dé la plaza, para cortar los cañares que incomodab…</t>
  </si>
  <si>
    <t>Cristóbal, San</t>
  </si>
  <si>
    <t>San Cristóbal</t>
  </si>
  <si>
    <t>1029</t>
  </si>
  <si>
    <t>y D. Tomas Ibsas, marchasen á Sta. C,cilla la primera, y á Qaintaniila de la Mata la segunda; reforzando-a! mismo tiempo con otros imites caballos al capitán San Cristóbal, que acababa de enviarme 10 prisioneros que con nelo 3 sol lados dichos, h&amp;bia rendido la tarde áutes ¿ vísta de su mismo campamento, del que te kabi&amp;n sep…</t>
  </si>
  <si>
    <t>Crmtf</t>
  </si>
  <si>
    <t>365</t>
  </si>
  <si>
    <t>z , cite con tan alto desprecio han mirado las í-íyu-rflrs y bombas arrojados por el enerego. — A los T^ncrdon s de Ciu-UidJtodrigo.—-Ala memoria del general Crmtf. -rd, rata rio glo* io?¿. -o rule en la brecha, —A la del -ilustre A &lt; vares y dignos de fe oso res de Coro­ na.— Á la de, Daoi% y Velar de.—Ai gnu-a’ Bafñ -sn-ros…</t>
  </si>
  <si>
    <t>Cruceta, Ignacio</t>
  </si>
  <si>
    <t>Ignacio Cruceta</t>
  </si>
  <si>
    <t>100. D. Lorenzo Cos, 12. Tres niñas solteras, y otros indivi­ duos del pueblo de Guamachuco, 31 -y 3 rs. y medio. Administración de rentas de Paita. D. Ignacio Cruceta , administrador , 108 y 2 rs. y medio. D. Fausti­ no Hurtado , 4. D. Juan Moscos , teniente del resguardo , 7. I). Juan Espino­ sa , guarda, tí. D. Faustino Du…</t>
  </si>
  <si>
    <t>Cruceta, Mariano</t>
  </si>
  <si>
    <t>Mariano Cruceta</t>
  </si>
  <si>
    <t>Francisco Vega, segundo, 41,'D. Faustino Marrez , ter-, cero , 41. D. José Ramón Texcro , oficial de la tesorería, 25. •£). Antonio' Prieto, id. ,25. D. Mariano Cruceta, id., 12. D. Manuel. Carasás , guardavista de la fundición , 83. D. Antonio Gaicano , 83. I). Ignacio Aillori Sala-, zar , escribano, 83. D. Antonio Baeza , t…</t>
  </si>
  <si>
    <t>Cruchaga</t>
  </si>
  <si>
    <t>ía , pero silos 200 caballos, dirigidos á obrar en la llanura, apoyando el flanco derecho de la infantería que el día anterior se había Batido'con el teniente coronel Cruchaga. Estuve observando , y á las 7 de la mañana recibí ün parte de mi se­ gundo en que me decia : — Señor coronel : Acaban de darme parte las avali­ zadas …</t>
  </si>
  <si>
    <t>ue por no caer en manos del enemigo , prefería raoTir ahoga­ do tirándose al rio. En justicia hago presente á V. E. que de toda la comitiva mia y del coronel Cruchaga todos han sido heridos ó muer­ tos sus caballos, mereciendo un lugar señalado el subteniente D. Pa­ tricio Landa y D. Martin Urzainqui, primes del coronel D. Gr…</t>
  </si>
  <si>
    <t>de­ recha del quinto con la izquierda del primero , completando un cí culo que abrazase todo el convoy y fuerza enemiga. A prepuesta dei impertérrito coronel Cruchaga mandé por orden general, que nin­ gún soldado se tírase al convoy hasta la ..coaclusioa de la batalla bp.xo la pena de ser afusilado, y que verificada la primer…</t>
  </si>
  <si>
    <t>550</t>
  </si>
  <si>
    <t>uedo en justicia singula­ rizar á nadie, porque su obediencia y valor fueron tsn iguales como extremados ; pero hago memoria del guerrero navarro, el coronel Cruchaga, que conmigo mandó en gefe la acción ; del sargento ma­ yor D. Ramón Uizurrun, encargado del primer batallón; de D. Fran­ cisco Ignacio Asura, y D. Sebastian Fe…</t>
  </si>
  <si>
    <t>300 infantes y 180. caballos que conducían un tren de arftxllütía gruesa. Mientras yo con algunos caballes ocupé la retaguar­ dia por el arrecife, el brigadier Cruchaga con los batallones prime­ ro, segundo, cuarto y quinto se presentó amenazando el ñanco iz­ quierdo : reselvió hacerse dueño ael convoy con tai rapidez, que so…</t>
  </si>
  <si>
    <t>ioneros, todos ios enfermos é inútiles . y una infinidad de familias ^graduándose que van en todo unas 8000 personas. Se habla mucho de la muerte del coronel Cruchaga , originada</t>
  </si>
  <si>
    <t>ío y cargar á todo trance según la combinación. Si se hubiera verificado este movimiento, el general Arquien, envanecido por haber herido al inmortal brigadier Cruchaga en Ormaiztegui, y á V. S. en Santacruz, hubiera pagado los da­ ños causados á Navarra y á la nación; pero no pudieron realizarlo mas que dos compañías á las ó…</t>
  </si>
  <si>
    <t>Cruchaga, José</t>
  </si>
  <si>
    <t>José Cruchaga</t>
  </si>
  <si>
    <t>1076</t>
  </si>
  <si>
    <t>entrado en la plaza á no haber salido á defenderla toda la guarnición con 9 cañones. En esta jornada es presentó por primera vez delante del enemigo D. José Cruchaga, que después de la muerte de su hermano, abandonó su casa para tomar el mun­ do de un batallón de la división navarra , y en ella acreditó cuan digno era de ocup…</t>
  </si>
  <si>
    <t>Cruz</t>
  </si>
  <si>
    <t>o último, se verificó ayer en esta ciudad la elección de los alcaldes, regidores y procuradoreE-rindicos que deben formar su nuevo ayuntamiento. — El general Cruz, refiriéndose á noticias recibidas por un coifidente, digoo de crédito, escribe que el general Ballesteros había en­ trado en Osana, sorprehendiendo la guarnición ,…</t>
  </si>
  <si>
    <t>56</t>
  </si>
  <si>
    <t>s por Decaen. Por las cartas del mismo Cádiz se ha sabido también que en la noche del 27 de julio salió de aquel puerto una expedición mandada por el general Cruz, compuesta de un batallón de Guardias españolas, otro de Zamora , una compañía de cadetes, otra de artilleros, otra de zapadores, y otras com­ pañías de granaderos …</t>
  </si>
  <si>
    <t>43 * un exército de 10® hombres, ademas de la artillería que debe venir de Gibraltar. Campo de Gualmesi g i de julio. La división del general Cruz desembarcó el 28 en Tarifa, reuniéndose el 29 á la del príncipe de Anglona , y ocupando todas las fuerzas este punto de Gualmesi á las seis de la tarde : algunos cuerpos se adelant…</t>
  </si>
  <si>
    <t>socorrerían aquella guarnicien á !a vuelta de su expedición de Astorga. Por noticias de Cádiz hasta ei 19 dei corriente, estoy in­ formado de que el general Cruz habia vuelto á aqusl puerta con el destacamento que se envió á la co¿ta de levante en socorro del ge­ neral Ballesteros. Otra expedición se habia aprontad* inm^diaCa…</t>
  </si>
  <si>
    <t>nto y remonta. El sargento Es­ trada ha quedado gravemente herido , y esta es la única desgracia que ha habido de nuestra parte.” Así Negrete como el general Cruz, recomiendan el mérito del teniente Merino. 2. ° El brigadier D. Diego García Conde da cuenta desde Celaya con fecha de 5 de Junio, que el dia anterior habia llegad…</t>
  </si>
  <si>
    <t>CRUZ, BARRIO de SANTA</t>
  </si>
  <si>
    <t>BARRIO de SANTA CRUZ</t>
  </si>
  <si>
    <t>. D. Fernando G.ilan. Diputados seculares D. Eugenio Diai. D. Manuel Lázaro. Secretario D. Antonio Neyra. D. Rafael Antonio Mazon. D. Pedro Ezquerra. Secretario BARRIO DE SANTA CRUZ. D. Tomas Tordesillas. ( Alcalde de barrio BARRIO DE MORIANAD. Blas Martínez. 1 Diputado eclesiástico Alcalde de barrio D. Felipe Montenegro. D. …</t>
  </si>
  <si>
    <t>Cruz, Eulogio Santa</t>
  </si>
  <si>
    <t>Eulogio Santa Cruz</t>
  </si>
  <si>
    <t>á los distin­ guidos .y alumnos de la referida academia militar de la isla de León, O. Eugenio Carrasco, D Sebastian Villaniieva, D Facundo Arte ga , D. Eulogio Santa Cruz , D. José Acero, D. Juan Tena, Don José López Montoya , D. Juan Ramón Llórente, O J uan Muril!o, O. Francisco Benito, D. Francisco Alameda, D. Pedro Panla­…</t>
  </si>
  <si>
    <t>Cruzado, Agustin</t>
  </si>
  <si>
    <t>Agustin Cruzado</t>
  </si>
  <si>
    <t>. Francisca de Paula Díaz, de tirador*!, El tribunal se reunió conforme á lo acordado D. Josef Mesa. del dia anterior. Presentes el conmódoro Stephen D. Agustin Cruzado. D'catui , presidente; los capitanes Carlos Stuart Maques de Alcántara. é Lase Chancey , vocales. D. Antonio Franco, En la sesión de ayer se leyeron y aprobar…</t>
  </si>
  <si>
    <t>Cruzado, José</t>
  </si>
  <si>
    <t>José Cruzado</t>
  </si>
  <si>
    <t>n Mispireta , 50. El segundo primero D. José Morote , 100. El segundo D. Antonio Gutiérrez , 25. El portero primero D. Joaquin Cosío , 25. El segundo D. José Cruzado, 10. — D. Juan del Valle, 50. El colegio dei Príncipe , rector , vice-rectores, maestros y estudiantes, 200. De las 3 cor­ ridas de toros y su encierro destinada…</t>
  </si>
  <si>
    <t>Cruzat, Juan Vuiaverde y D José Jguacio</t>
  </si>
  <si>
    <t>Juan Vuiaverde y D José Jguacio Cruzat</t>
  </si>
  <si>
    <t>adi y Don Marcee Morejon ; y á subtenientes de bandera á D. Buenaventura Dubreuil, D. Miguel Orioñez, D. Eusebío RoduTfo Reggio, Don ARtonio Infante, D. Juan Vuiaverde y D José Jguacio Cruzat En el de infantería déla Habana, á capitán de granaderos á D. Pedro Castilla. En el de milicias disciplinadas de -infantería de la Haba…</t>
  </si>
  <si>
    <t>Csprani, Pablo</t>
  </si>
  <si>
    <t>Pablo Csprani</t>
  </si>
  <si>
    <t>gún la nación á que pertenecen, tiempo Rs, vn. Mrs. en que se ectibieron, y motivos que las dictaron; pero que por otra paite han varudo en todas las D. Pablo Csprani, estuquista de la Daciones, según lo haD exigido algunas circunstan­ antigua real casa.................................. 2200 cias ó el capricho de los legislad…</t>
  </si>
  <si>
    <t>Ctvalos, José</t>
  </si>
  <si>
    <t>José Ctvalos</t>
  </si>
  <si>
    <t>782</t>
  </si>
  <si>
    <t>os de la provincia de Venc%ucla hasta 23 de mayo. l.° jDel capitán de fragata D. Domingo Monteverde al comáis* dante general de la provincia de Coro, D. José Ctvalos. ,,T.ír:go el gusto de- participar. á Y. S. qu* hoy á las 12 del día he entrabo en este pueblo cor 120 hombres. Todos los vecinos me han recibido con las níavere…</t>
  </si>
  <si>
    <t>Cuadre, Antonio</t>
  </si>
  <si>
    <t>Antonio Cuadre</t>
  </si>
  <si>
    <t>648</t>
  </si>
  <si>
    <t>o han cent raido particular mérito el capitán, de dir-geces D. Juan Soler, el trifente. del cuerpo de veteranos D. Liar-/ lio la Osa, el su biéldente D. Antonio Cuadre, y mi ayubant *. de ó 'tienes y secre­ tarlo , el capitán graduado de exército D. José de (Tazarra, Todos los demas, desde el coronel comandante de artiderí &gt; …</t>
  </si>
  <si>
    <t>Cubero, Agustin</t>
  </si>
  <si>
    <t>Agustin Cubero</t>
  </si>
  <si>
    <t>ef de Osuna y Quadra. D. Andrés Padillo. D. Félix María Carrillo. D. Pedro Perez Garnacha. Subtenientes. art. vi. En la villa de Valenzaela se forma­ D. Agustin Cubero, de granaderos. rá una compañía. D. Francisco de Ribas, de tiradores. D. Joaqnin Peralez queda nombrado espiran; D. Leoncio Sánchez. D. Pablo Olivas teniente, …</t>
  </si>
  <si>
    <t>Cuello, Matías</t>
  </si>
  <si>
    <t>Matías Cuello</t>
  </si>
  <si>
    <t>D. Pedro Ruesta , 1. D. Gregorio Palacios, 25. D. José Antonio Miehilon , 1. D. Ramón Manzanares , 2. I). Gaspar Silva , 2. Don Francisco ligarte, 2. D. Matías Cuello , 2. D. Francisco Siadas , 4. 1&gt;. Fran­ cisco Figueiras, 2. Manuel Artiaga , 1. Doña Catalina Carrasco , 2. Doña Ma­ ría Blanco por sí y su madre , 2. D. Baltas…</t>
  </si>
  <si>
    <t>Cuenca, Alonso</t>
  </si>
  <si>
    <t>Alonso Cuenca</t>
  </si>
  <si>
    <t>lamento. Promovidos en el regimiento de Toledo, 2.0 de ¡infantería de linea , Condados, ciudades ó al- Número de Número de deas. electores, miembros. D. Alonso Cuenca, subteniente, á teniente: D. Mariano Parias, subteniente , á regiente: Don Francisco Navarro» sargento i.°, á subteniente: Londres.......... 7000 4 D. Juan Anto…</t>
  </si>
  <si>
    <t>Cuervo, Manuel</t>
  </si>
  <si>
    <t>Manuel Cuervo</t>
  </si>
  <si>
    <t>de nueva creación , subtenencia á D. Pedro Alfáiran. En el regimiento de dragones de Buenos * Ay res * ayudantía á D. Marcos Sobremonte; tenencias á D. Manuel Cuervo, D. Manuel Suarez y D. Prudencio</t>
  </si>
  <si>
    <t>Cuesta, Antonio</t>
  </si>
  <si>
    <t>Antonio Cuesta</t>
  </si>
  <si>
    <t>de desnudo, y todo abrasado y quemado; y ¡o capitán, y O. G.bricl de Torres subteniente. que es peor, que en entrando en los sembrados y En Cogollos D. Antonio Cuesta teniente. mieses, donde los hombres tienen libradas sus es­ En H uetnr de Santillaoa D. Antonio Rubio peranzas , arrebatan el sustento á provincias ente­ Rolrig…</t>
  </si>
  <si>
    <t>Cuesta, Félix</t>
  </si>
  <si>
    <t>Félix Cuesta</t>
  </si>
  <si>
    <t>524</t>
  </si>
  <si>
    <t>s que cometen los enemigos de la guarnición del Puente del Arzo­ bispo, saliendo en partidas á robar ios pueblos del contorno, des­ taqué ai teniente D. Félix Cuesta con la tercera compañía. En efec­ to , el 17 tuvo noticia de que 90 franceses se hallaban en Valdelacasa, y se dirigían á Taiavera de la Reyna; aceleró su marcha…</t>
  </si>
  <si>
    <t>Cuestaco, Feliciano</t>
  </si>
  <si>
    <t>Feliciano Cuestaco</t>
  </si>
  <si>
    <t>815</t>
  </si>
  <si>
    <t>situados desde Toledo á Madrid. También conservan guar­ nición: en Consuegra. Valencia de Alcántara 23-de julio. Estado mayor del quinto exército¿ — „D. Feliciano Cuestaco­ mandante de la partida de hú.^res francos toledanos, participa al Excmo. Sr. comandante general interino qie les enemigos han aban­ donado el fuerte dé Mi…</t>
  </si>
  <si>
    <t>Cueto, Jacobo</t>
  </si>
  <si>
    <t>Jacobo Cueto</t>
  </si>
  <si>
    <t>pirronismo, dudando de lo que no vemos, . . Rs. vn. al observar la exageración ó falsedad con qtiej se pinta lo que vemos. ¿Cómo, por exemplo, habrá D. Jacobo Cueto, ex-bernardo , residente paciencia para leer el modo con que se ha pintado en Toledo , por.................... .......................... 2200 cu Cádiz lo acaecid…</t>
  </si>
  <si>
    <t>Cueto, Juan Esteban</t>
  </si>
  <si>
    <t>Juan Esteban Cueto</t>
  </si>
  <si>
    <t>de infantería á 6. Francir.cn Garcés * D. Francisco Manzano, D. Basilio López, D. Jacobo Garcés, D. R-amon Roa, D. Xavier Morios, D. Pedro Astarloa, D. Juan Esteban Cueto, Don Manuel Carrera, D. José María Medina, D. Podro Jo mi Alcina, D. Manuel U&amp;bina, D. José Díaz Ace vedo v D. J nan Cádos nez ; el mismo ele caballería, á …</t>
  </si>
  <si>
    <t>CueviÜas, Ignacio Alonso</t>
  </si>
  <si>
    <t>Ignacio Alonso CueviÜas</t>
  </si>
  <si>
    <t>cedió plaza de dependiente en el resguardo de Murcia. Manuel Laynaba, sargento segundo retirado: en id. , plaza de cab&gt; en el del campo de Gibraltar. D. Ignacio Alonso CueviÜas, comándente de la partida de su nombre; en 5 de Mayo, la comandancia del resguardo de Burgos1. D. Vicente Diez Ordencz, sargento primero distinguido d…</t>
  </si>
  <si>
    <t>Cunegunda</t>
  </si>
  <si>
    <t>corsarios ingleses atacaron ayer ima lau­ S. A. R. el elector de Tréveris y su angosta cha italiana , que había salido de Rodi para A leo­ hermana la princesa Cunegunda fueron ayer á vi­ na cargada de varios géneros : la lancha se úo igio sitar al canónigo Stark , y á observar la situación hácia ia costa , y al primer cañonaz…</t>
  </si>
  <si>
    <t>Cupe, Josef</t>
  </si>
  <si>
    <t>Josef Cupe</t>
  </si>
  <si>
    <t>— D. Rafael Aledioa , id........................................ 2200 toro.................................................................... . 2200 D. Josef Cupe , id............................................... 2200 D. Francisco Manuel de Medina, id.......... 2200 D. Francisco de la Torre, id.......................... 22…</t>
  </si>
  <si>
    <t>Cuta</t>
  </si>
  <si>
    <t>sas. Los señores Mirtinez , Tnnubey yBitke, 100. Doña Jan na Gmzalez Martínez , 6 y 5. Doña Juana Martin:z. 1 r J. D ña Arta Ma­ ría Martínez, 1 y 1. Doña Cuta i na Josefa González Martínez, 1 y 1. D. Sebastian González Martin **, l y J. D. Sobar lian Mardne*z G adame, 1 y 1. Daña M. de P. Bi .ke, 5 j 5. D. C. de Hemy</t>
  </si>
  <si>
    <t>Cuthbert</t>
  </si>
  <si>
    <t>pérdida, sin conseguir cosa alguna, por el mayor general Bowes que mandaba la tropa que guar­ necía nuestras trincheras. En esta ocasión perdimos al capitán Cuthbert, ayudante de campo del teniente general Picton , oñcial que daba grandes esperanzas, y quedó muerto ; y el teniente coronel Fleteher fué levemente herido , bien …</t>
  </si>
  <si>
    <t>Cuvillaa, Manuel</t>
  </si>
  <si>
    <t>Manuel Cuvillaa</t>
  </si>
  <si>
    <t>Ya,n!¡ D. Fernando Egoavil j 8. Id de Tarma I). Pedro Pagan,JO Id. de Jauja D. Juan de Landa, 25. Id. de Huancayo D. Felipe Sopeña, 50. Id. de Pasco D. Manuel Cuvillaa, 50. (Se cóníiimará.) CADIZ ; EN LA IMPRENTA REAL.</t>
  </si>
  <si>
    <t>Cyr, Gouvíon-Saint</t>
  </si>
  <si>
    <t>Gouvíon-Saint Cyr</t>
  </si>
  <si>
    <t>do con un valor y tesón Indecibles. Él va­ Le ha sucedido en el mando del segundo y sex­ liente regimientb de Gerónimo Cotlorcdo, aunque to cuerpo el conde Gouvíon-Saint-Cyr. En la tarde abrasado por la metralla de urta batería que se ba- del 17 el enemigo se retiró á la otra parte del des­ bia colocado en una altura , y á pe…</t>
  </si>
  <si>
    <t>Cyr, Gouvion-Saint</t>
  </si>
  <si>
    <t>Gouvion-Saint Cyr</t>
  </si>
  <si>
    <t>el mas hu­ el Drissa. La derrota que ‘ufrió el enemigo en Pomilde y mas obediente &amp;c. =; Firmado ss Conde lotsk. el 18 tue mui completa. El valiente general Gouvion-Saint-Cyr. Dcroy, de 72 años de edad, y cerca de 60 de ser­ vicio , fue herido en el campo del honor. S M. !e Del ¡8. ha nombrado conde del imperio, con una dotac…</t>
  </si>
  <si>
    <t>Cyr, Góuvion-Saiñt</t>
  </si>
  <si>
    <t>Góuvion-Saiñt Cyr</t>
  </si>
  <si>
    <t>- • disposiciones que preparaban su triunfo, y que le Concluida'esta expedición , el señor m ¡riscal aseguraban el f uto, Veamos con nueva admiración conde Góuvion-Saiñt-Cyr puso á mis órdenes ios la guerra alimentar la guerra. En el teatro misino regimientos de infantería de línea 19.°, 37-° y. t ¿40» de las hazañas de nuest…</t>
  </si>
  <si>
    <t>Czartorinski, Adam</t>
  </si>
  <si>
    <t>Adam Czartorinski</t>
  </si>
  <si>
    <t>s. Estas tropas han marchado para Sloubokn. ,, La dieta de Varsovia, constituida en una confederación general de Po­ lonia, ha nombrado presidente al príncipe Adam Czartorinski. Este prínci­ pe, de edad de 80 años, ha sido por espacio de 50 mariscal de la dieta de Polonia. El primer acto de la dieta fue declarar restablecido …</t>
  </si>
  <si>
    <t>Czartorinsky, Adain</t>
  </si>
  <si>
    <t>Adain Czartorinsky</t>
  </si>
  <si>
    <t>4.0 cuyo objeto es la defensa eterna de nuestros comu­ nes intereses: este vínculo es la mano lituana del Parte del virei al mayor general'. virtuoso príncipe Adain Czartorinsky, que lo estre­ cha y lo hace indisoluble baxo la protección del En consecuencia de las órdenes de S-.JVÍ..* el genio. quarto cuerpo del exér¡ iro par…</t>
  </si>
  <si>
    <t>Czerni-Jorge</t>
  </si>
  <si>
    <t>de artillería en prooto las sabremos por medio de la legación rosa. celebridad de una victoria alcanzada sobre los tur­ cos, de lo qual dicea que el general Czerni-Jorge Del 11. ha tenido aviso oficial. Cuéntame sobre esta acción las particularidades siguientes: Ya no se habla de paz entre la Puerta y la Ru­ ,, Encontrándose …</t>
  </si>
  <si>
    <t>recibidas de Belgrado, 29..................................... 9% el consejo servio recibió el 2t de diciembre orden 3 de diciembre........... 9j del general en gefe Czerni-Jorge para enviar in­ 10..................................... 1017 mediatamente y sin la menor dilación en calidad *3.....................................…</t>
  </si>
  <si>
    <t>ión y sobresalto en toda la Servia. ya en los servios el mismo ardor que antes , y aun Se confirma la noticia de que el gran visir está añaden qae el general Czerni-Jorge se ha visto reuniendo en la Bu giria el exército mas formi­ obligado á usar de medios de severidad y rigor dable qne los turcos ¡lian puesto jamas contra lo…</t>
  </si>
  <si>
    <t>D'iminfo</t>
  </si>
  <si>
    <t>Gaceta de Madrid n.º 68</t>
  </si>
  <si>
    <t>00 nombrado una nueva dirección , encargada de to­ D. Pedro de Mora y Lomas....... ........ qcoco do lo perteneciente á instrucción pública. S. M. el D. D'iminfo .Je Arargoif................... , 18900 Rei de Saxonia , satisfecho de los buenos servicios D. Pedro G reía......................................... 5624 24 de los m…</t>
  </si>
  <si>
    <t>D, Alexo</t>
  </si>
  <si>
    <t>Alexo D</t>
  </si>
  <si>
    <t>rar ni negociar armas usadas. Bermudez y Riobó, D. Antonio Pellico, D. Pedro 10. Las personas particulares que hubieren P.-iItco , D. Josef M ogauti, D. Alexo D iz, D m obtenido la competente licencia para poder osar Tomas O-Scanian . D. Pedro Maií i Morales Portoarmas , na podrán venderlas por sí á ninguna otra carrero , D J…</t>
  </si>
  <si>
    <t>D, Ambrosio HorcasiHasy</t>
  </si>
  <si>
    <t>Ambrosio HorcasiHasy D</t>
  </si>
  <si>
    <t>l Blanco y D. Andrés González , el capitán del de Mortrey, D. Jo é Salgado, ios tenientes de granaderos y cazadores del mismo cuerpo D. Juan Suances, D. Ambrosio HorcasiHasy D. Felipe A ña­ ño , y ios subtenientes D. Francisco B¿an, D. Joaquín Quiroga y D. Aíitonio Boan, como igualmente el teniente y comandante de la compañía…</t>
  </si>
  <si>
    <t>D, Antonio</t>
  </si>
  <si>
    <t>Antonio D</t>
  </si>
  <si>
    <t>quisiere hacer postura, acuda ante dicho señor juez por D Pedro Schropp................... ......... 3362 16 la escribanía de provincia que despacha D. Antonio D. Frutos Alvaro Benito................. I702J María Perez, en donde se admitirán las que se hicieren La compañía de Pozuelo.................. 2183 II siendo arreglada…</t>
  </si>
  <si>
    <t>ez de A iz^...... 6885 de Hacienda de nce tro consejo de Estado, hemos D. Manuel Sixto Espinosa........... decretado y decretamos lo que sigue : 3375 D. Antonio D ¡mingo Porlier 54001 21 articulo i. ,, Se declaran acreedores del es­ D. Juan Estébatj de Tricio... 384 7 14 tado por las sum.iS que á continuación se expretaa D. B…</t>
  </si>
  <si>
    <t>D, Antonio López de Sa</t>
  </si>
  <si>
    <t>Antonio López de Sa D</t>
  </si>
  <si>
    <t>encia del Sr. D. Juan Bautísty D. Manuel Balza. Guitart, juez de primera instancia'en esta villa'; y por D. Zoilo Casero. la escribanía del número de D. Antonio López de Sa« D. Josef Calvo. lazar , se ha mandado sacar á púb'icsf subasta por tér­ D. Josef Hernández Delgados mino de 30 dias', contados desde el i6 del presente, …</t>
  </si>
  <si>
    <t>D, Braulio</t>
  </si>
  <si>
    <t>Braulio D</t>
  </si>
  <si>
    <t>nador D. Francisco de Isla por uno , 9. Doña María Dolores Orue por uno , 9. D. Ignacio González Cadrana por uno , 9, Doña Blanca Resentí por uno, 9. D. Braulio D ego de Vivanco , oficial roal honorario, por uno , 9. D. Nicolás Fernandez por 2,18. D. Lúeas Villaescüsa y D. Jo­ sé Zapata, por uno , 9. Don Francisco Alonso Pela…</t>
  </si>
  <si>
    <t>D, Carlos O</t>
  </si>
  <si>
    <t>Carlos O D</t>
  </si>
  <si>
    <t>gefe del segundo y tercer cuerpo, convocó á consejo I M P E R I Ó F R A N C E S. de guerra en el lugar acostumbrado á los señorea mariscales de campo D. Carlos O D mell, D. Jo— sef Miranda, D. Josef Zay.is, D. Ruuon Pirez, . . . Ródez's'tf de manzo. L). Francisco M.rcó del Pont y D. Josef Lardizahal; y á los señores brig idie…</t>
  </si>
  <si>
    <t>D, Diego Herrara</t>
  </si>
  <si>
    <t>Diego Herrara D</t>
  </si>
  <si>
    <t>1128</t>
  </si>
  <si>
    <t>a para las urgencias de la nación; ha tenido á bien mandar S. A. que &amp; su nombre ae 1c dén las gracias, y que se anuncie cu la ga­ ceta del Gobierno. D. Diego Herrara D avila y Albsa?, vecino y regidor del provi­ sional ayuntamiento de la ciudad de Xsrez de la Frontera , ha su­ plicado á la Regencia del reyno le admita el don…</t>
  </si>
  <si>
    <t>D, Fran</t>
  </si>
  <si>
    <t>Fran D</t>
  </si>
  <si>
    <t>de su apoderado D. Nicolás BarDoña Rosa de'Stmoo Vpontero, por santi..................................................... 2214 mano de *ú apoderado .D. Fran­ D. Josef Gonzalo Ruiz de Celada, ’• cisco Ñoñez...................................... 5400 por medio-de so apoderado D. EuD. Tomas Gómez Duran..................... 36000…</t>
  </si>
  <si>
    <t>D, Isidro de la Oaa</t>
  </si>
  <si>
    <t>Isidro de la Oaa D</t>
  </si>
  <si>
    <t>icara, cuyo fidelísimo ve­ cindario, abandonan do. sus haberes, había acudido á socorrer la capitod • conducido por sus dignos ccmandentes y justicia D. Isidro de la Oaa D. Juan Dúo y D. Francisco Betancuit, dexs&amp;do algunas cañoneras para contener á ios insurgentes de Barinas. Al dia siguien­ te 28. 1‘egó á este puerto :a may…</t>
  </si>
  <si>
    <t>D, Joan</t>
  </si>
  <si>
    <t>Joan D</t>
  </si>
  <si>
    <t>392 D. Josef-de la Vega Ordoñez......... 2776 3 medio.de so apoderado D. Joan D. Manuel 3slsue.............. . ............ 474 3* Francisco Fernandez Hato......... . 10971 21 El teniente general D. Carlos de Doña María del Pilar y Doña Te­ Gregorio....................</t>
  </si>
  <si>
    <t>D, José Casellasy</t>
  </si>
  <si>
    <t>José Casellasy D</t>
  </si>
  <si>
    <t>u­ fino Bcrcolme, y mis fieles y valerosos edecanes , conde de Casa Real, D. Mariano Campero, D. «Tesé García Santiago, D. José Moya, Don Juan Iinaz, D José Casellasy D. José Guerra, que todos llevaron mis órdenes , y me acompañaron con serenidad. — El cuerpo todo de ar­ tillería ha llenado sus deberes con inexplicable valor …</t>
  </si>
  <si>
    <t>D, Josef de Eduberri</t>
  </si>
  <si>
    <t>Josef de Eduberri D</t>
  </si>
  <si>
    <t>. Juan de S, Pedro; Corregidor; D. Manuel Ordoñez.' Procurador general alférez mayor i D. Amonio Gordei. - Regidoresá D. Marine! Re«?g?I. .Regidores, D. Josef de Eduberri/ D. Pedro Daripe. ’ D. Nicolás Muñoz. D. Jnan Manuel Nobal. D. Manuel de Cárdenas. D. Ramón Escudero. D. Francisco Vasco. D. Francisco Xavier Gandanillo*. D…</t>
  </si>
  <si>
    <t>D, Josef GrosoleL</t>
  </si>
  <si>
    <t>Josef GrosoleL D</t>
  </si>
  <si>
    <t>Diputados seculares y prudencia con que ha desempeñado Jas' funcio­ D. 'Pedro Monfoit y Viergol. nes de presidente. = Firmado =ejóhn T. Lawrenc-e.'* D. Josef GrosoleL - ' D. Francisco Xavier García PIa¿a* " sujizÁ. . .Secretario D. Joaquín González de Sepúlveda. Schaffousa 15 de marzo. BARRIO DE SAN JUAN. Alcalde- de barrio E…</t>
  </si>
  <si>
    <t>D, Josef Maído</t>
  </si>
  <si>
    <t>Josef Maído D</t>
  </si>
  <si>
    <t>a María del Pilar y Doña Te­ Gregorio......................................... 18370 28 resa Losada........................ 11061 27 Lo* herederos de D. Josef Maído- D. Antonio Gil, actual conde de nado, D. Jos.;fy D. Francisco sos Berberana......................................... 65386 24 hijos............... ..............…</t>
  </si>
  <si>
    <t>D, Josef Piro Molíoa</t>
  </si>
  <si>
    <t>Josef Piro Molíoa D</t>
  </si>
  <si>
    <t>iástico D. Francisco Martínez Adan. D.............................. Diputados secutans Diputados seculares D. Pedro Dtfttrii' D. Francisco San Román. D. Josef Piro Molíoa¿ D. Mariano Yoldi. D. Pedro López Blanco. J&gt;. Nicolás Palacios. Secretario Secretario D. Juao Francisco de Hato. D. Manuel Qniran. BARRIO DE LAS TRINITARIA*…</t>
  </si>
  <si>
    <t>D, Juan Bautísty</t>
  </si>
  <si>
    <t>Juan Bautísty D</t>
  </si>
  <si>
    <t>lermo Terri. D. Pedro Fernandez Nieto. Municipalidad de Toledoj Corregidor. AVISO. D. Domingo Falceto. Regidores.- , En virtud de providencia del Sr. D. Juan Bautísty D. Manuel Balza. Guitart, juez de primera instancia'en esta villa'; y por D. Zoilo Casero. la escribanía del número de D. Antonio López de Sa« D. Josef Calvo. l…</t>
  </si>
  <si>
    <t>D, Juan Josef Gu</t>
  </si>
  <si>
    <t>Juan Josef Gu D</t>
  </si>
  <si>
    <t>ros. rá una compañía. D. Francisco de Ribas, de tiradores. D. Joaqnin Peralez queda nombrado espiran; D. Leoncio Sánchez. D. Pablo Olivas teniente, y D. Juan Josef Gu­ D. Josef Buelga.*. ' tiérrez sobtenientel D. Pedro Espinosa. art. vii. -En la villa de Pedroche se formará D. Juan Antonio Gutiérrez. media compañía. D. Juan d…</t>
  </si>
  <si>
    <t>D, Juana</t>
  </si>
  <si>
    <t>Juana D</t>
  </si>
  <si>
    <t>f Antonio Salcedo..................... 12600 D. Manuel Celestino Carrasco , por sí Doña Juana de Abarrátegu¡.;;.í7........ 118800 y como apoderado de Doña Juana D. Ramón María de Ripa....... ............ 5x6ñií no María López de Robredo................. 3195 D. Patricio Josef González y Tricio.. 10480 Doña María Aoa Ramírez d…</t>
  </si>
  <si>
    <t>D, Luis</t>
  </si>
  <si>
    <t>Luis D</t>
  </si>
  <si>
    <t>Ja obligación D. Alfonso Lázaro Couturíer , teniente, á ca­ de ayudar al párroco de Cevico. en su ministerio. pitán en la vacante de D. Noel Oaletme; D Luis D. Buenaventura del Castillo presbítero y exMolí, teniente, á capitán en la vacante de Don erónimo , para el beneficia de la parroquia de San Noel Antonio Sassary; D. Ped…</t>
  </si>
  <si>
    <t>D, Manuel</t>
  </si>
  <si>
    <t>Manuel D</t>
  </si>
  <si>
    <t>tercero. cisco Pv/ez Armijo. Para la de Hnadaortuna, sn último poseedor Para el de Portubns, vacante por muerte de D. Fernando García de S. Pedro, á D. Manuel D. Antonio Perez Barquero, al presbítero ex-car­ Ramos, ex-franciscano descalzo. melita calzado D. Juan Gómez. Para la de Vayacas y Carataunas, sn último Para el de IsW…</t>
  </si>
  <si>
    <t>D, María Alexa Cerrageríade Her</t>
  </si>
  <si>
    <t>María Alexa Cerrageríade Her D</t>
  </si>
  <si>
    <t>....... 43 200 D. Francisco Villalba , como niirido D. Apolinar Ronyer............................. . .21600 de Doña Nicolasa Díaz y‘Sta. Ana.. 10800 Doña María Alexa Cerrageríade Her­ D. Luis Blizitde........................ 45Q'-&gt; moso............................................. 22500 D. Joaquin de Yuza......... ..........…</t>
  </si>
  <si>
    <t>D, Miguel Fermín</t>
  </si>
  <si>
    <t>Miguel Fermín D</t>
  </si>
  <si>
    <t>Antonio de Noreña................ 4184 33 Doña Ana María Dorre , y en tu nom­ D. Josef de Roxas........... ...................... 27000 bre su marido D. Miguel Fermín D. Fernando 'Fout y González , por de Esparza, por mano de su apo­ sí, y como marido de Doña Anto­ derado D. Luis de Elizalde........... 33300 nia Salcedo......…</t>
  </si>
  <si>
    <t>D, Pedro Dtfttrii</t>
  </si>
  <si>
    <t>Pedro Dtfttrii D</t>
  </si>
  <si>
    <t>man. _ Diputado eclesiástico Diputado eclesiástico D. Francisco Martínez Adan. D.............................. Diputados secutans Diputados seculares D. Pedro Dtfttrii' D. Francisco San Román. D. Josef Piro Molíoa¿ D. Mariano Yoldi. D. Pedro López Blanco. J&gt;. Nicolás Palacios. Secretario Secretario D. Juao Francisco de Hato. …</t>
  </si>
  <si>
    <t>D, Pedro Perez Uriondov</t>
  </si>
  <si>
    <t>Pedro Perez Uriondov D</t>
  </si>
  <si>
    <t>á D. José: González; de fusileros á D. José Ramón Moreno, D. José Benito Mendez, D. José García Cárdenas, D. Antonio Quintana, D. Anto­ nio Villegas, D. Pedro Perez Uriondov D. José Guerra y D. José María Celada; y de bandera á D. Juan López y D. José Benito Azcuénaga. En la compañía de infantería de voluntarios de Madrid de …</t>
  </si>
  <si>
    <t>D, Ramón de Campos</t>
  </si>
  <si>
    <t>Ramón de Campos D</t>
  </si>
  <si>
    <t>dos seculares Diputado eclesiástico D. Manuel Rodríguez d&lt;¡ Castro. D. Bernabé Mateo Perez. D. Muías Mesonero. Diputados reculares D. Ramón Basualdo. D. Ramón de Campos/ D. Ignacio Campesino. D. Francisco Perpiñan. " . Secretario D. Josef Flores. D. Antonio de Pineda. Secretario D. Bernardo de la Vega. QUARTEL DE AVAPIES, BAR…</t>
  </si>
  <si>
    <t>D, Ventura Montene</t>
  </si>
  <si>
    <t>Ventura Montene D</t>
  </si>
  <si>
    <t>n el segundo batallón de la ciudad parragal, que al oriente linda con la citada vereda, al de Toledo quedan promovidos poniente con tierra que fue de D. Ventura Montene­ D. Miguel Gómez, subteniente) á teniente ea gro , y al norte con otra de D. Hermenegildo López reemplazo de D. Manuel Menoyo. Sandoval; su caber cinco fanega…</t>
  </si>
  <si>
    <t>D-rdlev</t>
  </si>
  <si>
    <t>tan fuertes como los de esta memoria; del duque de Dowñshire, m -rquo de D- woshire, que se tendría en consideración todo lo expuesto .conde Moira-, conde D-rdlev , Jn'%e P&lt;nií&gt;ornen ella; pero añadió que no quería fomentar unas by , J. Newport y Roberto Latonche, á los qna-</t>
  </si>
  <si>
    <t>Daba, Francisco</t>
  </si>
  <si>
    <t>Francisco Daba</t>
  </si>
  <si>
    <t>edificio. También se están sacando los escombros de la arena del coliseo , y se va á hacer lo mi-ano en los bino* de Tito. Con la demolición del con­ D. Francisco Daba jo Hidalgo por.......... 7200 vento del Espíritu Santo ha quedado una hermosa Doña Victori., Gómez de la Higuera, plaza en aquel terreno, la que se ensanchará …</t>
  </si>
  <si>
    <t>Dachlerow</t>
  </si>
  <si>
    <t>ein estaba entre Wílkomie y Holtmeny: los que e;tan á cargo de ios generales Tutsckrow y el conde Schrwsloíí', se van aproximando á Sweozenny: el del general Dachlerow «e halla en marcha de Oehmauy á Swenzenny : el gene­ ral Píatew salió de Bralostcck c:m dirección á Wíkcka ; y el prínci­ pe Brsgavión continúa aproximándose a…</t>
  </si>
  <si>
    <t>Daendcls</t>
  </si>
  <si>
    <t>general de suizos. Aquel mismo *de Meester-Coj-nelis , que fue elegido y formado dia los .oficiales de nuestro regi.nier.tr&gt; y los del por orden del general Daendcls, desunes de haber cuerpo de croatas estuvieron convidados á comer destruiJo los almacenes de géneros coloniales que ten el-palacio del mariscal Bessieres de orde…</t>
  </si>
  <si>
    <t>Daendels</t>
  </si>
  <si>
    <t>Gaceta de Madrid n.º 127</t>
  </si>
  <si>
    <t>crefa, y'mandamos'ito'qnw sigue: ■ rand, gobernador general de la provincia* á la autií í'.®' Todos, lo», judíos domiciliados acf ¡que asistieron el general Daendels* comandante tualmente en nuestros estados * y á quSenes esté de las tropas de esta provincia^ y un gran niímero concedida la protección civil en virrod de privi­…</t>
  </si>
  <si>
    <t>Daga, Sebastian</t>
  </si>
  <si>
    <t>Sebastian Daga</t>
  </si>
  <si>
    <t>alomino , 3. D. Manuel Roxas , 2. D. Nicolás Milla, 1. Don Antonio Ortega, T. D. Valentin Hurtado , 2. D. Francisco Perez , 2. D. Ma­ riano Tello, 1. D. Sebastian Daga, 2. IX Ramón Acuña, 4. D. Andrés Melendez, 1. D. Pablo Piñan, 1. D. José Serna, l. D. Manuel Acdsta, 1. Teniente de milicias de Tarma IX Juan Echevarría, 100. …</t>
  </si>
  <si>
    <t>Daganzo, Joaquín Martin</t>
  </si>
  <si>
    <t>Joaquín Martin Daganzo</t>
  </si>
  <si>
    <t>Gaceta de Madrid n.º 160</t>
  </si>
  <si>
    <t>car á los nobles y gente jo de S, M. , juez de primera instancia en esta villa, y antigua, que aborrecidos, hambrientos y deses­ por la escribanía de D. Joaquín Martin Daganzo , don­ perados, están para darles gusto ahorcándose ellos de penden los autos abintestato de dicho señor con res­ mismos de buena fe; y los ingleses ac…</t>
  </si>
  <si>
    <t>Damas</t>
  </si>
  <si>
    <t>Gaceta de Madrid n.º 155</t>
  </si>
  <si>
    <t>a que la de las otras po­ el conde Regnauit (de San Juao de Angely), mi­ tencias marítimas ; y entonces creyó la Inglaterra:, nistro de Estado» y Mr. conde Damas» coasejero que oada tenia que temer, y que todo ló podía-, de Estada. emprender, y resolvió sujetar?la navegación de, El excelentísimo señor duque de Bassano» mi­ to…</t>
  </si>
  <si>
    <t>Dan</t>
  </si>
  <si>
    <t>atro navios y El 20 se quemaron las das presas que hifco la dos corbetas, aparejó en este puerto en presencia esquadra el 18 ; el uno era el Océano , capitán Dan* de la esqaadra enemiga, compuesta de quatro na­ son , de 242 toneladas , 13 hombres de equipagé y vios , uno de ellos de tres puentes, quatro fra­ seis cañones , ca…</t>
  </si>
  <si>
    <t>Dangel, Melchor</t>
  </si>
  <si>
    <t>Melchor Dangel</t>
  </si>
  <si>
    <t>rdasen al S. Jorge. de infantería delinea; al teniente del regimiento Se sabe qoe uno de estos navios era la "Defensa., de infantería Real Extrangero D. Melchor Dangel de 74. Estos tres navios acaban de perecer en la i ayudante mayor del mismo regimiento; á ios eosia al oeste ^el Jutland cerca de Rissensteen. subtenientes del…</t>
  </si>
  <si>
    <t>Daoiz, Josefa Sala</t>
  </si>
  <si>
    <t>Josefa Sala Daoiz</t>
  </si>
  <si>
    <t>Francisco Oppteon»........ ............ 8714 31 ‘i* P. Josef Francés.'................. ................ 722 D,A.amon Fernandez Qniroga....... 289Í 4 Doña Josefa Sala Daoiz...................... 2256 Los hospitales civiles de esta corte. 277815 16 P. Josef Gonzalo y D. Miguel Ruiz £1 abad y cabildo de la iglesia de la de Zeia…</t>
  </si>
  <si>
    <t>Dapelo, Bartolomé</t>
  </si>
  <si>
    <t>Bartolomé Dapelo</t>
  </si>
  <si>
    <t>Celis, 2. Id. D. José Chavarría, 17. El ayudante mayor D. Baltasar Muro , 12. El teniente D. Francisco Ren­ teros, G. Id. D. Santos Cabrejos, 12. Id. D. Bartolomé Dapelo r6. Id. D. Eulalio Guzman , 4. El alférez D. José Manuel Muro, 12. Id. D. José Ledesma, 2. Id. D. Jacinto Quesada, 6, Id. D. Francisco Barragan, 6. Id. D. Jo…</t>
  </si>
  <si>
    <t>Daraaegnac</t>
  </si>
  <si>
    <t>igos que ocupaban aquella capital, como lo consiguió sacándolos ni pue­ blo de YiUaiba. donde sostuvo una nueva acción gloriosa contra las tropas del general Daraaegnac, á quien hizo perder unos 300 fiam­ bres. Espero ios detalles de esta victoria, y los dirigiré á V. E. siu pérdida de tiempo para satisfacción de la Regencia …</t>
  </si>
  <si>
    <t>Darán</t>
  </si>
  <si>
    <t>Gazeta de la Regencia de las Españas n.º 67</t>
  </si>
  <si>
    <t>general Darán , recordando al gobernader francés la humanidad coa que habían sido tratados los enemigos en la toma de la ciudad el 18 de maizo , y amenazando que ge tomaría venganza en les prisioneros, si</t>
  </si>
  <si>
    <t>1078</t>
  </si>
  <si>
    <t>1078 este punto , retirándose D. Sebastian Fernandez por el camino de la Gu^rdta ? y ei general Darán por el de Cameros. La noche del 9 al 10 salió de aquí el comandante D. Joan An« ionio Tabuenca cjn 1000 infantes y unos 160 caballos para Soria á impedir que los francesas de su guarnición saliesen á repetir</t>
  </si>
  <si>
    <t>Dardo</t>
  </si>
  <si>
    <t>dado es el considera­ ha sido derrotado por el general Montbrun. ble refuerzo que , según se asegura , se ha destaca­ Parte de la coluna que mtnda el general Dardo del exército de Marmont, y se dirige h.icia Va­ magnac ha salido de Cuenca hácia Requena. lencia. Como para que esto se veiifique es necesa­ rio que los enemigos e…</t>
  </si>
  <si>
    <t>Darmagiiuc</t>
  </si>
  <si>
    <t>ción con Aragón, por­ que escasea de víveres , no podiendo contar con auxilios de esta es­ pecie por la parte de Cataluña. A consecuencia de esto, el general Darmagiiuc, reuniendo todas las tropas de la Mancha y provincia de Guadaiaxara , se ha encaminado á Cuenca eon ánimo de reunir­ se á Suchet, ó por lo menos de asegurar s…</t>
  </si>
  <si>
    <t>Darmagnac</t>
  </si>
  <si>
    <t>629</t>
  </si>
  <si>
    <t>ue ocupaban ambas Castillas, nueva y vieja. La primera división á las órdenes del general Foy, y una división del exército del centro, mandada por el general Darmagnac, pasaron el Tajo el dia 2 i por el Puente ¿el Ar­ zobispo, y marcharon por Deleitosa con el objeto de socorrer ó reti­ rar la guarnición que aun les quedaba ea…</t>
  </si>
  <si>
    <t>llas reunían.como unos 6© infantes y. 600 ca­ ballo?*, y- estaban repartidos en Requena, Utiel, Villalgordo, MinglamHa é Iniesta, donde permanecía el generaL Darmagnac con-3© infantas, 300rca­ ballos y trespiezas de artillería. , . &lt;• .. • V Escribe*! &lt;de Ademúz, con fecha _de 12- del' corriente, que eT mariscal Soult llegó á…</t>
  </si>
  <si>
    <t>Darmagnas</t>
  </si>
  <si>
    <t>las de la talla y circunstancias que previno, ahora exige 2000 reales por cada una,y ha enviado comisionados á que las compren. Ei 12 llegó á esta ei general Darmagnas con 450 hombres. El dia siguiente entraron unos 500 , y un convoy de 100 carros con galleta, arroz y trigo. Con este convoy venia el comisario regio Amorós; pe…</t>
  </si>
  <si>
    <t>Darquier</t>
  </si>
  <si>
    <t>mente á ocuparme'incesantemente en da recta administración de jus­ ticia. =,5oria 16 de setiembre de 1,812. =Josef Roldan.’ _ . . w. ; Seguramente el general Darquier ha aliviado á los antiguos numantinos de un peso insoportable. Hacia mucho tiempo que el mariscal de campo Don Josef Duran tenia sitiada aquella capital; pero s…</t>
  </si>
  <si>
    <t>Darricau</t>
  </si>
  <si>
    <t>la parte del 5.° cuerpo que no está de guarnición en Badajoz y tiene su cuartel general en Villafranca, y un destacamento de la división que manda el general Darricau, quien tiene su cuartel general eva la Sere­ na. Después que dirigí á V. E. mi anterior pliego, no ha hecho mo* pimientos el enemigo, ni he oido que haya hecho …</t>
  </si>
  <si>
    <t>stos movimientos induxeron al ge­ neral Drouet á retirarse á Hornachos con el objeto , en mi entender, de ponerse en comunicación con la división del general Darricau, que se hallaba en las inmediaciones tie ía Serena. „He recibido noticias da ios generales Graham é Hill de 19 del corriente. El primero c 'tab: en los Santos y…</t>
  </si>
  <si>
    <t>Darrigoi, Salvador</t>
  </si>
  <si>
    <t>Salvador Darrigoi</t>
  </si>
  <si>
    <t>erales de bienes nacionales y del tesoro pú­ Sri D. Juan Baptista Preste..... .............. 80 blico, y al consejero de Estado eonde .de Melito. Sr. D. Salvador Darrigoi....................... 80 Sr. D. Vicente Navarro........ ............... 50 Sr. D. Manuel Rivera.........1.................... \ 30 I.a comisión de socorros…</t>
  </si>
  <si>
    <t>Daru</t>
  </si>
  <si>
    <t>do este pais y 10 millasen coaLippc, que era el quinto profesor ; en su lugar ha torno se ven continuamente excesos de esta espe­ nombrado á S. E. el conde Daru, ministro secre- cie , y sin que se puedan refrenar. Las cárceles de taño de Estado de Francia. Nottiogham están llenas de acreedores, y 00 son mas felices las aldeas…</t>
  </si>
  <si>
    <t>Darú</t>
  </si>
  <si>
    <t>egados á las miras de los eternos ene­ el Emperadores El ministro secretario de Estado= migos de la felicidad de la España , pudieran qui­ Firmado=El conde Darú.” zá venir aun de lejos á soplar el fuego de la dis­ Este decreto dexaba subsistentes algunos es­ cordia, el señor D. Pascual Fita cree un deber torbos j que han sido…</t>
  </si>
  <si>
    <t>supimos que S. M. venia al frente de los perador, el ministro secretario de Estado = Fuma­ exercitos del mediodía, del centro, y parte del de dor: el conde Daru. Aragón persiguiendo á los ingleses. Ayer tuvimos El príncipe archicanciller del imperio, tomando la dicha de ver á S. M.; pero se cree que su man­ la palabra , ha di…</t>
  </si>
  <si>
    <t>vía dura el cañoneo, no porque el Por el Emperador, el ministro secretario de Esta­ enemigo conserve la menor esperanza; pero pelea dos: Firmados: El conde Daru.( por poder huir, y no por vencer. . Su pérdida ha sido enorme ; ha dexado tendidos Informe presentado d S. M. el Emperador y Rei. en el campo de batalla de 12 á 13© …</t>
  </si>
  <si>
    <t>Dash</t>
  </si>
  <si>
    <t>Gaceta de Madrid n.º 15</t>
  </si>
  <si>
    <t>ado. Aquel terra. Los buques de este cor.voi, que han arribado mismo dia corrió aqui la noticia de qu's ios albo­ á Carhham , han sido embargados. El capitán Dash- rotos hacían rápidos progresos en Longhborough. word, que está en Matwik mandando la fragata Inmediatamente se envió á buscar una compañía Píratno , y los capitane…</t>
  </si>
  <si>
    <t>Dashwood</t>
  </si>
  <si>
    <t>419</t>
  </si>
  <si>
    <t>ia contra la Francia, y de un ataque contra la Celanda, com­ binado entre los ingleses y suecos. — El % salí de Anholt: ia llegada de la escuadra del capitán Dashwood ha disipado todos los recelos de un nuevo ataque.” * Se han recibido papeles públicas de Francia hasta el 18 del cor­ riente que manifiestan por las relaciones …</t>
  </si>
  <si>
    <t>Dauglas</t>
  </si>
  <si>
    <t>a del mayor general Hay de la quinta división, ausente con licencia; á los brigadieres generales Pack y conde de Resende, al servicio de Portugal; al coronel Dauglas del octayo regimiento portugués , al teniente coronel Bingham del 53, también al brigadier general D’ürban , y al teniente coronel Heryey del 14 de dragones, al …</t>
  </si>
  <si>
    <t>Dauitanne</t>
  </si>
  <si>
    <t>789</t>
  </si>
  <si>
    <t>el comandante general mandó inmediatamente se juzgase en cornejo de guerra.” (Diario de Alicante.) Tarancon 11 de julio. Un oficial de ordenanza deí general Dauitanne llegó el 6 del cor­ riente con pliegos para eí comandante de esta plaza Servan. De re­ sultas , á las 8 de la noche inmediata empezaron á cargar cuanto ha­ bía …</t>
  </si>
  <si>
    <t>Daultaime</t>
  </si>
  <si>
    <t>es franceses están muy incomodados, porque no en­ cuentran carruages para transportar sus efectos á Francia, á pesar de haber interesado para ello al general Daultaime y á otros personag* s. Hoy se ha vendido el trigo á 290 rs. la fanega : efecto, no tanto de la escasez como del agio de algunos pudientes y asentistas. Las par…</t>
  </si>
  <si>
    <t>Daunoy, Luis</t>
  </si>
  <si>
    <t>Luis Daunoy</t>
  </si>
  <si>
    <t>sta PeÜerín, D. Benigno García Cdderon, D. Pedro Roia, B. Juan Moreno, O. Francisco Hevia , D. Antonio Gayarre y D. Francisco Martínez; á ayudantes á D. Luis Daunoy, Don ■Cirilo de Mor&amp;nt y D. Francisco Perez Maro; á tenientes de grana­ deros k D. José Alpanscque y D. José Declouuf; á tenientes de fu­ sileros á D. Antonio Dub…</t>
  </si>
  <si>
    <t>Davaaíe, Pedro</t>
  </si>
  <si>
    <t>Pedro Davaaíe</t>
  </si>
  <si>
    <t>, Aveci I la , Suarez/Afveri Al subteniente del regimiento de Toledo, 2.* y Fabiani. Idem en la opereta. Señoras Antera Bius r de infanteí&lt; de lírea, D. Pedro Davaaíe teniente Cabo. Señores Cristiani, Liarte, Mas, Fernandez y de la compañía de infantería de cazadores de mon­ Fabiani. taña del Almadén. En el de la Cruz, á las …</t>
  </si>
  <si>
    <t>Davalos, Atanasio</t>
  </si>
  <si>
    <t>Atanasio Davalos</t>
  </si>
  <si>
    <t>Pacheco , contador de moneda , 41. D. Miguel Navarro , id. , 21. D. Ramón Montano , oficial primero de talla , 33. D. José María Soto , segundo, 33. D. Atanasio Davalos, tercero , 30. D. José Cañoli , aprendiz, 16. D. José Mariano Oya* gue , portero marcador, 29. D. Manuel Noguera , portero de la calle, 33. D. Ignacio Cisne r…</t>
  </si>
  <si>
    <t>Davidoff</t>
  </si>
  <si>
    <t>nviado al general Dorocoíf hacia el camino de Mojaisk, y le daba parte de haber hecho 200 prisioneros, entre ellos seis oficiales. Al mismo tiempo el teniente coronel Davidoff, del 15.0 de caballería ligera*, habia andado muy activo en cortar las comunicaciones entre Gjat y Mojaisk; lo mismo que el ayudante general Winzengero…</t>
  </si>
  <si>
    <t>Dávila, Antonio Perez</t>
  </si>
  <si>
    <t>Antonio Perez Dávila</t>
  </si>
  <si>
    <t>D. Joan de Camuo. D. Juan Ahumada.D. Juan de la Torre Pner. Contador. . . D. Josef Molina Fernandez. D. Francisco Peredo. D. Juan de Gálvez Huesman. D. Antonio Perez Dávila. Secretario. D. Guillermo Terri. D. Pedro Fernandez Nieto. Municipalidad de Toledoj Corregidor. AVISO. D. Domingo Falceto. Regidores.- , En virtud de prov…</t>
  </si>
  <si>
    <t>Dávila, José</t>
  </si>
  <si>
    <t>José Dávila</t>
  </si>
  <si>
    <t>iba D. José Velarde, 10. Id. de Are­ quipa D. Agustín Hidalgo , 60. Interventor J3. Justo Medina , 25. Oficial de id. , 15. Administrador de Moquegua D. José Dávila , 200. Id. de Tacna Don Joaquín Vigil , 50. Teniente administrador D. Manuel Brice ño, 13. Conduc­ tor D. Juan Manuel Rriceño , 12. Id. D. Pedro Navarrete , 10. I…</t>
  </si>
  <si>
    <t>Dávila, José Fiaría</t>
  </si>
  <si>
    <t>José Fiaría Dávila</t>
  </si>
  <si>
    <t>D. Domingo Bgoaguirre , 25. D. Manuel Rubia, 25 D. José Manuel Valdés , 25. D.'Lo­ renzo niñones , 25. D. Juan de la Roca , 25. D. Andrés Gómez , 25. D. José Fiaría Dávila , 25. D. José Puente , 25 D, Manuel Sequin , 25. D. Pedro Echeverría , ti. D José María Palqoij , 17. D. Pedro José Colmenares , pres­ bítero , 12. D. José…</t>
  </si>
  <si>
    <t>Dávila, José María Sancho</t>
  </si>
  <si>
    <t>José María Sancho Dávila</t>
  </si>
  <si>
    <t>r, 1Q0O. D. Antonio Alvarez de Villar, alcalde ordi­ nario de -esta ciudad , 1000. El marques de Casa Dávila , 1000. El mismo, a nombre de su hermano D. José María Sancho Dávila, 500. D. Silvestre da llostas, canónigo penitenciario de Huamanga, 300. La religión de betlemitas de esta ciudad , 500. D. José Larriva, capitán de l…</t>
  </si>
  <si>
    <t>Dávila, Juan Ruiz</t>
  </si>
  <si>
    <t>Juan Ruiz Dávila</t>
  </si>
  <si>
    <t>ha contribuido anterior­ mente , y de 500 anuales que ofrece durante.la guerra , ha entregado ahora por sí. y á nombre de su hijo D. Faustino , 4000. D. Juan Ruiz Dávila y su hermano D. Manuel residente en España , ademas de 400 ps. anuales que ofrecen , 800. Real tribunal da dientas. Contadores mayores. D. Pedro Dioni­ sio C…</t>
  </si>
  <si>
    <t>Davoio</t>
  </si>
  <si>
    <t>del comandante en ge fe, y en \\ z de dar batalla en las inmediaciones, de Witeptk re resolvió á marchas hacia Smolen&amp;ko, considerando ademas que el general Davoio.it podía dirigirse á esta ciudad con todas sus fuerzas por el mismo camino. Tomó e&amp;ta osada resolución en el mismo momento en que la retaguardia estaba ya empeñada…</t>
  </si>
  <si>
    <t>Davoust</t>
  </si>
  <si>
    <t>n del comandante en gefe , y lo determinaron, en vez de dar batalla en los alrededores de Witepsk, k marchar para Stnolensko, tanto mas quanto que el general Davoust podía encaminarse á esta ciudad con todas sus fuerzas y por el mismo camino. Tomó esta resolución arriesgada quando la retaguardia se hallaba ya empeñada en una …</t>
  </si>
  <si>
    <t>avanzados de ambos exércitos, y ios rusos fueron desbaratados. El 28 'entró Murat en Varsovia con sil caballería, y el 29 avanzó hasta la capital el mariscal Davoust, habiéndose retirado los rusos atravesando el Vístula , y quemando el puente. El 16 de diciembre llegó Bo­ naparte á Varsovia, y el 26 dio un fuerte ataque á los…</t>
  </si>
  <si>
    <t>su exército, * 40000 hombres. El general Bonami está en nuestro poder: otros va. tíos generales han sido muertos y heridos , y entre estos últimos el mariscal Davoust. Diariamente tiene escaramuzas con el enemigo nuestra retaguardia; Acabo de saber: eíi éste momento que él cuerr po del rey de Ñápales está en Rowiia , y que el…</t>
  </si>
  <si>
    <t>Dclzon</t>
  </si>
  <si>
    <t>os resultados de los tres combates de Ostrou­ El Rei de Nápoles y el virei elogian á ios ge­ no son: cogidos 10 cañones rusos, uncidos aun, y nerales barón Dclzon, Iluard y Roussel: el 8.‘' los artilleros acuchillados; 20 caxones.de municio­ regimiento de infantería ligera, el 84.° y el 92.° de nes; 1500 prisioneros', y de j …</t>
  </si>
  <si>
    <t>Dcrnidotv</t>
  </si>
  <si>
    <t>Gaceta de Madrid n.º 157</t>
  </si>
  <si>
    <t>r. G ,ittchakow. HUNGRIA. Han llegado á esta capital el príncipe Golysin; el conde Orlow- Denisow , edecán del Emperador; V re¡burgo 72 de abril. t-1 general Dcrnidotv y el teniente general Ridielien , gobernador militar de Odessa. El 18 de este mes llegó á esta ciudad el prín­ El consejero íntimo conde Kotschnbey ha sido cip…</t>
  </si>
  <si>
    <t>de A, Francisco</t>
  </si>
  <si>
    <t>Francisco de A</t>
  </si>
  <si>
    <t>íticos sensatos con M.-ieron que era im­ D. Melchor Peral, id.................................... 2200 posible se mantuviese en España una r«nii suya D. Francisco de A-¡as, residente en Jaén, tan débil y sin apoyo; y mas m vista de la deca­ 00'................................................................ 2 200 dencia á que…</t>
  </si>
  <si>
    <t>de A, Manuel</t>
  </si>
  <si>
    <t>Manuel de A</t>
  </si>
  <si>
    <t>Mira, id., 2. IX F ornando Mestas , I. D. Gavino Villegas , 2. D. Pedro Martínez , 1. Don Gerónimo Arnal, capellán del monasterio de Sta. Clara , 17. D. Manuel de A iba , 2. D. José AUuzarra , 2. D. José Calixto Alzamora , 2, D. Miguel IraTnategui , G. D. Diego Rey lia , capellán del monasterio de Trinitarias ,8 y 4. D. Anton…</t>
  </si>
  <si>
    <t>de A, Pascual</t>
  </si>
  <si>
    <t>Pascual de A</t>
  </si>
  <si>
    <t>ica á la junta de A vila el te­ niente coronel D Antonio Temprano, comandante de húsares fran­ cos saguntinos, que el sargento mayor de su escuadrón, D. Pascual de A riza, interceptó, cerca de Morales de Toro, el 27 del raes ante­ rior un carro cargado de víveres y otros efectos, que hacía parle de un convoy enemigo que pasab…</t>
  </si>
  <si>
    <t>de A, Ramón</t>
  </si>
  <si>
    <t>Ramón de A</t>
  </si>
  <si>
    <t>á su regreso á España en 1809 ins­ Carniza; procurador síndico á D. Domingo Da- pector de sanidad de la guardia real, caballero tari en reemplazo de D. Ramón de A guio» y pro­ de la Orden Real de España, y miembro de la ad­ curador substituto á D. Pedro Soldevilla en lu­ ministración central de hospitales militares , en cu­ g…</t>
  </si>
  <si>
    <t>de Abarrátegu, Juana</t>
  </si>
  <si>
    <t>Juana de Abarrátegu</t>
  </si>
  <si>
    <t>. Santiago Arias................................... 1459 33 D. Josef Antonio Salcedo..................... 12600 D. Manuel Celestino Carrasco , por sí Doña Juana de Abarrátegu¡.;;.í7........ 118800 y como apoderado de Doña Juana D. Ramón María de Ripa....... ............ 5x6ñií no María López de Robredo................. 3195 D…</t>
  </si>
  <si>
    <t>de Abascal, José Fernan do</t>
  </si>
  <si>
    <t>José Fernan do de Abascal</t>
  </si>
  <si>
    <t>511</t>
  </si>
  <si>
    <t>su ilustración, de su patriotismo, y de su fidelidad. — Soy con el mayor respeto &amp;c. Lima 7 de octubre de 1SI1. — Excmo. Sr. — Fleming. — Excmo. Sr. D. José Fernan­ do de Abascal.” Oficio del brigadier Fleming al gobernador de Chile. „Excíno. Sr.: Tengo el honor de anunciar á Y. E. mi arribo á este puerto en el navio de guerr…</t>
  </si>
  <si>
    <t>de Abecia, José</t>
  </si>
  <si>
    <t>José de Abecia</t>
  </si>
  <si>
    <t>de Amsyugo el bataUoa de guardias nidoaalei, y al primer escuadrón de bu­ lares de Iberia; di mis instrucciones á su comaniants y teniente co­ ronel D. José de Abecia, y me dirigí yo i Cabo con los 4 batallones de Iberia, otro escuadrón y la artillería. Temió su comandante, co­ mo se vé en los partes posteriormente intercepta…</t>
  </si>
  <si>
    <t>de Abreu, Jayme Raíz</t>
  </si>
  <si>
    <t>Jayme Raíz de Abreu</t>
  </si>
  <si>
    <t>iJ) toba! Majuelo, D. José del Arco, D. Jayme Raíz de Abreu , D. Vi­ cente Co; tés, D. José Sergeaut, graduado de teniente coronel y de cazadores, y D. José de Lemus : primera tenencia con retención de ia segunda ayudantía á D. Pedro de Alcántara Mus</t>
  </si>
  <si>
    <t>de Acevedo, Isidoro</t>
  </si>
  <si>
    <t>Isidoro de Acevedo</t>
  </si>
  <si>
    <t>que pueda creerse autorizado para tra­ miento de infantería de Granada , 4.0 de infintería tar á los reos con este dolo, formando regla del de línea, D. Isidoro de Acevedo, ayudante de se­ fingimiento y de la mentira para arrancarles la gunda clase de la plaza de Madrid , en reemplazo confesión, y dando solemnidad á una conve…</t>
  </si>
  <si>
    <t>de Achntegui, Antonio Nicolás</t>
  </si>
  <si>
    <t>Antonio Nicolás de Achntegui</t>
  </si>
  <si>
    <t>de Sojo............... 28838 derado D. Jo*ef Manuel de Iza— guirre............... ............... ............. 30000 Por intereses de vales reales. D. Antonio Nicolás de Achntegui..... 33934 986305 10 D. Luis Ximenez del Corral, por me­ . ).•• ,, -— dio de su apoderado D. Juan GoiQue i nna suma importan novecientos ochen­ ..…</t>
  </si>
  <si>
    <t>de Acosta, José</t>
  </si>
  <si>
    <t>José de Acosta</t>
  </si>
  <si>
    <t>gimiento de guardias españolas D. Car­ los de Serítmanat, D. José Alcalá Gaiiano, D Manuel de Arrióla, D. José Miró , D. José Antonio de Armenteros , D. José dé Acosta, D. Cárlos Armenteros, D. Lorenzo Fernandez de Somera y D. Juan, José Barutell. Igualmente ha conferido S. A. én el regimiento de guardias Walonas compañía de …</t>
  </si>
  <si>
    <t>de Adanero, Juan</t>
  </si>
  <si>
    <t>Juan de Adanero</t>
  </si>
  <si>
    <t>biesen hecho á (os supuestos dueños en la real casa de la aduana, y oficina de la recaudación general de ellos, que interinamente se halla á cargo de D. Juan de Adanero, para que tomando en ella las competentes razones, verifiquen el pago de lo que re­ sulte deber, y que los que las ocupan, cultivan o administran por sí como …</t>
  </si>
  <si>
    <t>de Agar, Pedro</t>
  </si>
  <si>
    <t>Pedro de Agar</t>
  </si>
  <si>
    <t>róximo pasado , han elegido y nombrado sucesivamente consejeros de Estado, ademas de D. Joaquín Blake, capitán general de los exércitos nacionales, á D. Pedro de Agar, eapitan de navio de la armada nacional, y D. Gabriel Ciscar, gefe de escuadra , comprehendidos en el decreto’ de 22 del propio mes de enero; al cardenal arzobi…</t>
  </si>
  <si>
    <t>de Agreda, Juan</t>
  </si>
  <si>
    <t>Juan de Agreda</t>
  </si>
  <si>
    <t>0. D. Juan Gar­ cía, 100. D. Juan Bautista Arnaza, 10. D Manuel T aranera, ¿0. D. Enrique Dowel, 100. Un amigo de D. Enrique Dowei, 50. M. y 8., 100. D. Juan de Agreda, 21. Un asturiano, 10. E. M. D., 200. Doa Mauricio Onis, 10. G. T. M. y compañía, 100. D. José de Espi­ nosa, 50. I). Manuel Fiorez , 20. Un amigo de Fiorez, 1…</t>
  </si>
  <si>
    <t>de Agreda, Manuel</t>
  </si>
  <si>
    <t>Manuel de Agreda</t>
  </si>
  <si>
    <t>uestra universidad está perfectamente organi­ D. Nicolás Zazo,........... ................... 1617 27 zada, y concurren á ella muchos discípulos. Por D. Manuel de Agreda.......................... 1000 d-’-tgracia acaba de perder, hace poco, dos de sus D. Tomas de Ibarpüen........................ 1513 14 mejores maestros, que …</t>
  </si>
  <si>
    <t>de Agua, Manuel</t>
  </si>
  <si>
    <t>Manuel de Agua</t>
  </si>
  <si>
    <t>co D., Manuel García , residente en Santa Ella. 22c» D. Bernardo de Cáceres, id........................ 2200 D. Francisco de Paula de García , diáco­ D. Manuel de Agua- hermosa , id............... 2200 no, id............................................. i.......... 22CG D. Juan Muñoz, id........ ..............................…</t>
  </si>
  <si>
    <t>de Aguayo, Miguel</t>
  </si>
  <si>
    <t>Miguel de Aguayo</t>
  </si>
  <si>
    <t>ssary; D. Pedro Milliard , subte­ niente , á teniente en reemplazo de D. Ado lio LáS ’ablo de Ubeda, diócesis de Jaén, vacante por fa­ llecimiento de D. Miguel de Aguayo, y por re­ zaro Couturier; D. Esteban Forestier , subtenien­ nuncia que hizo de él el ex-agonizante D. Josef te , á teniente cu reemplazo de D. Luis Molí; Do…</t>
  </si>
  <si>
    <t>de Aguilar, Juan</t>
  </si>
  <si>
    <t>Juan de Aguilar</t>
  </si>
  <si>
    <t>scribano D. Santiago Martel, 17. D. Andrés Gallo, comandante de resguardo del Callao, 500. El intendente de esta provincia D. Juan María Galvez, 500. D. Juan de Aguilar, por sí y su esposa, 100. El marques de Casa Bosa , IODO. El convento de la Merced, 2000.— Comisaría de Guerra y Marina. D. Francisco Miangolarra, minis­ tro …</t>
  </si>
  <si>
    <t>de Aguilera, Tomas</t>
  </si>
  <si>
    <t>Tomas de Aguilera</t>
  </si>
  <si>
    <t>pre qae se hable de hechos históricos en las me» mas López................................... 2coo morias remitidas se haga con toda exactitud 6 in­ D. Tomas de Aguilera, por me­ dividualidad. dio de su apoderado D. Fer­ Se remitirán las memorias á ios consulados ge­ nando López............................... 5995° nerales de…</t>
  </si>
  <si>
    <t>de Aguirre, Francisco Miguel</t>
  </si>
  <si>
    <t>Francisco Miguel de Aguirre</t>
  </si>
  <si>
    <t>3422 iy art. m. Nuestro ministro de Hacienda queda D. F rancisco Ciavijo........... ........ 1219 encargado de la execncion del presente decreto. == D. Francisco Miguel de Aguirre. 28 jo 9 Firmados: YO EL REI. =sPor S. M., el minis­ D. Estéban Manuel Galdames.... 1420 26 tro secretario de Estado =3 Firmado = Mariano D- Mateo …</t>
  </si>
  <si>
    <t>de Aguirre, Juan Esteban</t>
  </si>
  <si>
    <t>Juan Esteban de Aguirre</t>
  </si>
  <si>
    <t>va Castor, 20. Su tripulación, 21 y 4. La de la fragata Veloz , 16 y 2. D. Bartolomé Larreta, capitán de la fragata Júpiter , y su dotación , 59 y 2. D. Juan Esteban de Aguirre, cura de Chacavan , 100. El real tribunal del consulado por lo colectado de varios individuos del comercio, 15.570 y 1. — Oficiales de la secretaría d…</t>
  </si>
  <si>
    <t>de Aguirre, Manuel</t>
  </si>
  <si>
    <t>Manuel de Aguirre</t>
  </si>
  <si>
    <t>edro Roca, 50. D. Gabriel Morillo, 25. D. Francisco Ufarte, 10.— Los sargentos , cabos y dragones voluntarios de dicho cuerpo , 1023. El pro­ curador D. Manuel de Aguirre,(i. D. José Correa, 30, D. Nicolás Angulo, 25. D. Juan Madriñan, 30. D. Manuel Ignacio Aguirre, 10 D. Francisco Ortias , 20. D. Miguel Guerrero , 10. D. Ped…</t>
  </si>
  <si>
    <t>de Aguitar, Juan</t>
  </si>
  <si>
    <t>Juan de Aguitar</t>
  </si>
  <si>
    <t>osef Romero, id. residente en Lucena. 1100 D- Manuel de Burgos, residente en Priego. 2200 D. Rafael Vdlalba, id., id.,.......................... 1100 D. Juan de Aguitar, id. en Jyí mtemayqr... 2tpo D. Manuel de Caseto Villareju, id. en BuEx-carmelitas calzados. ¡alance..........................................................…</t>
  </si>
  <si>
    <t>de AHama, Ignacio</t>
  </si>
  <si>
    <t>Ignacio de AHama</t>
  </si>
  <si>
    <t>204</t>
  </si>
  <si>
    <t>stos que ántes de sufrir la pena de muerte á que fueron condenados , hicieron los cabecillas , cura de Dolo­ res, bachiller D. Miguel Hidalgo , y lie D. Ignacio de AHama; en los cuales, después de detestar públicamente sus errores, amo­ nestan á sus secuaces , que escarmentando en la suerfe que justamen­ te les ha cabido, vue…</t>
  </si>
  <si>
    <t>de Aimansa, José Mariano</t>
  </si>
  <si>
    <t>José Mariano de Aimansa</t>
  </si>
  <si>
    <t>ales; á D. José Raqui ja no y Carrillo, conde de Vista florida, oidor de la audiencia de Lima : a C\ Juan Pérez Viilamil, del consejo de la guerra: á D. José Mariano de Aimansa , del consejo de hacienda, regidor , alférez real de la ciudad de Veraeruz; á D. Pedro Ce bailes ; á D. Bernardo Roa, marques de Piedras-blancas, rege…</t>
  </si>
  <si>
    <t>de Alava, Jo e Ignacio</t>
  </si>
  <si>
    <t>Jo e Ignacio de Alava</t>
  </si>
  <si>
    <t>. Joaquín Escrbi de fusileros ; y empleos de alféreces de fusileros ai teniente D. José Mazon, subtepíente del batallón de voluntarios de Campomayor, D. Jo&amp;é Ignacio de Alava, teniente del regimiento de Si¿üenza y D. Antonio Rome­ ro , teniente del de Jaen. Asimismo ha promovido S. A. á segundo teniente del mismo re­ gimiento…</t>
  </si>
  <si>
    <t>de Álava, Miguel</t>
  </si>
  <si>
    <t>Miguel de Álava</t>
  </si>
  <si>
    <t>tes, y la presencia d i general de la Europa, ofrecían un cuadro digno de admiración-aun á ios mas acos­ tumbrados á semejan tes escenas. Proclama ce D. Miguel de Álava, mariscal de campo de los recles exércitos, dirigida á ¿os stIdados españoles que están en las banderas del intruso rey Jo é. „Las Cortes generales y extraord…</t>
  </si>
  <si>
    <t>de Alba, Antonio</t>
  </si>
  <si>
    <t>Antonio de Alba</t>
  </si>
  <si>
    <t>* armada. - \ ■ i,-&gt; ¡ ■ -:. v Para el beneficio préstamo t^a la iglesia del lo­ gar de Barbadillo» vacante por muerte de D. Josef Sánchez Velasco, á D. Antonio de Alba, ex-agus­ TEATROS. tino calzado. Para el beneficio simple servidero llamado ra­ -Ftt'tel-rléi Príncipe, á Fas siete efe la nodfie , se re­ presentará p.or la …</t>
  </si>
  <si>
    <t>de Alba, Juan</t>
  </si>
  <si>
    <t>Juan de Alba</t>
  </si>
  <si>
    <t>lzado, para una ración de la santa iglesia racionero de la catedral de Salamanca &gt; y del ex­ de Salamanca*» vacante por fallecimiento de Don agustino D. Juan de Alba , que, lo renunció , nom­ Manuel Sánchez Piñuelas. brados en el dicho decreto. A-D. Gaspar Perez Corral, presbítero, ex- Y en otro decreto de la misma fecha nomb…</t>
  </si>
  <si>
    <t>de Alcántara, Valencia</t>
  </si>
  <si>
    <t>Valencia de Alcántara</t>
  </si>
  <si>
    <t>eros. Se cree que Soult va á salir para tomar su mando, con ánimo de hacer el último esfuerzo para conseguir la destrucción, que tanto desea, de este general Valencia de Alcántara 14 de diciembre. Los venerables eclesiásticos de la villa de Alburquerque, impo­ sibilitados por la miseria á que han reducido al país las correría…</t>
  </si>
  <si>
    <t>de Alcázar, Ignacio</t>
  </si>
  <si>
    <t>Ignacio de Alcázar</t>
  </si>
  <si>
    <t>cias de infantería , por la mesada de febrero , 219 y 5. D. José Irigoyen , oidor honorario de la audiencia de Chile , 400. El subdelegado de Chancay D. Ignacio de Alcázar , 50. Y otra tanta cantidad anualmente hasta la venida del rey. Doña Francisca Borda, 500. D. Francisco Velazquez , cura de Ornas, 13. D. Felipe Al varad o…</t>
  </si>
  <si>
    <t>de Alduanate, Antonio Martínez</t>
  </si>
  <si>
    <t>Antonio Martínez de Alduanate</t>
  </si>
  <si>
    <t>7 y 2. El monasterio de Sta. Rosa, 80. Los resguardos , una mesada cada individuo que importa , 3039 y 4 y tres cuartos. El Rv. obispo de Llu.imanga D. Antonio Martínez de Alduanate, en dinero efectivo y alhajas, 18.038 y 2. D. José de Armas, abogado de esta real audiencia , 200. — Ofi­ cina de temporalidades. D. Domingo Anto…</t>
  </si>
  <si>
    <t>de Alegría, Juan Antonio</t>
  </si>
  <si>
    <t>Juan Antonio de Alegría</t>
  </si>
  <si>
    <t>los bosques, propone un premio de 150c» cia de D. Josef Vicente de Sasiain , al ex- francis­ francos al que antes del t.° de mayo de 181$ prue­ cano D. Juan Antonio de Alegría, teniente.rector be auténticamente que ha plantado una ó muchas de la misma iglesia. de las especies de plantas arriba mencionadas 'en Nuestro ministro…</t>
  </si>
  <si>
    <t>de Algaba, Josef</t>
  </si>
  <si>
    <t>Josef de Algaba</t>
  </si>
  <si>
    <t>de la dtcha de poseerle, y con­ Ex -gtrónimoí. vencidos de que si la nación entera se hubiese ro­ deado á su tremo desde los principios, sena ya des­ D. Josef de Algaba, residente eu Córdoba, asee</t>
  </si>
  <si>
    <t>de AlisedO, Joah Antonio</t>
  </si>
  <si>
    <t>Joah Antonio de AlisedO</t>
  </si>
  <si>
    <t>ao Francisco de Hato. D. Manuel Qniran. BARRIO DE LAS TRINITARIA*. SARRIO DE LA SUENA-DICHA. Alcaide de barrió Alcalde de barrio D. Alfonso dé Pinos. D. Joah Antonio de AlisedO-,» Diputado eclesiástico Diputado eclesiástico D. Josef llar! Fernandez. D. Gerónimo Martines. Diputados seculares Diputados seculares D. Fermín Zéldó…</t>
  </si>
  <si>
    <t>de Almoguera, Antonio</t>
  </si>
  <si>
    <t>Antonio de Almoguera</t>
  </si>
  <si>
    <t>, 2. D. José AUuzarra , 2. D. José Calixto Alzamora , 2, D. Miguel IraTnategui , G. D. Diego Rey lia , capellán del monasterio de Trinitarias ,8 y 4. D. Antonio de Almoguera , capellán del monasterio de Descalzas , 4. Di Nar­ ciso Cosío , 1. D. José [pinza, 2. D. Miguel de Oyague , 1. D. Mariano de León , G. D. Cayetano 'Forr…</t>
  </si>
  <si>
    <t>de Alolliuedo, Sebastian</t>
  </si>
  <si>
    <t>Sebastian de Alolliuedo</t>
  </si>
  <si>
    <t>rruehi............................. 11520 D. Antonio de ¡Medíene lo..................... 18000 D. Antonio Alvarez.............................. 20412 D. Sebastian de 'Alolliuedo..... ............. 18000 D. Josef López de Arcos...................... 60750 D. Clemente deíPerea, por medio de D. Zoilo Saenz de Texada.............…</t>
  </si>
  <si>
    <t>de Alvarez, Feliz Alvarez</t>
  </si>
  <si>
    <t>Feliz Alvarez de Alvarez</t>
  </si>
  <si>
    <t>E SAÑ ISIDRO. D. Manuel María ibañez. barrio de la comadrS. QUARTEL DE SAN GERONIMO SARRIO DEL BUEN—SUCESO. Alcalde de barrio . . Alcalde, de, barrio D. Feliz Alvarez de Alvarez. D. Francisco Victoriano del Corral. Diputado eclesiástico , Diputadó 'e'clisiástito D. Antonio Rodrigne*. Tpsél'Ramirez.5 Diputados seculares ^pñúiá…</t>
  </si>
  <si>
    <t>de Amposta, Josef Braulio</t>
  </si>
  <si>
    <t>Josef Braulio de Amposta</t>
  </si>
  <si>
    <t>is dado órdenes , ó tomado dispo­ siciones como ministro de Hacienda. En caso ne­ Noveno batallón. cesario los gefes deberán conferenciar entre sí, y D. Josef Braulio de Amposta, targento pri­ evitar en qnamo esté dé su parte las comunica­ mero, á subteniente de la quinta compañía. ciones por escrito. „ En todo lo demás queda…</t>
  </si>
  <si>
    <t>de Anarráregui, Santiago</t>
  </si>
  <si>
    <t>Santiago de Anarráregui</t>
  </si>
  <si>
    <t>(a Encarnación D. Antonio Loza.......................... 2263 17 Esmo'ieu...,,.............................. 1225a D. Julián Ruiz................ 361 D. Santiago de Anarráregui......... 35°° D. Pedro de Alcántara Ibañez.... 180 íf Doña M iría M .gd llena López Ca« D- Manuel Ramos, y en su nom­ b-ejdS..........................…</t>
  </si>
  <si>
    <t>de Ancos, Jorge María</t>
  </si>
  <si>
    <t>Jorge María de Ancos</t>
  </si>
  <si>
    <t>n Pariente y compañía por impor­ te de 100344 libras de carne para consumo de la tropa y hospitales................................. 277368 27 Idem á D. Jorge María de Ancos, contralor de los hospitales militares, para los gastos ocurridos en ellos............................. ........ • 15000 Idem á D. Josef Gregorio de Texa…</t>
  </si>
  <si>
    <t>de Anguita, Josef Melchor</t>
  </si>
  <si>
    <t>Josef Melchor de Anguita</t>
  </si>
  <si>
    <t>ista Piehard , «obteniente, i teniente en primero, á subteniente: al teniente de infantería reemplazo de D. Francisco Xavier Chaire, y á Don de linea D. Josef Melchor de Anguita á capitán en Graciano Leger, ay udante sob-oficial, á subte­ la misma arma; y á D. Francisco Saldarriaga, ca­ niente en la vacante de D. Jnin Bautist…</t>
  </si>
  <si>
    <t>de Ansmendi, José Santos</t>
  </si>
  <si>
    <t>José Santos de Ansmendi</t>
  </si>
  <si>
    <t>Ca­ bero y Tcgle, D. Manuel I). Juan EfznUle, D. Toma? Ugr» te, D. Yícente Navas, D. Manuel Vázquez, D. Tcm&amp;s Rico, D. Ma­ nuel Esteban Martínez , y D. José Santos de Ansmendi. La junta superior ¿e Burgos y Segóvía desde Be bis Are de la Sierra , con fecha de 4 de mayo ultimo , dice al gefe dei estado ma­ yor somera! I© sigui…</t>
  </si>
  <si>
    <t>de Aranda, Jaan</t>
  </si>
  <si>
    <t>Jaan de Aranda</t>
  </si>
  <si>
    <t>istencia al nuevo orden de cosas, sin escarmentar D. Francisco Martínez, id. en AicauJete.. 2200 con lo pasado, ni pararseá cxámitiar si les era ven­ D. Jaan de Aranda, i L en J len................. 2 200 tajoso ó perjudicial. ¿Y quáJ será el resultado? El D. Francisco Parra, id............. .................... 2200 mismo qu…</t>
  </si>
  <si>
    <t>de Aranda, Juan</t>
  </si>
  <si>
    <t>Juan de Aranda</t>
  </si>
  <si>
    <t>’ &gt; t . Continúan les donativos del Perú.. i D. Manuel Qcampo, 6 pesos fuertes. .Taime ©eltrárt ,4,b. Francisco 1.0pez , 4 r^. D. tibaldo Aranda , 1. D Juan de Aranda , 1. D. Félix Vidal,'4' rs. i). Vicente Dul#»nto.,j. Clara Reyes , lv Férm¡rv López , 2. I). «Francisco Flo­ res , 2. D. Manuel Arguelles , 2- •, Joaquiti .Rere…</t>
  </si>
  <si>
    <t>de Aransai, Andrés</t>
  </si>
  <si>
    <t>Andrés de Aransai</t>
  </si>
  <si>
    <t>a........................ 981 I7| irBROS. D. Miguel Sancho Larrea................ 2617 7 Gramática española para uso de los franceses, im­ El mismo y D. Andrés de Aransai. I35IO presa en Francia el año 1797, en la ciudad de Nimes. D. Pedro Cellini y compañía.......... 3. Su autor D. M. D. Rueda León. Véndese en la li­ Aguirre…</t>
  </si>
  <si>
    <t>de Aranza, Blas</t>
  </si>
  <si>
    <t>Blas de Aranza</t>
  </si>
  <si>
    <t>91</t>
  </si>
  <si>
    <t>iguientes disposiciones: soberana clemencia ha principiado á dispensarle por Quedan suprimidas las .corporaciones de reli­ medio de vuestro comisario D. Blas de Aranza, giosos y religiosas, y las órdenes monásticas, sean Se atreve á decir cotí .la mas prolunda veneración ó no meadic-otes, que hai en los departamentos que V. M…</t>
  </si>
  <si>
    <t>de Aranzazu, Isidoro Gaspar</t>
  </si>
  <si>
    <t>Isidoro Gaspar de Aranzazu</t>
  </si>
  <si>
    <t>la persona y bie­ Los señores Bieter, Kcemg, Volmet y La- nes de D. Buenaventura Piñeiro.. 1530 2 fónd continúan dedicándose á la pintura, sobre to­ D. Isidoro Gaspar de Aranzazu, co­ do 4 la de paisage; pero conociendo al mismo tiem­ mo padre y legítimo administra­ po el gobierno la necesidad que hai de formar dis­ dor de lo…</t>
  </si>
  <si>
    <t>de Araoza, Blas</t>
  </si>
  <si>
    <t>Blas de Araoza</t>
  </si>
  <si>
    <t>Gaceta de Madrid n.º 137</t>
  </si>
  <si>
    <t>tes que ..tienen sos almaceoes en las orillas del D. Juan Antonio Llórente, D. Blas de Araoza, Mein. Pera esta próroga no se entiende con lo* D. Andrés Romero Valdés y D. Vicente Gonzá­ pagos que, bien sea por la leí ', ó por contratos lez Arnaoparticulares, ó por aso y práctica en</t>
  </si>
  <si>
    <t>de Arauda, Juan Nepomuceno</t>
  </si>
  <si>
    <t>Juan Nepomuceno de Arauda</t>
  </si>
  <si>
    <t>............. 2131 5 pedir socorro á los vecinos , quienes acudieron in­ D. Miguel María Gortázar................... *99° 2 mediatamente á sus voces. D. Juan Nepomuceno de Arauda....... 2087 16 D. Julián de Otarte.............................. 1148 4 ESPAÑA. D. Fernando Gómez Lozano............... sí. 5 73 9 D. Manuel López C…</t>
  </si>
  <si>
    <t>de Arcaya, Juan Manuel Diez</t>
  </si>
  <si>
    <t>Juan Manuel Diez de Arcaya</t>
  </si>
  <si>
    <t>ués de nue.tra retirada bs-xaron mas de 60 al hospital desde el castillo, en el que enterraron á rn capitán y at monstruo de los (raydores, el infame D. Juan Manuel Diez de Arcaya , que como juez.-de policía impío y sanguinario ha sido el aso te de la provincia : este murió de enfermedad, ó por mej^r decir, de remordimiento y…</t>
  </si>
  <si>
    <t>de Arcayo, Francisco Ramiro</t>
  </si>
  <si>
    <t>Francisco Ramiro de Arcayo</t>
  </si>
  <si>
    <t>ce-presidente de la junta superior de la provincia de Avila, é intendente en comisión en la misma por nombramiento del gobierno; y por vocales al Dr. D. Francisco Ramiro de Arcayo, visitador eclesiástico de las parroquias de Madrid; á D. Juan Ignacio ae Ayestarín, á D. Francisco Bringas y á D. Manuel ¿artiga. El comandante ge…</t>
  </si>
  <si>
    <t>de Arce, Gervasio Romo</t>
  </si>
  <si>
    <t>Gervasio Romo de Arce</t>
  </si>
  <si>
    <t>Azután .vacante por muerte dulces ó amargas, sabrosas ó desabridas que en ella de D. Julián Ramón Navarro. 4c contengan, y esto es lo que.yo deseo. A D. Gervasio Romo de Arce t cura de Azo­ Quaudo la política Sólo habitaba en los gabi­ tan, para el de Lozoyqela , vacante por ascensq netes d* los príncipes, entonces era Una gT…</t>
  </si>
  <si>
    <t>de Arce, Victor</t>
  </si>
  <si>
    <t>Victor de Arce</t>
  </si>
  <si>
    <t>.............................................. 2200 D-,Domingo Suarez, id. de Sautillana........ 2200 D. Francisco López, id. enAbades.......... 2200 D. Victor de Arce, id. de Angaaciana de D. E1Í3S García, id. en Segovia.................. 2200 la Rioja............................................................ 2200 D. Buena…</t>
  </si>
  <si>
    <t>de Arcedo, Miguel Rico</t>
  </si>
  <si>
    <t>Miguel Rico de Arcedo</t>
  </si>
  <si>
    <t>gía de la colegiata de To- 1 te se ha servido elREI nombrar ro, diócesis de Zamora, vacante por muerte de A D. Cipriano Palafox, conde de Teba , gen­ D. Miguel Rico de Arcedo. tilhombre de cámara; ál marques de Uluapa ma­ A D. Jostf Fernandez , presbítero, ex-geróniyordomo de la real casa; á D. Antonio Ruiz de mo, para una ca…</t>
  </si>
  <si>
    <t>de Arcos, Jian</t>
  </si>
  <si>
    <t>Jian de Arcos</t>
  </si>
  <si>
    <t>821</t>
  </si>
  <si>
    <t>állach, D. Luis Genaro La-Rocque, D. Jo­ sé Minio, D. Juan Ponman y D. Manuel Gamindez ; el capit&amp;n de fragata D. Jo«é Connock; los sargentos mayores D. Jian de Arcos, D. José María Rubio, D, Francisco Florencio, D. Juan Eusebio Manzano y D. Vicente Jaudenes, y el auditor de gaern O B ai Osores. En seguida los gefes de los cu…</t>
  </si>
  <si>
    <t>de Arcos, Josef López</t>
  </si>
  <si>
    <t>Josef López de Arcos</t>
  </si>
  <si>
    <t>de ¡Medíene lo..................... 18000 D. Antonio Alvarez.............................. 20412 D. Sebastian de 'Alolliuedo..... ............. 18000 D. Josef López de Arcos...................... 60750 D. Clemente deíPerea, por medio de D. Zoilo Saenz de Texada................... i6tO su apoderad£jL)l'Juan deJBelaodía. 80000 …</t>
  </si>
  <si>
    <t>de Arece, Joaquín</t>
  </si>
  <si>
    <t>Joaquín de Arece</t>
  </si>
  <si>
    <t>y 5. Don José Iramain , 66 y 5. — Id. terceros. D. José Gervasio del Campo , 50. D. Manuel de Zumaeta, 50. D. Ignacio Odum; 50. D. Tomas Larrea, 50. D. Joaquín de Arece , 50. D. Francisco González Pavón, 50.— Oficiales amanuenses. D. José Mariano Bustarnanie , 41 y 5. D. Ignacio Talamantes yBaeza,41y5. D. Gregorio Laiseca , 4…</t>
  </si>
  <si>
    <t>de Arellano, Juan Rafael García</t>
  </si>
  <si>
    <t>Juan Rafael García de Arellano</t>
  </si>
  <si>
    <t>Jaén............ 2200 Desengaños políticos.__ Se vende en la imprenta D. J uan Francisco de Torres, id................ 2200 reat a 3 rs. ct cxempUr. D. Juan Rafael García de Arellano, id. en Aodúitr......................... .... ....................... 2100 En este discurso se manifiesta que una de las D. Miguel de Marcos, id…</t>
  </si>
  <si>
    <t>de Ares, Esteban</t>
  </si>
  <si>
    <t>Esteban de Ares</t>
  </si>
  <si>
    <t>inistrador de Huancave-.ica D. Martin Beramendi, 10. Id. de Huanta 13. José Escovar , 25. Id. de Andaguailas D u José del Campo , 25. Id. de Abane ay D. Esteban de Ares , 13. Maestro de postas de íiuancabelica D. Mariano Almo ñau , 12. Id. de Cotay D Marcos Jara , 4. Id. de Parcos I). Juan Antonio Uavila , 5. Id. de Marcas D.…</t>
  </si>
  <si>
    <t>de Arias, Francisco Xavier</t>
  </si>
  <si>
    <t>Francisco Xavier de Arias</t>
  </si>
  <si>
    <t>Ribera, 12. I). Manuel Alvarez , 12. D. Alexandro Odiantes Cevallos, 50. D. Espíritu Zamudio, 12. IX Fermín Hernández, 25. D. Nicolás Berrocal , 25. D. Francisco Xavier de Arias , 25. D. Dionisio Mesedua , 25. D. Manuel Salcedo , 12. D. Juan de la Cruz Mesa, 12. D. Melchor Mal partida, 25. D. Juan Antón o Gaona, cu­ ra de Car…</t>
  </si>
  <si>
    <t>de Arjona, Cristóbal</t>
  </si>
  <si>
    <t>Cristóbal de Arjona</t>
  </si>
  <si>
    <t>nteriores mudanzas de dinastía. Ei suceso de D Josef Ma í i Rodríguez, id..................... 2200 Bailen trastornó las cabezas de la mayor parte de D. Cristóbal de Arjona, iJ. en Bedaiar.... 2200 los españoles; y los ingleses se aprovecharon de D Pedro de Atalos, id. en Jaén............... *200 esta disposición de los ánimo…</t>
  </si>
  <si>
    <t>de Arjona, Jacinto Díaz</t>
  </si>
  <si>
    <t>Jacinto Díaz de Arjona</t>
  </si>
  <si>
    <t>i.i tr &gt; secretario dit llo de Locubin............................................ 2200 Estados Firmado ss Mariano Luis de Urquijo.” Ex-franciscanos. D. Jacinto Díaz de Arjona , residente en JEn ia extracción de la real lotería celebrada Alcalá la Real............................................ 2200 en la tarde del 2 2 del c…</t>
  </si>
  <si>
    <t>de Arjona, Juan</t>
  </si>
  <si>
    <t>Juan de Arjona</t>
  </si>
  <si>
    <t>... .................. 2200 D. Juan Antonio García, id........................... 2200 D. F rancisco Gallardo» id................ .............. 2200 D. Juan de Arjona, id...................................... 2200 D. Josef de la Rosa, id.......................... ....... 2200 D. Francisco Vela, residente eb ia Zubia D. Juan …</t>
  </si>
  <si>
    <t>de Armas, José</t>
  </si>
  <si>
    <t>José de Armas</t>
  </si>
  <si>
    <t>ividuo que importa , 3039 y 4 y tres cuartos. El Rv. obispo de Llu.imanga D. Antonio Martínez de Alduanate, en dinero efectivo y alhajas, 18.038 y 2. D. José de Armas, abogado de esta real audiencia , 200. — Ofi­ cina de temporalidades. D. Domingo Antonio Lainñesta , administrador gene­ ral , 266 y '5.' D.' Manuel Palomera, c…</t>
  </si>
  <si>
    <t>de Armda, Juan Josef</t>
  </si>
  <si>
    <t>Juan Josef de Armda</t>
  </si>
  <si>
    <t>esidente en Fuente-Ove­ D. F rancisco María de Castro , ¡d........ 2200 juna.................................................................... 2200 D. Juan Josef de Armda , id.......................... 2200 D. Juan Pedro Guerra, id.............................. 220® D. Josef Quiroga, ¡d—.,..,...................... ....... 2…</t>
  </si>
  <si>
    <t>de Armenteros, José Antonio</t>
  </si>
  <si>
    <t>José Antonio de Armenteros</t>
  </si>
  <si>
    <t>ra, y á los cadetes del mismo regimiento de guardias españolas D. Car­ los de Serítmanat, D. José Alcalá Gaiiano, D Manuel de Arrióla, D. José Miró , D. José Antonio de Armenteros , D. José dé Acosta, D. Cárlos Armenteros, D. Lorenzo Fernandez de Somera y D. Juan, José Barutell. Igualmente ha conferido S. A. én el regimiento …</t>
  </si>
  <si>
    <t>de Arna, Joaquín Miguel</t>
  </si>
  <si>
    <t>Joaquín Miguel de Arna</t>
  </si>
  <si>
    <t>a. JL\ capitán Juan Cosía y sus individuos, 18 y 3. El retirado Casimiro Esparza, 6.—D. José Pinto y Torre Tagle , cura de la doctrina de Tapa , 100. D. Joaquín Miguel de Arna­ do , subdelegado de Cajamarca , 200. D. Claudio Fernandez Prada, hacendado ,de Laran , 1000. Dependientes de dicha hacienda. D. Francisco Carvajal, 25…</t>
  </si>
  <si>
    <t>de Arratia, Josef</t>
  </si>
  <si>
    <t>Josef de Arratia</t>
  </si>
  <si>
    <t>ncisco Gutiérrez Sossl El Sr. D. Agustín de Goicoechea. El Sr. D. Pedro Uñarte. El Sr. D. Francisco Marchámalo. El Sr. D. Mariano de San Juaa. El Sr. D. Josef de Arratia. El Sr. D. Domingo DutarL El Sr. D. Lúeas de Carranza. El Sr. D. Saturio Cantabrana. El Sr. D. Mariano de Villodas. El Sr. D. Joaquín García Domeneeh. El Sr.…</t>
  </si>
  <si>
    <t>de Arrieta, Manuel</t>
  </si>
  <si>
    <t>Manuel de Arrieta</t>
  </si>
  <si>
    <t>y su padre D. Juan , 50. Don Ignacio Odria , 6. D. Manuel Arana y Campomanes , 5. Doña María Soto, 2. D. .Mariano Vicuña, G. D. Lázaro Rubianes , 6. D. Manuel de Arrieta , 8. y D. Nicolás de Benoa, por su muger é hijos, 1G.— Tropa de Caballería. Teniente .1). Manuel Mayorga, 40, Sargento primero Romualdo Vega, 6. Cabo primen»…</t>
  </si>
  <si>
    <t>de Arrióla, Manuel</t>
  </si>
  <si>
    <t>Manuel de Arrióla</t>
  </si>
  <si>
    <t>de la misma D. Antonio Diaz de Herrera, y á los cadetes del mismo regimiento de guardias españolas D. Car­ los de Serítmanat, D. José Alcalá Gaiiano, D Manuel de Arrióla, D. José Miró , D. José Antonio de Armenteros , D. José dé Acosta, D. Cárlos Armenteros, D. Lorenzo Fernandez de Somera y D. Juan, José Barutell. Igualmente …</t>
  </si>
  <si>
    <t>de Arroyo, Josef</t>
  </si>
  <si>
    <t>Josef de Arroyo</t>
  </si>
  <si>
    <t>, ¡4........................ .........;... 220O D. Antonio Toscano, id. en Espejo.............. 2200 D. Josef Serrano , residente en Córdoba.... 2200 D. Josef de Arroyo, id. en Sanraella.......... 2200 D. Rafael Serrano, id........................................ 2299 D. Francisco Cacado , id........ ................ 2200 D. …</t>
  </si>
  <si>
    <t>de Atalos, Pedro</t>
  </si>
  <si>
    <t>Pedro de Atalos</t>
  </si>
  <si>
    <t>00 Bailen trastornó las cabezas de la mayor parte de D. Cristóbal de Arjona, iJ. en Bedaiar.... 2200 los españoles; y los ingleses se aprovecharon de D Pedro de Atalos, id. en Jaén............... *200 esta disposición de los ánimos para fomeotar y sos­ D. J osef Sa ich'ez, id. en Arj milla.............. 2200 tener la revo'uci…</t>
  </si>
  <si>
    <t>de Atsú, Tomas</t>
  </si>
  <si>
    <t>Tomas de Atsú</t>
  </si>
  <si>
    <t>ir con devoción el santo sacrificio de la D. Diego Artacbo............................ 62156 24 misa ; una semana santa; excelentes y devotas medita­ D. Tomas de Atsú......................... 720 ciones y oraciones para visitar los monumentos; dife­ Sor María Ana de Jesús Rubia...... rentes advertencias y oraciones para recib…</t>
  </si>
  <si>
    <t>de Avi, Juan</t>
  </si>
  <si>
    <t>Juan de Avi</t>
  </si>
  <si>
    <t>o García, 500. Los pueblos de Palenque y Babahoyo , por mano de D. Manuel Ignacio Moreno, 1494 y 4 y medio. D. Jaime Isern, 25. D. Pedro Camacho, 50. D. Juan de Avi­ les, 10. Por los pueblos de la Punta de Sta. Elena, ha entregado D. José Ig* nació Gorrochategui, 100. D. Dionisio Faxardo , 12. El maestro mayor del gremio de b…</t>
  </si>
  <si>
    <t>de Avila, Josef</t>
  </si>
  <si>
    <t>Josef de Avila</t>
  </si>
  <si>
    <t>l rio Boccadi y Mesa, á la izquierda del ca­ misfha ciudad&gt; vacante por muerte de D. Josef mino i donde pasarán las aguas por debaxp de un Serrano, á D. Josef de Avila, ex-agustino. gran puente de piedra. Ademas de estas obras » em­ prendidas con el objeto de mejorar y facilitar el Y por otro decreto de la misma fecha se ha s…</t>
  </si>
  <si>
    <t>de Avila, Juan</t>
  </si>
  <si>
    <t>Juan de Avila</t>
  </si>
  <si>
    <t>D. Calixto , 25. D. Esteban García , 6. María Torres, 4 rs. D. Ber­ nardo Bahamonde , 2. .Teresa Montoro , 2'. Fermín García, 1. D. Vidal García , 1. D. Juan de Avila, 1. Eustaquio Montoro , 2. Mariano Roxas , 4 rs. Alberto Roxas, 1. Julián Rea, 4 rs. D. Francisco Reyes, 2. Mariano Avi­ la, 1. Joaquín de la Cruz , 1. Agustín …</t>
  </si>
  <si>
    <t>de Avila, Lorenzo</t>
  </si>
  <si>
    <t>Lorenzo de Avila</t>
  </si>
  <si>
    <t>oeal y D. Joaquín Ekmii ; á subtenientes de granaderos - á O. Francisco Valera y D. Carlos Laurent, á subtenien­ tes de fusileros á D. Juan Agilitar, D. Lorenzo de Avila, 0. Salva­ dor Morejon y D Francisco Seidel; y á subtenientes de bandera á D. Faustino Figueroa , D. Francisco Viamonte, D. Francisco Cortazar y D. Salvador …</t>
  </si>
  <si>
    <t>de Aviles, Manuel</t>
  </si>
  <si>
    <t>Manuel de Aviles</t>
  </si>
  <si>
    <t>ps. fs. Id. D. Francisco Campuzano, *25. Teniente D. Pedro C onejo , 40. Id. D. Sebas­ tian Baquerizo , 200. Alférez D. Bernabé Cornejo , 25. Cadete D. Manuel de Aviles, 12. — Aventureros del mismo cu rpo. D. Vicente Décima-Villa , 100. I). Pedro de Haro, 50. D. Bernardo José Roca, 20i&gt;. D. José Amonio Roca* 50. D Pedro Roca,…</t>
  </si>
  <si>
    <t>de Aviles, Pedro Ortiz</t>
  </si>
  <si>
    <t>Pedro Ortiz de Aviles</t>
  </si>
  <si>
    <t>ele febrero, 50. El teniente coronel D. Francisco García Miralles, 13 y 4 rs. El abogado D. Manuel Perez Tudela , 73. D. Juan Ortiz de Foronda* 200. D. Pedro Ortiz de Aviles, cura de S. Marcelo, 100 —Colectado en fot pueblos de la provincia de Huarochiri por su gobernador D. Juan Ramírez. Sto. Domingo de Olieros , 35. S. Pedr…</t>
  </si>
  <si>
    <t>de Azebal, José Matías</t>
  </si>
  <si>
    <t>José Matías de Azebal</t>
  </si>
  <si>
    <t>Madan por uno , 9. Doña María Dolores Velez por uno, 9. D. Luis Amedey por uno , 9. D. Ramiro Hervías por 2 , 18. Doña Monserrate Chacón por uno , 9. D. José Matías de Azebal por 2 , 18. D. Ignacio Pedroso , durante la guerra por 4 , 36. El Dr. D. Dionisio Vicente Matamoros por uno , 9. El capitán D. José Urquidí por 2,18. El…</t>
  </si>
  <si>
    <t>de B, Ensebio</t>
  </si>
  <si>
    <t>Ensebio de B</t>
  </si>
  <si>
    <t>479</t>
  </si>
  <si>
    <t>s en el Tajo. Las tropas de la guarnición se f'oraiaren é hicieron las correspondientes descargas ; y por la no­ che hubo iluminación general. Ei Sr. D. Ensebio de B:-.rdaxí y Azara, enviado extraordinario y rnini tro plenipoíenciaiio de S. M. C. en este rcyno, íué presenta­ do ai Gobierno el 21 do 1 corriente : le acompañó e…</t>
  </si>
  <si>
    <t>de B, Josef María</t>
  </si>
  <si>
    <t>Josef María de B</t>
  </si>
  <si>
    <t>.••,) Diputados seculares Diputado eclesiástico D. J &gt;üef de Llora. D. Antonio Rafael L zano. D. Gil Antonio L igana. Diputados secutarte .; 5 r x i D. Josef María de B ldosola. D. Juan del Riego. ; ; ol . I Secretarlo D. Manuel L-ipez de Ribas. D. Josef María Pardo. • D. Manuel González Robles.- : ^iiví „CL Secretario BARRIÓ…</t>
  </si>
  <si>
    <t>de B, Pedro</t>
  </si>
  <si>
    <t>Pedro de B</t>
  </si>
  <si>
    <t>reoras pertenecientes 4 Doña de montaña de caballería de Avila , á subteniente Josefa Z ip.ta A tainirano............. 26600 de caballería de línea. D. Pedro de B smedürio y BalmaSeda...................................................... 20940 17 Extracto de las minutas de la secretaba de Es­ La marquesa de la Solana , por me…</t>
  </si>
  <si>
    <t>de Bagues, Mariano Ximenez</t>
  </si>
  <si>
    <t>Mariano Ximenez de Bagues</t>
  </si>
  <si>
    <t>332</t>
  </si>
  <si>
    <t>a de la Mancha, 29 de febrero de 1812. El comandante del batallón de Jaén D. Lorenzo Cerezo, comi­ sionó á mediados de este mes á su segundo el mayor D. Mariano Ximenez de Bagues, para que con una partida de 18 caballos recono­ ciese el número de los enemigos que guarnecían á lznatoraf y Villacarrillo. Em i a inmediación de e…</t>
  </si>
  <si>
    <t>de Baidaxí, Ensebio</t>
  </si>
  <si>
    <t>Ensebio de Baidaxí</t>
  </si>
  <si>
    <t>850</t>
  </si>
  <si>
    <t>s español?^. Les individuos de ia snbdeleg&amp;cion de rentas de esta plaza de Cádiz. Los g::fes y dependientes de las lo­ terías nacional y resí. Ei Sr. D Ensebio de Baidaxí, ministro ple­ nipotenciaria de España en Lisboa, ios individuos de la legación</t>
  </si>
  <si>
    <t>de Baños, Genaro Martínez</t>
  </si>
  <si>
    <t>Genaro Martínez de Baños</t>
  </si>
  <si>
    <t>medios para execntar el asesinato, ocultándose D. Ildefonso Sagúes.......... ............... 1043 24 con este fin en la casa del mismo Feret, á quien D. Genaro Martínez de Baños............. 1087 2 estuvo esperando todo el dia, y quando llegó, le D. Blas Ra*,con Cornejo....................... 2870 9 acometió con un martillo ,…</t>
  </si>
  <si>
    <t>de Baños, Mi</t>
  </si>
  <si>
    <t>Mi de Baños</t>
  </si>
  <si>
    <t>cérieió' dé A D. Isidoro Perez González para el de-Moni- Cubas para el beneficio en encomienda de Ti vi Ha tejo de Salvatierra, vacante por muerte de D. Mi­ de Baños, en la diócesis de'Jlen",’ vacante" pprfa¿ guel Martin García. lleclniiehto de D. Jtian Gütietrez.- "'y; A D. Francisco Cascon para el de Si Pedro de Al presbíte…</t>
  </si>
  <si>
    <t>de Baranda, Pedro Saína</t>
  </si>
  <si>
    <t>Pedro Saína de Baranda</t>
  </si>
  <si>
    <t>1274</t>
  </si>
  <si>
    <t>ron á los constitucionales ; estos creyeron que el bien público les imponía el deber de la asistencia; y todos ya reunidos nombraron por presidente á D. Pedro Saína de Baranda. Por un bando del dia 7, el presidente del ayuntamiento pres­ cribió las prudentes «medidas que dictaba la imperiosa ley de la ne­ cesidad y de la$( ci…</t>
  </si>
  <si>
    <t>de Baranda, Pedro Sainz</t>
  </si>
  <si>
    <t>Pedro Sainz de Baranda</t>
  </si>
  <si>
    <t>vincia de Avila, y presidente de la junta interina de real hacienda de esta eorte. El Sr. marques de Iturbieta, alcalde primero de esta villa. El Sr. D. Pedro Sainz de Baranda, regidor subdecano de la misma. El Sr. D. Antonio Gómez Calderón, procurador síndico general primera de ella. El Sr. D. Pantaleon Beramen-^ Como hombre…</t>
  </si>
  <si>
    <t>r carácter, y conoce que en ningún tiempo le pueden traer mas provecho y evitar mayores males que al presente. Madrid Q de Noviembre de 1812. III. De D. Pedro Sainz de Baranda, presidente del ayuntamiento de esta villa. Convencido de la necesidad que hay en tiempos de vicisitudes extraordinarias, como la actual, de tomar prov…</t>
  </si>
  <si>
    <t>de Baranda, Simón Sainz</t>
  </si>
  <si>
    <t>Simón Sainz de Baranda</t>
  </si>
  <si>
    <t>Diputado eclesiástico D. Joaquín Pascual. D. Juan Frar cisco Molina. Diputados seculares Diputados seculares D. Diego Romere. ; D. Ignacio García. • ;D. Simón Sainz de Baranda. rD. Francisco ¿Villegas..'- ' Dí Jacinto García de la Parra. D. Manuel Ramos. : ■ Secretario Secretario D. Migoel Perez. " D. Pedro Ezquerra. ¡BARRIO …</t>
  </si>
  <si>
    <t>de Barbón, Doña Carlota Joaquina</t>
  </si>
  <si>
    <t>Doña Carlota Joaquina de Barbón</t>
  </si>
  <si>
    <t>rse ca­ tado hacia unos dos auss coa uaa princesa portuguesa llena de vir­ tudes , hija primogénita del prí ncipe regente y de su augusta espo­ sa la princesa Doña Carlota Joaquina de Barbón, infanta de Espa­ ña , de cuyo matrimonio ha dexado por hijo único al infar/s D. Se­ bastian. El acompañamiento del entierro y las exequ…</t>
  </si>
  <si>
    <t>de Barcelona, Gínes Lagobernador</t>
  </si>
  <si>
    <t>Gínes Lagobernador de Barcelona</t>
  </si>
  <si>
    <t>ha servido Mataró. S. M. nombrar para la plaza de examinador de ci­ Sabedor de esto et general Mauricio Mathieu! rugía , vacante por fallecimiento de D. Gínes Lagobernador de Barcelona, mandó á Mr. Laugier, rio, al supernumerario D. Pedro Irigoyen : para teniente de navio, que se hiciese á la vela al si­ la de supernumerario …</t>
  </si>
  <si>
    <t>de Barceuüla, Jolian</t>
  </si>
  <si>
    <t>Jolian de Barceuüla</t>
  </si>
  <si>
    <t>stre individuo del consejo supremo de Sanidad, y ea Pérez para las.de directores de arquitectura; á el momento que recibía enhorabuenas por esta gra­ D. Jolian de Barceuüla y á D. Josef AgUitin de cia i y mostraba la gratitud que debia á S. M., Laframetidi para lai de tenientes de dicha arre. murió repentinamente en brazos de…</t>
  </si>
  <si>
    <t>de Barreiieche, Juan</t>
  </si>
  <si>
    <t>Juan de Barreiieche</t>
  </si>
  <si>
    <t>Baltasar García. D. Joaquín Melgarejo. Diputados seculares '-Diputados seculares D. Angel Sahun. D. Domingo Antonio de la Osaña.' D. Mariano Sopeña. D. Juan de Barreiieche. D. Viceote Espel. D. Josef Arandilla. - . Secretario D. Agustin Estebes. D. Arias Gonzalo de Loza. Secretario D. Nicolás García de la Osa. BARRIÓ: DE AIER…</t>
  </si>
  <si>
    <t>de Bartolomé, Antonio</t>
  </si>
  <si>
    <t>Antonio de Bartolomé</t>
  </si>
  <si>
    <t>ptitalvo, id. de la villa de D. Ramón Pérez, id. en Aidea el Corvo..,. 2200 . Nieva............. v*.-...........................-i............ . aaqq D. Antonio de Bartolomé , id. en id........... 2200 D,&lt; Alberto García Piñeza, id. de RiocorD. J uan de S. Antonio de Casas, id. en vo, en Torre la Vega.........................…</t>
  </si>
  <si>
    <t>de Bastos, Josef Martínez</t>
  </si>
  <si>
    <t>Josef Martínez de Bastos</t>
  </si>
  <si>
    <t>19 revestirse qnaodo salía á decir misa. Murió el cora, D. Pedro de Mora y Lomas....... 12495 30 y la señora Justa, su ama y su legítima y universal D. Josef Martínez de Bastos...... *3593 r4 heredera, cargó con el espejo, y se lo llevó á su D. Francisco Amors.................. 19857 12 casa. El espejo del cura de Miguel-Totr…</t>
  </si>
  <si>
    <t>de Be, Mguel</t>
  </si>
  <si>
    <t>Mguel de Be</t>
  </si>
  <si>
    <t>an retirado á otros pueblos de la misma provincia La duqueia de F ¡&lt;s............. ....... 53499 i8 distantes de la frontera y de los parages mas ex­ D. Mguel de Be’grano................ 11534 puesto* a ser desde luego el teatro de la guerra. D. Joan Josef Biziud.................. 8158 Parece que los turcos tienen gnn confian…</t>
  </si>
  <si>
    <t>de Beigareche, Manuel</t>
  </si>
  <si>
    <t>Manuel de Beigareche</t>
  </si>
  <si>
    <t>rd Dsmtanviile (en FeUmouth) , 10. Los señores F-x y cctnp:*;.fíía ( Falmouih) , 20. D. Gui­ llermo Míiler, 5. D. Felipe Fernandez, 1. L. M., LO y 10 D. Manuel de Beigareche, 50. El teniente coronel Stonor, 10 y 10. El cap* tan Lftc-gtc:*?, 10- D. Gerór-imo HUI é híj-os fRri&amp;tol) , 100. D. G?*rónimo Hi.1! pBaisló!), 50.. I31.…</t>
  </si>
  <si>
    <t>de Benoa, Nicolás</t>
  </si>
  <si>
    <t>Nicolás de Benoa</t>
  </si>
  <si>
    <t>n Ignacio Odria , 6. D. Manuel Arana y Campomanes , 5. Doña María Soto, 2. D. .Mariano Vicuña, G. D. Lázaro Rubianes , 6. D. Manuel de Arrieta , 8. y D. Nicolás de Benoa, por su muger é hijos, 1G.— Tropa de Caballería. Teniente .1). Manuel Mayorga, 40, Sargento primero Romualdo Vega, 6. Cabo primen» Pedro Vega Ley va , 5. Id.…</t>
  </si>
  <si>
    <t>de Benzel-Stcrnau, Christiaoo Ernst</t>
  </si>
  <si>
    <t>Christiaoo Ernst de Benzel-Stcrnau</t>
  </si>
  <si>
    <t>riminal, y te es­ Del 10. pera de un momento á otro 10 sentencia. El 4 de este mes empezó á exercer sus funcio­ RUSIA. nes en el consejo de Estado el conde Christiaoo Ernst de Benzel-Stcrnau , nombrado por decreto Vetersburga 13 de diciembre. de S. A. R. del 3 de noviembre de 1811 ministro El domingo pasado, dia de S. Jorge, …</t>
  </si>
  <si>
    <t>de Bernabé, Mariano Gil</t>
  </si>
  <si>
    <t>Mariano Gil de Bernabé</t>
  </si>
  <si>
    <t>inteli­ gencia y satisfacción , y la dé los interesados. Dios guarde á V. S. mu­ chos años. Isla de León l.°’de enero de 1812. — Luis Wimpfcn. — Sr. D. Mariano Gil de Bernabé. Estado que manifiesta el numero de los alumnos de la academia mili­ tar del cuarto ejército examinados por él consejo dé la misma y por los profesores …</t>
  </si>
  <si>
    <t>de Borbon, Carlota Joaquina</t>
  </si>
  <si>
    <t>Carlota Joaquina de Borbon</t>
  </si>
  <si>
    <t>215</t>
  </si>
  <si>
    <t>nstancia y valor: nuestros fieles quanto generosos aliados os dan pruebas de su amistad y gratitud : hasta la virtuosa Reyna de Portugal y del Brasil Doña Carlota Joaquina de Borbon, Infanta de las JSspañas, y her­ mana de nuestro adorado Rey FERNANDO, os colma de honores desde su corte del Rio-Janeyro. Escuchad lo que os dic…</t>
  </si>
  <si>
    <t>de Borbon, María Carlota Joaquina</t>
  </si>
  <si>
    <t>María Carlota Joaquina de Borbon</t>
  </si>
  <si>
    <t>lería y efectos encontrados en los puntos enemigos desde el recodo de S. Diego hasta Puerto Real inclusive. Madrid 7 de octubre. Xa Infanta de España Doña María Carlota Joaquina de Borbon ha diri­ gido una carta, fecha en Rio-Janeyro en 2 de marzo próximo pasado, al va* líente Mina, elogiando sus servicios, y el valor y disci…</t>
  </si>
  <si>
    <t>de Bordes, Esteban</t>
  </si>
  <si>
    <t>Esteban de Bordes</t>
  </si>
  <si>
    <t>Gaceta de Madrid n.º 172</t>
  </si>
  <si>
    <t>698</t>
  </si>
  <si>
    <t>ideas diametral- Reglas de pronunciación y gramaticales de la len­ tnente opuestas á su instinto. Se eacarniza algunas gua francesa, coordinadas por D. Esteban de Bordes, veces en la especie del Empecinado, que vende á catedrático que fue del real seminario de Nobles; un tomo en 8.®, í la rústica. Se vende en la librería de s…</t>
  </si>
  <si>
    <t>de Bu, A</t>
  </si>
  <si>
    <t>A de Bu</t>
  </si>
  <si>
    <t>cerfexército * ! , -parasol L •.*■: Ci vi S í O ■&gt; O **- Gil lo. ¡ • 1, *« »«*«&gt;•• ««.•*.ir «i12?IQOO Idem al brigadier D. Juan Moscosa y cond.é; -iv.d A de Bu ivi rúan i, que han venido'en .comisión? ...... á cuenta de sfis sueldos............. .................... ú... 3900. Idem a D. Bernardo Grande*, secretario de;, -la- …</t>
  </si>
  <si>
    <t>de Buerens, José Clemente</t>
  </si>
  <si>
    <t>José Clemente de Buerens</t>
  </si>
  <si>
    <t>Saboya, y á los se­ gundos tenientes D. Joaquin Ruiz de Abreu y D. Cárlos O-Reylli, barón de Clonkee ; segunda tenencia de granaderos al de fusileros D. José Clemente de Buerens ; idem de cazadores al segundo tenien­ te agregado D. Casimiro de Quesnay ; segunda ayudantía mayoral alférez D. José Celles Mohtredor ; segunda tene…</t>
  </si>
  <si>
    <t>s á los segundos tenientes de granaderos y cazadores D. Pedro Morell y D. Justo Salafranca: segunda ayudantía mayor al segundo teniente de granaderos D. José Clemente de Buerens:segundas tenencias de granaderos á los de fusileros D. Eduardo de. Silva y D. Vicente Segurado : ídem de cazadores ai alférez D. Pe­ dro Cabañas : se…</t>
  </si>
  <si>
    <t>de Burgos, Manuel Raíz</t>
  </si>
  <si>
    <t>Manuel Raíz de Burgos</t>
  </si>
  <si>
    <t>Jo­ sé Francisco de Isasi, y de fusileros á D. Pedro Abadía, D. José de la Riva Agüero , D Jacinto de Ximeno , D. Juan de Irigoyen, Don Angel Aifaro, D. Manuel Raíz de Burgos, D. Antonio Raras, Don Tornas de la Casa y Piedra , D. Domingo Laspiur, D. José CasiiuIto Sctimayor, í). Francisco María Zu^oaga, D. Marcelo B &gt;za y Eda…</t>
  </si>
  <si>
    <t>de Buros, Gerónimo</t>
  </si>
  <si>
    <t>Gerónimo de Buros</t>
  </si>
  <si>
    <t>Hemos decretado y decretamos lo que signe: articulo t. ,,Con arreglo á lo prevenido ed Subtenientes. nuestro decreto de 19 de abril de 1810 se forma­ D. Gerónimo de Buros. rán en ios pneblos que á continuación se expresan D. Amonio Varo Clavija. los batallones y compañías de milicia cívica qne á D. Francisco Chaparro. cada un…</t>
  </si>
  <si>
    <t>de Burtubay, Eugenio</t>
  </si>
  <si>
    <t>Eugenio de Burtubay</t>
  </si>
  <si>
    <t>mineros de Irasco Comerciantes , 4905. Mineros ; D. Francisco Liaño, dipu­ tado de primer voto , 300. D. Manuel Santalla , id. de segundo voto , 50. D. Eugenio de Burtubay , 500. D. José Lago y Lemus , 100, y ofrece )o mis­ mo anualmente durante la guerra. D. Miguel Alvarez , 50. D. Juan Manuel Quirós , 400. El marques de la …</t>
  </si>
  <si>
    <t>de Buruaga, Manad María Saenz</t>
  </si>
  <si>
    <t>Manad María Saenz de Buruaga</t>
  </si>
  <si>
    <t>nte por muerte El que la gradué de inútil &gt; digo que no sabe'del de D. Francisco Vigil y Quiñones. fie que coxeanuis, y que se le entiende mui poco A D. Manad María Saenz dé Buruaga, cura de achaque de obtas. £1 que sostenga que t#;4» teniente de Navalvillar, para el de Calora , vacante ella es una pura vaciedad ¿ que ni hace…</t>
  </si>
  <si>
    <t>de Bustillo, Juan Crisóstomo</t>
  </si>
  <si>
    <t>Juan Crisóstomo de Bustillo</t>
  </si>
  <si>
    <t>1 12 SUIZA. D. Manuel Llórente............................. 29203 30 Los reales hospitales civiles por me­ . Berna 21 de febrero. dio de su apoderado D. Juan Crisóstomo de Bustillo........................ 425 12 El gobierno de este cantón va haciendo cada D. Fórmerio Ignacio de Echeverría. 2000 dia nuevas mejoras en todos los…</t>
  </si>
  <si>
    <t>de Cáceres, Bernardo</t>
  </si>
  <si>
    <t>Bernardo de Cáceres</t>
  </si>
  <si>
    <t>d......... "..................... 2200 D. Manuel £seo¡iar ; id.i..-;...... ................... 22co D., Manuel García , residente en Santa Ella. 22c» D. Bernardo de Cáceres, id........................ 2200 D. Francisco de Paula de García , diáco­ D. Manuel de Agua- hermosa , id............... 2200 no, id......................…</t>
  </si>
  <si>
    <t>de Cáceres, Ignacio</t>
  </si>
  <si>
    <t>Ignacio de Cáceres</t>
  </si>
  <si>
    <t>ha podido vender un pocuelo de grano ciudad de Sevilla , y á D. Fernando Uriarte y Lanha hecho algún dinero ; ¡ pero quién tapa aquella falta, da y á D. Ignacio de Cáceres regidores de la mu­ particularmente con tanto como gasta el exército ? Y nicipalidad de la misma ciudad. luego dicen algunos, ¡dónde estala felicidad ? Ven…</t>
  </si>
  <si>
    <t>de Cádiz, S los</t>
  </si>
  <si>
    <t>S los de Cádiz</t>
  </si>
  <si>
    <t>749</t>
  </si>
  <si>
    <t>ito en todo el Abecedario....... ¿ Y los de buen deseo, y se Verá oprimida y esclava. Exér­ Cádiz ? citos han sido los que en todos tiempos han tras* D. S Los de Cádiz se vendrán á Sevilla , y .tornado y destiuido ios mas famoso* imperios de luego á Madrid. la tierra , y naciones enteras las que bao tenido U. A.,. Ño harían m…</t>
  </si>
  <si>
    <t>de Calva, José</t>
  </si>
  <si>
    <t>José de Calva</t>
  </si>
  <si>
    <t>l regimiento de Gerona á D. Manuel Gonzá­ lez : del de IvX iteró á D. Manuel Liauder; del de Ausona á D, José Mañ-'Z de la Torre; del de S. Femando á D. José de Calva; y del tle Barcelona á D. José Costa. Sargentías mayores : del regimiento do Leales Manresanos á D Manuel M-iscaró ; del de Palma á Don Francisco Piadas; del de…</t>
  </si>
  <si>
    <t>de Camuo, Joan</t>
  </si>
  <si>
    <t>Joan de Camuo</t>
  </si>
  <si>
    <t>a, D. Josef L chambre. D. Ignacio G irmcndia. D. M:ga.l Crok. D. Sar.ti ,go Polidura. D. Timoteo Magnamara.' D. Ignacio' Hermosa. D. Lu ¡s Caballero. D. Joan de Camuo. D. Juan Ahumada.D. Juan de la Torre Pner. Contador. . . D. Josef Molina Fernandez. D. Francisco Peredo. D. Juan de Gálvez Huesman. D. Antonio Perez Dávila. Sec…</t>
  </si>
  <si>
    <t>de Cañas, Diego</t>
  </si>
  <si>
    <t>Diego de Cañas</t>
  </si>
  <si>
    <t>Me­ dro y en otros varios templos se están haciendo rino.............................................................. 54000 obras de consideración. D. Diego de Cañas..................................... 22500 D. Josef Benito de Cuellar.................... 33007 12 Brusélás i% de abril. D. Felipe Fernandez Badillo............…</t>
  </si>
  <si>
    <t>de Cañas, Pedro</t>
  </si>
  <si>
    <t>Pedro de Cañas</t>
  </si>
  <si>
    <t>ente Fernandez, id. en Alcaracejo. 2200 D. Marcos de León y Lara, id...................... 2200 D..Domingo Ximenez , id. en Etjija.............. 2200 D. Pedro de Cañas, id................................. . 2200 D. Josef de Os tos , id....................................... 2200 D. Melchor Palomares , id.,....................…</t>
  </si>
  <si>
    <t>de Cancio, Luis Cancano</t>
  </si>
  <si>
    <t>Luis Cancano de Cancio</t>
  </si>
  <si>
    <t>i*! labrado por el estilo gótico, y negro como un aza­ D. Atanasio de Garro.................. 5979 bache ; pero la luna era buena, aunqne estaba lle­ D. Luis Cancano de Cancio..... . 752» 2 na de manchas, y todo él perdido de polvo y mal­ Doña María Manuela Salcedo, tratado, como que habia andado siempre en ma­ como viuda de …</t>
  </si>
  <si>
    <t>de Cancio, Luis Rancaño</t>
  </si>
  <si>
    <t>Luis Rancaño de Cancio</t>
  </si>
  <si>
    <t>el secretario de lar P. Santos García Cano................. 2166 21 academia jónica. Manuel Barreta............................... 10980 Cuestiones. D. Luis Rancaño de Cancio....... 202 7 1. a ; Quáles han sido las escuelas, las bibliote­ Por intereses de vales reales. cas y deinas establecimientos de instrucción pú­ El monte…</t>
  </si>
  <si>
    <t>de Car, José María</t>
  </si>
  <si>
    <t>José María de Car</t>
  </si>
  <si>
    <t>Gazeta de la Regencia de las Españas n.º 108 (extraordinaria)</t>
  </si>
  <si>
    <t>muchos años. Cuartel general de Valencia, de Alcántara 17 de agosto de 1812 á la una. deí día. — Exorno. Sr.—. Ei. marques de Monsalud. — Excmo. Sr. D. José María de Car­ vajal. CADIZ : EN LA IMPRENTA REAL,</t>
  </si>
  <si>
    <t>de Cárdenas, Agustin</t>
  </si>
  <si>
    <t>Agustin de Cárdenas</t>
  </si>
  <si>
    <t>rancisco Menacho, por uno-, 9. D. Tiburcio ZuUieta, por ano , 9. D. Manuel Diaz de Castro, id., 9. D. Pedro Boyer y su es­ posa , id., 9. El teniente D. Agustin de Cárdenas, por 3, 27. D. Claudio Ma­ teo , por uno, 9. D. Francisco Gómez, mientras pueda , id, 9. D. Antonio Bustamante, por 2 durante la guerra, 18. D. Francisco …</t>
  </si>
  <si>
    <t>de Cárdenas, Antonio</t>
  </si>
  <si>
    <t>Antonio de Cárdenas</t>
  </si>
  <si>
    <t>.................. 2200 llos de Sierra-Morena.................. 2200 Bx-trinitarios descalzos. Ex-dominicos. D. Vicente Gutiérrez, residente eD Cién- D. Antonio de Cárdenas, residente en Jaén. 2200 poznelos................. 2200 D. Juan Roldan, id...... ................................ 2200 D. Ignacio María Bcteta, id. en Alc…</t>
  </si>
  <si>
    <t>............................. 2200 P. Sebastian Lozano, id. en Villafranca... 2200 P. Rafael Murillo, ¡d........................................ 22C0 D. Antonio de Cárdenas, id.......................... 2200 P. Agustín Díaz, id............................................ 2200 P. S bastían Lozano y Caibento , id.......... 2200…</t>
  </si>
  <si>
    <t>de Cárdenas, Manuel</t>
  </si>
  <si>
    <t>Manuel de Cárdenas</t>
  </si>
  <si>
    <t>yor i D. Amonio Gordei. - Regidoresá D. Marine! Re«?g?I. .Regidores, D. Josef de Eduberri/ D. Pedro Daripe. ’ D. Nicolás Muñoz. D. Jnan Manuel Nobal. D. Manuel de Cárdenas. D. Ramón Escudero. D. Francisco Vasco. D. Francisco Xavier Gandanillo*. D. Juan MonSalve.' D. Antonio G..rcíj de la Pedrosa, D. Josef L chambre. D. Ignaci…</t>
  </si>
  <si>
    <t>de Cárdenas, Mateo</t>
  </si>
  <si>
    <t>Mateo de Cárdenas</t>
  </si>
  <si>
    <t>Don José Uz, por un año, por uno, 9 D. Antonio Bocalandro , id. 9. D. Manuel Gómez de las Bárconas, por 2, 13 D. Francisco de Borja Lima, por 4, 36. D. Mateo de Cárdenas, por 2 , 18. D, Juan Vicente Adot, id., 18. D. An­ tonio Brvzon , por uno, 9. D. Domingo del Cueto, id. , 9. Doña Manuela Laborda, id., 9. D. Tomas de la Fue…</t>
  </si>
  <si>
    <t>de Cárdenas, Pedro</t>
  </si>
  <si>
    <t>Pedro de Cárdenas</t>
  </si>
  <si>
    <t>longo, id., 17. El licenciado D. José María Éncinoso de Abreu, id , 25. D. José Astor, id. , 25 y 4. D. Juan Miguel Pita , id. , 10. P. Fran­ cisco y D. Pedro de Cárdenas , id., 100. D. Francisco Antonio Mimos , id., 17. El conde de Zaldivar y D. Pedro Juan de Erue , por recoleic on en ios barrios de la casa de gobierno, Sto.…</t>
  </si>
  <si>
    <t>de Carran, Lucas</t>
  </si>
  <si>
    <t>Lucas de Carran</t>
  </si>
  <si>
    <t>us correspondientes destinos. Reunidos con D. Pedro Baranda ios regidores del ayuntamiento consti­ tucional D. Manuel de Riláacova, D. Pedro,Uñarte y D. Lucas de Carran­ za, y. los de la municipalidad-D. Juan Antonio Pico, D. Genaro Faustino dél Rincón, D. Lorenzo Iruegas,D.. Diego Barreda, D. Josef Ocharan, Don Manuel de la …</t>
  </si>
  <si>
    <t>de Carranza, Lúeas</t>
  </si>
  <si>
    <t>Lúeas de Carranza</t>
  </si>
  <si>
    <t>a. El Sr. D. Pedro Uñarte. El Sr. D. Francisco Marchámalo. El Sr. D. Mariano de San Juaa. El Sr. D. Josef de Arratia. El Sr. D. Domingo DutarL El Sr. D. Lúeas de Carranza. El Sr. D. Saturio Cantabrana. El Sr. D. Mariano de Villodas. El Sr. D. Joaquín García Domeneeh. El Sr. D. Miguel Caldero» de la fiafftfc</t>
  </si>
  <si>
    <t>mo, al cargo del Sr. marques de Gástelfuerte. Quartel de S. Martin, al cargo ael Sr. D. Saturio Cantabrana. Quartel de S. Francisco, al cargo del Sr. D. Lúeas de Carranza. Quartel de Avapies, al cargo del Sr. D. Mariano de S. Juan. DON CARLOS DE ESPAÑA, caballero por derecho hereditario de la orden de S. Juan de Jerusalen, ma…</t>
  </si>
  <si>
    <t>de Carvajal, José María</t>
  </si>
  <si>
    <t>José María de Carvajal</t>
  </si>
  <si>
    <t>818</t>
  </si>
  <si>
    <t>e Mosquera y Figueroa, presiden* te. —Juan Villavicencio. — Ignacio Rodrigue di Rimas. — El conde del Abisbal. — En Cádiz á 25 de abril de 1812. r— A D. José María de Carvajal.'” Y debiendo darse á tan particular gracia toda aquella brillantez que es propia del noble objeto á que se destina, manda S. A. que en todos los exérc…</t>
  </si>
  <si>
    <t>1270</t>
  </si>
  <si>
    <t>fantado. — Joaquín de Mosquera y Figueroa.— Juan Villavicencio.— Ignacio Rodriguen de Jltvas,—Juan Pcrez VillamiL—En Cádiz á 9 de Octubre do 1812.— A D. José María de Carvajal.” Circular del ministerio de Gracia y Justicia. La Regencia del reyno se ha servido dirigirme el decreto que sigue: D. Fernando vii, por la gracia de D…</t>
  </si>
  <si>
    <t>de Cas, Francisco Xavier</t>
  </si>
  <si>
    <t>Francisco Xavier de Cas</t>
  </si>
  <si>
    <t>Dios guarde á V. E. muchos años. Cuartel gene­ ral de Palacios de la Sierra y diciembre 9 de 1811. —- Exorno. Sr. — Gabriel de MenáizabaL—Excmo. Sr. D. Francisco Xavier de Cas­ taños , capitán general del quinto y sexto exército.” Cádiz 15 de enero. Al mismo tiempo que los periódicos franceses refieren que conti­ núan las neg…</t>
  </si>
  <si>
    <t>en e- sitio de Bd lajuz; h bie telo Logrado fu­ garse en la provincia de la Mincha, y presentados^ á sus bande­ ras, fué nombrado per el Exento. Sr. D. Francisco Xavier de Cas­ taños cap:taa de la citada componía de voluntarios de Zafra : y mar­ chando sobre este pueblo á realzar su pr. mera expedición logró ha­ cer en el m s…</t>
  </si>
  <si>
    <t>de Castaños, D Xavier</t>
  </si>
  <si>
    <t>D Xavier de Castaños</t>
  </si>
  <si>
    <t>icadas eu Ma­ drid el 2 de mayo de 1808 por la tiranía y perfidia francesa , llegó á esta ciudad y se presentó de improviso #n la catedral el capiian general D Xavier de Castaños, acompañado de les generales Gi­ rón y Saat-ocildes. Había salido el día anterior de Pontevedra, y se habla creído se detendría en el Padrón algunos…</t>
  </si>
  <si>
    <t>de Castaños, Francisco Xavier</t>
  </si>
  <si>
    <t>Francisco Xavier de Castaños</t>
  </si>
  <si>
    <t>guarde á V. E. m ichos años. Campo del honor de Navarra (3 de abril de 1812. — Exorno. Sr. — B. L. M. de V. E. — Franchón Eípozy Mina. — Exorna. Sr. D. Francisco Xavier de Castaños.” Respuesta del general Castaños. *CE1 capitán D Fermín Argaiz rae ha entregado ayer el oficio de V. S. de 6 del presente y partes que le acompaña…</t>
  </si>
  <si>
    <t>de su capitulación», CAPITULACION. D. Pascual Enrile , ayudante general de estado ma­ yor de los íxércitos, encargado de los plenos poderes de S. E. D. Francisco Xavier de Castaños, capitán ge­ neral de los exércitos españoles, general en gefe del qtuinto, sexto y séptimo cuerpo de exército , por una parte; Y Pedro Francisco …</t>
  </si>
  <si>
    <t>PDF p. 13</t>
  </si>
  <si>
    <t>unta de su capitulación. Capitulación• D. Pascual Enrile,‘ayudante general de estado mayor de los exércitoí, encargado de los plenos poderes dé S. E. D. Francisco Xavier de Castaños, , capitán general de* los exércitos españoles, general en gefe del quinto, sexto y séptimo cuerpo de exército, por una parte; Y Pedro Francisco …</t>
  </si>
  <si>
    <t>de Castilla, Autoni'i</t>
  </si>
  <si>
    <t>Autoni'i de Castilla</t>
  </si>
  <si>
    <t>práctica los rudimentos de táctica jos...... •;............... :..................... a72í5 *7 que había escrito siendo teniente de navio , y varias D. Autoni'i de Castilla................. 3406 3 instrucciones dispuestas para el uso de señales, tu­ El mismo Castilla................................ 495n vo ocasión dt completa…</t>
  </si>
  <si>
    <t>de Castilla, Gaspar</t>
  </si>
  <si>
    <t>Gaspar de Castilla</t>
  </si>
  <si>
    <t>, 6. D. Toribio Echeverría, 6. D. Lino Figueroa , 2. D. Tomas Collas, 2. D. Domingo Sánchez , 6. D. Feliciano Eche­ varría , 2. D. Calixto López , 2. D. Gaspar de Castilla , 6. D. José Arana , 2. D. Benito Lacea, 2. D. Jorge Gadea, 6. D. Manuel Bergara, 2. — Regi~ miento de milicias de Ferreñafe. El coronel D. Juan Romualdo d…</t>
  </si>
  <si>
    <t>de Castillejo, Matías</t>
  </si>
  <si>
    <t>Matías de Castillejo</t>
  </si>
  <si>
    <t>1344</t>
  </si>
  <si>
    <t>1344 La Regencia del reyno ha admitido al teniente de fragata retira» do D. Matías de Castillejo la cesión que ha hecho para las urgen­ cias de la nación nó solo del sueldo que tiene devengado , corres» pondiente á su clase de retirado, sino del que devengare en lo su­ cesivo durante la presente guerra. Y habiendo dispuesto s…</t>
  </si>
  <si>
    <t>de Castro, Andrés</t>
  </si>
  <si>
    <t>Andrés de Castro</t>
  </si>
  <si>
    <t>................... 1200. Goozaló...................................................... 220 1&gt;. Aotonio López, id.............................. 2200. D. Andrés de Castro, id. en Castro del D. Alfonso Bautista Recio, id........... ......... 220O; Rio................................................. Dí1-Bartolomé Morales, id...…</t>
  </si>
  <si>
    <t>de Castro, Fernandez</t>
  </si>
  <si>
    <t>Fernandez de Castro</t>
  </si>
  <si>
    <t>brar para las piezas eclesiásti­ hington, de fecha mili reciente, en la que se leé cas que se expresan á los ex-regulares siguientes: lo que sigue: A D. Fernandez de Castro, presbítero y ex,, Parece cosa segara que el poder executivo trinitario descalzo, para una ración de la colegiata ha decretado yi las providencias que deb…</t>
  </si>
  <si>
    <t>de Castro, Francisco</t>
  </si>
  <si>
    <t>Francisco de Castro</t>
  </si>
  <si>
    <t>id........... ............. 2290 D. PeJto Rubio, residente en Ovejo........... 2200 D.-Joan de Quero, id....................................... 2290 D. Francisco de Castro , lego , residente en D. Josef B tdillo, id.......................................... 2290 Montilla............................... 1100 D. Antonio Junquico…</t>
  </si>
  <si>
    <t>de Castro, Jo'ef</t>
  </si>
  <si>
    <t>Jo'ef de Castro</t>
  </si>
  <si>
    <t>.................... 22CO 1). Lúeas de Lucena, id.................................... 2200 D A ndres Viliatoro , id............... ............. 2200 D. Jo'ef de Castro, id...................................... 2200 D. Salvador Márquez , id............................... 2200 D. Juao Mateos, residente en Fuente-Ove­ D. F ranc…</t>
  </si>
  <si>
    <t>de Castro, Juan</t>
  </si>
  <si>
    <t>Juan de Castro</t>
  </si>
  <si>
    <t>, id......................... 2200 idem...... ............................................. 2200 D. Francisco Ñarerró , id...;................ . 2200 D. Juan de Castro, residente en Doña Di Josef de Loque-, id..... .......................... 2200 ' Mencia................................................ .'....... 2300 D. Josef…</t>
  </si>
  <si>
    <t>de Castro, Luis López</t>
  </si>
  <si>
    <t>Luis López de Castro</t>
  </si>
  <si>
    <t>D. Fernando dél Sotiibo. D. Pedro Bazo. D. Pedro Madrid. D. Severiaoo Xaramillo. D. Lorenzo Marqueta. , Secretario ‘ Secretario D. Juan Roiz Divila. D. Luis López de Castro. BARRIO DE LAS BARONESAS. BARRIO DE LAS NINAS DB LA PAl. Alcalde de barrio Alcalde de barrté ' ' D. Gregorio M'gnel Muñoz. D. Josef García.</t>
  </si>
  <si>
    <t>de Castro, Manuel Diaz</t>
  </si>
  <si>
    <t>Manuel Diaz de Castro</t>
  </si>
  <si>
    <t>an Madrazo, por 2,18. I). Hermenegildo Gaíeano, por uno ,9. D. JuaRuiz, por 2; i8 D Francisco Menacho, por uno-, 9. D. Tiburcio ZuUieta, por ano , 9. D. Manuel Diaz de Castro, id., 9. D. Pedro Boyer y su es­ posa , id., 9. El teniente D. Agustin de Cárdenas, por 3, 27. D. Claudio Ma­ teo , por uno, 9. D. Francisco Gómez, mien…</t>
  </si>
  <si>
    <t>de Cavia, Clemente</t>
  </si>
  <si>
    <t>Clemente de Cavia</t>
  </si>
  <si>
    <t>118</t>
  </si>
  <si>
    <t>s, con facultad de que nombren los de diligencías^que sean de su confianza , baxo de su responsabilidad, á D. Juan Garrido, que lo es de provincia, y D. Clemente de Cavia; y en ausencias y enfermedades dél primero á D. Pedro Tordesillas. En todos los quales sub­ alternos se reúnen también las qualidades necesarias para el exa…</t>
  </si>
  <si>
    <t>de Celis, Ramón Rubín</t>
  </si>
  <si>
    <t>Ramón Rubín de Celis</t>
  </si>
  <si>
    <t>mente S, M. promoverá D. Juan Veguer, capitán segundo de la primera compañía de zapa­ Parts 4 de mayo. dores , á ayudante mayor de estas compañías; á D. Ramón Rubín de Celis , D. Bernabé Portillo Ayer antes de misa recibió S. M. el Empera­ y D- Josef Velasco, alumnos del real cuerpo dé dor y Reí en el palacio de S.int Cloud a…</t>
  </si>
  <si>
    <t>de Cevallos, Lorenzo</t>
  </si>
  <si>
    <t>Lorenzo de Cevallos</t>
  </si>
  <si>
    <t>ado l^orrilia, id. de Ca- D. Manuel Lienzo ¿ id. de Santander......... 2200 margo................. ...................... ...................... 2200 D. Lorenzo de Cevallos, id. del lugar de D. Sa utos Oies , id. en N.ivarrete en la Polanco..-,.i..i...i..ü.............;...........i................................ 22CQ Rio ja.…</t>
  </si>
  <si>
    <t>de Chastre, D José</t>
  </si>
  <si>
    <t>D José de Chastre</t>
  </si>
  <si>
    <t>643</t>
  </si>
  <si>
    <t>ontinuación del arüculo del núm. anterior.) 4.® Ilelacion del combate natal de Sorondo del 25 y 26 de mar%o9 diri if.c por el gobernador de Guayaría, coronel D- José de Chastre9 at comisionado regio T&gt;. Antonio Ignacio de Cortabarria. JBi 25 de marzo á las 8 de la mañana dimos la vela los baques de la escuadrilla guayanesa, c…</t>
  </si>
  <si>
    <t>de Chimioni, José Nicolás</t>
  </si>
  <si>
    <t>José Nicolás de Chimioni</t>
  </si>
  <si>
    <t>struido y adornado con todo el esmero y buen gusto posible , por el oficial del cuerpo de ingenieros comandante de aque* lias obras de fortificación, D José Nicolás de Chimioni: el frente de este tablado lo ocupaba un altar en donde debia celebrarse una misa, y que estaba colocado en el medio: á su derecha estaba deb&amp;xo do un…</t>
  </si>
  <si>
    <t>de Chinchurreta, Francisco Lúeas</t>
  </si>
  <si>
    <t>Francisco Lúeas de Chinchurreta</t>
  </si>
  <si>
    <t>. Lois y D. Josef María Cásale... 406 r 85 de Vidania , en Guipúzcoa, vacante por falleci­ D. Josef Ruiz de Z=¡ada................. 3346 17 miento de D. Francisco Lúeas de Chinchurreta , al Doña loes S¿r&gt;fields......................... *353 25! presbítero D. Francisco de Eceiza. Los señores Bringas y Pereda........ . 26521 84…</t>
  </si>
  <si>
    <t>de Cifuentcs, Joaquín</t>
  </si>
  <si>
    <t>Joaquín de Cifuentcs</t>
  </si>
  <si>
    <t>... 1444 pocos meses fue ascendido sucesivamente á capitán D. Miguel Calvo de la Puerta.,.. J41 17 de fragata, capitán de oavío, y de una nuev.i com­ D. Joaquín de Cifuentcs............. 1173 8f pañía de guardias marinas, creada en e! departa­ D. Juan Francisco Pastor............ 270 2 {jé1 mento de Cartagena. En este destino…</t>
  </si>
  <si>
    <t>de Cilla, Nicolás</t>
  </si>
  <si>
    <t>Nicolás de Cilla</t>
  </si>
  <si>
    <t>o Infanzón. y de las Indias. D. Veotura López. » Visto el informe de nuestro ministro de lo Secretario' Interior, hemos decretado y decretamos lo si­ D. Nicolás de Cilla. guiente : articulo r. ,, Habrá en Madrid tina junta ge­ BARRIO DEL SACRAMENTO. neral de caridad , compuesra del patriarca de las In­ Alcalde de barrio dias,…</t>
  </si>
  <si>
    <t>de Cíorraga, Felipe</t>
  </si>
  <si>
    <t>Felipe de Cíorraga</t>
  </si>
  <si>
    <t>diputación civil y eclesiástica de la villa D. Andrés Gorveaj gefes de sala D. Pedro Josef de Requena ha tenido lo honra de presentarse hoi Tagola y D. Felipe de Cíorraga; gefes de trozo al REI nuestro Señor; ye! corregidor, que venia D. Pedro Teliería, D. Pablo López de la Huerta á su frente, ha pronunciado el discurso sigui…</t>
  </si>
  <si>
    <t>de Ciscar, Gabriel</t>
  </si>
  <si>
    <t>Gabriel de Ciscar</t>
  </si>
  <si>
    <t>del consejo, interino de-Regencia. D¿ Joaquín Blake, capitán general de los reales exercitos*. D. Pedro deAgar, capitán de navio de la real armada, y D. Gabriel de Ciscar, gefe de escuadra , des­ empeñando sus importantes funciones con un celo y patriotismo dignos del reconocimiento nacional ; han tenido á bien elegidos des­ …</t>
  </si>
  <si>
    <t>de Con, Mariano García</t>
  </si>
  <si>
    <t>Mariano García de Con</t>
  </si>
  <si>
    <t>chas que hay en Madrid* La persona que supiere de la existencia de Doña Ana Bíasa Joaquina García Carrasco y Bonillo, casada en segundas nupcias con D. Mariano García de Con­ suegra, que habitó en la calle de Jesús y María de esta corte , ó que por su falle­ cimiento se crea con derecho á sus bienes, acuda á deducirlo, ó á ma…</t>
  </si>
  <si>
    <t>de Córdoba, Antonio Fernandez</t>
  </si>
  <si>
    <t>Antonio Fernandez de Córdoba</t>
  </si>
  <si>
    <t>rio de Estados. Firmado = Mariano Luis de El marques del Norte........................ 97766 4 Urquijo.” Por réditos procedentes de efectos de villa. D. Antonio Fernandez de Córdoba, TEATRO. padre y legítimo administrador .En el de la Cruz, á las ocho de la noche, ye eje­ de Doña María Luisa y D. Anto­ cutará la comedia titul…</t>
  </si>
  <si>
    <t>de Córdoba, Bartolomé</t>
  </si>
  <si>
    <t>Bartolomé de Córdoba</t>
  </si>
  <si>
    <t>en D. Ju ande Salas, id........................................ 2200 Cabra..................................................................... 2200 D. Bartolomé de Córdoba , id........................ 2200 D. Juan de Villa, residente en Lucena...... 2200 Ex-franciscanos. D. Sebastian Guerrero, id.............. 2200 P. Luis d…</t>
  </si>
  <si>
    <t>de Córdoba, Gonzalo Fernandez</t>
  </si>
  <si>
    <t>Gonzalo Fernandez de Córdoba</t>
  </si>
  <si>
    <t>do la Re­ gencia del reyno conferir compañía de granaderos al capiian de ca­ zadores D. José Ruiz de Porras ; compañía de cazadores ai de fu­ sileros D. Gonzalo Fernandez de Córdoba; primera ayudantía ma­ yor ai primer teniente D. Angel Noguer ; primera tenencia de gra­ naderos al de fusileros D. José Pagés y Buñuio : primera…</t>
  </si>
  <si>
    <t>de Córiiobii, Miguel</t>
  </si>
  <si>
    <t>Miguel de Córiiobii</t>
  </si>
  <si>
    <t>rancisco Reding; del de voluntarios de Tarragona á D. Gabriel Lesenne; del de cazadores de Cataluña á 0. José Manso ; del de voluntarios de Cardona á D. Miguel de Córiiobii; y del de tiradores de Cataluña á D. José ríe Casas. Sargen­ tías mayores \ del batallón de tiradores de Buza á D. Francisco RiaachetU, del de voluntarios…</t>
  </si>
  <si>
    <t>de Cortabarría, Antonio</t>
  </si>
  <si>
    <t>Antonio de Cortabarría</t>
  </si>
  <si>
    <t>349</t>
  </si>
  <si>
    <t>, á pesar de haber hecho por dos veces di­ misión de su empleo, y tener pendiente su segunda solicitud, se avistó an­ siosamente con el gefe político D. Antonio de Cortabarría; y habiéndole manifestado su resolución de sacrificarse por la quietud del pueblo, admitiói la oferta que le libertaba de un doloroso compromiso con mu…</t>
  </si>
  <si>
    <t>de Cortabarría, Antonio Ignacio</t>
  </si>
  <si>
    <t>Antonio Ignacio de Cortabarría</t>
  </si>
  <si>
    <t>hecha por el gremio de mar de Vivero á S. M. por el restablecimiento del santo tribunal (2) ; juzgamos inútil insertar su contenido* Por el limo. Sr* D. Antonio Ignacio de Cortabarría, gefe civil y políti­ co de esta villa y su provincia, se ha comunicado al tribunal de secuestros y confiscos el oficio que dice asi: ,, Recono…</t>
  </si>
  <si>
    <t>brado virey D. Félix Calleja, sugeto de mucho mérito. Al trib unal de secuestros y conñscos se ha comunicado por el limo. Señor Gefe civii y político D. Antonio Ignacio de Cortabarría la instrucción siguiente. «Para que el tribunal de secuestros pueda emplear su zelo con toda la uti­ lidad que debe resultar al público, y ponf…</t>
  </si>
  <si>
    <t>294</t>
  </si>
  <si>
    <t>294 Cano Manuel.M= Sr. D. Antonio Ignacio de Cortabarría. Para el cumplimiento de la orden anterior ha acordado el limo. Sr. Gefe político comunicarla, como lo ha hecho, á los jueces de primera instan­ cia de esta capital y de la ciudad de Alcalá</t>
  </si>
  <si>
    <t>de Cortés, José</t>
  </si>
  <si>
    <t>José de Cortés</t>
  </si>
  <si>
    <t>a­ do de coronel D Román de Lassaleta; primera ayudantía mayor al segundo teniente D. Cárlos Demons; primera tenencia de granade­ ros al de fusileros D. José de Cortés; idem de cazadores al segundo teniente con grado de teniente coronel D. José Solis ; primera tenen­ cia de fusileros á D. Fernando de Hercdiá, conde de Prado C…</t>
  </si>
  <si>
    <t>de Cuellar, Josef Benito</t>
  </si>
  <si>
    <t>Josef Benito de Cuellar</t>
  </si>
  <si>
    <t>.......................................................... 54000 obras de consideración. D. Diego de Cañas..................................... 22500 D. Josef Benito de Cuellar.................... 33007 12 Brusélás i% de abril. D. Felipe Fernandez Badillo.................. 45000 D. Josef Alegre................................…</t>
  </si>
  <si>
    <t>............. 3195 D. Patricio Josef González y Tricio.. 10480 Doña María Aoa Ramírez de Estenoz. 18000 D. Francisco de Panla Batanero......... 16S00 D. Josef Benito de Cuellar........... . 4951 3 D. Josef Raiz de Oslada..................... 80000 D. Martin María Novia..... ........................ 5000 Daña María Francisca A…</t>
  </si>
  <si>
    <t>de Cuenca, Andrés</t>
  </si>
  <si>
    <t>Andrés de Cuenca</t>
  </si>
  <si>
    <t>Mantilla............ 2200 D. Luis Calvo, id.......................... ...................... 2 200 D. Francisco Morente , id. en Agilitar....... 22co D. Andrés de Cuenca , id............... .............. 2 200 D. Juan Bcrral , lego, id. en Córdoba....... 1100 D. Juan Moreno , id. en Torremilans........... 2 200 Ex- trinitari…</t>
  </si>
  <si>
    <t>de Cuerno, Josef</t>
  </si>
  <si>
    <t>Josef de Cuerno</t>
  </si>
  <si>
    <t>.... 2200 articulo 1. „Se reconocen acreedores al te­ D. Hipólito García, id. del logar de Somo. 2200 soro público los ex-regnlares que se expresan á D. Josef de Cuerno, id. de Cueto.............. 2209 continuación, por las cantidades que respectiva­ D. Pantaleon Salmón, id. de’Camargo....... 2200 mente se let designan. 0. Jo…</t>
  </si>
  <si>
    <t>de Cunes, Ramón</t>
  </si>
  <si>
    <t>Ramón de Cunes</t>
  </si>
  <si>
    <t>leterio Ruiloba, natural de San Vi­ D. Josef del Rio, id. de Santander............. 2200 cente de la Barquera................................... 2200 D. Ramón de Cunes........................... 2200 D. Antonio Gordo Arce , id. del valle de D. FranciscoAguileras, id. de Solares.......... 2200 Toraozó......¡.2::..;...:........…</t>
  </si>
  <si>
    <t>de D, Don José Momledeu y</t>
  </si>
  <si>
    <t>Don José Momledeu y de D</t>
  </si>
  <si>
    <t>1000</t>
  </si>
  <si>
    <t>argo general para conducir galleta, ar* roz y otros artículos á Talayera. Elche de la Sierra 16 de 'mayo. El 23 de abril reunidos los escuadrones dei teniente coronel Don José Momledeu y de D. Diego Navarro, sargento mayor del de hú­ sares de Camuñas, se dirigieron ú Aranju-sz en busca de la guarni­ ción. Navarro con loa suyo…</t>
  </si>
  <si>
    <t>de D, Mateo Oronoz y</t>
  </si>
  <si>
    <t>Mateo Oronoz y de D</t>
  </si>
  <si>
    <t>edio qué huir abandonando sus embarcaciones , y sucesivamente lo iban verificando, hasta que al fia, adelantándose nuestras lanchas con el exemplo de D. Mateo Oronoz y de D. Antonio Ugarrechena, capitanes de la balandra JVie•ves y goleta Manuela, que avanzaron á ?a cabeza de ello*, despre­ ciando lis fuegos que ei enemigo les…</t>
  </si>
  <si>
    <t>de D, Rafael Senderos y</t>
  </si>
  <si>
    <t>Rafael Senderos y de D</t>
  </si>
  <si>
    <t>cho va’or y pe­ ricia, y merecen un particular aprecio los tenientes D Jo.Roca y D. Antonio .Fuentes ,'del real cuerpo de artillera, y la compon-a de D Rafael Senderos y de D. Juan Collados, del lixo dtr México; la caballería del capitán D. Cárlos Cepeda, la da D. Jo sé Pomar,</t>
  </si>
  <si>
    <t>de Di-go, Angel</t>
  </si>
  <si>
    <t>Angel de Di-go</t>
  </si>
  <si>
    <t>e barrio D. Pedro Q-vetami CLbezas. ' . D. Joan L&lt;so de la Veg-. Diputados seculares Diputado eclesiástico D. Gregorio Uriondo. D. Juan Meti&gt;'a. . .. D. Angel de Di-go. Diputados seculares D. Francisco de Santiago. D. Félix A var z VilLt. .ó. Secretario . D. Juan Josef Rubio. D. Vicente M., ri* Teraya. D. Jostf Carranza. .. ;…</t>
  </si>
  <si>
    <t>de EchagUea, Julián Ocboa</t>
  </si>
  <si>
    <t>Julián Ocboa de EchagUea</t>
  </si>
  <si>
    <t>su mismo taller. Su mansión en España con­ mnerte de D. Joaquín Ruiz de Lfizana , ,al doctor tribuyó mucho á los adelantamientos de las bellas artes, D. Julián Ocboa de EchagUea; y para otro de la y áextender el buen gusto; y sus obras son una de las de Ribavellosa, en la misma provincia , vacante principales partes que adorn…</t>
  </si>
  <si>
    <t>de Echanove, Antonio Fernando</t>
  </si>
  <si>
    <t>Antonio Fernando de Echanove</t>
  </si>
  <si>
    <t>argo, después dei cusí ha empezado el fuego por parte de los enemigos. La retagu&amp;rdia del exército aliado permanece á media legua de Burgos.” Deseoso D. Antonio Fernando de Echanove, de Canaria, de ma&lt; nffsgtar en el dia mas feliz .de la publicación de la constitución po­ tra hecho el donativo de 300 pasos sencillos para Isa …</t>
  </si>
  <si>
    <t>de Echevarría, José Juan</t>
  </si>
  <si>
    <t>José Juan de Echevarría</t>
  </si>
  <si>
    <t>. Don Antonio Mirón , 10. D. Juan Buzca. 15. J#sé Maria Gainza, 6 D. José Ariza, 6. D. Domingo Pombar, 16. D. Antonio Lardo, 16. D. Ramón Ribero, 10. D. José Juan de Echevarría , 25. D. Juan Midan, 100. D. Bernardino Salado . 12. D Ignacio Aviles, 100. D. José de.Silva , 6. D. Juan Ferrusola, 50. D. Atanasio l.arios , 10. D J…</t>
  </si>
  <si>
    <t>de Echeverría, Fórmerio Ignacio</t>
  </si>
  <si>
    <t>Fórmerio Ignacio de Echeverría</t>
  </si>
  <si>
    <t>. Berna 21 de febrero. dio de su apoderado D. Juan Crisóstomo de Bustillo........................ 425 12 El gobierno de este cantón va haciendo cada D. Fórmerio Ignacio de Echeverría. 2000 dia nuevas mejoras en todos los establecimientos D. Pedro Ferrer...... ............................. 10992 9 científicos y de beneficencia…</t>
  </si>
  <si>
    <t>de Eguiuo, Juan</t>
  </si>
  <si>
    <t>Juan de Eguiuo</t>
  </si>
  <si>
    <t>l periódico titulado Times, 25. Un amigo de E. M. D., 17. D. José Barn, 2Z. D. Antonio Muñoz, 40. Los señores Co-okas, J&amp;ckson y corapañí*!, 10 y 10. D. Juan de Eguiuo, 10. F. A S., 10. G. VV por E. M. O. 21. D. Y. Pa- y&amp;rt, 50. Los se ñores Paiyart, 10 docenas de camisas. Los señores Mirtinez , Tnnubey yBitke, 100. Doña Jan …</t>
  </si>
  <si>
    <t>de Egunaz, Martin</t>
  </si>
  <si>
    <t>Martin de Egunaz</t>
  </si>
  <si>
    <t>e­ sen de vista el punte de Ameyugo, y los cuerpos primero , segundo, tercero y cundo de Iberia y 4 piezas de artillería, á iai órdenes de mi segunda D. Martin de Egunaz marchasen á incorporarse. Llega­ ron á Alt able á las 2 de la nmi :na, y hecho un corto alto salieron para Foncea. Hice yo lo mismo desde Cabo, en donde can …</t>
  </si>
  <si>
    <t>de Eí, Antonio Xhnenez</t>
  </si>
  <si>
    <t>Antonio Xhnenez de Eí</t>
  </si>
  <si>
    <t>a María González Moreno............... loboo Santa Eufemia- Esta plaza se adornará con la co­ Doña Josef- C ya'gt por medio de su lima Trajma. marido D Antonio Xhnenez de Eí célebre botánico Nectons ha sido nombrado Muriilo...................................................... 16200 director de los j trdir.es'de Roma: se ie e…</t>
  </si>
  <si>
    <t>de Eizaguirre, Miguel</t>
  </si>
  <si>
    <t>Miguel de Eizaguirre</t>
  </si>
  <si>
    <t>ano que faé del consejo y cámara de Indias; y para fiscales del mismo tribunal á D. Ramón López Pelegrin, fiscal que fué dei consejo de Hacienda, y á D. Miguel de Eizaguirre, fis­ cal de lo criminal en la audiencia de Lima. Asimismo la Regencia de las Españas ha nombrado en 7 del cor­ riente, para las 16 plazas de ministros d…</t>
  </si>
  <si>
    <t>de Elguedo, Joaquín</t>
  </si>
  <si>
    <t>Joaquín de Elguedo</t>
  </si>
  <si>
    <t>, id., tí. D. Juan Otero , amanuense , 4. D. José María Arricia por el importe de 5 vestuarios de tropa de caballería, 14-5. Comerciantes de Piltra. D. Joaquín de Elguedo , juez diputado del co­ mercio , 2JO. D. Manad Camino, itl. segundo, 100. 30. Joaquín de Elguero y Aloo , 250. D. Tomas Cavieses , del cuerpo de pilotos del…</t>
  </si>
  <si>
    <t>de Eslava, José</t>
  </si>
  <si>
    <t>José de Eslava</t>
  </si>
  <si>
    <t>e la Barrera, 83 y 2 y medio. D. Ja­ sé Muelle , 83 y 2 y medio. D. Capistrano Flores, 83 y 2 y medio. Oficia­ les de libros. D, Domingo Moreno , 50. D. José de Eslava , 50. Amanuenses. D. Justo Díaz , 41 y 5. D. José Mariano Arris , 41 y 5. D. Juan Zapatiu. 41 y 5. D. Julián Sarmiento , 41 y 5. D.' Juan Cosío , 41 y 5. D. Al…</t>
  </si>
  <si>
    <t>de Espa, Carlos</t>
  </si>
  <si>
    <t>Carlos de Espa</t>
  </si>
  <si>
    <t>e Aranjuez y Ma­ la Cornña. El 2 5 hizo alto, y el enemigo atacó drid). nuestra izquierda en Villamuriel; pero fue recha­ Las divisiones españolas de D. Carlos de Espa­ zado por la quinta división. La destrucción de los ña y del conde de Penne Villeinur están con el te­ puentes sobre el Carrion no pudo efectuarse , lo niente …</t>
  </si>
  <si>
    <t>de Espi, José</t>
  </si>
  <si>
    <t>José de Espi</t>
  </si>
  <si>
    <t>amigo de D. Enrique Dowei, 50. M. y 8., 100. D. Juan de Agreda, 21. Un asturiano, 10. E. M. D., 200. Doa Mauricio Onis, 10. G. T. M. y compañía, 100. D. José de Espi­ nosa, 50. I). Manuel Fiorez , 20. Un amigo de Fiorez, 10. D. Fer­ mín de Taatet, 200. D. J. C. de Bsmales, 105. O. Di?go Coion, 10. El R. Di. CoUin3,Sl y 10 che…</t>
  </si>
  <si>
    <t>de Espinosa, Jacobo Mstia</t>
  </si>
  <si>
    <t>Jacobo Mstia de Espinosa</t>
  </si>
  <si>
    <t>, D. Ventura Escalio , D. Agostía de Salazar 9.,D. Joaquín Escario, D Jaecho Escario y D. Luis Cepeda; y empleos tle ayudantes segundos á los adictos D. Jacobo Mstia de Espinosa, teniente del regimiento de Badajoz, D. José Cruz Mulle?, alférez de navio de !a armada naciera t, D. José O riega, teniente dél regimiento de infant…</t>
  </si>
  <si>
    <t>de Espinosa, Sebastian</t>
  </si>
  <si>
    <t>Sebastian de Espinosa</t>
  </si>
  <si>
    <t>., 30. el presbítero D. Manuel Echevarría, id. 36. D. Manuel Díaz, por 10,90. D. Francisco Ferrer Salomer y sus hijos, du­ rante dos años, por 2, 18. D. Sebastian de Espinosa y sus hijos, id., 18. Don José Uz, por un año, por uno, 9 D. Antonio Bocalandro , id. 9. D. Manuel Gómez de las Bárconas, por 2, 13 D. Francisco de Borj…</t>
  </si>
  <si>
    <t>de Estenoz, María Aoa Ramírez</t>
  </si>
  <si>
    <t>María Aoa Ramírez de Estenoz</t>
  </si>
  <si>
    <t>a Juana D. Ramón María de Ripa....... ............ 5x6ñií no María López de Robredo................. 3195 D. Patricio Josef González y Tricio.. 10480 Doña María Aoa Ramírez de Estenoz. 18000 D. Francisco de Panla Batanero......... 16S00 D. Josef Benito de Cuellar........... . 4951 3 D. Josef Raiz de Oslada....................…</t>
  </si>
  <si>
    <t>de Estenoz, María AriaULuiz</t>
  </si>
  <si>
    <t>María AriaULuiz de Estenoz</t>
  </si>
  <si>
    <t>pitales civiles de esta Di Josef López.................................... 18000 corte..... ............................................... 23040 jr■ Doña María AriaULuiz de Estenoz..... 90090 D. Angel de Urruehi............................. 11520 D. Antonio de ¡Medíene lo..................... 18000 D. Antonio Alvarez........…</t>
  </si>
  <si>
    <t>de Esterripa, Nicolás Vicente</t>
  </si>
  <si>
    <t>Nicolás Vicente de Esterripa</t>
  </si>
  <si>
    <t>l zelo que la anima , y da la prueba mas D.......... Boisson.................................. roo aniéntica de quanto puede practicarse en beneficio D. Nicolás Vicente de Esterripa. 72.-32 de! pueblo, siempre que haya honradez y cons­ D.......... Urruela.................................. 72.-32 tancia para hacer el bien. Asi…</t>
  </si>
  <si>
    <t>de Estrada, Antonio</t>
  </si>
  <si>
    <t>Antonio de Estrada</t>
  </si>
  <si>
    <t>Jiabia recogido-por .el genero.^ce acaba­ Sevilla, vacante por muerte de D. Domingo .Ra­ ba de veoder , le maltrató^ Je hirió basta 17 veces mírez, á D. Antonio de Estrada, .ex-franciscana con.iioa. navaja , y le dexó abandonado! después descalzo. . , que Jeirobó Jai caballería yi 40 -realesi, sínico, dine­ , -Pata el benefic…</t>
  </si>
  <si>
    <t>de Estrada, Manuel</t>
  </si>
  <si>
    <t>Manuel de Estrada</t>
  </si>
  <si>
    <t>por jueces, que han de agregarse al ya repe­ tido tribunal, á los Sres. D. Hermenegildo Rodríguez de Ribera, oidor de la chancillería de Valladolid; D. Manuel de Estrada, juez mayor de Viz­ caya, de la misma; D. Lorenzo Gotaredona, D. Francisco Assin y D. Juan de Quesada, abogados en esta corte. Por fiscal al Sr. D. Josef Her…</t>
  </si>
  <si>
    <t>de Falen, Manuel Jordán</t>
  </si>
  <si>
    <t>Manuel Jordán de Falen</t>
  </si>
  <si>
    <t>faxas luminosas tan anchas co­ Santiago de la ciudad de Gnadix, vacante por as­ mo el diámetro del sol. Estas dos faxas baxaban censo de su poseedor D. Manuel Jordán de Falen­ perpendicularmente al horizonte , y en la parte in­ cia, al ex-agustino calzado D. Antonio Cortés, terior, esto es, en lo mas inmediato al sol, presen­…</t>
  </si>
  <si>
    <t>de Faria, Joan</t>
  </si>
  <si>
    <t>Joan de Faria</t>
  </si>
  <si>
    <t>fe general de infantería ; 'del genéíál Mcr. in , capitán ge-resal de xe? vi­ cio ; del general Guy y del n •erque» de Palacio, ayudantes de Jceó* de D. Joan de Faria, inspector de ¡Vfí trepes es pañetes ; del general Luco* te, caballerizo de servicio ; del conde de- S. Anastasio, secre­ tario; del conde de Metilo, aposentado…</t>
  </si>
  <si>
    <t>de Faría, Juan Alvarez</t>
  </si>
  <si>
    <t>Juan Alvarez de Faría</t>
  </si>
  <si>
    <t>algunos que, prefiriendo su­ frir la pena merecida á su trayeion, se han separado de su lado. En Albace­ te se quedaron ocultos el mariscal'de campo D. Juan Alvarez de Faría, el ex-asistente de Sevilla Hore y varios oficiales; todos los que se presentaron al general Bassecourt, quien los envió con una escolta al quartel gener…</t>
  </si>
  <si>
    <t>de Feria, Irsef</t>
  </si>
  <si>
    <t>Irsef de Feria</t>
  </si>
  <si>
    <t>............................... 2203 se logrará aclimatarla completamente. D. Antonio García , id....................................... 2200 ESPAÑA. D. Irsef de Feria , id.......................................... 2 2co D. Josef Portal, id............................................. 22co D. Salvador O doñez, id.............…</t>
  </si>
  <si>
    <t>de Feria, Juan</t>
  </si>
  <si>
    <t>Juan de Feria</t>
  </si>
  <si>
    <t>Urqaijo.” Ese trinitarios calzados. JD. Martin Serrano, residente en Córdoba.. 2200 IIBRO. D Mariano Apolínario, id............................. 2200 D. Juan de Feria , id....................................... . 2 2- o La Moral universal , ó los deberes del hombre, D. Francisco de Pana Soldevilla, id........... 2200 fundados…</t>
  </si>
  <si>
    <t>de Flores, Antonio</t>
  </si>
  <si>
    <t>Antonio de Flores</t>
  </si>
  <si>
    <t>ozuelo y B &gt;rja , id...................... 2200 provincia de Guadalaxara...................... 2200 D. Pedro García y Lara , diácóno , id....... 2200 D. Antonio de Flores, id. en Cabra............ 2200 D. Manuel Vázquez , id........................... . 2209 D. Francisco Crespo del Pino, id. en Fer- D. Juan Rodríguez Vaso, id…</t>
  </si>
  <si>
    <t>de Flores, Manuel</t>
  </si>
  <si>
    <t>Manuel de Flores</t>
  </si>
  <si>
    <t>promovidos: muertos han sido también c-usa de calamidades D. Luis María Gileazo á ayudante primero. espantosas, como sucedió en Af'ica el año 629 de D. Manuel de Flores á ayudante segando. la fundación de Roma, en el qual innumerables D. M anuel de Trigo á abanderado. bandas de langostas, después de haber acabado con D. Juan …</t>
  </si>
  <si>
    <t>de Flores, Miguel</t>
  </si>
  <si>
    <t>Miguel de Flores</t>
  </si>
  <si>
    <t>................ 2200 D. Francisco Ñoñez, id. en Cabeza del D. Juan dé Dios Pastor", id...... .................. 2200 Buei...................... 2200 D. Miguel de Flores, idí.I......................... 2200 D. Basilio Manso, diácono, id. en Espiel. 2200 D. Antonio Ortiz, id................... ................ 2200 Dt Francisc…</t>
  </si>
  <si>
    <t>de Fombellida, Juan Gabriel</t>
  </si>
  <si>
    <t>Juan Gabriel de Fombellida</t>
  </si>
  <si>
    <t>os, de exercicio cosrurera, casa­ tillo...................................................... 3392 3 da con Pedro Feret, albañil, de edad de 68 años, D. Juan Gabriel de Fombellida.......... ioat 29 y á un tal Homo , aprendiz trastejador, natural D. Francisco Xavier Ramos............... 3934 if de Suresnes, de edad de 1-8 años…</t>
  </si>
  <si>
    <t>de Foncerrnda, Melchor José</t>
  </si>
  <si>
    <t>Melchor José de Foncerrnda</t>
  </si>
  <si>
    <t>ondcñedo; al marques de Astorga, conde de Altanaba; al marques del Castelar, teniente general de los exércitos nacionales ; á D Mar­ tin de Garay ; á D. Melchor José de Foncerrnda, oider de la au­ diencia de México ; á D. Francisco X avicr Castaños, capitán ge­ neral de los exércitos nacionales; á D. José Raqui ja no y Carril…</t>
  </si>
  <si>
    <t>de Foronda, Juan Ortiz</t>
  </si>
  <si>
    <t>Juan Ortiz de Foronda</t>
  </si>
  <si>
    <t>dro Antonio Molina , por el mes ele febrero, 50. El teniente coronel D. Francisco García Miralles, 13 y 4 rs. El abogado D. Manuel Perez Tudela , 73. D. Juan Ortiz de Foronda* 200. D. Pedro Ortiz de Aviles, cura de S. Marcelo, 100 —Colectado en fot pueblos de la provincia de Huarochiri por su gobernador D. Juan Ramírez. Sto. …</t>
  </si>
  <si>
    <t>de Frangoni, Juan José</t>
  </si>
  <si>
    <t>Juan José de Frangoni</t>
  </si>
  <si>
    <t>entregar á la Excma. Sra. marquesa de Villafranca , presidenta de la junta patriótica de Fernando VII : 1&amp;5Q pesos y 7 reales donativo colectado por D. Juan José de Frangoni en virtud de comisión del mariscal de campo D. Mariano Renova­ les á consignación de D. Francisco Escudero Issasi: 24 botones de oro: una sortija de esme…</t>
  </si>
  <si>
    <t>de Freiberg, Lampadius</t>
  </si>
  <si>
    <t>Lampadius de Freiberg</t>
  </si>
  <si>
    <t>644</t>
  </si>
  <si>
    <t>qoe la junta de Buenos-Aires ha declaradora gnerra al gobier­ Augs burgo 28 de abril. no portugués. Se ha tratado en las dos cámaras del parlamen­ £1 profesor Lampadius de Freiberg en Saxonia to del mensage de Mr. Madisson , concerniente á ha descubierto el medio de extraer un excelente las tentativas hechas por el gobierno i…</t>
  </si>
  <si>
    <t>de FreyTambién, Lampadius</t>
  </si>
  <si>
    <t>Lampadius de FreyTambién</t>
  </si>
  <si>
    <t>Gaceta de Madrid n.º 197</t>
  </si>
  <si>
    <t>de los regimientes fronteri­ cubrimiento dé sacar azúcar y almidón de las pa­ zos de Esclavónia han salido para la Transilvatiia. tatas, hecho por el profesor Lampadius de FreyTambién han marchado al mismo destino dos re­ berp. gimientos de caballería húngara. No solamente se De siete libras y media (medida dis Ulma) dé ha re…</t>
  </si>
  <si>
    <t>de Frias, Antonio</t>
  </si>
  <si>
    <t>Antonio de Frias</t>
  </si>
  <si>
    <t>de caballería D. Ma­ nuel Noriega, por 3 , durante un año, 27. X). Sebastian José de Peñalver, por 3 , durante el tiempo que fuere de su agrado , 27. D. Antonio de Frias, por 2, durante la guerra, 18. D. Pascual Pluma, por uno id., 9. D. José Na­ ranjo , por uno, por el tiempo que le sea posible ,9. El marques de CasaPeñalver…</t>
  </si>
  <si>
    <t>de Frías, Juan</t>
  </si>
  <si>
    <t>Juan de Frías</t>
  </si>
  <si>
    <t>D. Josef Buelga.*. ' tiérrez sobtenientel D. Pedro Espinosa. art. vii. -En la villa de Pedroche se formará D. Juan Antonio Gutiérrez. media compañía. D. Juan de Frías. Queda nombrado capitán de ella D. A-onsO D. Agustin Pádillo. Montero , y subteniente D. Ataoasio Misas. art. ni. En la villa de Aguiíar se formará ART. viii. E…</t>
  </si>
  <si>
    <t>de Fuentes, Josef Mor</t>
  </si>
  <si>
    <t>Josef Mor de Fuentes</t>
  </si>
  <si>
    <t>a superior , con dos batallas figuradas, la una sobre, Madrid, / la otra sobre Aran juez, precedidas de arengas adecuadas á las circuns­ tancias: por D. Josef Mor de Fuentes. Se hallarán en la librería de Perez, calle de las Carretas. Tarifa del valoí intrínseco de todas las monedas de oro y plata del Rey in­ truso labradas e…</t>
  </si>
  <si>
    <t>de Fuertes, José</t>
  </si>
  <si>
    <t>José de Fuertes</t>
  </si>
  <si>
    <t>id., 9. El escribano D. Cayetano Ponton, id., 9. D. An. tonio Rodríguez , mensuales , 4. El comisario ordenador administrador prin- cipal de correos D. José de Fuertes, 1000 anua'es que disfruta de sobresuel­ do. El contador D. Félix López Ayllon , mensuales, 18. D. José María Piar, id., 9. D. Juan Alonso Carriazo, id., 9. D.…</t>
  </si>
  <si>
    <t>de Funes, Vicente</t>
  </si>
  <si>
    <t>Vicente de Funes</t>
  </si>
  <si>
    <t>ancia de nuestra historia. Ella nos hace ver que D. Felipe Cíñete, id. en Aicauicte.......... 2 200 España por sus ap-eciables circunstancias , y por D. Vicente de Funes, id............ ................ 2200 su peso en la balanza política de. Europa, ha sido D. Fedro M'reno, id. en Porcuna............. . 2200 dominada por tod…</t>
  </si>
  <si>
    <t>de Galinscga, Francisco Martínez</t>
  </si>
  <si>
    <t>Francisco Martínez de Galinscga</t>
  </si>
  <si>
    <t>s, alcaldes del crimen y fiscal de !a real au­ diencia de Galicia; del intendente del reyno IX C-sáreo Gaidcntd; del eider de la audiencia de Cácsres D. Francisco Martínez de Galinscga; del corregidor de la Corisña O. José Alonso Val:?enebro; del prior de la colegiata de la misma ciutl&amp;d D. Miguel de Castro y Frgueroa ; del p…</t>
  </si>
  <si>
    <t>de Gamez, Gil</t>
  </si>
  <si>
    <t>Gil de Gamez</t>
  </si>
  <si>
    <t>lo tnismo que en las dos anteriores mudanzas de D. Vicente Carpió, id. en Linares............. 2200 dinastía, que ha sido oponer la mas obstinada re­ D. Gil de Gamez, id. en Jaén................... 2200 sistencia al nuevo orden de cosas, sin escarmentar D. Francisco Martínez, id. en AicauJete.. 2200 con lo pasado, ni pararseá…</t>
  </si>
  <si>
    <t>de Gamis, Juan Polo</t>
  </si>
  <si>
    <t>Juan Polo de Gamis</t>
  </si>
  <si>
    <t>iz á 23 de junio de 1812. —A D. José Vázquez Figueroa.” Con fecha de 8 de abril último participa el encargado de nego­ cios de España en Sicilia, que D. Juan Polo de Gamis , natural de Valiadoiid, y administrador general de los estados de Módica en aquel reyno, ha puesto á su disposición en febrero anterior el im­ porte de 20…</t>
  </si>
  <si>
    <t>de García, Francisco de Paula</t>
  </si>
  <si>
    <t>Francisco de Paula de García</t>
  </si>
  <si>
    <t>r ; id.i..-;...... ................... 22co D., Manuel García , residente en Santa Ella. 22c» D. Bernardo de Cáceres, id........................ 2200 D. Francisco de Paula de García , diáco­ D. Manuel de Agua- hermosa , id............... 2200 no, id............................................. i.......... 22CG D. Juan Muñoz, …</t>
  </si>
  <si>
    <t>de Garro, Atanasio</t>
  </si>
  <si>
    <t>Atanasio de Garro</t>
  </si>
  <si>
    <t>20 de moda, porque tenia un gran marco de cornisa D. Lorenzo de Nielfa................... 5979 i*! labrado por el estilo gótico, y negro como un aza­ D. Atanasio de Garro.................. 5979 bache ; pero la luna era buena, aunqne estaba lle­ D. Luis Cancano de Cancio..... . 752» 2 na de manchas, y todo él perdido de polvo …</t>
  </si>
  <si>
    <t>de Gcyccechea, Miguel</t>
  </si>
  <si>
    <t>Miguel de Gcyccechea</t>
  </si>
  <si>
    <t>16 heridos. Recomiendo á V. E. el teniente D. Joaquín Ignsralde, y el subteniente 1&gt;. Xavier Cslayar&amp;n , y en particular el subteniente de artillería D. Miguel de Gcyccechea, quien por or­ den del general en gefe Sr. Danglas batió con el mayor acierto, el castillo, é igualmente al sargento primero de cabal ¡mía Beltrac Aldsz,…</t>
  </si>
  <si>
    <t>de Gibralfar, Antonio López de Salabaterías</t>
  </si>
  <si>
    <t>Antonio López de Salabaterías de Gibralfar</t>
  </si>
  <si>
    <t>sto otra vez en gasta , juez de primera instancia en esta vil la, y por ia la necesidad de ponerse baxo ia protección de las escribanía del número de D. Antonio López de Salabaterías de Gibralfar; esta’ es una posición media zar, be ha mandado sacar á pública subasta por térmi­ entre las tropas francesas, qne no dexan salir á…</t>
  </si>
  <si>
    <t>de Goicoechea, Agustín</t>
  </si>
  <si>
    <t>Agustín de Goicoechea</t>
  </si>
  <si>
    <t>rtelfuerte. El Sr. D. Pedro Baranda. El Sr. D. Manuel de Rivacoba y Gorbea* El Sr. D. Josef de Manzanilla. El Sr. D. Francisco Gutiérrez Sossl El Sr. D. Agustín de Goicoechea. El Sr. D. Pedro Uñarte. El Sr. D. Francisco Marchámalo. El Sr. D. Mariano de San Juaa. El Sr. D. Josef de Arratia. El Sr. D. Domingo DutarL El Sr. D. L…</t>
  </si>
  <si>
    <t>de Goieoechea, Gaspar</t>
  </si>
  <si>
    <t>Gaspar de Goieoechea</t>
  </si>
  <si>
    <t>rvido la Regencia del reyno conferir empleos de ayudantes gene­ rales á los ayudantes primeros los coroneles D. Ds^mingo Martínez, D&gt; Jné Castellar y D. Gaspar de Goieoechea , al'.teniente coronel D. Santiago Bañueics y al coronel D. Ildefonso Diez de Ribera : em­ pleos de ayudantes primeros á los segundos D. Francisco de Pau…</t>
  </si>
  <si>
    <t>de Góiigora, Cristóbal</t>
  </si>
  <si>
    <t>Cristóbal de Góiigora</t>
  </si>
  <si>
    <t>bservada en ta­ les casos , hubieren vuestros antecesores puesto siempre la firma en­ tera. —- Está rubricado. — En Cádiz á 3 de Octubre de 1812. — A D. Cristóbal de Góiigora.” Relación de las partidas conducidas de la Habana en el navio de guerra Miño por cuenta de la hacienda pública, sobre cuyo deslino no se ha recibido en…</t>
  </si>
  <si>
    <t>de Goiri, Manuel Francisco</t>
  </si>
  <si>
    <t>Manuel Francisco de Goiri</t>
  </si>
  <si>
    <t>ldas devengados can anterioridad d la época de &lt;5 de julio de /Soja. Preparación del terreno. Rs, Mr». A los terrenos que se destinan para sembrar el D. Manuel Francisco de Goiri por.... 3913 3* pastel se le* dan mas ó meaos labores, según su</t>
  </si>
  <si>
    <t>de Goisegundo, Juan Bautista</t>
  </si>
  <si>
    <t>Juan Bautista de Goisegundo</t>
  </si>
  <si>
    <t>. 260 3» quatro meses á dicho jóven á que viviese con ella D. Juan Ccberio, por medio de su criminalmente, y á que matase á su marido; y el apoderado D. Juan Bautista de Goisegundo de haber puesto por su parte todos los tia................................ 1148 4 medios para execntar el asesinato, ocultándose D. Ildefonso Sagú…</t>
  </si>
  <si>
    <t>de Góngora, Cristóbal</t>
  </si>
  <si>
    <t>Cristóbal de Góngora</t>
  </si>
  <si>
    <t>1359</t>
  </si>
  <si>
    <t>­ quín de Mosquera y Figueroa. — Juan Villavicencio.— Ignacio fiodriguez de Ricas.—Ju ra Pere% Villc.mil. — En Cádiz á 17 de No­ viembre de 1812. — A D. Cristóbal de Góngora. Circular del ministerio de Hacienda. Al intendente de Guadalaxara digo con esta fecha, con motivo de una representación del escribano de consolidación d…</t>
  </si>
  <si>
    <t>de Gordon, Miguel</t>
  </si>
  <si>
    <t>Miguel de Gordon</t>
  </si>
  <si>
    <t>al Gómez y { ma, según dicho decreto de las CocGüemes................................. ............ ..j tes de 25 de mayo último. Y secretario el Sr. D. Miguel de Gordon. nota. En la gazeta anterior, pág. 94, ea donde dice exército de S$ult9 substituyase exército de Ssuchet* En la imprenta real de esta corte se hallan de vent…</t>
  </si>
  <si>
    <t>de Gorosabel, José</t>
  </si>
  <si>
    <t>José de Gorosabel</t>
  </si>
  <si>
    <t>fradía de S. Crispir» , 2009. El teniente coronel de milicias 3). Simen de la Valle , por sí como mayordomo de la compañía de Jesús Na­ zareno , 500. D. José de Gorosabel , mayordomo de la purísima de S. Fe­ lipe Neri, por sí, 200. D. Manuel Fernandez de los Ríos , mayordomo de las cofradías de Remedios , de Burgos y Piedad ,…</t>
  </si>
  <si>
    <t>de Gorostiza, Francisco Xavier</t>
  </si>
  <si>
    <t>Francisco Xavier de Gorostiza</t>
  </si>
  <si>
    <t>á capitán ;, D. Lamber*. Dupoot, subte-, setvído promover al comandante de batallón dé in­ niente , á tenieate, y D. Aogel. Brida, sargenta; fantería D. Francisco Xavier de Gorostiza á coro- primero , á subteniente. Extracto de las minutas de la secretaría de Estado. En nuestro palacio de Madrid á x8 de marzo de rita. Don Jos…</t>
  </si>
  <si>
    <t>de Goyeneche, José Manuel</t>
  </si>
  <si>
    <t>José Manuel de Goyeneche</t>
  </si>
  <si>
    <t>e-, rido Ponferrcda, que ha acreditado grande valor y prudencia en la execucion de mis órdenes.— Una rúbrica.— M. I. S. presidente, ge­ neral en gefe D. José Manuel de Goyeneche.'” De la misma ciudad, 10 de setiembre. Después de la memorable victoria que las armas del Rey manda­ das por el brigadier Goyeneche consiguieron el …</t>
  </si>
  <si>
    <t>de Granada, Ballesteros de la</t>
  </si>
  <si>
    <t>Ballesteros de la de Granada</t>
  </si>
  <si>
    <t>alaxara y Madrid , y es digna de todo elogio. Pd capítulo de Alicante, puesto en el número anterior, se tomó de la gazeta dé Valencia, y el olido del general Ballesteros de la de Granada. Instrucción familiar, política y moral sobre el origen y naturaleza de la sociedad civil, que se llama estado, y sobre los derechos y obiig…</t>
  </si>
  <si>
    <t>de Gregorio, Francisco</t>
  </si>
  <si>
    <t>Francisco de Gregorio</t>
  </si>
  <si>
    <t>róte, ginebrino , ex ciiujano en Se ha servido nombrar al capitán del real cuerpo ge fe del hespir.*! general de Ginebra , corresponsal de ingenieros D. Francisco de Gregorio capitán de! instituto imperial , profesor de anatomía , de de la compañía de zapadores de la guardia real, cirugía y de partos ; y ¡a segunda de Mr. J¡-…</t>
  </si>
  <si>
    <t>de Guadalaxara, Joaquín Jurado Valdelomardel</t>
  </si>
  <si>
    <t>Joaquín Jurado Valdelomardel de Guadalaxara</t>
  </si>
  <si>
    <t>ntes de infantería D. Alfonso de Tuero y Hevia , del regimiento de Can­ tabria y D. Silvestre Palacios, del batallón del general del cuarto exército, D. Joaquín Jurado Valdelomardel de Guadalaxara, Don Juan de Arcos y Gallego, del segundo de Sevilla, D. Pedro Massieu, del de granaderos de Canarias, y al subteniente con grado …</t>
  </si>
  <si>
    <t>de Gue, Manuel de Ayala Ladrón</t>
  </si>
  <si>
    <t>Manuel de Ayala Ladrón de Gue</t>
  </si>
  <si>
    <t>ndo sobie todo ia sociedjd acabar con Por decreto del mismo dia se ha a«1 visJ■ &gt; S. M. los barbéenos, que inutilizan todos los años la ma­ nombrar á D. Manuel de Ayala Ladrón de Gue­ yor parte de nuestro suelo cultivable, desea que vara secretario del archivo general de Simancas. los concurrentes se va g n del cultivo de las…</t>
  </si>
  <si>
    <t>de Guirior, María Ventura</t>
  </si>
  <si>
    <t>María Ventura de Guirior</t>
  </si>
  <si>
    <t>..( -D. Fíuaciseo yP.ADuuci R,moí. 347oí ti D, Josef María Guirior..,.................. 35099 33 D. Juan de OSiver............... ........... . 12775 Doña María Ventura de Guirior..,. 79199 33 P.Blas Lope* Sancho...... ............ . 2250» Los herederos de P. Nicolás CaPc/ña CoOítaoaa de Lista , como looge....................…</t>
  </si>
  <si>
    <t>de Guizaburuaga, Ramón</t>
  </si>
  <si>
    <t>Ramón de Guizaburuaga</t>
  </si>
  <si>
    <t>-subteniente, i te­ nuestras embarcaciones correspondieron con igual niente de la tercera compañía. vigor. El combate doró desde las siete hasta las D. Ramón de Guizaburuaga, subteniente , á diez de la mañana. Los enemigos, viendo qae í teniente de la octava compañía. •• pesar del mayor número de sus cañones y del ma­ D. Bern…</t>
  </si>
  <si>
    <t>de Gustara, Antonio</t>
  </si>
  <si>
    <t>Antonio de Gustara</t>
  </si>
  <si>
    <t>omiéndeos otra Ave Muía por S. A. de este párrafo la siguiente cita : Víate ia letra escri­ de la Reina nuestra Señora Doña .María de Padilla, ta por D. Antonio de Gustara al obispo de Zamora porque Dios la guarde , que á la verdad estos son los desde Medina de Rioseco en 20 de diciembre de 15-21. Reyes verdaderos, que todos …</t>
  </si>
  <si>
    <t>de Guzinan, Josef Vaca</t>
  </si>
  <si>
    <t>Josef Vaca de Guzinan</t>
  </si>
  <si>
    <t>Ramón de Villalba. También han sido nombrados para formar la audiencia de esta capital* 12 señores ministros por el orden siguiente. Regente. EL Sr. D. Josef Vaca de Guzinan. Ministros. Sr. D. Francisco Alfonso de Tuero. = Sr. D. Ildefonso Cres­ po Mayor. = Sr. D. Vicente María Cabero. = Sr.- D. Francisco Cándido Paz. = Sr. D…</t>
  </si>
  <si>
    <t>de Guzman, Castor López</t>
  </si>
  <si>
    <t>Castor López de Guzman</t>
  </si>
  <si>
    <t>jón, ESCRITA POR MI EN EL ULTIMO PERIODO ! para el de Castañar de Xbor, vacante por muerte de D. Manuel Benito Laguna. DE LA REVOLTISA DE, ESPAÍÍA. A D. Castor López de Guzman, cura de .Re­ dueña , para el de Villaminaya , vacante por muer­ Ridkulum acri fortius, te de D. Josef Martin PereZ. t El que diga que la obra que escr…</t>
  </si>
  <si>
    <t>de Guzman, Pedro Perez</t>
  </si>
  <si>
    <t>Pedro Perez de Guzman</t>
  </si>
  <si>
    <t>. íe. F:rncu; y gracias en nombre de S. A. ai vicario ec:e¿ idílica D. Juan Francis­ co Yarda, recomendándolo á la real cámara, como ai cu-a deca­ no D. Pedro Perez de Guzman, según lo hr»go con ceta ficha, efil propio modo que al comisario general de Indias el rr é tr del radie Fr. José Peroso, religioso de S Francisco, para…</t>
  </si>
  <si>
    <t>de Guznian, Joan López</t>
  </si>
  <si>
    <t>Joan López de Guznian</t>
  </si>
  <si>
    <t>ario de Estado = Firmado = Mariano Luis D. Gerónimo de Bringas................ 5595 »7 de Urquijo.’’ D. Juan Dages Menor..................... 3429 *7 D. Joan López de Guznian............ 1263 *7 Por decreto de i» del corriente el REI se ha D. Juan Piedramillera....... .............. 26353 servido nombrar para el beneficio de …</t>
  </si>
  <si>
    <t>de Hercdiá, Fernando</t>
  </si>
  <si>
    <t>Fernando de Hercdiá</t>
  </si>
  <si>
    <t>de fusileros D. José de Cortés; idem de cazadores al segundo teniente con grado de teniente coronel D. José Solis ; primera tenen­ cia de fusileros á D. Fernando de Hercdiá, conde de Prado Caste­ llano, coronel agregado al regimiento primero de Saboya, y á los se­ gundos tenientes D. Joaquin Ruiz de Abreu y D. Cárlos O-Reylli…</t>
  </si>
  <si>
    <t>de Heredia, Manuel</t>
  </si>
  <si>
    <t>Manuel de Heredia</t>
  </si>
  <si>
    <t>........................................... 2200 D. Andrés Sanabria , residente en Madrid. 2200 D. Juan Zurita, id. en Andújar.................. 2200 D. Manuel de Heredia, id. en Bedmar...... 2200 Ex-capuchinos. D. Miguel Villanueva , lego, id. en Baeza. 1100 D. Manneí Flores, residente en Madrid.... 2200 D. Domingo Muñoz, id…</t>
  </si>
  <si>
    <t>de Herrera, Gonzalo</t>
  </si>
  <si>
    <t>Gonzalo de Herrera</t>
  </si>
  <si>
    <t>a Cal , por 2, á 10 ps. cada uno, mientras se halle en esta plaza, 20. El conde de Vallellano , por 2 , durante el tiempo que fuere su voluntad , 18. D. Gonzalo de Herrera, por 10, durante 3 años, 90 D. Clemente Hichazo , por 5 , ínterin no varíen las circunstancias , 15. El ayudante mayor de caballería D. Ma­ nuel Noriega, p…</t>
  </si>
  <si>
    <t>de Herrera, Isidro Agosrin</t>
  </si>
  <si>
    <t>Isidro Agosrin de Herrera</t>
  </si>
  <si>
    <t>4951 3 D. Josef Raiz de Oslada..................... 80000 D. Martin María Novia..... ........................ 5000 Daña María Francisca Adelaida'Roo- D. Isidro Agosrin de Herrera.............. 6034 17 yer.................. ........................-........ 43 200 D. Francisco Villalba , como niirido D. Apolinar Ronyer........…</t>
  </si>
  <si>
    <t>de Hesse, Cirios</t>
  </si>
  <si>
    <t>Cirios de Hesse</t>
  </si>
  <si>
    <t>545</t>
  </si>
  <si>
    <t>los ducados. Eu Noruega bai Astracán á- ¿Í42; CharkoW á *460; Ctierson á también otros 11 cuerpos. j8oo; Georgiewsk á 282a ; Jaroslaw á 739; Je- • El príncipe Cirios de Hesse es general en gef« katerinoslaw á 1623; Irkoutskpor Tobolsk á 601 j; dé las tropas de Noruega y de los ducados, y tie­ Idem "por’Ischim á 5795 ; Kalüga …</t>
  </si>
  <si>
    <t>de Hesse, Federico</t>
  </si>
  <si>
    <t>Federico de Hesse</t>
  </si>
  <si>
    <t>Gaceta de Madrid n.º 35</t>
  </si>
  <si>
    <t>GAZETA DE MADRID DEL MARTES 4 DE FEBRERO DE 1812. ESTADOS-UNIDOS DE AMERICA. S. A. S. el príncipe Federico de Hesse, que hace fas veces de gobernador del reino, se dignó hon­ Washington 22 de noviembre. rar con su presencia esta función verdaderamente nacional, que se concluyó con nn baile y un ban­ CAMA</t>
  </si>
  <si>
    <t>de Higuera, Huschio</t>
  </si>
  <si>
    <t>Huschio de Higuera</t>
  </si>
  <si>
    <t>... 28731 1$ ¡&gt;. A^r^s Defñflt'o R.ainn...... 1)200 f&gt;. Amonio A'umjuj..,....................... . 5040 zt P, Francisco Ramos................ . 10000 D. Huschio de Higuera.......................( -D. Fíuaciseo yP.ADuuci R,moí. 347oí ti D, Josef María Guirior..,.................. 35099 33 D. Juan de OSiver............... .....…</t>
  </si>
  <si>
    <t>de Hita, Juan</t>
  </si>
  <si>
    <t>Juan de Hita</t>
  </si>
  <si>
    <t>.................................... 2299 D. Francisco Cacado , id........ ................ 2200 D. Pedro Serrano, id......................... . 220O D. Juan de Hita, residente en Cañete de D. Rafael Perez y Carredas , id............ . 220® las Torres......................................................... . 2200 D. Juan Ant…</t>
  </si>
  <si>
    <t>de Huertas, Manuel</t>
  </si>
  <si>
    <t>Manuel de Huertas</t>
  </si>
  <si>
    <t>200 Rs^vn^ P. Francisco Avi'és , id.................................... 22co Ex-mínimos. P. Vicente Moyíno, id...... ........................... 22co D. Manuel de Huertas, id.............................. 2200 J&gt;. Francisco Díaz, residente eti Córdoba.. ’22oa D. Diego Sánchez Aguayo , id...................... 22C0 D. Francisc…</t>
  </si>
  <si>
    <t>de I-stuota, Juan Jacinto</t>
  </si>
  <si>
    <t>Juan Jacinto de I-stuota</t>
  </si>
  <si>
    <t>1096</t>
  </si>
  <si>
    <t>de la tenacidad .con que-aquéllos insistían, dispuso el oficial comandante de S.-Felipa, de acu¿rdo con los damas, que.pasase en na bote á Cu&gt; razao D. Juan Jacinto de I-stuota para traer viveras y cutrrdsmeeha, el que desempeñó exactamente su comisión cargando 2 goletas inghsmi (.¡ 2 lo híc diarioy&gt; Su la noche do 5 dí julio…</t>
  </si>
  <si>
    <t>de Ibarpüen, Tomas</t>
  </si>
  <si>
    <t>Tomas de Ibarpüen</t>
  </si>
  <si>
    <t>zada, y concurren á ella muchos discípulos. Por D. Manuel de Agreda.......................... 1000 d-’-tgracia acaba de perder, hace poco, dos de sus D. Tomas de Ibarpüen........................ 1513 14 mejores maestros, que «ran los señores Hochstetter D, Manuel Simón Puerta................... 8322 28 y Bsck. D, Josef Gómez …</t>
  </si>
  <si>
    <t>de Ibero, Andrés IbaS Z</t>
  </si>
  <si>
    <t>Andrés IbaS Z de Ibero</t>
  </si>
  <si>
    <t>s de chis­ pa, 2 cañones de montaña con sus cureñas y 200 tiros para cada uno, JBcrge 31 de dicicnílve. ET b-tendente en couusion de este principado, D. Andrés IbaS’Z de Ibero, ha circulado las reales órdenes comunicadas por la secretaria de estado y del despacho universal de hacienda , con fe­ chas de 11 de abril y 15 de oct…</t>
  </si>
  <si>
    <t>de Icasa, Martin</t>
  </si>
  <si>
    <t>Martin de Icasa</t>
  </si>
  <si>
    <t>onisio Fascardo , ,6. ©. Bernardo Roca, 500. T). Domingo Ordeñana, 500. D. Santiago Víctores , .500. D. José María Luzeaudo , auditor de guerra, 200. D. Martin de Icasa, 1000 Doña Jacin­ ta Olave, 50. D. José Crespo, 25. D. Manuel Franco , 60. D- Juan Carcioli , 25. D Ignacio Hidalgo, 50. D Gregorio Mascóte, 10. D. Francisco …</t>
  </si>
  <si>
    <t>de Ilervás, Luís Martinez</t>
  </si>
  <si>
    <t>Luís Martinez de Ilervás</t>
  </si>
  <si>
    <t>in­ ,, Declaro que la dieta general de la Suiza está terino de la prefectura de Guadalaxara ; al asistente reunida y abierta.” del consejo de Estado D. Luís Martinez de Ilervás secretario general de la misma prefectura en comi­ IMPERIO FRANCES. sión, y al prefecto de Madrid D. Francisco Terán, París de octubre. prefecto centr…</t>
  </si>
  <si>
    <t>de Inda, Francisco</t>
  </si>
  <si>
    <t>Francisco de Inda</t>
  </si>
  <si>
    <t>aez , conde de Torreblanca , D. J uan de Pertica, Don Jo3é Cabero y Salazar, D, Faustino del Campo, D. Juan Salazar y Carrillo, conde de las Lagunas, D. Francisco de Inda, conde de Lung^ncho, D. Hipólito Íbañíz, D. Francisco Moreyra y D. Joa­ quín María Ferrer; tenencias de granaderos á D. Juan Quintanilia, D. José Garrea y D…</t>
  </si>
  <si>
    <t>de Indacoechea, Martin</t>
  </si>
  <si>
    <t>Martin de Indacoechea</t>
  </si>
  <si>
    <t>teniente coronel D. Mariano Lech nga, y (‘1 de igual clase O. Domingo Luis Astcte. los sargentos ma­ yores D. Pedro .Barrera, D. Felipe de las Eras, D Martin de Indacoechea, y algunos oficiales han manifestado un valor extraordinario, digno dé la preferente consideración de Y 8.-—La ai ti Hería- merece por otra, parte lamas j…</t>
  </si>
  <si>
    <t>de Irigoyen, Juan</t>
  </si>
  <si>
    <t>Juan de Irigoyen</t>
  </si>
  <si>
    <t>rovisional D. Gregorio Larrefitier, 25. Archivero D. Manuel López Solano, 66.—Tesorería. Oficial primero y tesorero interino D. Joaquín Jordán , 100. D. Juan de Irigoyen , segundo , 50. D. Roque Vaca, contador de moneda primero , 66. Id. segando D. Pedro Gil , 50. — Almacenes. Admi­ nistrador D. Mariano del Solar, 100. Oficia…</t>
  </si>
  <si>
    <t>D. Antonio Taranco, de cazadores, á D. Jo­ sé Francisco de Isasi, y de fusileros á D. Pedro Abadía, D. José de la Riva Agüero , D Jacinto de Ximeno , D. Juan de Irigoyen, Don Angel Aifaro, D. Manuel Raíz de Burgos, D. Antonio Raras, Don Tornas de la Casa y Piedra , D. Domingo Laspiur, D. José CasiiuIto Sctimayor, í). Francisc…</t>
  </si>
  <si>
    <t>de Irinzo, Joaquín Remigio</t>
  </si>
  <si>
    <t>Joaquín Remigio de Irinzo</t>
  </si>
  <si>
    <t>tiempo de evacuar á Reos, los españoles se Joaquín Ignacio deIrnzo,al medio beneficiado de han llevado consigo al coronel O-Riañ, su coman­ la misma D. Joaquín Remigio de Irinzo. dante, atacado de una violenta enfermedad. Para e) medio beneficio de dicha iglesia, va­ „Las tropas francesas ocupan á Reos desde el 13 cante por a…</t>
  </si>
  <si>
    <t>de Irisrte, Fermín</t>
  </si>
  <si>
    <t>Fermín de Irisrte</t>
  </si>
  <si>
    <t>ndoles 3 prisioneros, hir éndoles 21 hombres y matando!, s li, incluso el oficial que los mandaba: por mi parte hubo 3 muertos. — Pasando mi ayudante D. Fermín de Irisrte por la villa de Umiela el 15 de marzo con 7 soldados de caballería y 10 de infantería, dió con 60 hombres áe la guarnición enemiga de Hernani, que escoltaba…</t>
  </si>
  <si>
    <t>de Isidro, Nicolás</t>
  </si>
  <si>
    <t>Nicolás de Isidro</t>
  </si>
  <si>
    <t>emo. Sr. duque de Ciudad-Rodrigo recibid antes de ayer un parte de D. Juan Martin (el Empecinado), en que se refiere á otro que habían co­ municado á D. Nicolás de Isidro desde Carboneras: ambos son á la letra co­ mo siguen: ,, En esta noche ha llegado un bagagero de este pueblo, á quien se lle­ varon los enemigos, y ha infor…</t>
  </si>
  <si>
    <t>de Isla, Francisco</t>
  </si>
  <si>
    <t>Francisco de Isla</t>
  </si>
  <si>
    <t>D Santiago de Torres por uno, 9. El teniente coronel D. Lucas AIvarez por sí y su hijo el cadete D. Lucas José , por uno , 9. El comisario ordenador D. Francisco de Isla por uno , 9. Doña María Dolores Orue por uno , 9. D. Ignacio González Cadrana por uno , 9, Doña Blanca Resentí por uno, 9. D. Braulio D ego de Vivanco , ofic…</t>
  </si>
  <si>
    <t>de Ituarte, Víctor Tomaí</t>
  </si>
  <si>
    <t>Víctor Tomaí de Ituarte</t>
  </si>
  <si>
    <t>. Manuel González Robles.- : ^iiví „CL Secretario BARRIÓ DB LA HDERTA DEL BATO. D. Ramón García Xímenéz. s Alcalde de barrio BARRIO DB! LA LATINA, ,, D. Víctor Tomaí de Ituarte. . -i x5&gt;í»'ijl nintif-ei ,&lt;¿ Diputado eclesiástico Alcalde de barrio\ D. Jnan B.cs.. D. J □an Hermoso Daza. ......■ } Diputados seculares Diputado ec…</t>
  </si>
  <si>
    <t>de Izaguirre, Joaquin</t>
  </si>
  <si>
    <t>Joaquin de Izaguirre</t>
  </si>
  <si>
    <t>del regi­ miento de las Tres Villas ; á D. Pedro Tisidor, teniente veterano de dragones de S. Cárlos, y al ayudante mayor de los lanceros de Aguirre D. Joaquin de Izaguirre. El comandante del batallón de Lobera D. José Enriquez da cuenta con fecha de 6 de Junio desde Tenango á D. Joaquin de Castillo y Rustamante , que en cump…</t>
  </si>
  <si>
    <t>de Izormendía, Gerónimo</t>
  </si>
  <si>
    <t>Gerónimo de Izormendía</t>
  </si>
  <si>
    <t>publicado una nueva edición de vales..................................................... 19848 12 las poesía» suizas, en que hai algunas mui dignas D. Gerónimo de Izormendía............ 2609 13 de aprecio. D. Josef Vázquez................................ 716 2 2-| A&gt; mismo tiempo se cultivan también con mu­ D. Ramón de Vitor…</t>
  </si>
  <si>
    <t>de Iztueta, Juan Jacinto</t>
  </si>
  <si>
    <t>Juan Jacinto de Iztueta</t>
  </si>
  <si>
    <t>sta de la tenacidad con que aquellos insistían, dispuso el oficial comandante de S. Felipe, de acuerdo con los demas, que pasase en un bote á Curazao D. Juan Jacinto de Iztueta pa­ ra traer víveres y cuerdamecha, el que desempeñó exactamente su comisión, cargando dos goletas inglesas de todo lo necesario. ,, En la noche del 5…</t>
  </si>
  <si>
    <t>de Jaras, Miguel</t>
  </si>
  <si>
    <t>Miguel de Jaras</t>
  </si>
  <si>
    <t>Francisco Torres Esquivel, 125. El tercero D. Cários Ortiz , 100. El cuarto D. Mariano Almiron , 100. El quinto D Juan Ensebio Punentel, 83. El sexto D. Miguel de Jaras, 83. El séptimo D. Matías Gallardo , 83. El octavo D. Pedro José Carrillo , 66. El noveno D. Marcos Palma, 66. El décimo D. Francisco Chacón , 60. El un­ déci…</t>
  </si>
  <si>
    <t>de Jaudenes, Tadeo</t>
  </si>
  <si>
    <t>Tadeo de Jaudenes</t>
  </si>
  <si>
    <t>n Juan de Aguilar, intendente de exército y rea! hacienda, por 10, 'JO. Don Nicolás Sánchez Sargado, contador mayor del tribunal de cuentas , 120 ps. D. Tadeo de Jaudenes, id. , 360. D. Francisco Barrio ia, contador de resul­ tas f mensuales durante la guerra , 1.0. D. Juan de S I va por una vez , 100. D. Valentín Tío, durant…</t>
  </si>
  <si>
    <t>de Jáuregui, Andrés</t>
  </si>
  <si>
    <t>Andrés de Jáuregui</t>
  </si>
  <si>
    <t>Gazeta de la Regencia de las Españas n.º 131</t>
  </si>
  <si>
    <t>1072</t>
  </si>
  <si>
    <t>n la sesión de 24 del corriente á la renovación de su presidente, vice-presidente y nno de sus secretarios ; salieron electos, para presidente el Sr. D. Andrés de Jáuregui, diputado per la Habana; para vice­ presidente el Sr. D. Francisco Morros, diputado por Cataluña ; y para secretario ti Sr. D. Santiago Key y Mañea, diputa…</t>
  </si>
  <si>
    <t>de Jáuregui, Gaspar</t>
  </si>
  <si>
    <t>Gaspar de Jáuregui</t>
  </si>
  <si>
    <t>erto en Tamata, Nosotros hemos tenido 3 muertos y 20 heridos , entre ellos nuestro com? rulante. VI. Del comandante del primer batallón de Guipúzcoa, D. Gaspar de Jáuregui, al general en gefe del séptimo exército. — Campo del ho­ nor de Guipúzcoa 10 de abril de 1812. — Tengo el honor de dirigir á V. E. la relación de las acci…</t>
  </si>
  <si>
    <t>ntinua felizmente la operación de destruir las baterías y fortificac ones que tenían en ellas los enemigos , auxiliada por ia parti­ da patriótica de D. Gaspar de Jáuregui (el Pastor). Y de los pro­ greses que se hacen en esta empresa, tenemos un testimonio en los ranchos buques que van llegando á este puerto de los de Vizcay…</t>
  </si>
  <si>
    <t>fingido sobre esta villa, desde donde no podía volver á Gustaría en 4 días, sj resolvió atacar de nuevo e&amp;ta plaza de concierto coa las guerrillas de D. Gaspar de Jáuregui, y ccn e! socorro de uno de los batallones del general Mina, que el mismo había prometido enviar. En la madrugada del 18 se desembarcó del Venerable un cañ…</t>
  </si>
  <si>
    <t>de Jáuregui, Juana María</t>
  </si>
  <si>
    <t>Juana María de Jáuregui</t>
  </si>
  <si>
    <t>El fiscal D. José Pareja, por sí y á nombre de su esposa Doña María Falipa Perez de lia, 1000. D. Alonso Maqueda , ayuda de cámara del Sr. virey, 30. Doña Juana María de Jáuregui, 20. D. Juan Quiñones , 25. — Ministe­ rio de real hacienda. El ministro contador D. Fernando ¿ambraoo , por sí y su esposa Doña Francisca Viana,tre…</t>
  </si>
  <si>
    <t>de Je, María</t>
  </si>
  <si>
    <t>María de Je</t>
  </si>
  <si>
    <t>o de los españoles que persiguen á los enemigos^ ha hecho nuevamente el donativo de 300 reales vellón para igual loable objeto , á nombre de su muger Doña María de Je­ sús Avendaño y Giran, y de sus finados padres D. Manuel Avendaño y Doña María Encarnación Giran, habiendo merecido el justo aprecio de la Regencia del reyno, y…</t>
  </si>
  <si>
    <t>de Jilguero, Gabriel</t>
  </si>
  <si>
    <t>Gabriel de Jilguero</t>
  </si>
  <si>
    <t>durante la guerra á 4 rs. cada uno de vn. , 14G. El teniente coronel D. José Coquet, 400. El corone! de milicias de Jauja D. Manuel del Rivero, 1000. D. Gabriel de Jilguero, cura de Baños , 200. Cabildo y vecinos de la ciudad de Huanaco. De los propios del. cabildo # 2000. El subdelegado P. Domingo Fernandez, 100. El alcalde …</t>
  </si>
  <si>
    <t>de JMonttverde, Domingo</t>
  </si>
  <si>
    <t>Domingo de JMonttverde</t>
  </si>
  <si>
    <t>1296</t>
  </si>
  <si>
    <t>o por las partes centratintes. Valencia 19 de Juiio de 1812. —José Sata y Bussy, Manuel Contestación del comandante general del exército de S. M, C., D. Domingo de JMonttverde. ,,Cuando los principios de humanidad fueron los únicos que le movieron á admitir le conferencia que le propuso el gefe de las tro­ pas caraqueñas Fran…</t>
  </si>
  <si>
    <t>de Joseié, José</t>
  </si>
  <si>
    <t>José de Joseié</t>
  </si>
  <si>
    <t>rro. „Es verdad que yo recibí un bautzo en el muslo deiecho ; mas la curación sera pronta : lo sensible para mi corazón fué la muerte dei subteniente D. José de Joseié, muchacho taa hermoso como va ionte , que á los 17 años de su edad era reputado p^r uno de los oficia­ les de ssrngre mas fría. ,SV. E. conocerá la mezc-a de p…</t>
  </si>
  <si>
    <t>de JoveHános, Gaspar Melchor</t>
  </si>
  <si>
    <t>Gaspar Melchor de JoveHános</t>
  </si>
  <si>
    <t>PDF p. 16</t>
  </si>
  <si>
    <t>al. Pan y Toros, oración apológica , que en defensa del estado floreciente de Es* paña en el reynado de Carlos iv dixo en la plaza de toros de Madrid D. Gaspar Melchor de JoveHános. Se hallará en la librería de Perez, calle de las Carretas. El único medio eficaz de aliviar las necesidades actuales, promoviendo al mis­ mo tiem…</t>
  </si>
  <si>
    <t>de Jovellanos, Gaspar</t>
  </si>
  <si>
    <t>Gaspar de Jovellanos</t>
  </si>
  <si>
    <t>la. sesión de antes de ayer, las Cortes , conformándose con el parecer de su comisión de premios, declararon benemérito dn la pati ia al difunto 8r. D. Gaspar de Jovellanos ;• y mandaron' que en la comisión de agricultura se tenga presente el Informe sobre la ley agraria , obra maestra de aquel ilustre y sabio patriota.. Igua…</t>
  </si>
  <si>
    <t>de Jovellanos, Gaspar Melchor</t>
  </si>
  <si>
    <t>Gaspar Melchor de Jovellanos</t>
  </si>
  <si>
    <t>- publicar y circular los de* «retos de las Cortes que siguen : 'I. ,,Las Cortes generales y extraordinarias, queriendo honrar la memoria del difunto D Gaspar Melchor de Jovellanos con un testi­ monio publico, que pueda ser correspondiente á su patriotismo y constante adhesión á la santa causa que la nación defiende, á sus af…</t>
  </si>
  <si>
    <t>de JSlendizabal, Gabriel</t>
  </si>
  <si>
    <t>Gabriel de JSlendizabal</t>
  </si>
  <si>
    <t>mas de 20 oficiales, un comi­ sario y 130 soldados. Parles dirigidos por eJ brigadier D. Juan Díaz Porlier al general en ge. fe del séptimo ejercito D. Gabriel de JSlendizabal. i.° ,,í &gt;:cnio. Sr. : Continuaba desde el Intiesto acosando al enemi­ go cuanto permifiíin mis fuerzas, cuando al regreso de una columna de caballería…</t>
  </si>
  <si>
    <t>de Juertes, José</t>
  </si>
  <si>
    <t>José de Juertes</t>
  </si>
  <si>
    <t>, 36. El Dr. D. Dionisio Vicente Matamoros por uno , 9. El capitán D. José Urquidí por 2,18. El marques de Villalta por 10,90. El comisario ordenador D. José de Juertes por 6,54. El secretario del gobier­ no y capitanía general, D. Juan Ibañez por 4,36. D. Agustín Valdés por 4 j 36. Él coronel D. Mauricio de Zúñiga por 2,18. …</t>
  </si>
  <si>
    <t>de Julio, Oudinot el</t>
  </si>
  <si>
    <t>Oudinot el de Julio</t>
  </si>
  <si>
    <t>1202</t>
  </si>
  <si>
    <t>ostó (19;. En 31 de Julio (12 de Agosto; tiive la honra de comunicar á V. M. I. desde la aldea de Osweja, que habiendo derrotado por se­ gunda vez al mariscal Oudinot el 29 de Julio (10 de Agosto) , hiza este una rápida retirada, en la que tuvo todos los dias reencuentros con mi vanguardia; pero habiendo recibido refuerzos, s…</t>
  </si>
  <si>
    <t>de K, Francisco</t>
  </si>
  <si>
    <t>Francisco de K</t>
  </si>
  <si>
    <t>ro de poco a* les da­ Ef cambio sobre ilamburgo está á 766 por too. rán vestidos y mantas. ,, El objeto del esiab'.ecitnieato dirigido por el Del 20. conde Francisco- de K eb.-isberg es proporcionar leña b«rata á los indiu.-ntes, y ya hai una gran La cancillería dinamarquesa acaba de publicar porcino ju.ita de exc-.-u-nre cal…</t>
  </si>
  <si>
    <t>de Ko, Meyer</t>
  </si>
  <si>
    <t>Meyer de Ko</t>
  </si>
  <si>
    <t>rreglo á lo manda­ rios del cantón. El de Zurich ha nombrado taril- do! por si REI nuestro Señor los socorros sucesivos. bieu para el mismo efecto al consejero Meyer de Ko.Qua.o- El de Basüea al coronel Stehelin y al consejero We &gt;k; y el de Thurgovia á ios.conse­ 1IBROS. jeros de Estado Mordí y Freyeomuth. Ofleío de la Seman…</t>
  </si>
  <si>
    <t>de L, Andrés</t>
  </si>
  <si>
    <t>Andrés de L</t>
  </si>
  <si>
    <t>del Junco, D. José María de Torres, D. Francisco Robayna y D. José Gómez ; y en e1 escuadro^ monta­ do, á capitán á D. Felipe Ximenez; á leo lente á D. Andrés de L°on; á subteniente á D J osé Gabriel de Arango , y á portaguión á D. Fe­ lipe Mesa. 4 .^r CADIZ : EN LA IMPRENTA REAL.</t>
  </si>
  <si>
    <t>de L, Antonio</t>
  </si>
  <si>
    <t>Antonio de L</t>
  </si>
  <si>
    <t>4SJ Carta del mtnj ilustre cabildo de la ciudad de Goalemala al sti-.or D. Antonio de L*arrazabai, diputado en Cortes por aquel rej/no. ,,En el correo ordinario de las provincias internas que llesró el dia 10 del presente, recibieron varios vecinos efe esta capital «.a pa­ pel sedicioso</t>
  </si>
  <si>
    <t>rta que el comisionado del cabildo de Goaíem-da, D. José María Peinado, escribe desde la ciudad de S. 8a vador con fe­ cha de 7 de enero al mismo Sr. D. Antonio de L ¡untaza bal, reitere las muestras de jubito y de lealtad con que tanto él como el Sr. D. Jo­ sé de Ay cinema habían sido recibidos en aquella ciudad ; dice que e…</t>
  </si>
  <si>
    <t>de L-roir, Gcrónimo</t>
  </si>
  <si>
    <t>Gcrónimo de L-roir</t>
  </si>
  <si>
    <t>residente en Córdoba.. 2200 D. Jos:f Escribano , id............. ........................ 2200 D. Josef María Muña Pavón, id................... 2200 D. Gcrónimo de L-roir, id............. ............... 22CO D. Rafael Veleña, id................................... 2200 D. Antonio Navarro, ..subdiácono , id......... 2 2 00 D J…</t>
  </si>
  <si>
    <t>de Lacena, Juan</t>
  </si>
  <si>
    <t>Juan de Lacena</t>
  </si>
  <si>
    <t>.... ......... 220O; Rio................................................. Dí1-Bartolomé Morales, id.......................... 3 2op (5c continuard. ) D. Juan de Lacena, id................. .............. 2200 D¿ Francisco Brt ral , id.............. '................ 3200; Dí’Manuel de Laque, id.................. .......... 22…</t>
  </si>
  <si>
    <t>de Lago, Pedro Marcelino</t>
  </si>
  <si>
    <t>Pedro Marcelino de Lago</t>
  </si>
  <si>
    <t>er ; pero tendrá la mala política de irlas pu­ A D. Juan Francisco (Castellano , ex—írsncisca— blicando sucesivamente para aprovechar las ocasio­ no; D. Pedro Marcelino de Lago, ex-franciscano nes imprevistas que se ofrezcan ,y hacer ver questl descalzo ; y D. Antonio Serrano , ex-trinitario des­ timidez es sobra de paciencia…</t>
  </si>
  <si>
    <t>de Lallata, Amonio</t>
  </si>
  <si>
    <t>Amonio de Lallata</t>
  </si>
  <si>
    <t>8cc&gt; Ex-agustinos,. D. Ramón Gafan , ¡d.,de Snances....,........ . 2200 D. Amonio de Lallata, i,d. de S. Rogian...... 2200 D. Manuel Antonio Martínez, residente en Segovia..........................„............................ 2,200 ... Ex-premostr atenses. D. Angel Fernandez, id.</t>
  </si>
  <si>
    <t>de Landa, Juan</t>
  </si>
  <si>
    <t>Juan de Landa</t>
  </si>
  <si>
    <t>. de Marcas D. Grego­ rio Dávila , 5. Carrera de Pitaco. Administrador de Ya,n!¡ D. Fernando Egoavil j 8. Id de Tarma I). Pedro Pagan,JO Id. de Jauja D. Juan de Landa, 25. Id. de Huancayo D. Felipe Sopeña, 50. Id. de Pasco D. Manuel Cuvillaa, 50. (Se cóníiimará.) CADIZ ; EN LA IMPRENTA REAL.</t>
  </si>
  <si>
    <t>de Lángara, Juan</t>
  </si>
  <si>
    <t>Juan de Lángara</t>
  </si>
  <si>
    <t>89</t>
  </si>
  <si>
    <t>sos de so pro­ Cáaiz ú mandar la división que debía reunirse en el fesión , toma con igual calor todos los encargos que Mediterráneo á la esqoadra de D. Juan de Lángara, el gobierno le encomienda. Es nombrado por el REI cuyo mando recayó después en el Sr. Mazarredo; nuestro Señor comisario regio á Galicia, y á pesaf pero vien…</t>
  </si>
  <si>
    <t>de Lanz, María Petra</t>
  </si>
  <si>
    <t>María Petra de Lanz</t>
  </si>
  <si>
    <t>o de Ozcariz......... 1565 12 Luis de Utquijo." D. JosefC añedo........................... 1065 19 D. Salvador Fonr.......................... 1087 26 Doña María Petra de Lanz , hija heredera de D. Vicente de EL ESPEJO DE LA TIA JUSTA, anz....... *................................... 3*y« 3* D. Antonio Josef Marcos.............…</t>
  </si>
  <si>
    <t>de Lara, Diego</t>
  </si>
  <si>
    <t>Diego de Lara</t>
  </si>
  <si>
    <t>el lugar de Ma- D. Mariano García , id................................... 2200 tienzo............................ .............................. 2400 D. Diego de Lara , id..................................... 2200 0. Manuel de Arce Reigadas, id. del la­ D. Ju sto Gil, ex-mínimo............................. 2200 gar de Arce.;.…</t>
  </si>
  <si>
    <t>de Lara, Juan García</t>
  </si>
  <si>
    <t>Juan García de Lara</t>
  </si>
  <si>
    <t>sia parroquial Para la de Beznar y Elchite á D. Francisco de la ciudad de Aih&lt;ma, vacante por ascenso de Martínez Valdivia , ex-franciscano descalzo. D. Juan García de Lara , ex *gerónimo, á D. Jo- Y para la de la Peza, en la diócesis de Guasef Navero , ex-carmelita calzado. dix , vacante por ascenso de D. Antonio Cano, Para …</t>
  </si>
  <si>
    <t>de Lardizabal, Miguel</t>
  </si>
  <si>
    <t>Miguel de Lardizabal</t>
  </si>
  <si>
    <t>la'sesión de Cortes de 15 de agosto'quedaron estas enteradas de que el tribunal especial creado por ellas condenó en sentencia dfinitiva al exregtnte D. Miguel de Lardizabal d que salga expulso de todo el territorio español^ mandando ademas que los exemplares del manifiesto {que ha dado lugar d la formación del proceso) sean …</t>
  </si>
  <si>
    <t>de Larra, Andrés</t>
  </si>
  <si>
    <t>Andrés de Larra</t>
  </si>
  <si>
    <t>eda , 200, y otros tan­ tos en cada año que dure la guerra. D. Juan Bernardo Aliaras y su hermano, 100. D. .i uau Francisco Azpiroz y hermanos , 300. D. Andrés de Larra paga, 100. D. Francisco Hacines, 100. D. Juan Nicasio Sotomavor, -UKI. D. Juan Ergniaga, 100. D. Juan de Vivas, 400, D. Custodio Alvarez, 100. D. Pabl® Bj ing…</t>
  </si>
  <si>
    <t>de Larrainzar, Juan Manuel</t>
  </si>
  <si>
    <t>Juan Manuel de Larrainzar</t>
  </si>
  <si>
    <t>D. Tomas O-DjügjÚ. Continúan los donativos del Perú, Los pueblos de Machan i, Pana y Naranjal , por mano de T&gt;. Julián de Campo, lul4 ps. fs. y 6 rs. D Juan Manuel de Larrainzar , 50. D. Pablo Franco, 50. D. Jo 11 Antonio Oyarisde , 100. £1 pueblo Je Balao , 47 y 7, E! administrador y empleados en Ja renta de correos, 55. El …</t>
  </si>
  <si>
    <t>de Larrazabal, Antonio</t>
  </si>
  <si>
    <t>Antonio de Larrazabal</t>
  </si>
  <si>
    <t>a.—Juan Bautista de Marüc.orena —Juan Fran­ cisco 'Fib^a ia. — Manuel José d- Vara. — Antonio José Arrivilla• ga. — Juan Bautista Asturias. — Sr. Dr. D. Antonio de Larrazabal, diputado en Cóites per Guatemala.” En una círta que el comisionado del cabildo de Goaíem-da, D. José María Peinado, escribe desde la ciudad de S. 8a va…</t>
  </si>
  <si>
    <t>de Lasalde, Josef</t>
  </si>
  <si>
    <t>Josef de Lasalde</t>
  </si>
  <si>
    <t>perimentar ¡ .1 escasez para montar los fusiles, cía , en la misma provincia, Vacante por muerte tanto mas quanto ninguna otra madera se puede em­ de D. Josef de Lasalde , al ex-regular D. Joaquín plear en su lugar. Ademas, la escasez y carestía Mecoleta. de la caoba hacen mas apreciable el nogal. Y para el de la villa de Yéc…</t>
  </si>
  <si>
    <t>de Lassaleta, D Román</t>
  </si>
  <si>
    <t>D Román de Lassaleta</t>
  </si>
  <si>
    <t>cente de Quesada ; compañía de fusileros á los primeros tenientes D. Manuel de Terrazas y D. Esteban Miró , y al primer ayudante mayor con gra­ do de coronel D Román de Lassaleta; primera ayudantía mayor al segundo teniente D. Cárlos Demons; primera tenencia de granade­ ros al de fusileros D. José de Cortés; idem de cazadores…</t>
  </si>
  <si>
    <t>de Leca, Bernardo</t>
  </si>
  <si>
    <t>Bernardo de Leca</t>
  </si>
  <si>
    <t>de los presos, tiene mui buen cuida­ Pos decretos de 21 del corriente S. M. se ha do de callar la mayor parte. También se dice con servido nombrar á D. Bernardo de Leca, presbítero, una especie de orgullosa afectación, que han sido ex»benedictino, para ana ración de la catediai dq pocos los sicilianos castigados hasta ahora, …</t>
  </si>
  <si>
    <t>de Ledesma, Rodríguez</t>
  </si>
  <si>
    <t>Rodríguez de Ledesma</t>
  </si>
  <si>
    <t>o. También ;e cuentan varios hechos de su que de’Arcos, del sabio jesuíta Masdeu , del dis­ vida, en prueba de que á temporadas esraba loco. tinguido abogado Rodríguez de Ledesma y del ilus­ P..ra precaver toda especie de desorden se ha tre canónigo de Lugo Camino; con todo , es nece­ puerto en actividad de servicio gran núme…</t>
  </si>
  <si>
    <t>de Leiva, Gaspar</t>
  </si>
  <si>
    <t>Gaspar de Leiva</t>
  </si>
  <si>
    <t>2200 ....................................... ....... ............................... 2 200 D. Josef Julián Requena , id.................. ...... 2200 D. Gaspar de Leiva, id. en Aguilar............. 2200 D. Gonzalo Josef del Real , id...................... 2200 D. Josef de Luna, id. en Cabra................... 2200 D. Bartolom…</t>
  </si>
  <si>
    <t>de Leiva, Rafael</t>
  </si>
  <si>
    <t>Rafael de Leiva</t>
  </si>
  <si>
    <t>............. 2200 doba...........1..................1........................... 2200 D. J nvf González , id.................... ............. 2 2CO D. Rafael de Leiva ,dd............................... 2200 D. Josef Melendez Valdés, id.*.»............... 2200 D. Josef de Texada, Td............................... 2200 D. And…</t>
  </si>
  <si>
    <t>de Lema, Roque</t>
  </si>
  <si>
    <t>Roque de Lema</t>
  </si>
  <si>
    <t>barrio Diputados seculares D. Juan Tarquis. D. A-ífonso Lticeño. Diputado eclesiástico D. Gregorio Sánchez. .be'»' . ,-•/ . D. Antonio G-ircía Cano. D. Roque de Lema. ,j\ , , ; ‘ , Diputados seculares Secretario ¡ D. Manuel Antonio Rodríguez. D. Santiago Alvares. D. Juan Tarquis, substituto de alcalde. BARRIO DE MONSERRAfB, 1…</t>
  </si>
  <si>
    <t>de Lemus, José</t>
  </si>
  <si>
    <t>José de Lemus</t>
  </si>
  <si>
    <t>iJ) toba! Majuelo, D. José del Arco, D. Jayme Raíz de Abreu , D. Vi­ cente Co; tés, D. José Sergeaut, graduado de teniente coronel y de cazadores, y D. José de Lemus : primera tenencia con retención de ia segunda ayudantía á D. Pedro de Alcántara Muso: segundas ayudantías mayores á los segundos tenientes D. Juan Manuel de Cog…</t>
  </si>
  <si>
    <t>de León, Bartolomé</t>
  </si>
  <si>
    <t>Bartolomé de León</t>
  </si>
  <si>
    <t>o Gómez, residente en HinoJosa. 220® L&gt;. Francisco Tinaones, id.............................. 2200 D. Joaquín de Pineda, id. en Espejo.......... 2200 D. Bartolomé de León, id,,,.......................... 2200 D. Vicente Fernandez, id. en Alcaracejo. 2200 D. Marcos de León y Lara, id...................... 2200 D..Domingo Ximen…</t>
  </si>
  <si>
    <t>de León, Cristóbal</t>
  </si>
  <si>
    <t>Cristóbal de León</t>
  </si>
  <si>
    <t>al poniente con el camino de Jos Angeles, y es la que llaman de la Cruz D. Francisco Ontiveros. del diablo; su caber tres fanegas y tres celemines, y D. Cristóbal de León. •u valor á 660 reales fanega. Otra en la vereda del Es­ aht. iv. En el segundo batallón de la ciudad parragal, que al oriente linda con la citada vereda, a…</t>
  </si>
  <si>
    <t>................ 2200 D. Diego Mexias, id....,......................,.......... 2zqo D. Andrés del Pino, id.......................... .......... 2200 D. Cristóbal de León, id................................. &amp;2QO D, Miguel Cobos, residente en Pozoblanco; 22©o D. Manuel Aguijar y Leiva , id.......... aaejo D. Manuel Muñoz, id.…</t>
  </si>
  <si>
    <t>de León, Fernando</t>
  </si>
  <si>
    <t>Fernando de León</t>
  </si>
  <si>
    <t>............. 2200 D. Josef Miría León , id................................... 2200 D. Josef García , id.......... ............................. 2200 D. Fernando de León, residente en Lu- P. Juan de Zafra , id....................... 2200 ............................................................................... 2200 D. J…</t>
  </si>
  <si>
    <t>de León, Fernando Calvo</t>
  </si>
  <si>
    <t>Fernando Calvo de León</t>
  </si>
  <si>
    <t>y al poniente con el mayorazgo de Luzon, y al norte con tierras del conde de Miran­ Capitanes. da; su caber cinco fanegas, seis celemines y 12 esta­ D. Fernando Calvo de León. dales, y su valor á 800 reales fanega. Otra en Val de D. Juan Ontiveros. Gutiérrez, que al norte linda con el camino de Madrid, saliendo por el cerro d…</t>
  </si>
  <si>
    <t>de León, Francisco Xavier</t>
  </si>
  <si>
    <t>Francisco Xavier de León</t>
  </si>
  <si>
    <t>Martin de Urda , residente en D, Juan Gutiérrez, id. en Jaén.................. 2200 Madridejos.................................................. 2200 D. Francisco Xavier de León, id................ 2zoo D. Carlos Torres, id. en Madrid................ 2200 D. Juan Rodríguez, id. en Mancha Real.. 2200 D. Manuel Sevillano, id.-e…</t>
  </si>
  <si>
    <t>de León, Gregorio</t>
  </si>
  <si>
    <t>Gregorio de León</t>
  </si>
  <si>
    <t>Quiroga, calle de las Carretas, á lóis. D. Juan de Dios Montero, id................... . 2200 cada uno á la rústica: el 111 se publicará mu: pronto. D Gregorio de León, id................................. 2200 -D. Francisco de P.ula Hidalgo, id............. 2200 D. S’tnon Oriiz y B-lrran, id...................... 2200 D. P,dr…</t>
  </si>
  <si>
    <t>de León, Juan do Dics Pólice</t>
  </si>
  <si>
    <t>Juan do Dics Pólice de León</t>
  </si>
  <si>
    <t>685 cuidado; m*ndé por lo tanto que 4 piezas de montaña, retiradas oportuna­ mente por el comandante de esta arma, D. Juan do Dics Pólice de León, volviesen á romper el fuego de metralla á quema ropa , pretiriendo la pér­ dida de las piezas á ver sacrificado un batallón que tan gloriosamente se ha­ bla conducido , y que me er…</t>
  </si>
  <si>
    <t>de León, Lúeas</t>
  </si>
  <si>
    <t>Lúeas de León</t>
  </si>
  <si>
    <t>................... 2200 D. Francisco Perez , id....................................... 2200 D. Nicolás Armada, id.............................. 2200 D. Lúeas de León , id........................................ 2200 P. Juan de Espejo, id....................................... 2200 D. Josef Miría León , id....................…</t>
  </si>
  <si>
    <t>de León, Mariano</t>
  </si>
  <si>
    <t>Mariano de León</t>
  </si>
  <si>
    <t>arias ,8 y 4. D. Antonio de Almoguera , capellán del monasterio de Descalzas , 4. Di Nar­ ciso Cosío , 1. D. José [pinza, 2. D. Miguel de Oyague , 1. D. Mariano de León , G. D. Cayetano 'Forres , capellán del monasterio de Sta. Catalina , G. D. J uíian Valdivia , 3. D. Tomas Palacios, 1. D. Fernando Bao Calderón , 1. 1). José…</t>
  </si>
  <si>
    <t>de León, Ramón Ponce</t>
  </si>
  <si>
    <t>Ramón Ponce de León</t>
  </si>
  <si>
    <t>siguientes : al capitán D&gt; Roberto Ortíz, al teniente D. Manuel Enriqucz y al alférez D. Antonio Posada , deí batallón de Frontera ; á los tenientes D. Ramón Ponce de León y</t>
  </si>
  <si>
    <t>de Lequizaman, Pedro Ortiz</t>
  </si>
  <si>
    <t>Pedro Ortiz de Lequizaman</t>
  </si>
  <si>
    <t>. Luis Castilla y O. Julián Lombar­ do , subtenientes de la Corona: á subtenientes, á D. Valentín del Rio, D. Francisco Palacios, D. Ildefonso Lillo, D. Pedro Ortiz de Lequizaman , D. Mateo Masegosa, D. Sebastian Vilches y Don' Antonio María Muñoz, cadetes de la escuela mi-ifar del tercer exército, D. JuEn Escolar , D. José P…</t>
  </si>
  <si>
    <t>de Ley, Francisco Ibañez</t>
  </si>
  <si>
    <t>Francisco Ibañez de Ley</t>
  </si>
  <si>
    <t>pez Lisperguer, D. Gerónimo Diez, D. Ciríaco González Carva­ jal , D. Antonio Cano Manuel, D. Tadeo Segundo Gómez, D. Ma­ nuel dei Castillo Negrete , D. Francisco Ibañez de Ley va , D. Ma­ nuel'Antonio de la Bodega y Moliinedo, O. Francisco Diez, D. Jayme Alvaroz de Mendieta, D. Vicente Fita, D. Andrés Oder y Don Diego María …</t>
  </si>
  <si>
    <t>de Leys, José María Gómez</t>
  </si>
  <si>
    <t>José María Gómez de Leys</t>
  </si>
  <si>
    <t>rá todo perjuicio.—Por otra providencia del mismo tribunal, de 26 de junio próximo pasado , se cita á los interesados en el concurso de acreedores de D. José María Gómez de Leys, para que se presenten á formalizar su derecho en el preciso término de 18 meses: pasado el cual, les parará todo perjuicio. En la noche del 13 al 14…</t>
  </si>
  <si>
    <t>de Lezaeta, Joaquín</t>
  </si>
  <si>
    <t>Joaquín de Lezaeta</t>
  </si>
  <si>
    <t>reglo Doña Angela Peñalosa , por su apode­ al artículo 3.° de nuestro decreto de 9 de junio de rado D. Miguel Baleayo.................. 4151 17 1809. D. Joaquín de Lezaeta........................ 722 art. íii. Nuestro mtoistro de Hacienda queda D. Sebastian de Molliriedo.......... ........ 14349 2 5 ~ encargado de la execucio…</t>
  </si>
  <si>
    <t>de Lfizana, Joaquín Ruiz</t>
  </si>
  <si>
    <t>Joaquín Ruiz de Lfizana</t>
  </si>
  <si>
    <t>uselas, donde le iba á visitar mui ¿ Estarrona , en la provincia de Alava, vacante por menudo en su mismo taller. Su mansión en España con­ mnerte de D. Joaquín Ruiz de Lfizana , ,al doctor tribuyó mucho á los adelantamientos de las bellas artes, D. Julián Ocboa de EchagUea; y para otro de la y áextender el buen gusto; y sus …</t>
  </si>
  <si>
    <t>de Lia, Manuel</t>
  </si>
  <si>
    <t>Manuel de Lia</t>
  </si>
  <si>
    <t>445</t>
  </si>
  <si>
    <t>445 C^paña; para více-presidente, el Sr. D. Ramón Utgés, diputado propietario por Cataluña : y para secretario el Sr. D. Manuel de Lia* nos, diputado suplente por Goatemala. Él sábado 25 de este mes se vistió la coTte de gal a con motivo de ser el cumpleaños de la Serraa. Sra. princesa del Brasil, infanta de España. La Regencia</t>
  </si>
  <si>
    <t>de Lichtenstein, Mauricio</t>
  </si>
  <si>
    <t>Mauricio de Lichtenstein</t>
  </si>
  <si>
    <t>664</t>
  </si>
  <si>
    <t>infantería, húsares del pas destinadas á apaciguar las turbulencias que Emperador, archidnqne Fernando y coraceros del hai en el interior del reino. príncipe Mauricio de Lichtenstein. Una carta de Glascow dice que han llegado á Escriben de Lituania que el Emperador de las Indias orientales dos fragatas francesas y un Rusia ha…</t>
  </si>
  <si>
    <t>de Linares, Lucas Gil</t>
  </si>
  <si>
    <t>Lucas Gil de Linares</t>
  </si>
  <si>
    <t>s de Cataluña á D. José ríe Casas. Sargen­ tías mayores \ del batallón de tiradores de Buza á D. Francisco RiaachetU, del de voluntarios de Cardona á D. Lucas Gil de Linares; y de! de tiradores de Cataluña á D. Rafael Rivas. Igualmente ha concedido S. A. agregación de sargento mayor en ei propio exército á D. Francisco lijnos…</t>
  </si>
  <si>
    <t>de Liori, Josef</t>
  </si>
  <si>
    <t>Josef de Liori</t>
  </si>
  <si>
    <t>rrochá 26 de octubre de 1811.” Extracto del parte sobre las operaciones del cuer­ ■ &gt;'• -• , T ■ ■' po 'dé reserva del segundo exército , mandad* por D. Josef de Liori. 1 Extracto del parte del general Miranda, co­ mandante de la primera división del segundo ,, Se destinaron 3$ hombres de este cuerpo pa­ exército , dirigido á…</t>
  </si>
  <si>
    <t>de Llamas, Josefi Alvares</t>
  </si>
  <si>
    <t>Josefi Alvares de Llamas</t>
  </si>
  <si>
    <t>a Angela Azpiroz................ 30600 ella, por........................................... 255522 D. Simón García Puerta...................... 14760 Doña Josefi* Alvares de Llamas ........ 18000 Por réditos de imposiciones en el fondo vitalicio. D. Josef Gonzalo Ruiz de Texada.... 225 00 D. Basilio de Salcedo............ ...…</t>
  </si>
  <si>
    <t>de Llano, Ciríaco</t>
  </si>
  <si>
    <t>Ciríaco de Llano</t>
  </si>
  <si>
    <t>ando en partidas, destinadas á recorrer per distin­ tos puntos el país. El señor virey, en atención á estos distinguidos servicios que acaba de hacer D. Ciríaco de Llano, y á los méritos que-durante 3Í años había contraído en la real armada, le ha conferido en nombre de nuestro amado monarca Fernando vii , y con arreglo á las…</t>
  </si>
  <si>
    <t>de Lleopart, Ramón Masía</t>
  </si>
  <si>
    <t>Ramón Masía de Lleopart</t>
  </si>
  <si>
    <t>ido, á conservaren ellos el orden público, y á asegurar su biea y pr jsperidad paralo venidero; se ha servido nom­ bra? á. D. Lorenzo Luis de Robles, D Ramón Masía de Lleopart, D. Antonio José Gallado, D. Tomas Pelegrin, D. Ertaaislao Fita, D. José Manuel de loa Senderos y D. Manuel Antonio Rodrigo por jueces de primera insta…</t>
  </si>
  <si>
    <t>de LLioríua, Juan Manuel</t>
  </si>
  <si>
    <t>Juan Manuel de LLioríua</t>
  </si>
  <si>
    <t>; en­ de las leyes contra tart enormes atentados. tre tanto ha sido reemplazado en sos funciones por ,»Mas al considerar, Señor , que las represalias D. Juan Manuel de LLioríua, cuyo nombramien­ producirían una guerra á muerte, que completa­ to presento con informe separado á ia aprobación ría el extetrriinio de I» patria; h!…</t>
  </si>
  <si>
    <t>de Lobera, Miguel Gnnzaleé</t>
  </si>
  <si>
    <t>Miguel Gnnzaleé de Lobera</t>
  </si>
  <si>
    <t>or la constitución del estado, REI de las Espa­ c----- ^-----j ña s y dé las Indias. . . Rs. vn ’ Mrs. Vistas las dos consultas de la comisión de li­ D. Miguel Gnnzaleé de Lobera , ad quidación de la deuda del estado; lo expuesto por ministrador de la -real adiun.i......... * 15000 nuestro ministro de Hacienda, y oido ei dict…</t>
  </si>
  <si>
    <t>de Longa, Francisco</t>
  </si>
  <si>
    <t>Francisco de Longa</t>
  </si>
  <si>
    <t>ellas había rendido su espada. El mariscal de campo D. Miguel Ricardo de Alava ha recibido, con fe-r cha de to del corriente, una copia que le dirige D. Francisco de Longa de las relaciones comunicadas por él al Excmo. Sr. D. Gabriel de Mendizabal, como general en gefe del séptimo exército. De ellas resulta que aquel digno pa…</t>
  </si>
  <si>
    <t>de Lora, Antonio Josef</t>
  </si>
  <si>
    <t>Antonio Josef de Lora</t>
  </si>
  <si>
    <t>ncisco de Sales Dívila; para ayudante á D. Juan Valverde teniente, y D. Manuel de LuD. Diego Suarez de Fígueroa, y para abanderado qae subteniente. á D. Antonio Josef de Lora. art. ix. En la guardia cívica de Córdoba que­ Para capitanes y oficiales de las quatro compa­ da promovido D. Miguel Cabezas y Barcia, tenien­ ñías que…</t>
  </si>
  <si>
    <t>de Lora, Josef</t>
  </si>
  <si>
    <t>Josef de Lora</t>
  </si>
  <si>
    <t>siete tomos D. Alonso Bilbao. en 8.° etf rústica, á 70 rs., mitadá cambio de libros, Regidores. y mitad á dinero efectivo. Se hallará en el puesto de D. Josef de Lora. Comedias, sito en la puerta del Sol, frente al vivac. EN LA IMPRENTA REAL.</t>
  </si>
  <si>
    <t>de Loriga, Francisco</t>
  </si>
  <si>
    <t>Francisco de Loriga</t>
  </si>
  <si>
    <t>955</t>
  </si>
  <si>
    <t>955 Castro 10 de julio. Copio del parte del coronel, comandante general de la división de Iberia, D. Francisco de Loriga, al Exento. Sr. JJ. Gabriel ae Men* dii aval, general en gefe del séptimo exémito. „ Hxc .10. Sí. : En cumpl.mííi.tü* de las órdenes que con arreglo á otras de S. E., el «abitan general del</t>
  </si>
  <si>
    <t>de Losada, Francisco Xavier</t>
  </si>
  <si>
    <t>Francisco Xavier de Losada</t>
  </si>
  <si>
    <t>LO* PORTUGAL. Láshca 15 de Diciembre* -,v , , El día 3 del corriente entró en la .plaza de Chaves el marisca# de campo español D. Francisco Xavier de Losada con su numerosa., división de vuelta dei teatro de la guerra, dirigiéndose , según pa­ rece , para Lugo , en donde deben reunirse con jas demas tropas per­ tenecientes al…</t>
  </si>
  <si>
    <t>de Losada, Joan</t>
  </si>
  <si>
    <t>Joan de Losada</t>
  </si>
  <si>
    <t>son obra Por créditos procedentes de reales servidumbres. hecha en el tiempo en que las artes caminaban á su decadencia. Rs. IVlrs. Parts %T de mayo. D. Joan de Losada, por medio de so apoderado D. Tomas Ló­ Deseando la academia jónica tener afganos da­ pez................................................ 6400 tos y noticias s…</t>
  </si>
  <si>
    <t>de Lowantz, Sigismundo</t>
  </si>
  <si>
    <t>Sigismundo de Lowantz</t>
  </si>
  <si>
    <t>el texto antiguo y origi­ -Acaba de fallecer en sus tierras de Hungría , á la nal con dos traducciones, la una latiaa , y la otra edad de 58 años, el conde Sigismundo de Lowantz, en dinamarqués moderno. Entre las obras ya pu­ último gobernador que fúe de Trieste* Adema» blicadas son. dignas de notarse dos antiguas sagas dei t…</t>
  </si>
  <si>
    <t>de Loza, Arias Gonzalo</t>
  </si>
  <si>
    <t>Arias Gonzalo de Loza</t>
  </si>
  <si>
    <t>D. Domingo Antonio de la Osaña.' D. Mariano Sopeña. D. Juan de Barreiieche. D. Viceote Espel. D. Josef Arandilla. - . Secretario D. Agustin Estebes. D. Arias Gonzalo de Loza. Secretario D. Nicolás García de la Osa. BARRIÓ: DE AIERCENAR1AS DESCALZAS. BARRIO DE LOS CUARDIAS DE CORES. Alcalde de barrio D. Roque Asenjc. I Alcalde…</t>
  </si>
  <si>
    <t>de LRhtenstoiri, Príncipe Juan</t>
  </si>
  <si>
    <t>Príncipe Juan de LRhtenstoiri</t>
  </si>
  <si>
    <t>curaba huir de él , es preciso qne creyese nombres de los archiduques Juan y Ttm , y el el contnódoro qne la acción debia rcsultarde la con­ del feld-mariscal Príncipe Juan de LRhtenstoiri. ducta que éí pensaba observar. Tos miembros correspondientes ext ra'ge ros son „Cm, este motivo acuso el recibo de vuestra el señor de Hu…</t>
  </si>
  <si>
    <t>de Lucena, Amonio</t>
  </si>
  <si>
    <t>Amonio de Lucena</t>
  </si>
  <si>
    <t>............... 2200 D. Juan de la Rosa, id........................ ........... 2200 D. Juan Fernandez, id...................................... 2200 D. Amonio de Lucena, residente en M -nD. Benito García y Pradas, id..................... 2200 t.ilía......................................................................... 22C…</t>
  </si>
  <si>
    <t>de Lucena, Juan</t>
  </si>
  <si>
    <t>Juan de Lucena</t>
  </si>
  <si>
    <t>........ ............................... 2200 D. Cristóbal Ramírez, residente en Luceóa. 2200 D. Josef Morales y Sdlazar, id.................... 2200 D. Juan de Lucena , id...... ............ ............. 22C0 LS. Miguel Redel, id............................... . 3200 D. Míreos de la Cufesrá/id. en Cabra....... 2200 1&gt;. Igna…</t>
  </si>
  <si>
    <t>de LuD, Manuel</t>
  </si>
  <si>
    <t>Manuel de LuD</t>
  </si>
  <si>
    <t>comandante de este batallón D. Francisco Porcelo queda nombrado capitán; á D. Francisco de Sales Dívila; para ayudante á D. Juan Valverde teniente, y D. Manuel de LuD. Diego Suarez de Fígueroa, y para abanderado qae subteniente. á D. Antonio Josef de Lora. art. ix. En la guardia cívica de Córdoba que­ Para capitanes y oficial…</t>
  </si>
  <si>
    <t>de Lugo, Juan</t>
  </si>
  <si>
    <t>Juan de Lugo</t>
  </si>
  <si>
    <t>327</t>
  </si>
  <si>
    <t>detalles de esta acción, en que se cubrió de gloria la corta partida de nn sargento y 14 soldados del referido ba­ tallón , mandad t por su teniente D. Juan de Lugo : este oficial lue­ go que tuvo noticia de q'ie se aproximaba ti corsario enemigo á ias playas de Cope, estando informado de que su tripulación llegaba á 200 hamb…</t>
  </si>
  <si>
    <t>avicsncio, D. Félix María Farias y D. Juan Pedro Pe*ayo ; el mismo de ras de caballería, á D. Rafael Padrón , D. José María Arcaya, D. Miguel MLUaco, D. Juan de Lugo, D Juan José Perez, D. José Antonio G'uirola y D. Joaquín Segarte ; de subteniente de las de infantería, á D. Alonso Gil, D Leopoldo Tolleria , D. Jo:é Antonio Z…</t>
  </si>
  <si>
    <t>de Luna, Josef</t>
  </si>
  <si>
    <t>Josef de Luna</t>
  </si>
  <si>
    <t>Guerrero, id. eo la Guardia...... 2200 Bx-dominicos. D. Antonio.Guerrero, id. en Cambil........ 2200 D. Isidro del Saz, residente en Madrid..... 2200 D. Josef de Luna , id. en Jaén.................... 2200 D. Juan Ramón López Bermejo, id. en V¡llarubia de Jos Ojos.......................... 2200 &gt; Ex-mínimos. D. Bernardo Garci…</t>
  </si>
  <si>
    <t>ena , id.................. ...... 2200 D. Gaspar de Leiva, id. en Aguilar............. 2200 D. Gonzalo Josef del Real , id...................... 2200 D. Josef de Luna, id. en Cabra................... 2200 D. Bartolomé de Luque Cardador, id....... 2200 D. Pedro Ponce Tobiüa, id............................ 2200 D. Francisco Xav…</t>
  </si>
  <si>
    <t>de Luque, Lorenzo</t>
  </si>
  <si>
    <t>Lorenzo de Luque</t>
  </si>
  <si>
    <t>id......................... 2300 D. Josef de Osuna, id. en Rambla............. 2200 D. Alonso Padilla , id...................... i.............. 2200 D. Lorenzo de Luque, ¡d .............................. 2200 D, Juan Carretero, id....................................... 22CO 1). Lúeas de Lucena, id............................…</t>
  </si>
  <si>
    <t>de Luque, Luis</t>
  </si>
  <si>
    <t>Luis de Luque</t>
  </si>
  <si>
    <t>.................... 2200 P. Diego Jostf de Arce , id............................ 2200 P. F rancisco Navarro , id............................... 2200 D. Luis de Luque , id....................................... 2200 D. Salvador Elias, id......................................... *200 D. Antonio Baigon , id.....................…</t>
  </si>
  <si>
    <t>de Luzuriaga, Ignacio María</t>
  </si>
  <si>
    <t>Ignacio María de Luzuriaga</t>
  </si>
  <si>
    <t>e auxiliares hasta el dia 5 , en que lo-* graron retirarse totalmente, por haber incorporado á la municipalidad los re-* gidores conde de Canillejas, D. Ignacio María de Luzuriaga , D. Manuel de Rivacoba y Gorvea, D. Nicolás García Caballero, y marques de Tolosa, de los quales solo tomaron posesión los dos últimos. El dia 6, …</t>
  </si>
  <si>
    <t>de M, Domingo</t>
  </si>
  <si>
    <t>Domingo de M</t>
  </si>
  <si>
    <t>i­ da por el capitán de Numautinos D. Gregorio de Vera; y la ter­ cera por el temerte coronel, comandante de la compañía de zapa­ dores y artillería, D. Domingo de M urcia. „La noche tempestuosísima de viento y nieve, en que se camina­ ba sobre un piso de media vara de esta, helada, y la necesidad de hacerlo por una senda tor…</t>
  </si>
  <si>
    <t>de Mafia, Juan</t>
  </si>
  <si>
    <t>Juan de Mafia</t>
  </si>
  <si>
    <t>scaparse con uno de rus de la diputación eclesiástica últimamente pre­ mes allegador. sentada. Una de las ventajas que ha proporcionado esta Satini ( D. Juan de Mafia y ), comisario de Policía acción ha sido la libertad de 17 hombres de la .de Madrid. compañía franca de Getafe, que se hallaban ea teuvage (D. Alexandro), tirad…</t>
  </si>
  <si>
    <t>de Mancebo, Juan Ncpumaceno</t>
  </si>
  <si>
    <t>Juan Ncpumaceno de Mancebo</t>
  </si>
  <si>
    <t>S. Andrés ; empleos de alféreces de cazadores á los de fusileros D. Ambrosio López Lispcrgucr, D. Jo­ sé Morejon, D. Joaquín Martínez de Medinilla, y D. Juan Ncpumaceno de Mancebo ; y empleos de alféreces de fusileros á los cadetes ¡J. Mariano del Pino, I&gt;. José de Osea y D. Manuel Luxan. El Consejo de Regencia se ha servido …</t>
  </si>
  <si>
    <t>de Mancebo, Juan Nepéinnceno</t>
  </si>
  <si>
    <t>Juan Nepéinnceno de Mancebo</t>
  </si>
  <si>
    <t>ia de granade­ ros al de fusileros D. Ramón de Zuloaga ; id. de fusileros á los al­ féreces de cazadores y granaderos I). Ambrosio López Lisperguer y D. Juan Nepéinnceno de Mancebo; empleos de alféreces de grana­ deros á los de fusileros D, José Ignacio de Alava y D. Francisco Keyser; id. de cazadores á los de fusileros D. Jo…</t>
  </si>
  <si>
    <t>de Mancebo, Juan Nepomuceno</t>
  </si>
  <si>
    <t>Juan Nepomuceno de Mancebo</t>
  </si>
  <si>
    <t>ros al segundo teniente, con grado de teniente coronel, D. Domingo Martínez de Piniilc s: empleos de al­ féreces de granaderos á los déla misma clase D. Juan Nepomuceno de Mancebo, cazadores, y D. Joaquín Escrbi de fusileros ; y empleos de alféreces de fusileros ai teniente D. José Mazon, subtepíente del batallón de voluntari…</t>
  </si>
  <si>
    <t>de Mandi, Gabriel</t>
  </si>
  <si>
    <t>Gabriel de Mandi</t>
  </si>
  <si>
    <t>1101</t>
  </si>
  <si>
    <t>de España é Indias merezca su aprobación. Dios guarde á V. E. muchos años. Fuente la Reyna 23 de Agosto de 18 í 2. — Francisco Espoz y Mina. — Señor D. Gabriel de Mandi­ laba!. ” Infantes 29 de Agosto. La junta superior de esta provincia de la Mancha, sumamente reconocida ai duque de Ciudad • Rodrigo, cuyas incesantes victo­ …</t>
  </si>
  <si>
    <t>de Manzanilla, Josef</t>
  </si>
  <si>
    <t>Josef de Manzanilla</t>
  </si>
  <si>
    <t>Iturbieta, y conde de Villapaterna. Regidores* El Sr. marques de Cartelfuerte. El Sr. D. Pedro Baranda. El Sr. D. Manuel de Rivacoba y Gorbea* El Sr. D. Josef de Manzanilla. El Sr. D. Francisco Gutiérrez Sossl El Sr. D. Agustín de Goicoechea. El Sr. D. Pedro Uñarte. El Sr. D. Francisco Marchámalo. El Sr. D. Mariano de San Jua…</t>
  </si>
  <si>
    <t>de Maqueda, Francisco Rodríguez</t>
  </si>
  <si>
    <t>Francisco Rodríguez de Maqueda</t>
  </si>
  <si>
    <t>ado interinamente, y con subordinación á lo que la Regencia del reyno determine, á los señores D. Juan Andrés de Segovia, D. Luis Gabaldon y López, y D. Francisco Rodríguez de Maqueda. Una carta que hemos visto del quartel general del segundo y tercer exér­ cito, fecha 11 del corriente, dice qué Soult acabó de pasar el 5 de e…</t>
  </si>
  <si>
    <t>de Marcilla, Antonio Garces</t>
  </si>
  <si>
    <t>Antonio Garces de Marcilla</t>
  </si>
  <si>
    <t>iente general D. Joaquín María de Velarde, el mariscal de campo, comandante* general de la alarma de Galicia, D. Francisco Tabeada; los briga­ dieres D. Antonio Garces de Marcilla, D. Crisóstomo Lallave, conde de Priegue, D. Antonio Mañiz y Alvarez, marques de Almeyda , y D. Manuel Torrado; los coroneles D. Francisco Ramcnet,…</t>
  </si>
  <si>
    <t>de Marcos, Miguel</t>
  </si>
  <si>
    <t>Miguel de Marcos</t>
  </si>
  <si>
    <t>an Rafael García de Arellano, id. en Aodúitr......................... .... ....................... 2100 En este discurso se manifiesta que una de las D. Miguel de Marcos, id. en Jien.............. 2200 causas que han influido en nuestros alborotos es ia D. Diego Arroyo, id........... ....................... 2200 ignorancia de…</t>
  </si>
  <si>
    <t>de Marios, Antonio</t>
  </si>
  <si>
    <t>Antonio de Marios</t>
  </si>
  <si>
    <t>dújar..................................................................... 2200 P. Juan Ruiz , id....................................... ^...... 2200 D. Antonio de Marios , id. en Torre Xi- D. Tomas Perez, id........................................... 2200 ....................................... ....... ......................…</t>
  </si>
  <si>
    <t>de Mazarini, Richelieu y</t>
  </si>
  <si>
    <t>Richelieu y de Mazarini</t>
  </si>
  <si>
    <t>to al cumplimiento de Jos tratados; si considerasen que desde el reynado de Luis xm hasta el presente no han dexado de seguir las inicuas máximas del cardenal Richelieu y de Mazarini, conocerían que lo que obliga á ios franceses á violar todo género de tratados, y á destruir y desolar quanto pisan, no solo es una ciega obedie…</t>
  </si>
  <si>
    <t>de Mazo, Fernando</t>
  </si>
  <si>
    <t>Fernando de Mazo</t>
  </si>
  <si>
    <t>D. Francisco de Paula Figueroa , 45 y 6 y medio. D. Antonio Perez , 45 y 6 y medio. D. Miguel Salabarria , 41 y 5. D. Boni­ facio López Ruiz , 3 y 4. D. Fernando de Mazo y su sobrino D. Francisco Penagos Mazo , 2000. El marques de Villafuerte , 1000. D. Manuel Tafur, cura de Lurin , 40Í). El capitán D. Lorenzo José de Chaves,…</t>
  </si>
  <si>
    <t>de Mazo, Josef Gómez</t>
  </si>
  <si>
    <t>Josef Gómez de Mazo</t>
  </si>
  <si>
    <t>de la deoda del estado; lo expuesto por nues­ D. Francisco Escudero.......................... 1420 26 tro ministro de Hacienda , y oida la sección de D. Josef Gómez de Mazo.................... 1728 17 lo mismo de nuestro consejo de Estado, hemos D. Francisco de Ocaña......................... 2131 5 decretado y decretamos lo s…</t>
  </si>
  <si>
    <t>de Mcndizabal, Gabriel</t>
  </si>
  <si>
    <t>Gabriel de Mcndizabal</t>
  </si>
  <si>
    <t>1365 ^ 1.® Santiago . de Diciembre El Excmo. Sr. D. Gabriel de Mcndizabal en oficio de l.° de No­ viembre desde su cuartel general de Zornoza, dice al Exento. Sr¿ general en gefe del quinto, sexto y séptimo exércitos D. Francisco Xavier Castaños lo siguiente: „Excmo. Sr. : Acor</t>
  </si>
  <si>
    <t>de Meadizúb, Gabriel</t>
  </si>
  <si>
    <t>Gabriel de Meadizúb</t>
  </si>
  <si>
    <t>756</t>
  </si>
  <si>
    <t>pEñándcme siempre en todos los ped^r* s. — Dios guarde á V. E. muchos añes. Castro 9 de julio de 1812.— Excmo. £r.—■ Francisco de Langa. — Excmo. Sr. D. Gabriel de Meadizúb&amp;i, ge-neral en gtfe dei 7.° exército. Ríos eco 14 de julio. Extracto dé los partes que el teniente coronel D.. Benito Marqui* nez da al general en gefe de…</t>
  </si>
  <si>
    <t>de Mecklemburgo, Carlos</t>
  </si>
  <si>
    <t>Carlos de Mecklemburgo</t>
  </si>
  <si>
    <t>ublicado en su gazetu del 5 de éste raes, y Kioíf, Moskow, Pequeña Rusia y Siberia, man­ creo que no habrá quien dude de la verdad de loa dada por el príncipe Carlos de Mecklemburgo, y hechos que en ella se refieren, ni dexe de conocer que hacia parte del octavo cuerpo de Borosdin , se la solidez y oportunidad de las reflexio…</t>
  </si>
  <si>
    <t>de Medíene, Antonio</t>
  </si>
  <si>
    <t>Antonio de Medíene</t>
  </si>
  <si>
    <t>......................................... 23040 jr■ Doña María AriaULuiz de Estenoz..... 90090 D. Angel de Urruehi............................. 11520 D. Antonio de ¡Medíene lo..................... 18000 D. Antonio Alvarez.............................. 20412 D. Sebastian de 'Alolliuedo..... ............. 18000 D. Josef López d…</t>
  </si>
  <si>
    <t>de Medina, Francisco Manuel</t>
  </si>
  <si>
    <t>Francisco Manuel de Medina</t>
  </si>
  <si>
    <t>oro.................................................................... . 2200 D. Josef Cupe , id............................................... 2200 D. Francisco Manuel de Medina, id.......... 2200 D. Francisco de la Torre, id.......................... 2200 D. Bartolomé de León y la Hada, id......2aoó D. Josef Ortiz , id....…</t>
  </si>
  <si>
    <t>de Medina, Gaspar Cenon</t>
  </si>
  <si>
    <t>Gaspar Cenon de Medina</t>
  </si>
  <si>
    <t>e gobierno, 483. Id. posteriormente del pueblo de Bab .hoyo, 22. D. Pedro Nicolason , 5. El prior de S. Juan de Dios , 100. D. Luis Centextábili, 10. D. Gaspar Cenon de Medina, escribano de gobierno, 25 D. Pe­ dro Aguirre , 6. El prior de S. Agustin , 40. D. José Granada Espinosa , 10. D. Joaquín Torres , 8. D. José Moran por…</t>
  </si>
  <si>
    <t>de Medina, Ignacio</t>
  </si>
  <si>
    <t>Ignacio de Medina</t>
  </si>
  <si>
    <t>teniente de las mismas milicia» de infantería, á D. Torlbio Bsttüaeourt, D. Casimiro García, D. C &gt;sme Armera, D. José Torres, D. Teles foro Montero, D. Ignacio de Medina, D. Vicente Zavala, D. José María ViUavicsncio, D. Félix María Farias y D. Juan Pedro Pe*ayo ; el mismo de ras de caballería, á D. Rafael Padrón , D. José M…</t>
  </si>
  <si>
    <t>de Medinilla, Joaquín Martínez</t>
  </si>
  <si>
    <t>Joaquín Martínez de Medinilla</t>
  </si>
  <si>
    <t>al de fusileros D. Antonio María de S. Andrés ; empleos de alféreces de cazadores á los de fusileros D. Ambrosio López Lispcrgucr, D. Jo­ sé Morejon, D. Joaquín Martínez de Medinilla, y D. Juan Ncpumaceno de Mancebo ; y empleos de alféreces de fusileros á los cadetes ¡J. Mariano del Pino, I&gt;. José de Osea y D. Manuel Luxan. E…</t>
  </si>
  <si>
    <t>de Meló, Francisco Albarquerque</t>
  </si>
  <si>
    <t>Francisco Albarquerque de Meló</t>
  </si>
  <si>
    <t>do el puerto de Pajares. — Dios guarde &amp;c. Cuartel general de Oviedo 26 de enero de 1812. — Juan Pian Portier.” Valencia de Alcántara \ l de febrero. D. Francisco Albarquerque de Meló, oficial portugués de arti­ llería, se lia escapado de poder de los enemigos en Talayera de la Reyna, de donde también desertaron este ñus últi…</t>
  </si>
  <si>
    <t>de MemLa, Gabriel</t>
  </si>
  <si>
    <t>Gabriel de MemLa</t>
  </si>
  <si>
    <t>957</t>
  </si>
  <si>
    <t>el’o el vm que ten­ ga por conveniente. Dios yua;de * Y E. mucho? sñ-o?. Rinseco y julio 14 de 1812..— Ex. m ú 8:. — Benito Marquinez. — Exento Sr.. D. Gabriel de MemLa&amp;b !. Caro!-'ría 31 de Los enemigos en mi uero de 503 h.unbre* permanece** en TXbeda y Baeaa , hkb é a-.lose rt.¡ irado íes Y-.m-M ¿ J:*.sr. De o ti ciudad ha …</t>
  </si>
  <si>
    <t>de Mena, Buenaventura</t>
  </si>
  <si>
    <t>Buenaventura de Mena</t>
  </si>
  <si>
    <t>ayoral alférez D. José Celles Mohtredor ; segunda tenencia de fusileros á D. Juan de Yanguas , capitán del regimiento de Baylen ; y á los al­ féreces D. Buenaventura de Mena, D. Juan de Cortes y D. Cárlos Pozzodivórgo ; empleo de alférez de granaderos al de fusileros Don Francisco Martínez de Baños; y empleos de alféreces de …</t>
  </si>
  <si>
    <t>de Menchaca, Martin González</t>
  </si>
  <si>
    <t>Martin González de Menchaca</t>
  </si>
  <si>
    <t>Cade­ na, D. Manuel Torras Cónsul, D. Eimon Navarro Pingarron , Don Francisco M vin y D. Francisco Toxibio de Ugarte : para la de fis­ cal militar á D. Martin González de Menchaca, mariscal de campe de ios exércitos nacionales, y para la de fiscal togado á D. Ramón Pisón. CADIZ : EN LA IMPRENTA REAL.</t>
  </si>
  <si>
    <t>de Mendi, Gabriel</t>
  </si>
  <si>
    <t>Gabriel de Mendi</t>
  </si>
  <si>
    <t>o y 83 solda­ dos ; extraviado, 1 soldado. ESPAÑA. Estrila 30 de Setiembre, Partes del mariscal de campo l), Francisco JEspox y Mina al Exf- rao, Sr. D. Gabriel de Mendi%o.b f l. l.° „Excmo. Sr.: El capitán D. Félix Sarasa, habiendo salido con destino á recorrer las montañas de la raya de Francia, me dice lo siguiente. El 2 m…</t>
  </si>
  <si>
    <t>de Mendieta, Jayme Alvaroz</t>
  </si>
  <si>
    <t>Jayme Alvaroz de Mendieta</t>
  </si>
  <si>
    <t>eo Segundo Gómez, D. Ma­ nuel dei Castillo Negrete , D. Francisco Ibañez de Ley va , D. Ma­ nuel'Antonio de la Bodega y Moliinedo, O. Francisco Diez, D. Jayme Alvaroz de Mendieta, D. Vicente Fita, D. Andrés Oder y Don Diego María Badilios. El teniente general D. Francisco Ballesteros, general en gefe del cuarto exército, diri…</t>
  </si>
  <si>
    <t>de Mendisabal, Gabriel</t>
  </si>
  <si>
    <t>Gabriel de Mendisabal</t>
  </si>
  <si>
    <t>o traslado á V. E. para su conocimiento y satisfacción. Nues­ tro Señor guarde &amp;&lt;?. Leaehe y jusio 14 de 1812. — Francisco Espoz y Mina. — Exnno. Sr. D. Gabriel de Mendisabal. 2.° Excmo. Sr.: El encargado de la partida de observación so­ bre la carrera de Tadela y confluencias del Ebro y Arago:-*, me dice literalmente lo que …</t>
  </si>
  <si>
    <t>de Mendiuueta, Pedro Simón</t>
  </si>
  <si>
    <t>Pedro Simón de Mendiuueta</t>
  </si>
  <si>
    <t>Cataluña, á consecuencia de una proclama que dirigieron á estos habitantes los comisionados por el congreso provincial de aquel principado. Asimismo D. Pedro Simón de Mendiuueta, D. Miguel Moiet y el conde de Busoc®, ve­ cinos de esta capital, justamente penetrados del heroico valor y pa­ triotismo del coronel D. Francisco Es…</t>
  </si>
  <si>
    <t>de Mendixaval, Gabriel</t>
  </si>
  <si>
    <t>Gabriel de Mendixaval</t>
  </si>
  <si>
    <t>antiguo. " .-ESPAÑA, : * j . -• Puente la de Agosto. Parte del mariscal de campo D. Irandseo Espox y Mina, al ge­ nera/ en gefe del séptimo exército D. Gabriel de Mendixaval. ,,Exorno. Sr.: Ya insinué á Y. E. anteriormente que el general gobernadoT Abbe había .adoptado el empleo de leñador para surtir, de éste artículo á la p…</t>
  </si>
  <si>
    <t>de Mendiz, Gabriel</t>
  </si>
  <si>
    <t>Gabriel de Mendiz</t>
  </si>
  <si>
    <t>su interino enrgo.” Lo que traslado á V. S. para tu puntual cumplimiento. Dios guarde á V. S. muchos años. Cádiz 29 de Agosto de 1812. El Exorno. Sr. D. Gabriel de Mendiz&amp;bri coi fecha 13 de Agos­ to desde Medina de Pomar, traslada al señor g&lt;sfe del espado mayor general el parte que le remite el coronel D. Jaan de Tapia , cu…</t>
  </si>
  <si>
    <t>de Mendiz-bal, Gabriel</t>
  </si>
  <si>
    <t>Gabriel de Mendiz-bal</t>
  </si>
  <si>
    <t>su intre­ pidez al frente del enemigo. — Dios guarda 4 V. E. mochos años. Segara-y Julio 2 de 1812.— Eximo. Si1. — Gaspar de Jáuregui.— Ex-cuno. Sí. D. Gabriel de Mendiz-bal, general en gefe del séptimo exérciíü.” El mariscal decampo D. Joré O Drmnell, general en gefe del se­ gundo y tercer erército, dice con fecha 23 de Agos…</t>
  </si>
  <si>
    <t>de Mendízabaí, Gabriel</t>
  </si>
  <si>
    <t>Gabriel de Mendízabaí</t>
  </si>
  <si>
    <t>. paTa su conocimiento y satisfacción. Nues­ tro Seño? guarde á V. E. muchos anos. Lencho 14 de junio de 1812.— Francisco Espoz y Mina. ■— £xcm). Sr. D. Gabriel de Mendízabaí. (Se continuaran.) Escorial 22 de juno. (Artículo copiado de la gaceta de Mairid de 24 de julio ) ,,Ei rey nuestro -scq^e ha llegado hoy al amanecer á e…</t>
  </si>
  <si>
    <t>de Mendizabal, Blas</t>
  </si>
  <si>
    <t>Blas de Mendizabal</t>
  </si>
  <si>
    <t>753</t>
  </si>
  <si>
    <t>os y particulares de aquella provincia; de la contaduría principal de esta provincia marítima. Eí 10 , de la junta superior de Extremadura. Ei 11, de D. Blas de Mendizabal, cón­ sul de España en Marruecos, y de los españoles que se hallen en aquel reyno ; del gefe y subalternos de la contaduría de ordenación de cuentas de la …</t>
  </si>
  <si>
    <t>de Mendizabal, Gabriel</t>
  </si>
  <si>
    <t>Gabriel de Mendizabal</t>
  </si>
  <si>
    <t>entre un diluvio de balas. „Nuesí.ro Señor guarde á V. E. muchos anos. Sangüesa 7 de fe­ brero de 1S12.—Excmo. Sr.—Francisco Espoz y Mina.—Excmo. Sr. D. Gabriel de Mendizabal.” Madrid 13 de marzo. Del 28 de febrero. Escriben de Castilla por este último conreo, que las avanzadas del ejército aliado llegaban hasta los arrabales…</t>
  </si>
  <si>
    <t>de Mendízabal, Gabriel</t>
  </si>
  <si>
    <t>Gabriel de Mendízabal</t>
  </si>
  <si>
    <t>466</t>
  </si>
  <si>
    <t>aslado á noticia de V. E. para su debido conc cimiento.— Nuestro señor guarde &amp;c.— Lumbier 17 de marzo de 1832.— Jrancisco Espo% y Mina. — Excmo. Sr. D. Gabriel de Mendízabal.” El capitán D. Ramón Elorrio, de la división del brigadier Don Francisco Espez y Mina, viniendo á traer estos partes al cuartel ge* neral de este sépti…</t>
  </si>
  <si>
    <t>be conducirlos á Inglaterra. ESPAÑA. Oviedo 4 de abril. Extracto del parte dd brigadier D. Jiran Díaz Portier al general en Q'e/e dd séptimo excedió, D. Gabriel de Mendizabal. ^Cuartel general de .Raíz 26 de mamo de 1812.—-El 29 llegó ¿ Comidas un cuerpo francos con designio al parecer de atacarme, y -se acampó en ei Tejo. Ha…</t>
  </si>
  <si>
    <t>499</t>
  </si>
  <si>
    <t>e hacen toda mi pérdida. — Nuestro Señor guarde á Y. E. muchos años. Los Arcos 31 de marzo de 1812.—Exorno. Sr.— Francisco Espoz y Mina. — Excmo. Sr. D. Gabriel de Mendizabal.” Carta dei mariscal de campo D. Francisco Espoz y Mina al ca­ pitán general D. Francisco Xavier de Castaños. ‘‘Excmo. Sr.: La persecución que estoy pad…</t>
  </si>
  <si>
    <t>de Mendizábal, Gabriel</t>
  </si>
  <si>
    <t>Gabriel de Mendizábal</t>
  </si>
  <si>
    <t>uto de sus rapiñas. — Nuestro Señor guarde á V. E. muchos años. ¿Salduendo 11 de abril de 1812.— Excrao. Sr. — Francisco Espox y J/ina. — Excrao. Sr. D. Gabriel de Mendizábal.” ............................................. ........................................................................................................…</t>
  </si>
  <si>
    <t>reparan fiestas para celebrar con las dtbldás de* mostraciones de júbilo este feliz acontecimiento. Oficio del general en gefe del séptimo exército , D. Gabriel de Mendizábal, al capitán general D. Xavier Castañas. ,, Excnio Sr : Mientras se reunían las divisiones de vanguardia, Iberia, y otros cuerpos de este exército el 2 d…</t>
  </si>
  <si>
    <t>Alava ha recibido, con fe-r cha de to del corriente, una copia que le dirige D. Francisco de Longa de las relaciones comunicadas por él al Excmo. Sr. D. Gabriel de Mendizabal, como general en gefe del séptimo exército. De ellas resulta que aquel digno patriota se ocupa mucho tiempo hace en interceptar con las tropas de su man…</t>
  </si>
  <si>
    <t>chos año?. Santa Cruz 20 de julio de 1812.— Joaquín de Pablo. — Lo que participo &amp;c. Fuentelareyna 25 de julio.— Francisco Espoz y Mina. — Kxcmo. Sr. D. Gabriel de Mendizabal.1* lierga 7 de agosto. Las grandes é interesantes noticias, que en el dia se podrían anun­ ciar al público para su satisfacción &gt; así de la publicación …</t>
  </si>
  <si>
    <t>ltando las-fuertes murallas de Soria , y posesionándose de los alma­ cenes que tenia alli él enemigo, c. ' . - : »■ ' ■ &lt; . . . ^ .-1 „E1 Exorno. Sr. D. Gabriel de- Mendizabal, general en ge fe, 'de L sep ti m o exército, á los españoles y portugueses ¡juramentados, que sirven en las tro­ pas francesas que guarnecen'las pró.v…</t>
  </si>
  <si>
    <t>A. merez­ ca su distinguida aprobación.— Dio* guarde á V. E. muchos años. Puente la Reyna 19 de Agosto 1812. ■— Francisco Espoz y MU na — Excmo. Sr. D. Gabriel de Mendizabal.” VI.0 „El 21 de Agosto puede llamarse e! día de la humillación de Abbé ^ y el día de la ignominia de sus soldados. A pinada la guar­ nición de Pamplona …</t>
  </si>
  <si>
    <t>primero que cargó sobre el cuartel. — Dica guarde á V. E. muchos años. Azpeitia y Junio 2t d* 1812. — Excsso. Sr.— Gaspar de Jciare gui. — Exemo. Sr. D. Gabriel de Mendizabal, ge­ neral en gefe del séptimo f xércite.” 2.° ,, Excmo. Sr.: Hallándonos el dia de iyer en la villa de O ñate , recibí do mis confidentes la noticia de…</t>
  </si>
  <si>
    <t>le seritó mal el Consejo, pues lia comenzado a ponerlo erí ékecuCioií. — Dios guarde á. V.'-É.1 niúchos años.— F/¿Wcüco Espoz y Mitkt. —■ Excmo. Sr. D. Gabriel de Mendizabal." '</t>
  </si>
  <si>
    <t>de Mendizahal, Gabriel</t>
  </si>
  <si>
    <t>Gabriel de Mendizahal</t>
  </si>
  <si>
    <t>zas que espera de toda arma. Coruña 25 de diciembre. Oficio dirigido per el brigadier D. Juan J)Íaz Porlicr al gene­ ral en gefe del séptimo exército D. Gabriel de Mendizahal.—“Exento. Sr.: Con el objeto de sostener Ja parte de la Montaña evacuada por los enemigos de resultas de la acción del 14 de agosto ultimo, dis­ puse qu…</t>
  </si>
  <si>
    <t>de Mendizhb, Gabriel</t>
  </si>
  <si>
    <t>Gabriel de Mendizhb</t>
  </si>
  <si>
    <t>respectivamente. — Dios guarde á V, E. muchos años. Cuartel general de Espejo., y Agosto 17 de 1812. — Excmo. Sr. — Francisco de Longa. — Éxcmo. Sr. D. Gabriel de Mendizhb&amp;l.” Relación de la artillería, montages y municiones que se han hallado en las haterías enemigas desde el Puerto de Sta. María al punto de Fort-Luis , y de…</t>
  </si>
  <si>
    <t>de Mendoza, Bernardo Hurtado</t>
  </si>
  <si>
    <t>Bernardo Hurtado de Mendoza</t>
  </si>
  <si>
    <t>aga, subteniente , á diez de la mañana. Los enemigos, viendo qae í teniente de la octava compañía. •• pesar del mayor número de sus cañones y del ma­ D. Bernardo Hurtado de Mendoza , sargento yor Calibre de su artillería, no podían conseguir primero, á subteniente de la qoarta-compañía. ventaja alguna contra el valor y perici…</t>
  </si>
  <si>
    <t>de Mendoza, Toribio Rodriguez</t>
  </si>
  <si>
    <t>Toribio Rodriguez de Mendoza</t>
  </si>
  <si>
    <t>s curas rectores del sagrario de esta catedral D. Juan An­ tonio Iglesias , D. Juan Marin, y D. Mariano Tagle, 500. Real Convictorio Carolina, Rector D. Toribio Rodriguez de Mendoza ofrece 100 pesos en cada -tir: año de ios que dure la guerra, y ha entregado 200. D. Juan de Dios Ola■ciiea , vice-rector , 25. D. Leocadio Santa…</t>
  </si>
  <si>
    <t>de Meneses, Tadeo Luis</t>
  </si>
  <si>
    <t>Tadeo Luis de Meneses</t>
  </si>
  <si>
    <t>ra de Lima. El capitán I). Antonio Quevedo , guarda almacén de artillería de Truxillo, 100, y cada año 8o y 4 rs. para mantener un soldado de España. D. Tadeo Luis de Meneses , guarda almacén de arti­ llería de Piura , en todo como el antecedente , 100. El teniente D. Francis­ co Ignacio Ximeno , 30. El capitán D. José Muñoz …</t>
  </si>
  <si>
    <t>de Menezo, Cipriano</t>
  </si>
  <si>
    <t>Cipriano de Menezo</t>
  </si>
  <si>
    <t>Campo, id. de Hscobedo. 2200 en SepúlveJa......... ................................ ....... 2200 Ex-earrnelit as descalzos. PREFECTURA DE SANTANDER. D. Cipriano de Menezo , natural del valle Ex geránimos. de Meruelo.......... .......................................... 2200 D. Juan de la Portilla, id. de Hscobedo... 22c» D. Be…</t>
  </si>
  <si>
    <t>de Menüizábal, Gabriel</t>
  </si>
  <si>
    <t>Gabriel de Menüizábal</t>
  </si>
  <si>
    <t>879</t>
  </si>
  <si>
    <t>ado el acercarse. Dios guarde á V. S. muchos años. Sta. Cruz de .Campezo 8 de julio de 18 í 2.— Exorno. Si*. — francisco Espoz y Mina. — Exorno. S.r. D. Gabriel de Menüizábal.” ARTICULO DE OFICIO. E‘ brigadier, eyulante general de cutido mayor , D. Juan Fot cus y Muxica, ge fe interino del estado moyo* de! stgtmdo y tercer ej…</t>
  </si>
  <si>
    <t>de Mesa, Josef</t>
  </si>
  <si>
    <t>Josef de Mesa</t>
  </si>
  <si>
    <t>228</t>
  </si>
  <si>
    <t>Ramos 3 celemines de id................. 3 . Narciso López 4 fanegas de it!.................... 4 Custodio Ramos 3 celemines de id.............. . 3 D. Josef de Mesa 6 celemines de trigo........i. 6 D. Diego Martin 40 arrobas de paja......... . 40 Basilia Aguado 6 celemines de cebada............ 6 Eulogia Galeote 2 celemines …</t>
  </si>
  <si>
    <t>de Meudizabal, Gabriel</t>
  </si>
  <si>
    <t>Gabriel de Meudizabal</t>
  </si>
  <si>
    <t>270</t>
  </si>
  <si>
    <t>nducir carrtiages de aquella ciudad á Talayera, y pera el:o han pedido S00 trabajadores á lo» pueblos dlel contorno. El general del séptimo exército, D. Gabriel de Meudizabal, ha recortido les diferentes partidos de Castilla da vieja , dónele ha en­ contrado el espíritu público en el estado que indícala siguiente pro­ clama d…</t>
  </si>
  <si>
    <t>de Mira, Antonio</t>
  </si>
  <si>
    <t>Antonio de Mira</t>
  </si>
  <si>
    <t>disimular ; se contenta con vengar ar­ capellanía de número del coro de la catedral de restos con arrestos, y fluctuar incierta entre lo Granada ; á D. Antonio de Mira , presbítero , ex— presente y lo venidero. Tal es el estado de cosas njercenario descalza, para otra capellanía de nú­ qne se ofrece á la meditación de los sic…</t>
  </si>
  <si>
    <t>de Miranda, Antonio José</t>
  </si>
  <si>
    <t>Antonio José de Miranda</t>
  </si>
  <si>
    <t>de marques de Torres-Vedras; a* ronde de Redondo se le ba añadido el de marque» de Borfca ; á Fianc^sco de M lio el de conde de Pícalho; al teniente general Antonio José de Miranda el de vizconde de Souzel; al te­ niente general Mauuei Pinto B a cebar el de vizconde de Montategre; á Juan Diego de Barros, el de vizconde de San…</t>
  </si>
  <si>
    <t>de Miranda, Juan Cayetano</t>
  </si>
  <si>
    <t>Juan Cayetano de Miranda</t>
  </si>
  <si>
    <t>pez Ayllon , mensuales, 18. D. José María Piar, id., 9. D. Juan Alonso Carriazo, id., 9. D. Juan Suavedra, id. , 4. D. Juan. José Hortelano , id., 2. D. Juan Cayetano de Miranda, id., 12. D. José Her­ nández , id. , uno. D. Vicente González, id., uno. I&gt;. Tomas Calvo , id., 2. D. Isidro José Cay mar i, id., 4. I). Fernando Al…</t>
  </si>
  <si>
    <t>de Mitau, Grawest</t>
  </si>
  <si>
    <t>Grawest de Mitau</t>
  </si>
  <si>
    <t>212</t>
  </si>
  <si>
    <t>de defensa, y nada tiene ciertamente que temer. El general Essen ha destacado tropas pa­ ra atacar el ala derecha del exército prusiano, y cortar al general Grawest de Mitau, donde solo hay una corta guarnición. Rey na en toda la Rusia un patriotismo de que hay muy pocos exemplos en la historia. Todos los ciudadanos sé ofrece…</t>
  </si>
  <si>
    <t>de Mohteverde, Domingo</t>
  </si>
  <si>
    <t>Domingo de Mohteverde</t>
  </si>
  <si>
    <t>una verdadera negativa. Queda, pues, el exército de Ja Confederación en aptitud de obrar desde este instante contra sus enemigos , á menos que el Sr. D. Domingo de Mohteverde no adopte unos principios mas conformes á las proposiciones an-1 teriormente hechas. Cuartel general déla Victoria á 15 de julio de ‘ 1815. — Francisco …</t>
  </si>
  <si>
    <t>de Molina, Pedro</t>
  </si>
  <si>
    <t>Pedro de Molina</t>
  </si>
  <si>
    <t>de junio. Y para qne sirvan en encomienda los beneficios que se expresan á los ex-regulares siguientes: „E1 eapitau Buida y el comerciante Vila, es­ D. Pedro de Molina, presbítero, ex-dominico capados de los calabozos’de la Guaira , han decla­ y natural de Mntitzfria , diócesis de Granada , el rado á so llegada de Puerto-Rico…</t>
  </si>
  <si>
    <t>de Molins, Benito Mons</t>
  </si>
  <si>
    <t>Benito Mons de Molins</t>
  </si>
  <si>
    <t>y D. Juan imponerle una doble contribución. Francisco Pintado individuo: de ¡a municipalidad Después de otros muchos argumentos á favor de Madrid ; á D. Benito Mons de Molins para la de la propuesta , el duque de Sussex dixo que to­ plaza de alcalde del barrio de\S. Cayetano de esta mando la palabra en esta ocasión solemne, h…</t>
  </si>
  <si>
    <t>de Molliriedo, Sebastian</t>
  </si>
  <si>
    <t>Sebastian de Molliriedo</t>
  </si>
  <si>
    <t>rado D. Miguel Baleayo.................. 4151 17 1809. D. Joaquín de Lezaeta........................ 722 art. íii. Nuestro mtoistro de Hacienda queda D. Sebastian de Molliriedo.......... ........ 14349 2 5 ~ encargado de la execucion del presente decreto. = Firmado=YO F.L RKl.aePor S. M., su ministro Por réditos de jures. . s…</t>
  </si>
  <si>
    <t>de Molüncdb, Sebastian</t>
  </si>
  <si>
    <t>Sebastian de Molüncdb</t>
  </si>
  <si>
    <t>em­ samente para remediar est s abusos. Pero iuí au­ pleado en la antigua real Casa........... 2200 tores, llevados de un zelo mal entendido, exten­ D. Sebastian de Molüncdb, rficiai de dieron mas allá de lo justo la autoridad paterna, 6 Ja contaduría de espedios y va­ LLieroD nacer el conflicto entre e&lt;ta y la libertad cante…</t>
  </si>
  <si>
    <t>de Monte, Domingo</t>
  </si>
  <si>
    <t>Domingo de Monte</t>
  </si>
  <si>
    <t>tropas ; y la ciudad da Tucuyo, jurando á Fernando vii , reconoció las Cortea, y pi« ttió si comandante de las tropas y capitán de fragata graduado, D. Domingo de Monte verde, gefes que la gobernasen. En Carera so sintió también el terremoto después que á viva fuer­ za lo tomaron nuestras tropas, pero no padeció. A pesar de q…</t>
  </si>
  <si>
    <t>1302</t>
  </si>
  <si>
    <t>, si un deseo mutuo de terminarlas no las extingue para siempre. Examinando bien la contestación que acaba da hacer á nuestras proposiciones el señor D. Domingo de Monte verde, parece qne.se deniega absolutamente á las medulas de paz y conciliación que son el fundamento de nues­ tra misión , y baxo cuyo supuesto ha debido est…</t>
  </si>
  <si>
    <t>de Montes, Juan Gil</t>
  </si>
  <si>
    <t>Juan Gil de Montes</t>
  </si>
  <si>
    <t>María Godinez, D. Rafael Piñuela, y á los subtenientes gra­ duados D. Juan Díaz Pino, D. Josef María Angulo, D. Diego Padilla, Don Pedro la Llave, y D. Juan Gil de Montes: todos alumnos de la academia mi­ litar del quarto exército. Renovación de vales. Aunque por resolución de la junta central gubernativa del reyno, su fecha …</t>
  </si>
  <si>
    <t>de Montes, Pedro la Llave y Don Juan Gil</t>
  </si>
  <si>
    <t>Pedro la Llave y Don Juan Gil de Montes</t>
  </si>
  <si>
    <t>y González., D. C irios María Godinez, Don Rafael Piñuela, y á los subtenientes graduados D. Juan Díaz Pino, D. J osé María Angulo, D. Diego Padilla, D. Pedro la Llave y Don Juan Gil de Montes; todos alumnos de la academia militar del cuarto exército. Jlemvacion de vales. Aunque por resolución de la junta Central gubernativa …</t>
  </si>
  <si>
    <t>de Monteverde, Domingo</t>
  </si>
  <si>
    <t>Domingo de Monteverde</t>
  </si>
  <si>
    <t>Gazeta de la Regencia de las Españas n.º 143</t>
  </si>
  <si>
    <t>1167</t>
  </si>
  <si>
    <t>mo partido cuelas demas por ser inferiores sus fuerzas á las que manda Monteverde. La capitulación de que se ha hecho mención arriba es como sigue: ,,D. Domingo de Monteverde, comandante general délas tropas de S. M. Q. y el capitán José de 'Sata y JBussy, comisionado por el generalísimo del exército de Venezuela Francisco de…</t>
  </si>
  <si>
    <t>1168</t>
  </si>
  <si>
    <t>otros rehenes ni seguridades de una parte y otra que la mutua fé y palabra de ambos, fiándose tanto el exército y el pueblo de Caracas de la del Sr. D Domingo de Monteverde, qué no duda que por ella sola se cumplirán, religiosamente todas las pro­ mesas . XI. - Como las proposiciones hechas por los comisionados del gefe del e…</t>
  </si>
  <si>
    <t>randa Primera respuesta éti comandante general del exército de S. M. C, JD. JJo mingo de Monteverde, „E1 comandante general del exército de S.. M. C. D. Domingo de Monteverde , dirigido á las operaciones de esta provincia, en contestación al oficio del de las tropas caraqueñas , dice : que es muy conforme á sus intenciones , …</t>
  </si>
  <si>
    <t>.” » Segunda contestación del comandante general del exército de S. M. C. jD. Domingo de Monteverde. „ El comandante general del exército de S. M. C. D. Domingo de Monteverde , impulsado de una piadosa consideración, responde á la segunda nota del de las tropas armadas de Caracas Francisco de Mi­ randa : que en su anterior in…</t>
  </si>
  <si>
    <t>1201</t>
  </si>
  <si>
    <t>á las ocurrencias de Caracas. Oficio de los comisionados Aliao y Sata. „Los comisionados del exército de las provincias unidas de Ve­ nezuela al Sr. D. Domingo de Monteverde, comandante general de las tropas de la Regencia española. La humanidad y no la debili­ dad dictaron las primeras proposiciones de paz y conciliación hed…</t>
  </si>
  <si>
    <t>Ultimas proposiciones de Aid to y Sata. ^Impuestos ios comisionados del exército de las provincias uni­ das de Venezuela (te las intenciones del Sr. D. Domingo de Monteverde, expuestas verbalmente en la noche del dia de ayer, y que aclararon las dudas propuestas en nuestra segunda nota oficial, ha­ cemos por última vez las si…</t>
  </si>
  <si>
    <t>on de este negocio por el comandante general del exército de S. M. C. D. Domingo Monteverde, y por el comisionado de Miranda Júóé de Sata y Jtdussy. „D. Domingo de Monteverde , comandante general de las tropas de S. M. C., y el C. José ríe Sata y B issy , comisión-ido por el ge­ neralísimo del exército de Venezuela Francisco …</t>
  </si>
  <si>
    <t>otros rehe­ nes ni seguridades de una parre y otra, que la mutua fe y palabra de ambos , fiándose tanto el exército y pueblo de Caracas de la del Sr. D. Domingo de Monteverde , que no duda que por ella sola se cumplirán religiosamente todas las promesas. 11. Como las proposi­ ciones hechas por los comisionados del gefe del ex…</t>
  </si>
  <si>
    <t>de Monteverde, Dqmingo</t>
  </si>
  <si>
    <t>Dqmingo de Monteverde</t>
  </si>
  <si>
    <t>95</t>
  </si>
  <si>
    <t>” . froposicif nes de los comisionadas Aldao'y Seta*,,Proposiciones que hacen los comisionados del exército dé la confederación de Venezuela al señor D Dqmingo de Monteverde, comandante general del exército de la Regencia española. Prime­ ra Se comprometerán ambos partidos; es decir, la parte no conquis­ tada de la confederac…</t>
  </si>
  <si>
    <t>de Montoya, Juaa</t>
  </si>
  <si>
    <t>Juaa de Montoya</t>
  </si>
  <si>
    <t>24 de los miembros de la cámara de educación , los ha D"ña Mari 4 Juana RnU; g .ez............ 14400 nombrado a todos ellos miembros de la nueva di­ D. Juaa de Montoya............................ 10800 rección; y al que era presidente de la antigua cá­ mara le ha nombrado director general de la educa* 262581 1 cion nacional, …</t>
  </si>
  <si>
    <t>de Mora, José Moreno</t>
  </si>
  <si>
    <t>José Moreno de Mora</t>
  </si>
  <si>
    <t>e España, 50. D. Vicente Duvango, 50. D. Ricardo Sbield, 100. D. Jayme Campbell, 100. D. Andrés Loughnan, 50. Los Sres. Gordon, Murfiy compañía, 105. D. José Moreno de Mora, ¿0. Un patriota español, 100 y 120 cami­ sa?. D. Jorge Sacdcman, 100. D. Antonio Gower, 20. D. Juan Gar­ cía, 100. D. Juan Bautista Arnaza, 10. D Manuel …</t>
  </si>
  <si>
    <t>de Mora, Pedro</t>
  </si>
  <si>
    <t>Pedro de Mora</t>
  </si>
  <si>
    <t>edutos — Con motivo de las desa venencias ocur'Has tn Ui prefectura Je Granarla, se ha morid ido per d« creí o- de es te dia que el prefecto de aquí, D. Pedro de Mora y í¿ornas , vaya á servirla en comisión ; y por no estar satisfecho el gebterno de los serviciesdel prefecto de Toledo, D. Rairen Salas , lo manda retirar, debi…</t>
  </si>
  <si>
    <t>de Mora, Ventura</t>
  </si>
  <si>
    <t>Ventura de Mora</t>
  </si>
  <si>
    <t>ar.a Ruiz ; á teniente á D. Nicolás Gasas ; á subtenientes de granaderos á D. Juan de Castro Palomino y D. José Pinera ; á subteniente de fusileros á D. Ventura de Mora ; y á subtenientes de bandera á D. Juan Urkina, D. Víctor Santa María, D. Remigio Izaguirre y D. Feman­ do Beato. En 15 de Julio último salió de este puerto p…</t>
  </si>
  <si>
    <t>de Moría, Tomas</t>
  </si>
  <si>
    <t>Tomas de Moría</t>
  </si>
  <si>
    <t>s para Burgos, y según otros para Va­ len ci ; pero después han calmado estas voces, y ya no se habia de ello. En la madrugada del 6 murió de repente D. Tomas de Moría. Igual muerte habia tenido en el mes anterior D. Simón de Yiegas. El 12 entró un convoy de Andalucía con bastantes franceses coxos y mancos. — Sigue el continu…</t>
  </si>
  <si>
    <t>de MorJa, Tomas</t>
  </si>
  <si>
    <t>Tomas de MorJa</t>
  </si>
  <si>
    <t>a bravura de los si­ ceder en los bienes que han quedado por fallecimiento tiadores , y aun mas la partida de Aníbal, cuya abintestato del Excmo. Sr. D. Tomas de MorJa, á fin de que dentro del término de 30 dias, contados desde presencia exigía la sublevación suscitada entre los el referido ióde diciembre, comparezcan ante su…</t>
  </si>
  <si>
    <t>de Moya, Sebastian</t>
  </si>
  <si>
    <t>Sebastian de Moya</t>
  </si>
  <si>
    <t>Acosta, D. Justo Clemente, D. José Sánchez, D. Eustaquio Hidalgo, D. Basilio Aguado, D. Tomas Aparicio, Don Fernando Villanueva, D. Antonio Ansaldo , D. Sebastian de Moya, D. Antonio María Portaz, D. Antonio Moreno, D. Andrés Rodrí­ guez, D. José Martínez, D. José Muñoz Silleros, D. Agustín Moli­ na, IX Asensio Cabrera y Gonz…</t>
  </si>
  <si>
    <t>Acosta, D. Justo Clemente, D. Josef Sánchez, D. Eustaquio Hidalgo, D. Basilio Aguado, D. Tomas Aparicio, D, Fernando Villanueva, D. Antonio Ansaldo, D. Sebastian de Moya, D. Antonio Ma­ ría Portaz, D. Antonio Moreno, D. Andrés Rodríguez, D. Josef Martínez, D. Josef Muñoz Silleros, D. Agustín Molina, D. Asensio Cabrera y Gonzá…</t>
  </si>
  <si>
    <t>de Mozarena, Fermín</t>
  </si>
  <si>
    <t>Fermín de Mozarena</t>
  </si>
  <si>
    <t>Victorino B.imbier: del de S. Fernando á D. José Boix; del de Gerona á O. Alfonso Herrero; del de Mataró á D. José Ma­ já a Colubi; y del de Ausona á D. Fermín de Mozarena. En les cuerpos de infantería ligera del mismo exército ha con­ ferido S. A. los empleos que siguen. Comandancias de batallón : del de tiradores de Buza á …</t>
  </si>
  <si>
    <t>de Murga, Jasé</t>
  </si>
  <si>
    <t>Jasé de Murga</t>
  </si>
  <si>
    <t>resultando bastantes desgracias, que también has alcanzado á ios franceses. Antes de ayer se revó de Car&amp;banohe! una parfila d ■ patriotas 8 muías de D. Jasé de Murga, director deja casa de los Aginrres.^ El ¿9 del pasado estuvo el mariscal Yicíor con Jo-,é en la Casa del campo Se embarcaron en el ei-tanque grande , y hab enr…</t>
  </si>
  <si>
    <t>de Muro, Eulogio José</t>
  </si>
  <si>
    <t>Eulogio José de Muro</t>
  </si>
  <si>
    <t>551</t>
  </si>
  <si>
    <t>gieron y maniataron á P. Pedro Gordo, vine-presidente de la junta, cura párroco de Santibañez, á I). José Ortiz C ovar rubias, intendente interino, á D. Eulogio José de Muro, vocal, al vice­ secretario de la junta, al secretario de la intendencia , á un subte* niente, 3 sargentos y de 15 á 20 soldados. Se apoderaran ds mu­ ch…</t>
  </si>
  <si>
    <t>. ' „Llevados á SoTia con grillos los cuatro ilustres presos ,13. Pedro Clordo, vice presidente, I). José Ortiz de Covarrubias , rnteudente y vocal, D. Eulogio José de Muro., vocal, y el secretario de la mten­ dencia Navas (1) , dieron orden ios franceses á la junta criminal ae aquella ciudad para que en la noche dei uno al d…</t>
  </si>
  <si>
    <t>de Muzquiz, Ignacio</t>
  </si>
  <si>
    <t>Ignacio de Muzquiz</t>
  </si>
  <si>
    <t>aacramcntos de la penitencia y sagrada comunión, y P. Juao Antonio del Valle............. 4410 un discurso místico sobre el acto de contrición un to­ D. Ignacio de Muzquiz................... 16200 mo en 8.° con estampas finas. Se vezde en la librería D. Miguel Castellano........... ......... 17010 de la viuda de Quiróga, call…</t>
  </si>
  <si>
    <t>de ÑAPOLES, María Bujeta Martínez REINO</t>
  </si>
  <si>
    <t>María Bujeta Martínez REINO de ÑAPOLES</t>
  </si>
  <si>
    <t>Gaceta de Madrid n.º 207</t>
  </si>
  <si>
    <t>; y asi es que tt do el mundo D. Manuel de Ramos ZjYa...... .... 3590 6 toma parte en ¿1 con la mayor confianza. v P. Ramón García Gdiego , marido de Doña María Bujeta Martínez REINO DE ÑAPOLES. Garay, poseedora del mayorazgode los Dazas, por medio de su apode­ rado D. Trinis Gómez Duran........ 3982 *7 Potenza (en la Basilic…</t>
  </si>
  <si>
    <t>de Navas, Antonio</t>
  </si>
  <si>
    <t>Antonio de Navas</t>
  </si>
  <si>
    <t>stellón, id. en Ecija................... 2200 D. Antonio Casaubon, id................................ arco D. Juan Prieto, id................... 2200 D. Antonio de Navas, id................................. 22.00 D. Mariano González, id................................ 2200 D. Pablo Vega , id................................. .…</t>
  </si>
  <si>
    <t>de Navas, Francisco Solano</t>
  </si>
  <si>
    <t>Francisco Solano de Navas</t>
  </si>
  <si>
    <t>rtas, id.............................. 2200 J&gt;. Francisco Díaz, residente eti Córdoba.. ’22oa D. Diego Sánchez Aguayo , id...................... 22C0 D. Francisco Solano de Navas , ¡d................ 2200 D. Jostf Navarro , residente en Mootilla... 2200 D. Josef Muñoz, id........................................... 2200 P. Die…</t>
  </si>
  <si>
    <t>de Neyra, Juan Miguel Cela</t>
  </si>
  <si>
    <t>Juan Miguel Cela de Neyra</t>
  </si>
  <si>
    <t>brería de Salcedo, plazuela de S. Agustin. Continúan ¿os donativos del Perú« D. Pedro Antonio Cordnez , presbítero de Ta diócesis de Huamanga, 50 ps. D. Juan Miguel Cela de Neyra, cura de Cincos 100. D. Isidro Coueerio, ca­ pitán de la fragata Diana, 100. Pedro Dávila, cirujano. 4. R. Domingo Arnaiz, oidor de esta real audien…</t>
  </si>
  <si>
    <t>de Nielfa, Lorenzo</t>
  </si>
  <si>
    <t>Lorenzo de Nielfa</t>
  </si>
  <si>
    <t>reno, ¡ Cierto, que el tal espejo era alhaja! El no era muí conde de Fuenteblaoca......... ?. 48316 20 de moda, porque tenia un gran marco de cornisa D. Lorenzo de Nielfa................... 5979 i*! labrado por el estilo gótico, y negro como un aza­ D. Atanasio de Garro.................. 5979 bache ; pero la luna era buena, a…</t>
  </si>
  <si>
    <t>de Noreña, Juan Antonio</t>
  </si>
  <si>
    <t>Juan Antonio de Noreña</t>
  </si>
  <si>
    <t>................................ 22500 D. Joaquin de Yuza......... .................... 7 9[* D. Simón de Torres.............. .............. . 40500 D. Juan Antonio de Noreña................ 4184 33 Doña Ana María Dorre , y en tu nom­ D. Josef de Roxas........... ...................... 27000 bre su marido D. Miguel Fermín D.…</t>
  </si>
  <si>
    <t>de Norzagaray, Mateo</t>
  </si>
  <si>
    <t>Mateo de Norzagaray</t>
  </si>
  <si>
    <t>de Castro, Presidente. = D. Juan de, Dios Alonso y Herrera. = D. Ra­ fael Garrido y Rodríguez. = D. Lorenzo Gotaredona. = D. Gerónimo de Zemborain. = D. Mateo de Norzagaray. = D. Ignacio Campesino. Madrid 20 de octubre de 1812. = Juan Garrido. = Clemente de Cavia y Diez. Por resolución del Sr. D. Francisco Antonio Góngora, in…</t>
  </si>
  <si>
    <t>de Nos, Juan Martin</t>
  </si>
  <si>
    <t>Juan Martin de Nos</t>
  </si>
  <si>
    <t>.: y adelan­ individuos eclesiásticos de las diputaciones de ca­ tamientos de estas ciencias dorante el año de 1 Si 1. ridad de los barrios de Madrid D. Juan Martin de Nos falta dar á conocer en el dia las principales Urda en la del Cármen calzado; D. Sebastian Bar­ obras que han publicado varios miembros de esta rios en la d…</t>
  </si>
  <si>
    <t>de O, Antonio</t>
  </si>
  <si>
    <t>Antonio de O</t>
  </si>
  <si>
    <t>D. Bartolomé Iíuiz, 2. Don Mauúei Ruiz, 2. La universidad de S. Marcos, 8000. D. Antonio José Buendia, á cuenta de su oferta de 330 ps. anuales, 110. D. Antonio de O vague, 60. D. Fernando Q-uadrado, oidor de esta real audiencia , 600. D. MiguA Li­ sa guirre , fiscal del crimen de la misma , 334. D. Juan Agustín Santibañez, c…</t>
  </si>
  <si>
    <t>de O, Esteban Antonio</t>
  </si>
  <si>
    <t>Esteban Antonio de O</t>
  </si>
  <si>
    <t>rancisco García Es­ pinos.; , que lo es del departamento ds marina de Cádiz. Pasa las 7 pkz ,s de ministros togados á D. M mú Femando Ruiz del Burgo, D. Esteban Antonio de O rellana, D. Juan Miguel Paez de la Cade­ na, D. Manuel Torras Cónsul, D. Eimon Navarro Pingarron , Don Francisco M vin y D. Francisco Toxibio de Ugarte :…</t>
  </si>
  <si>
    <t>de Ocaña, Francisco</t>
  </si>
  <si>
    <t>Francisco de Ocaña</t>
  </si>
  <si>
    <t>20 26 tro ministro de Hacienda , y oida la sección de D. Josef Gómez de Mazo.................... 1728 17 lo mismo de nuestro consejo de Estado, hemos D. Francisco de Ocaña......................... 2131 5 decretado y decretamos lo siguiente: D. Julián Diaz de Yecla...................... 4937 2* articulo 1. ,,Se declara acreedo…</t>
  </si>
  <si>
    <t>de Octubre, Eauriston el</t>
  </si>
  <si>
    <t>Eauriston el de Octubre</t>
  </si>
  <si>
    <t>Gazeta de la Regencia de las Españas n.º 168</t>
  </si>
  <si>
    <t>tado muy gloriosa), ó hizo abandonar á los rusos las trincheras que habian construido en Podol. A pesar de tan'señalados triunfos, Benaparte envió al general Eauriston el 5 de Octubre al cuartel general ruso , y se restableció la comunicación entre los puestos avanzados , conviniéndose mutua­ mente en no atacarse sin previo a…</t>
  </si>
  <si>
    <t>de Octubre, Stewart Riga</t>
  </si>
  <si>
    <t>Stewart Riga de Octubre</t>
  </si>
  <si>
    <t>Gazeta de la Regencia de las Españas n.º 156</t>
  </si>
  <si>
    <t>1282</t>
  </si>
  <si>
    <t>1282 Idem 30 de Octubre. Por conducto del vice-almirante Sir J. Saumarez se ha recibid» en la secretaría del almirantazgo la siguiente carta del capitán Stewart* Riga 3 de Octubre. En mi última carta tuve la honra de participar á V. que se trata* ba de dar un ataque á los prusianos en las inmediaciones de esta ciu­ dad. En ef…</t>
  </si>
  <si>
    <t>de Octubre, Witígenstein de</t>
  </si>
  <si>
    <t>Witígenstein de de Octubre</t>
  </si>
  <si>
    <t>1372</t>
  </si>
  <si>
    <t>oviembre , y del extracto de una carta del conde Rosen , fecha en Smolensko á 19 de Noviembre, El primer boletín contiene el extracto de un parte del general Witígenstein de 31 de Octubre , refiriendo que la perdida del enemi­ go en los combates de Polótsk- y en su retirada á Lepe! ha sido de 100 oficiales del estado mayor, 6…</t>
  </si>
  <si>
    <t>de Odiaga, Francisco María</t>
  </si>
  <si>
    <t>Francisco María de Odiaga</t>
  </si>
  <si>
    <t>ri* Teraya. D. Jostf Carranza. .. ; . &gt;4 ¿j. Secretario BARRIO DB MIRA Mí RIO. D. Lúeas Escolar. ••• •• Alcalde de barrio ' BARRIO DEL HUMILLADERO. , D. Francisco María de Odiaga. ■ ^ .W Diputado eclesiástico Alcalde de barrio D. Domingo Aivarcz. D. Francisco Verdes Montenegro. .••,) Diputados seculares Diputado eclesiástico …</t>
  </si>
  <si>
    <t>de OFICIO, Gabriel de McndizabaL ARTICULO</t>
  </si>
  <si>
    <t>Gabriel de McndizabaL ARTICULO de OFICIO</t>
  </si>
  <si>
    <t>efectos que tenga á bien. Nuestro Señor guarde á Y. E: muchos anos, tarraga y diciembre 5 de 1811.—Exorno. Sr.— Jrancisco Espoz y Mina. — Excmo, Sr. D. Gabriel de McndizabaL”’ ARTICULO DE OFICIO, decreto, “Habiendo las Cortes generales extraordinarias creado’ eri este dia la Regencia que ha de gobernar el rey no, y nombrado -…</t>
  </si>
  <si>
    <t>de Olavarrieta, Francisco López</t>
  </si>
  <si>
    <t>Francisco López de Olavarrieta</t>
  </si>
  <si>
    <t>l Sr. alcalde de esta villa marques de Iturbieta. Vice Presidente. El regidor de la misma D. Josef Manzanilla. Secretarios. D. Francisco de Villalba. D. Francisco López de Olavarrieta. Vocales eclesiásticos. D. Andrés Aranzay.</t>
  </si>
  <si>
    <t>r. D. Rafael Oseñalde, cura de S. Andrés. La del Sr. L). Rafael Hernández, id. de S. Sebastian. La debSr. D. Marcelo S. Román, plaza Mayor. La dehSr. D. Francisco López de Olavarrieta, plazuela de Sto. Do­ mingo. Dichos señores darán recibo de lo que se les entregue-, llevando razón exacta de ello , como igualmente de los nom…</t>
  </si>
  <si>
    <t>de Olmedo, Joaquín</t>
  </si>
  <si>
    <t>Joaquín de Olmedo</t>
  </si>
  <si>
    <t>e la Vega, diputado per Asturias; para vice­ presidente el Sr. D. José Miguel Gordo», diputado perla provincia de Zacatecas; y para secretario el Sr. D. Joaquín de Olmedo, dipu­ tado por la ciudad de Santiago de Guayaquil. Circular del ministerio de hacienda. ,,Hablé?dese enterado la Regencia del leyrc de que evacuado el siti…</t>
  </si>
  <si>
    <t>de ÓñatV, Juan JBaotiíta</t>
  </si>
  <si>
    <t>Juan JBaotiíta de ÓñatV</t>
  </si>
  <si>
    <t>ta para el beneficio de la áftteiglesíá dejEJofMeri la provincia de Vizcayavacant? feóf falle? A O. Juan Antonio Martines Díaz para e! de cimiento de D. Juan JBaotiíta de ÓñatV.’vif‘:?.n-' S. Julián y Sta. Basilisa de dicha ciudad, vacante AI ex-franciscario D. TtftrisVdé Cftfcnera para por muerte de D. Francisco Marcos. • el…</t>
  </si>
  <si>
    <t>de Oraña, Diego Bernardo</t>
  </si>
  <si>
    <t>Diego Bernardo de Oraña</t>
  </si>
  <si>
    <t>a Tor­ vido en el regimiento de caballos ligeros de la guar­ re , diócesis de Palencta , vacante por muerte de dia real á los individuos siguientes : D. Diego Bernardo de Oraña , con Ja obligación D. Alfonso Lázaro Couturíer , teniente, á ca­ de ayudar al párroco de Cevico. en su ministerio. pitán en la vacante de D. Noel Oal…</t>
  </si>
  <si>
    <t>de Orea, Tálejforo</t>
  </si>
  <si>
    <t>Tálejforo de Orea</t>
  </si>
  <si>
    <t>1136</t>
  </si>
  <si>
    <t>Idos, y por haber estado establecidos en él le« primaros promotoras de la re­ belión ; á sxber, ei Dr. Víllavicencio, D. Manuel y D. Diego Gar­ cía , D. Tálejforo de Orea, que se daba el título de ministro, y un tai E&gt;. Mariano Mantilla, que mandó la caballería de los rebeldes en el ataque de Valencia. ¿ T-r CÁDIZ : JBXf. LA …</t>
  </si>
  <si>
    <t>de Orozco, Ramón</t>
  </si>
  <si>
    <t>Ramón de Orozco</t>
  </si>
  <si>
    <t>dores, D. Flo­ rencio Cerutti, D. Antonio del Valle, D. Manuel María Rodríguez Rubio y D. Luis María Montero, ele cazadores ; al conde de Torre* jon, D. Ramón de Orozco, D. Tomas Heredia, D. Joaquín Bay ona y D. Hanión Parada, de cazadores; empleo de alférez de granaderos, al de fusileros D. Antonio María de S. Andrés ; emple…</t>
  </si>
  <si>
    <t>de Ortega, Juan</t>
  </si>
  <si>
    <t>Juan de Ortega</t>
  </si>
  <si>
    <t>.... 2200 D. Francisco Andrés, residente en Vicál- D. Juan Sánchez, id...................................... 2200 varo.......................... 2200 D. Juan de Ortega, id.................................. 2200 D. Manuel Gallego , id. en Madrid............ 2200 D. Antonio Mirtinez Conde, id.................. 2 2co D. Francisc…</t>
  </si>
  <si>
    <t>de Ortegafiscal, Julián</t>
  </si>
  <si>
    <t>Julián de Ortegafiscal</t>
  </si>
  <si>
    <t>118 y Herrera y D. Rafael Garrido, y el Sr. D. Julián de Ortegafiscal, para que se ocupase exclusivamente en la substanciación y determinación de las expresadas causas. La gravedad de estas, y la madurez y detenido examen con que deben ser tratadas, junto con</t>
  </si>
  <si>
    <t>de Ortiz, Josef</t>
  </si>
  <si>
    <t>Josef de Ortiz</t>
  </si>
  <si>
    <t>residente en Doña Di Josef de Loque-, id..... .......................... 2200 ' Mencia................................................ .'....... 2300 D. Josef de Ortiz, diácono, id................ . 2200 D. Pedro Perez Pulido, id. en Cabra......... 2200 D. Benito Diaz , residente en Moutilla..... 2200 DF Manuel de Galvez , íd…</t>
  </si>
  <si>
    <t>de Os, Josef</t>
  </si>
  <si>
    <t>Josef de Os</t>
  </si>
  <si>
    <t>ra, id...................... 2200 D..Domingo Ximenez , id. en Etjija.............. 2200 D. Pedro de Cañas, id................................. . 2200 D. Josef de Os tos , id....................................... 2200 D. Melchor Palomares , id.,........................... 220® D. Juan Cortés, id............................. .…</t>
  </si>
  <si>
    <t>de OSiver, Juan</t>
  </si>
  <si>
    <t>Juan de OSiver</t>
  </si>
  <si>
    <t>.. . 10000 D. Huschio de Higuera.......................( -D. Fíuaciseo yP.ADuuci R,moí. 347oí ti D, Josef María Guirior..,.................. 35099 33 D. Juan de OSiver............... ........... . 12775 Doña María Ventura de Guirior..,. 79199 33 P.Blas Lope* Sancho...... ............ . 2250» Los herederos de P. Nicolás CaPc/ñ…</t>
  </si>
  <si>
    <t>de Oslada, Josef Raiz</t>
  </si>
  <si>
    <t>Josef Raiz de Oslada</t>
  </si>
  <si>
    <t>Tricio.. 10480 Doña María Aoa Ramírez de Estenoz. 18000 D. Francisco de Panla Batanero......... 16S00 D. Josef Benito de Cuellar........... . 4951 3 D. Josef Raiz de Oslada..................... 80000 D. Martin María Novia..... ........................ 5000 Daña María Francisca Adelaida'Roo- D. Isidro Agosrin de Herrera.......…</t>
  </si>
  <si>
    <t>de Ostabat, Baltasar</t>
  </si>
  <si>
    <t>Baltasar de Ostabat</t>
  </si>
  <si>
    <t>................ 744 24 Madrid 03 de junio. D. Josef Vigil............ ........................... 723 24 Extracto de las minutas de la secretaría de D. Baltasar de Ostabat............ 4093 27 Estado. D. Manuel Pavía................................... 913 10 En nuestro palacio de Madrid á 20 de junio D. Miguel López..........…</t>
  </si>
  <si>
    <t>de Osuna, Josef</t>
  </si>
  <si>
    <t>Josef de Osuna</t>
  </si>
  <si>
    <t>. ................. 2200 del Rio..................................................... 2200 D. Andrés López Toiibio, id......................... 2300 D. Josef de Osuna, id. en Rambla............. 2200 D. Alonso Padilla , id...................... i.............. 2200 D. Lorenzo de Luque, ¡d .............................. 2200 D…</t>
  </si>
  <si>
    <t>de Osuna, Juan</t>
  </si>
  <si>
    <t>Juan de Osuna</t>
  </si>
  <si>
    <t>o Ruíz Pízarro, id................... . 2200 D. Pedro Díaz, residente en Córdoba...... 2200 D. Vicente de la Cruz , id............. ............ 2200 D. Juan de Osuna, id...... ............................ 2200 D. Domingo de Roxas, residente en PozoD. Camilo de la Cabada, id......................... 2200 blanco...............…</t>
  </si>
  <si>
    <t>de Otarte, Julián</t>
  </si>
  <si>
    <t>Julián de Otarte</t>
  </si>
  <si>
    <t>inos , quienes acudieron in­ D. Miguel María Gortázar................... *99° 2 mediatamente á sus voces. D. Juan Nepomuceno de Arauda....... 2087 16 D. Julián de Otarte.............................. 1148 4 ESPAÑA. D. Fernando Gómez Lozano............... sí. 5 73 9 D. Manuel López Ccrredo.................. 744 24 Madrid 03 de…</t>
  </si>
  <si>
    <t>de Otero, Francisco</t>
  </si>
  <si>
    <t>Francisco de Otero</t>
  </si>
  <si>
    <t>José do ílercsa , 50. D. Silvestre Pon ce de León , 25. D. Francisco González, 50. D. Simón Muñoz, 25. D. Manuel Miranda, 12. D. José María Viso, 25. D. Francisco de Otero , 40. D. Francisco Merino, 25. D. Ce&gt;areo Sanor, 50. D. Juan González , 35. D, Patricio Bermudez, 12. D. Ignacio Monteros, l. D. Francisco Lavado, 12. D. M…</t>
  </si>
  <si>
    <t>de Oy, Pedro Antonio</t>
  </si>
  <si>
    <t>Pedro Antonio de Oy</t>
  </si>
  <si>
    <t>sort de dictamen que no hai la colegiata de Talavera de ia Reina, vacantes la medio entre guerra con la Gran Bretaña y liber­ pri mera por muerte de D. Pedro Antonio de Oy líe­ tad de comercio en todos los puertos doode seamos lo, y las dos restantes por destitución de D. Jorecibidos, Esta Opinión es mui conforme con Ja sef F…</t>
  </si>
  <si>
    <t>de Oyague, Miguel</t>
  </si>
  <si>
    <t>Miguel de Oyague</t>
  </si>
  <si>
    <t>del monasterio de Trinitarias ,8 y 4. D. Antonio de Almoguera , capellán del monasterio de Descalzas , 4. Di Nar­ ciso Cosío , 1. D. José [pinza, 2. D. Miguel de Oyague , 1. D. Mariano de León , G. D. Cayetano 'Forres , capellán del monasterio de Sta. Catalina , G. D. J uíian Valdivia , 3. D. Tomas Palacios, 1. D. Fernando Ba…</t>
  </si>
  <si>
    <t>de P, Francisco</t>
  </si>
  <si>
    <t>Francisco de P</t>
  </si>
  <si>
    <t>. muchos años. Cu-riel general de Rivadeaella 31 de mayo de 1812. — Exorno. Sr. — Juan JDiaz Portier. —• Exciao. Sr. ge fe del estado mayor general.” D. Francisco de P¿u!a Nandin , alférez de la octava compañía de c ■. ni. bine ros del regimiento de caballería de lea , en el reyno del j ¿ÍQ tl20 ho el donativo de 200 rs. va. …</t>
  </si>
  <si>
    <t>ro, id................... . 2200 cada uno á la rústica: el 111 se publicará mu: pronto. D Gregorio de León, id................................. 2200 -D. Francisco de P.ula Hidalgo, id............. 2200 D. S’tnon Oriiz y B-lrran, id...................... 2200 D. P,dro P tieto, residente en RambL....... 2200 TEATRO. D. Alfonso …</t>
  </si>
  <si>
    <t>de P, José Mauricio</t>
  </si>
  <si>
    <t>José Mauricio de P</t>
  </si>
  <si>
    <t>de setiembre. Desde el Saucillo se dirigió al día siguiente Güitian á Xaípan, en donde fué recibido con lágrimas de gozo por su dignísimo párroco Dr. D. José Mauricio de P ña, á quien los facciosos hablan tenido cruelmente encarcelado durante 10 meses, y á quien GULtian entregó en depósi­ to los cálices, custodias y demas orn…</t>
  </si>
  <si>
    <t>de P, Manuel'Antoai</t>
  </si>
  <si>
    <t>Manuel'Antoai de P</t>
  </si>
  <si>
    <t>s, á D. Manuel Ortiz de Villa te, D. Francisco Mendoza, D. Ra­ fael López, D Manuel C &gt;h?.ro y T^gle, D. Andrés Sánchez de Q iros, D. José A nez-aga, D. Manuel'Antoai© de P.;ctido, D, Fraacisco de la Casa y Piedra , D. Joan B/ucíe ta Enea . D. Pedro Ca­ bero y Tcgle, D. Manuel I). Juan EfznUle, D. Toma? Ugr» te, D. Yícente Na…</t>
  </si>
  <si>
    <t>de P, Miguel</t>
  </si>
  <si>
    <t>Miguel de P</t>
  </si>
  <si>
    <t>Í3 de Ciudad-Rodrigo......................... 2209 D. Juan Gonu-z, id. en id............................ 2200 D. Alonso Antofi del Rio, id. de Fuente D. Miguel de P.ibios , diácono, id. en San Cespe............................................ 22co Cristóbal................. 2200 D. Alexandto Mptitalvo, id. de la villa de D. R…</t>
  </si>
  <si>
    <t>de Pable, Joaquín</t>
  </si>
  <si>
    <t>Joaquín de Pable</t>
  </si>
  <si>
    <t>úsares y un trompeta que quedaron prisioneros. Mí cabrio salió herido en un casco. Recomiendo á to­ dos. — Rasal 9 de julio. — Pedro Villaroya. — Sr. D. Joaquín de Pable.”. ,, Asimismo ei comandante del cuarto batallón D. Francisco Igna­ cio Asura me dice con fecha del 12 lo que sigue: „Mi general, fué tan precipitada la orde…</t>
  </si>
  <si>
    <t>de Pablo, Joaquín</t>
  </si>
  <si>
    <t>Joaquín de Pablo</t>
  </si>
  <si>
    <t>a 19 de junio. Copia de los partes que el mariscal de campo D. Francisco Espo! y Mina dirige al general en gefe del séptimo exército. l.° Excmo. Sr.: D. Joaquín de Pablo, comandante interino del sexto batallón, me dice lo que copio : „Mi general: la persecución obstinada del enemigo, coa superioridad de fuerzas, me obligó á d…</t>
  </si>
  <si>
    <t>1331</t>
  </si>
  <si>
    <t>general para que lo eleve á noticia de quien cor», responde. — Dios guarde á V. muchos años. Alcubierre 17 de Oc­ tubre de 1812. — Pablo Franca. —Sr. D. Joaquín de Pablo.” 6. ° ,,Mi general: Rugier dexó este pais , y baxó á Zaragoza precipitadamente , dexindose su tropa los ranchos á medio cocer. Con este motivo , y con el ob…</t>
  </si>
  <si>
    <t>de Palacio, Hipólito</t>
  </si>
  <si>
    <t>Hipólito de Palacio</t>
  </si>
  <si>
    <t>rovecho Je haga; pero no se lo ha de Tender á María.............. .............. ........... 8710 JO Marina , pues no me acomoda, ni me tiene cuenta, D. Hipólito de Palacio, por me­ y yo me sé por que. Si vmd. lo guarda pitra sí, dio de su apoderado D. Ma­ yo le mudaré el marco, que es mui feo, y está ya nuel de la Garma....,…</t>
  </si>
  <si>
    <t>de Palacio, Joan Bautista</t>
  </si>
  <si>
    <t>Joan Bautista de Palacio</t>
  </si>
  <si>
    <t>atj de Tricio... 384 7 14 tado por las sum.iS que á continuación se expretaa D. Benigno Bonet......................... ' 1805 los sugetos siguientes. D. Joan Bautista de Palacio...... 5054 Rs. vn. Mr». D. C .milo de los Toeror.......... 36 r Doña María de (a Encarnación D. Antonio Loza.......................... 2263 17 Esmo'i…</t>
  </si>
  <si>
    <t>de Palacios, José Mariano</t>
  </si>
  <si>
    <t>José Mariano de Palacios</t>
  </si>
  <si>
    <t>Franquíz por 2, 18. Daña Dominga Perez (mientras pueda) por uno, 9. Doña Dionisia, el presbítero D. Francisco Xavier , ei capitán de navio D. Bruno y D. José Mariano de Palacios por 2, durante ia guerra, 18. El fiscal de la real ha­ cienda D Santiago de Torres por uno, 9. El teniente coronel D. Lucas AIvarez por sí y su hijo …</t>
  </si>
  <si>
    <t>de Palacios, Nicolás</t>
  </si>
  <si>
    <t>Nicolás de Palacios</t>
  </si>
  <si>
    <t>Gaceta de Madrid n.º 244</t>
  </si>
  <si>
    <t>982</t>
  </si>
  <si>
    <t>anuicx, ó á qual-r en jurisdicción de la villa de Arganda, pertenecientes quier punto,cómodo dél golfo dq Finlandia ? ¡ Y no al mayorazgo fundado por D. Nicolás de Palacios, del piensan que' hásta los mismos rusos, viéndose libres que es poseedor D. Francisco Tahona y Prats, á fin de de las cadenas que los oprimían, darán á s…</t>
  </si>
  <si>
    <t>de Palma, Juan</t>
  </si>
  <si>
    <t>Juan de Palma</t>
  </si>
  <si>
    <t>o de Vera primero, D. Antoni» Vianguet, Don José Francisco de Vera, D. José Vila y D. Juan Crisóstomo Mar­ tínez ; la ayudantía del primer batallón á D. Juan de Palma; tenen­ cias, de granaderos á D. Bartolomé Carvajal, y de fusileros á Don Juan González de Caldas, D. Ignacio Cal?o, D. Alexandro de ios Reyes , D José Viangui,…</t>
  </si>
  <si>
    <t>de Pama, Francisco</t>
  </si>
  <si>
    <t>Francisco de Pama</t>
  </si>
  <si>
    <t>blicos no se han resentido todavía de esta novedad. ción al regimiento i.° de caz.d &gt;res á c.b lio; y al {The Day.) subtemente que fue de caballería D. Francisco de Pama narrantes suoienieme en ia misma arma, con SUIZA. agregación á la comp. nía de caballería de cazado­ 1 res de montaña de Segovia. 1 Basile a 28 He diciembre.…</t>
  </si>
  <si>
    <t>de Paroi, Juan Felipe Gui</t>
  </si>
  <si>
    <t>Juan Felipe Gui de Paroi</t>
  </si>
  <si>
    <t>2 &lt; D m. M .ría Adeiaiua Rouyer......... 1049 6 Total....................... 52454o toff D. Josef M .reo.................................... 64869 13 D. Juan Felipe Gui de Paroi, por Que á una suma importan quinientos veinte y . medio de su apoderada Doña Ber­ quatro mil quinientos quarenta reales, diez mara­ narda Costarramo…</t>
  </si>
  <si>
    <t>de Paso, Juan José</t>
  </si>
  <si>
    <t>Juan José de Paso</t>
  </si>
  <si>
    <t>576</t>
  </si>
  <si>
    <t>tra junta compuesta de 3 vocales y 3 secretarios, estos, sin voto: los primeros fueron el Df. D; Feliciano C hielan a, D¿ Manuel de Sarratea y el Dr. D. Juan José de Paso; y ioak segundos D. José Julián Pérez, secretario de gobierno, O. Bernardina de Rivadavia, de guerra, y D. Vicente López , de hacienda.. El nuevo gobierno t…</t>
  </si>
  <si>
    <t>de Paula, Francisco</t>
  </si>
  <si>
    <t>Francisco de Paula</t>
  </si>
  <si>
    <t>ro que es ocupaciones, he tenido las de siempre; maestrante del real cuerpo de Valencia. pero amigo , este calor es inaguantable, y no sabe Casasus ( D. Francisco de Paula), caballero maes­ uno...... trante de dicho real cuerpo. D. B. Cierto , no sabe uno donde meterse, Chiva ( D. Manuel) , alcalde del crimen de la real qne e…</t>
  </si>
  <si>
    <t>ismo D. Jo&gt;é Antonio de la Torre y I). José Dusuy ; compañía de granaderos al de fusileros D. Manuel de Víllamieva ; id. de cazadores al de fusileros D. Francisco de Paula ele Marimon ; compañías de fusileros al primer teniente con grado de coronel D. Antonio Miró y al primer ayudante mayor D. Manuel Manso; primera ayudantía …</t>
  </si>
  <si>
    <t>de Pedro, Mauricio Domingo</t>
  </si>
  <si>
    <t>Mauricio Domingo de Pedro</t>
  </si>
  <si>
    <t>o que ge tomaría venganza en les prisioneros, si se atentaba á la vida de los vocales. Se salvaron prodigiosamente de la catástrofe de Grado el vocal D. Mauricio Domingo de Pedro , el administrador general, des jueces que había de confiscos, el encargado de ía contaduría, un ofi­ cial j varios dependientes y algunos toldados.…</t>
  </si>
  <si>
    <t>de Peñalver, Juan López</t>
  </si>
  <si>
    <t>Juan López de Peñalver</t>
  </si>
  <si>
    <t>ado constantemente en apoyo de las tropas que Reflexiones «obre la variación del precio del trigo, defendían *á Borodino, se formó rápidamente en por D. Juan López de Peñalver: papel eu 4.° Se halla­ quadros. No bien se habia acabado esta evolución, rá á d rs. en las librerías de Sancha y de Castillo. En quando los croatos re…</t>
  </si>
  <si>
    <t>de Piada, José González</t>
  </si>
  <si>
    <t>José González de Piada</t>
  </si>
  <si>
    <t>1364</t>
  </si>
  <si>
    <t>úblicas los negocios que se traían en todos los países civili­ zados en los gabinetes. El intendente de la provincia de Tarma , en el reyno del Perú, D. José González de Piada, ha dirigido por conducto de aquel se­ ñor virey dos llaves de oro con peso de 53 castellanos , (i tomines y 2' granos , con destino a las urgencias de…</t>
  </si>
  <si>
    <t>de Piaillos, Juan Atexo Martinez</t>
  </si>
  <si>
    <t>Juan Atexo Martinez de Piaillos</t>
  </si>
  <si>
    <t>100. El cirujano Miguel Galarza , 10. El colegio seminario de Sto. Toribio.de esta ciudad, 500. D. Vicente Arnao , cura de la doctrina de Caina , 50. D. Juan Atexo Martinez de Piaillos , subdelegado de marina de Huanchaco , en cada año, 91 y 2. i). Manuel Quadros, f la tripulación del bergantín Nieve, 15 y 2. D. Ramón Goicoch…</t>
  </si>
  <si>
    <t>de Pian, Heinrich</t>
  </si>
  <si>
    <t>Heinrich de Pian</t>
  </si>
  <si>
    <t>de febrero. y en que el bien público y el particular de los S. M. ha dado una gratificación de jo© florines ciudadanos están estrechamente unidos. al doctor Heinrich de Pian en Bohemia por haber La junta hará imprimir y publicar un estado 'descubierto el modo de sacar del pastel un color exacto dei ingreso y de la inversión d…</t>
  </si>
  <si>
    <t>de Pineda, Antonio</t>
  </si>
  <si>
    <t>Antonio de Pineda</t>
  </si>
  <si>
    <t>ías Mesonero. Diputados reculares D. Ramón Basualdo. D. Ramón de Campos/ D. Ignacio Campesino. D. Francisco Perpiñan. " . Secretario D. Josef Flores. D. Antonio de Pineda. Secretario D. Bernardo de la Vega. QUARTEL DE AVAPIES, BARRIO DEL AVE MARIA. QUARTEL DEL BARQUILt.0. Alcalde de barrio D. Mariano Sánchez. BARRIO DE' LAS C…</t>
  </si>
  <si>
    <t>de Pineda, Joaquín</t>
  </si>
  <si>
    <t>Joaquín de Pineda</t>
  </si>
  <si>
    <t>.................................. 2200 D. Francisco Gómez, residente en HinoJosa. 220® L&gt;. Francisco Tinaones, id.............................. 2200 D. Joaquín de Pineda, id. en Espejo.......... 2200 D. Bartolomé de León, id,,,.......................... 2200 D. Vicente Fernandez, id. en Alcaracejo. 2200 D. Marcos de León y L…</t>
  </si>
  <si>
    <t>de Piniilc, Domingo Martínez</t>
  </si>
  <si>
    <t>Domingo Martínez de Piniilc</t>
  </si>
  <si>
    <t>a tenencia do granaderos al de fusileros D. José Perez de Tafalla ; primera tenencia de fusileros al segundo teniente, con grado de teniente coronel, D. Domingo Martínez de Piniilc s: empleos de al­ féreces de granaderos á los déla misma clase D. Juan Nepomuceno de Mancebo, cazadores, y D. Joaquín Escrbi de fusileros ; y empl…</t>
  </si>
  <si>
    <t>de Polo, Baltasar</t>
  </si>
  <si>
    <t>Baltasar de Polo</t>
  </si>
  <si>
    <t>osé Céspedes, 25. Id. de Pisco D. Luis Mi­ randa , 17. Id. de lea D. Antonio Gómez , 25. Teniente de id. D. FNteban G#imdo, 6. Administrador de Palpa D. Baltasar de Polo, 17. Id, de ÍVa-ca 15 Tomas de Ribera , 50. Id. de Acari D. Juan Navarro , 25. Id. de Chala 73. José Harona , 20. (Se continuará.) CADIZ'; EN LA IMPRENTA REAL.</t>
  </si>
  <si>
    <t>de Porras, Jnsef</t>
  </si>
  <si>
    <t>Jnsef de Porras</t>
  </si>
  <si>
    <t>Fernandez y Lledó. En el de la Cruz, á las quatro de la tarde, se ext­ D. García del Rosal. ernará la comedía en tres actos titulada ios siete Infan­ D. Jnsef de Porras. tes de Lara; seguirá una tonadilla, y se dará fin con un D. Antonio Mariano Moreno. sainete. EN LA IMPRENTA REAL,</t>
  </si>
  <si>
    <t>de Porras, José Ruiz</t>
  </si>
  <si>
    <t>José Ruiz de Porras</t>
  </si>
  <si>
    <t>de 1S12. En el regimiento de reales guardias walonas se ha servido la Re­ gencia del reyno conferir compañía de granaderos al capiian de ca­ zadores D. José Ruiz de Porras ; compañía de cazadores ai de fu­ sileros D. Gonzalo Fernandez de Córdoba; primera ayudantía ma­ yor ai primer teniente D. Angel Noguer ; primera tenencia …</t>
  </si>
  <si>
    <t>de Porras, Pedro Ruiz</t>
  </si>
  <si>
    <t>Pedro Ruiz de Porras</t>
  </si>
  <si>
    <t>784</t>
  </si>
  <si>
    <t>gobernador comandante general de la provincia de Coro.” t&gt;.° Del teniente de fragata D. Manuel Geraldino al gobernador de la provincia de Maracaybo, D Pedro Ruiz de Porras. „£1 día 2 del corriente, á las dos de su mañana, entré en esta ciudad de Truxilio con las tropas que tenia en Carorm, y algunas mas que se me reunieron en…</t>
  </si>
  <si>
    <t>de Pozo, Angel Martínez</t>
  </si>
  <si>
    <t>Angel Martínez de Pozo</t>
  </si>
  <si>
    <t>1116</t>
  </si>
  <si>
    <t>1116 á V. muchos añoi. Cádiz 29 de Setiembre de 1812. Antonio Cano Manuel. i D. Angel Martínez de Pozo, nombrado juez interino de primera instancia de Bornes, y encargado de la publicación y jura de la conititucion política de la monarquía y de la formación del ayunta­ miento constitucional;</t>
  </si>
  <si>
    <t>de Pozo, Don Joié</t>
  </si>
  <si>
    <t>Don Joié de Pozo</t>
  </si>
  <si>
    <t>1500</t>
  </si>
  <si>
    <t>á los que los custodiaban. En ellos pasó rai tropa, á pesar de alguna oposición que hizo el enemigo y le costó 4 muertos. Una columna, mandada por el teniente coronel Don Joié de1 Pozo, comandante interino de mi batallón de Leales muore* sanos, afeó y asi lió un reducto, despreciando ti fuego de fusil y metralla , y se apoder…</t>
  </si>
  <si>
    <t>de Prado, Mariano Alomo</t>
  </si>
  <si>
    <t>Mariano Alomo de Prado</t>
  </si>
  <si>
    <t>ubiese sido descubierto, y abandonando to­ creto de la misma fecha, a! gobernador del fuerte do su equipage, qae perdió. Solo echaba menos de Pusagei D. Mariano Alomo de Prado teoiente los manuscritos , fruto de sus observaciones en de infantería de línea, con retención de su empleo aquellos países. Este hecho manifiesta la f…</t>
  </si>
  <si>
    <t>de Prados, Joaquín</t>
  </si>
  <si>
    <t>Joaquín de Prados</t>
  </si>
  <si>
    <t>ignorantes te depositan en personas Uno de fos prisioneros hechos en Cartama el «ineptas para que mas pronto te desplomes. La 16 de febrero ¿'timo es D. Joaquín de Prados, «obra está mui adelantada, y con los nuevos opesecretario particular del general Ballesteros , que » ranos no tardará en consumarle mui breve (t). gozaba t…</t>
  </si>
  <si>
    <t>de Prados, Juan</t>
  </si>
  <si>
    <t>Juan de Prados</t>
  </si>
  <si>
    <t>ol. ciudad de A luma, vacante por muerte de Don Para esta resulta á D. Josef Aranda , cx-doJuan de Morales y Ribas, al ex-carmelita calza­ minico. do D. Juan de Prados. Para la deHuecijt,su último poseedor D. Ma­ Para el u.ain de Alcázar, vacante por moer- riano Bcltran, á D. Manuel Gómez, ex-franciscano te de D. Bartolomé Ma…</t>
  </si>
  <si>
    <t>de Priego, Josef</t>
  </si>
  <si>
    <t>Josef de Priego</t>
  </si>
  <si>
    <t>.......... 2200 D. Salvador Elias, id......................................... *200 D. Antonio Baigon , id............................. ........ 2200 D. Josef de Priego , id....................................... 2200 D. Cristóbal Blanco, id.................................... 2200 D. Manuel de la Loma, residenre en An- D. Jo…</t>
  </si>
  <si>
    <t>de Priego, Josef Joaquín</t>
  </si>
  <si>
    <t>Josef Joaquín de Priego</t>
  </si>
  <si>
    <t>Pedro Morales. D. Josef Ximenez. D. Estanislao Agnilar. D. Juan de Ortega Luengo. D. Miguel Parraverde. art. v. En la villa de Espejo se formarán dos D. Josef Joaquín de Priego. compañías. D. Gerónimo Montilla. Quedaa nombrados para capitanes y oficiales D. Alfonso de Vida, y Gamboa. de ellas. Capitanes. Tenientes. D. Bartolo…</t>
  </si>
  <si>
    <t>de Pusterlá, Manuel María</t>
  </si>
  <si>
    <t>Manuel María de Pusterlá</t>
  </si>
  <si>
    <t>Trigueros 6 de abril. Esta madrugada ha pasado por aquí un posta despachado por el conde de Penne con pliegos para el comandante general de Ayamonte, D. Manuel María de Pusterlá. Según se dice , pide las piezas de Jbatir que hay en aquella ciudad. También se asegura que Soult que­ daba en Constantina, y la guarnición de Sevil…</t>
  </si>
  <si>
    <t>de Q, Andrés Sánchez</t>
  </si>
  <si>
    <t>Andrés Sánchez de Q</t>
  </si>
  <si>
    <t>s, á D Julián García Montarroso; y de fusile­ ros, á D. Manuel Ortiz de Villa te, D. Francisco Mendoza, D. Ra­ fael López, D Manuel C &gt;h?.ro y T^gle, D. Andrés Sánchez de Q iros, D. José A nez-aga, D. Manuel'Antoai© de P.;ctido, D, Fraacisco de la Casa y Piedra , D. Joan B/ucíe ta Enea . D. Pedro Ca­ bero y Tcgle, D. Manuel I…</t>
  </si>
  <si>
    <t>de Queiruga, Franchón</t>
  </si>
  <si>
    <t>Franchón de Queiruga</t>
  </si>
  <si>
    <t>a por donde pasen que no quede comida ó En Cuentar D. Pedro H rnandez teniente. seca ; planta ni árbol vestido de hoja que no que­ En Gavia la grande D. Franchón de Queiruga de desnudo, y todo abrasado y quemado; y ¡o capitán, y O. G.bricl de Torres subteniente. que es peor, que en entrando en los sembrados y En Cogollos D. A…</t>
  </si>
  <si>
    <t>de Quesada, Andrés</t>
  </si>
  <si>
    <t>Andrés de Quesada</t>
  </si>
  <si>
    <t>Ex-rñercenarios calzados. D. Luis Delgado, lego, id. en Porcuna.... 1100 D. Josef Antonio García, residente eo Ja - D. Andrés de Quesada, id. id. en Jaén...... 1100 balquina............... ........................................ 2109 D. Juan González* id. en Jaén................... 2200 272800 Ex-agustinos descalzos. Cnyas</t>
  </si>
  <si>
    <t>de Quesada, Vicente</t>
  </si>
  <si>
    <t>Vicente de Quesada</t>
  </si>
  <si>
    <t>o S. A. én el regimiento de guardias Walonas compañía de granaderos al capitán de fusileros D. Román de Laiidaburu; ídem dé cazadores al de fusileros D. Vicente de Quesada ; compañía de fusileros á los primeros tenientes D. Manuel de Terrazas y D. Esteban Miró , y al primer ayudante mayor con gra­ do de coronel D Román de Las…</t>
  </si>
  <si>
    <t>de Quesnay, Casimiro</t>
  </si>
  <si>
    <t>Casimiro de Quesnay</t>
  </si>
  <si>
    <t>lli, barón de Clonkee ; segunda tenencia de granaderos al de fusileros D. José Clemente de Buerens ; idem de cazadores al segundo tenien­ te agregado D. Casimiro de Quesnay ; segunda ayudantía mayoral alférez D. José Celles Mohtredor ; segunda tenencia de fusileros á D. Juan de Yanguas , capitán del regimiento de Baylen ; y á…</t>
  </si>
  <si>
    <t>de Quintana, Segundo</t>
  </si>
  <si>
    <t>Segundo de Quintana</t>
  </si>
  <si>
    <t>Francisco Martínez, ex carme­ D. Francisco Boi, id. de Santander............ 2200 lita descalzo................................................ 2200 D. Segundo de Quintana , id. de Isla......... 220b 0. Manuel Fernandez, ex-franciscano....... 2200 0. Fraacisco Flores, id. de Zayuetas........ 2200 0. Francisco de Paula Orozco,…</t>
  </si>
  <si>
    <t>de Quirds, Fernando Bernaldo</t>
  </si>
  <si>
    <t>Fernando Bernaldo de Quirds</t>
  </si>
  <si>
    <t>............. 9.053607 7 D. Francisco Hernández París.... 30000 Doñ&lt; Ramona Santillana.............. 25000 Qaeá una suma importan nueve millones,cin­ D. Fernando Bernaldo de Quirds. 7374 *8 cuenta y tres mil seiscientos siete reales y siete maravedís de vellón. Por créditos procedentes de sueldos anteriores art. 11. Se entreg…</t>
  </si>
  <si>
    <t>de Rademaker, Juan</t>
  </si>
  <si>
    <t>Juan de Rademaker</t>
  </si>
  <si>
    <t>de Buenos-Ayres, fecha de 22 de mayo de 1812, firmado por los miembros del gobierno, y publicado en la forma siguiente: „ Ayer llegó á esta ciudad el teniente coronel Juan de Rademaker, en calidad de enviado extraordinario de S. A. R. el Príncipe Regente de Por­ tugal. Fue recibido por uno de los ayudantes de campo del gobier…</t>
  </si>
  <si>
    <t>de Rcparaz, Josef Pascual</t>
  </si>
  <si>
    <t>Josef Pascual de Rcparaz</t>
  </si>
  <si>
    <t>838</t>
  </si>
  <si>
    <t>s, ni contribuciones ruinosas : la agricul- Doña Josefa Santibañez......................... 16209 »&gt;tura no lleva consigo todas estas plagas imepara- D. Josef Pascual de Rcparaz , por «bles del comercio. La Inglaterra reduxo á inono- medio de su apoderado D. Teo­ » polio , como tiene de costumbre, los mercado* doro Cía.......…</t>
  </si>
  <si>
    <t>de Rcspaldiza, Vitores</t>
  </si>
  <si>
    <t>Vitores de Rcspaldiza</t>
  </si>
  <si>
    <t>ar Montovz. macenes de aquella plaza. Y para el beneficio de la iglesia de Amustio, ,,Tortosa 14 de diciembre de i8n. = E[ ge­ vacar.te por muerte de D. Vitores de Rcspaldiza, neral de brigada, gobernador de la provincia , ba­ al ex-franciscano D. Domingo de Respaldiza. rón Lafosse.=:Al señor general barón Paris, Za­ Nuestro …</t>
  </si>
  <si>
    <t>de Regó, Luis</t>
  </si>
  <si>
    <t>Luis de Regó</t>
  </si>
  <si>
    <t>or desgracia fué muerto. El segundo batallón del regimiento 38, á las órdenes del teniente coronel Nugent, y el regi­ miento portugués mandado por el coronel Luis de Regó a, dieron exempio del cumplimiento áe su deber.</t>
  </si>
  <si>
    <t>de Reinalde, Rafael</t>
  </si>
  <si>
    <t>Rafael de Reinalde</t>
  </si>
  <si>
    <t>ípulos capaces de ¡legar á ser un día pintores de co Xavier de Aranzazu.................. *59357 24 historia , ha establecido una academia de dibuxo, D. Rafael de Reinalde........................ 17051 20 en la que bai ya en el dia jóvenes que dan grandes D. Juan Antonio Monvella............... 57816 31 esperanzas. Doña Rosa …</t>
  </si>
  <si>
    <t>de Respaldiza, Domingo</t>
  </si>
  <si>
    <t>Domingo de Respaldiza</t>
  </si>
  <si>
    <t>4 de diciembre de i8n. = E[ ge­ vacar.te por muerte de D. Vitores de Rcspaldiza, neral de brigada, gobernador de la provincia , ba­ al ex-franciscano D. Domingo de Respaldiza. rón Lafosse.=:Al señor general barón Paris, Za­ Nuestro ministro de Negocios eclesiásticos ragoza. =: Es copia de su original.= El mayor co­ queda enca…</t>
  </si>
  <si>
    <t>de Ribas, Alfonso</t>
  </si>
  <si>
    <t>Alfonso de Ribas</t>
  </si>
  <si>
    <t>id.......................................... 2290 Montilla............................... 1100 D. Antonio Junquico.id........................... 2290 D. Alfonso de Ribas, lego, id...................... 1100 D. Aíiguel Carames, id................... ....... ........ 2290 .D.. Antonio Perez, id. , id............................…</t>
  </si>
  <si>
    <t>de Ribas, Francisco</t>
  </si>
  <si>
    <t>Francisco de Ribas</t>
  </si>
  <si>
    <t>aría Carrillo. D. Pedro Perez Garnacha. Subtenientes. art. vi. En la villa de Valenzaela se forma­ D. Agustin Cubero, de granaderos. rá una compañía. D. Francisco de Ribas, de tiradores. D. Joaqnin Peralez queda nombrado espiran; D. Leoncio Sánchez. D. Pablo Olivas teniente, y D. Juan Josef Gu­ D. Josef Buelga.*. ' tiérrez so…</t>
  </si>
  <si>
    <t>de Ribas, Manuel L-ipez</t>
  </si>
  <si>
    <t>Manuel L-ipez de Ribas</t>
  </si>
  <si>
    <t>. Antonio Rafael L zano. D. Gil Antonio L igana. Diputados secutarte .; 5 r x i D. Josef María de B ldosola. D. Juan del Riego. ; ; ol . I Secretarlo D. Manuel L-ipez de Ribas. D. Josef María Pardo. • D. Manuel González Robles.- : ^iiví „CL Secretario BARRIÓ DB LA HDERTA DEL BATO. D. Ramón García Xímenéz. s Alcalde de barrio …</t>
  </si>
  <si>
    <t>de Ribas, Manuel López</t>
  </si>
  <si>
    <t>Manuel López de Ribas</t>
  </si>
  <si>
    <t>jo de S. M., juez de primera instancia, proveído en de 1807 , 1808 , 1809, iS'O, i8&lt; i y 1812, que 39 de mayo anterior ante el escribano de'provincia D. Manuel López de Ribas, se ha mandado sacara! te han casado antes de la publicación del presente pregón por término de 30 ;dias unas casas , sitas en esta senado-consulto, no …</t>
  </si>
  <si>
    <t>de Ribera, Hermenegildo Rodríguez</t>
  </si>
  <si>
    <t>Hermenegildo Rodríguez de Ribera</t>
  </si>
  <si>
    <t>tre ayuntamiento de esta villa, he venido en nombrar á su propuesta, y nombro por jueces, que han de agregarse al ya repe­ tido tribunal, á los Sres. D. Hermenegildo Rodríguez de Ribera, oidor de la chancillería de Valladolid; D. Manuel de Estrada, juez mayor de Viz­ caya, de la misma; D. Lorenzo Gotaredona, D. Francisco Assi…</t>
  </si>
  <si>
    <t>de Ribera, Jo e Primo</t>
  </si>
  <si>
    <t>Jo e Primo de Ribera</t>
  </si>
  <si>
    <t>579</t>
  </si>
  <si>
    <t>hos. Injusto el gobierno revolucionario, lejos de receder á la justi­ cia de mis prevenciones, después de un largo debate con el capi­ tán de fragata D. Jo¿é Primo de Ribera, que tenia mis poderes acerca de aquel, le contestó de palabra: que al insulto que le ha* eia en mi oficio de no permitir embarcar sus tropas para esta b…</t>
  </si>
  <si>
    <t>de Riera, Baldiri</t>
  </si>
  <si>
    <t>Baldiri de Riera</t>
  </si>
  <si>
    <t>irmar á los individuos de las BARRIO DE SANTA MARTA. diputaciones de caridad de los barrios de esta cor­ Alcalde de barrio te , y son los siguientes: D. Baldiri de Riera.</t>
  </si>
  <si>
    <t>de Riliz, Pedro Rule</t>
  </si>
  <si>
    <t>Pedro Rule de Riliz</t>
  </si>
  <si>
    <t>s­ articulo suelto, no es de aquellas que se pueden pado de Toledo á las sugetos siguientes: . ‘ extractar, y tiene cómoda cjiviston p^ra ¡r dándo­ A D Pedro Rule de Riliz , capellán de- Re­ se por partes. El objeto que el autor se propuso al yes nuevos de Toledo , para el curato de .^cal- escribirlo, el qiíe vmds. se proport…</t>
  </si>
  <si>
    <t>de Rio, Pedro</t>
  </si>
  <si>
    <t>Pedro de Rio</t>
  </si>
  <si>
    <t>z. Alcalde de barrio D. Joan Antonio Balledor. BARRIO DE GUARDIAS ESPAÑOLAS. Diputado eclesiástico Alcalde 'de barrio. D. Fraucisco Silverio Vázquez. D. Pedro de' Rio. .' . t Diputados seculares Diputado eclesiástico D. Angel Rorherosa. D. Clemente Antonio Uribarren. D. Francisco de Torre*. Diputados ‘seculares D. Juan López.…</t>
  </si>
  <si>
    <t>de Riv, Anselmo</t>
  </si>
  <si>
    <t>Anselmo de Riv</t>
  </si>
  <si>
    <t>ada na­ cional, y D. Félix Colon, madscal de campo de los exércitos nacionaie?&gt;: para las dos de la ciase de intendentes, al del exército de Valencia D. Anselmo de Riv&amp;g, y á D. Francisco García Es­ pinos.; , que lo es del departamento ds marina de Cádiz. Pasa las 7 pkz ,s de ministros togados á D. M mú Femando Ruiz del Burgo…</t>
  </si>
  <si>
    <t>de Rivas, Ignacio Rodríguez</t>
  </si>
  <si>
    <t>Ignacio Rodríguez de Rivas</t>
  </si>
  <si>
    <t>reales exércitos; D. Joaquín Mosquera y Figueroa, consejero en el supremo de Indias; D. Juan María Villavieencio, teniente general de la real armada; D. Ignacio Rodríguez de Rivas, del consejo de S. M.; y el conde de la Bisbal, teniente general de los reales exéreitos : entre los cuales turnará la presidencia cada seis meses …</t>
  </si>
  <si>
    <t>de Rivas, Juan Antonio</t>
  </si>
  <si>
    <t>Juan Antonio de Rivas</t>
  </si>
  <si>
    <t>con la patria si sacrificáis sus intereses cobarde­ Cruz......................................... 3200 mente por temor de no ser escuchados con gus­ D. Juan Antonio de Rivas , id. en Cneto?.... Sigüenza 16 de abril de 1812. = R. T.’’ lUr....................................... ............................. 2200 D. Santiago Vel…</t>
  </si>
  <si>
    <t>de Robles, Lorenzo Luis</t>
  </si>
  <si>
    <t>Lorenzo Luis de Robles</t>
  </si>
  <si>
    <t>iar loa m-des que han padecido, á conservaren ellos el orden público, y á asegurar su biea y pr jsperidad paralo venidero; se ha servido nom­ bra? á. D. Lorenzo Luis de Robles, D Ramón Masía de Lleopart, D. Antonio José Gallado, D. Tomas Pelegrin, D. Ertaaislao Fita, D. José Manuel de loa Senderos y D. Manuel Antonio Rodrigo …</t>
  </si>
  <si>
    <t>de Robles, Lorenzo Rüiz</t>
  </si>
  <si>
    <t>Lorenzo Rüiz de Robles</t>
  </si>
  <si>
    <t>1023</t>
  </si>
  <si>
    <t>ió Gallego, diputado secretario. — Juan Bernardo 0-Gava?iy diputado secretario. El juez de primera instancia de la ciudad de Xerez de la Frcli­ tera, D. Lorenzo Rüiz de Robles, ha dado cuenta á la Regencia, eos fecha dei 2 del corriente por el ministerio de gracia y justicia, que habiendo llegado á aquella ciudad y permanecid…</t>
  </si>
  <si>
    <t>de Robles, Manuela</t>
  </si>
  <si>
    <t>Manuela de Robles</t>
  </si>
  <si>
    <t>e de Doña Francisca Rico, y en so su muger Doña María de los nombre D. Santiago Santos..... 631 2&lt;í Doloies Beian lia....................... 11726 26 Doña Manuela de Robles............ 54* *7 D. Benito Sánchez Navarro......... IÍJJO La compañía de la Buena Fe, y D, Gerónimo Iglesias, por medio en »u nombre D. Pedro Anto- ' de…</t>
  </si>
  <si>
    <t>de Robles, Pedro</t>
  </si>
  <si>
    <t>Pedro de Robles</t>
  </si>
  <si>
    <t>e hi manifestado su satisfac­ presentadla á servirla D. Pedro Monreal , ex-fran­ ción al señor mayor St. Mil ore, comandante de ciscano dése d-zo , á D. Pedro de Robles, ex-fran­ aquella provincia , y á los oficiales , sargentos y ciscano «ib.etv.-nte. soldados que están baxo sus órdenes por su buena Para la ie lluetor de San…</t>
  </si>
  <si>
    <t>de Romanzeff, Nicolás</t>
  </si>
  <si>
    <t>Nicolás de Romanzeff</t>
  </si>
  <si>
    <t>991</t>
  </si>
  <si>
    <t>nombre y autoridad la Regencia de las España», residente en Cádiz, 4 I). Freos cisco de Zea Bermudez: y S. M. el emperador do todas Ir* Rusias al 3r. conde Nicolás de Romanzeff, sn concilles del im­ perio, p ilútente de su consejo supremo, senador, caballero de la* órdenes de S. .Andrés* de S. Alexandro Ncwíky, de S. Wi&amp;dimir…</t>
  </si>
  <si>
    <t>de RomanzoíF, Nicolás</t>
  </si>
  <si>
    <t>Nicolás de RomanzoíF</t>
  </si>
  <si>
    <t>y hemos puesto en él los sellos dé nuestras armas. Fecho en Weliky Louky á 8 (20) de julio del año de gra­ cia t8 12. = Francisco de Zea Bermudez.=El conde Nicolás de RomanzoíF.” Este plausible acontecimiento es el resultado que necesariamente debía tener el heroyco tesón y constancia con que el generoso pueblo español ha sab…</t>
  </si>
  <si>
    <t>de Roxas, Domingo</t>
  </si>
  <si>
    <t>Domingo de Roxas</t>
  </si>
  <si>
    <t>esidente en Córdoba...... 2200 D. Vicente de la Cruz , id............. ............ 2200 D. Juan de Osuna, id...... ............................ 2200 D. Domingo de Roxas, residente en PozoD. Camilo de la Cabada, id......................... 2200 blanco........................................................... 2200 D. Juan Mor…</t>
  </si>
  <si>
    <t>de Roxas, Jo e</t>
  </si>
  <si>
    <t>Jo e de Roxas</t>
  </si>
  <si>
    <t>478</t>
  </si>
  <si>
    <t>ente: 15616 rs. para que se distribuyan.en los individuos de las fuerzas sutiles : 15616 rs. pera qta¿ se inviertan, con intervención del comisionado D. Jo¿é de Roxas, en el vestuario del batallón de Barbones , baxolas órdenes del capitán general de Andalucía • y los 15616 rs. restantes para que sírvan pera vestir la división…</t>
  </si>
  <si>
    <t>de Roxas, Josef</t>
  </si>
  <si>
    <t>Josef de Roxas</t>
  </si>
  <si>
    <t>. 7 9[* D. Simón de Torres.............. .............. . 40500 D. Juan Antonio de Noreña................ 4184 33 Doña Ana María Dorre , y en tu nom­ D. Josef de Roxas........... ...................... 27000 bre su marido D. Miguel Fermín D. Fernando 'Fout y González , por de Esparza, por mano de su apo­ sí, y como marido de …</t>
  </si>
  <si>
    <t>de Rozas, Antonio Gómez</t>
  </si>
  <si>
    <t>Antonio Gómez de Rozas</t>
  </si>
  <si>
    <t>sres¡de,nteJen Santander............. .2209, D. J uan Veujon , id. eo Sao-García............ 2200 É). Feraandorde Palacio , natural del valle - ' ■ ; D. Antonio Gómez de Rozas, id. en Se- 2200 dt Hoz de,.Arre,ya.,,........................... .... 2200 gOVÍa................ ............................ ............ ...... 22CO…</t>
  </si>
  <si>
    <t>de Rozas, Pedro Gómez</t>
  </si>
  <si>
    <t>Pedro Gómez de Rozas</t>
  </si>
  <si>
    <t>ecia, der,-:.- la ruina del imperio de oriente (en sa....... ................ .......................... 254*23 8 el año 1453 ) hasta nuestros dias ? D. Pedro Gómez de Rozas....... 270 2j 2. a ¿ Quaies han sido los establecimientos de P. Plácido Ortiz de Eléxalde..... 6458 instrucción pública fundados por los griegos fuera D.…</t>
  </si>
  <si>
    <t>de Rozas, Ramón Calvo</t>
  </si>
  <si>
    <t>Ramón Calvo de Rozas</t>
  </si>
  <si>
    <t>73</t>
  </si>
  <si>
    <t>­ mera instancia en este reyno; hemos decretado y decretamos lo si­ guiente : Art. I. ,,Los Sres. D. Manuel Mahamut, D. José Tallejo, Don José Elola, D. Ramón Calvo de Rozas , D. Manuel Morales, D. Ticente Fuster, D. Vicente Lisa, D. Tomas de los Cobos y D. Juan Alvarez Posadilla, jueces presentes en esta ciudad de Valencia, …</t>
  </si>
  <si>
    <t>de Rueda, José Bravo</t>
  </si>
  <si>
    <t>José Bravo de Rueda</t>
  </si>
  <si>
    <t>sco , receptor, 12. D. Antonio Flores . 40. —Contaduría de tribíitos. El oficial mayor, 83 y 2 y medio. El segundo D. José Gutiérrez , 50. El tercero D. José Bravo de Rueda, 20. El cuarto D. Baltasar Maza, 15. El quinto D. Francisco Barron, 15. El amanuense D. Bernardino Albornoz , 8. El escribano D. Santiago Martel, 17. D. A…</t>
  </si>
  <si>
    <t>de Rueda, Manuel José Bravo</t>
  </si>
  <si>
    <t>Manuel José Bravo de Rueda</t>
  </si>
  <si>
    <t>funda en las reales caxas de Truxiiio en el término de un.año, y 50 pesos anuales por el de 5 años. El con­ tador D. Antonio Sañarti, 100. El asesor D. Manuel José Bravo de Rueda, 100. El secretario I). Joaquín García, 100. El oficial primero de la contadu­ ría D. Joaquín Mispireta , 50. El segundo primero D. José Morote , 10…</t>
  </si>
  <si>
    <t>de S, Amonio</t>
  </si>
  <si>
    <t>Amonio de S</t>
  </si>
  <si>
    <t>id.,en Cobos.................... 2200 valle de Catnargq......................................... 2 2oq D. Tomas L bo, id. eo Gómez Sarracín.... 2200 D. Amonio de S. Miguel, id. del lugar de D. Franci co Barrio, id. en Segovia............. 2200 Revilla........... .................................................. 2 200 F&gt;. Jua…</t>
  </si>
  <si>
    <t>de S, Antonio María</t>
  </si>
  <si>
    <t>Antonio María de S</t>
  </si>
  <si>
    <t>rre* jon, D. Ramón de Orozco, D. Tomas Heredia, D. Joaquín Bay ona y D. Hanión Parada, de cazadores; empleo de alférez de granaderos, al de fusileros D. Antonio María de S. Andrés ; empleos de alféreces de cazadores á los de fusileros D. Ambrosio López Lispcrgucr, D. Jo­ sé Morejon, D. Joaquín Martínez de Medinilla, y D. Juan…</t>
  </si>
  <si>
    <t>de S, Fernando García</t>
  </si>
  <si>
    <t>Fernando García de S</t>
  </si>
  <si>
    <t>, al presbítero D. Fran­ del orden tercero. cisco Pv/ez Armijo. Para la de Hnadaortuna, sn último poseedor Para el de Portubns, vacante por muerte de D. Fernando García de S. Pedro, á D. Manuel D. Antonio Perez Barquero, al presbítero ex-car­ Ramos, ex-franciscano descalzo. melita calzado D. Juan Gómez. Para la de Vayacas y C…</t>
  </si>
  <si>
    <t>de S, Juan</t>
  </si>
  <si>
    <t>Juan de S</t>
  </si>
  <si>
    <t>lde mayor por S. M. Málaga, Toledo y Antequera en el presente año.’ U* Bonifacio Rodríguez de la Guerra.’ Municipalidad dé Málaga; Alcalde ordinario. D. Juan de S, Pedro; Corregidor; D. Manuel Ordoñez.' Procurador general alférez mayor i D. Amonio Gordei. - Regidoresá D. Marine! Re«?g?I. .Regidores, D. Josef de Eduberri/ D. P…</t>
  </si>
  <si>
    <t>Manuel de la Torre.. i D. Eugenio Aguado. Dipul ados seculares , y el último secretario Secretario interino, D. Pedro Irig^üen. D. Josef Villar. . &gt; D. Juan de S. Miguel. BARRIO DE LA TRINIDAD. D. Francisco González. Alcalde de barrio D. Joan Antonio Balledor. BARRIO DE GUARDIAS ESPAÑOLAS. Diputado eclesiástico Alcalde 'de ba…</t>
  </si>
  <si>
    <t>de S, Mariano</t>
  </si>
  <si>
    <t>Mariano de S</t>
  </si>
  <si>
    <t>Martin, al cargo ael Sr. D. Saturio Cantabrana. Quartel de S. Francisco, al cargo del Sr. D. Lúeas de Carranza. Quartel de Avapies, al cargo del Sr. D. Mariano de S. Juan. DON CARLOS DE ESPAÑA, caballero por derecho hereditario de la orden de S. Juan de Jerusalen, mariscal de campo de los reales exércitos, y comandante genera…</t>
  </si>
  <si>
    <t>de S, Pablo Nicolás</t>
  </si>
  <si>
    <t>Pablo Nicolás de S</t>
  </si>
  <si>
    <t>65 19 sión 14.* def primer tercio de la guardia nacional. D. J oan García de la Cruz................. 6523 8 Ayer, después de dos días de exámeu y de D. Pablo Nicolás de S. Pedro............ 906 19 debates , la junta criminal extraordinaria de París D. Casimiro Antón Montero..... ......... 6104 21 condenó áípefla de muerte á …</t>
  </si>
  <si>
    <t>de Sá, José Antonio</t>
  </si>
  <si>
    <t>José Antonio de Sá</t>
  </si>
  <si>
    <t>766</t>
  </si>
  <si>
    <t>de nuestra monarquía; es decir, desde su principio hasta el reynado de D. Dionis, y desde este rey hasta el rey nado de D. Juan I; y otra memoria del consejero José Antonio de Sá, en la cual se apuntan algunos obstáculos, que convendría re­ mover pira fomentar la agricuitura; pero la escasez de tiempo no permitió se efectuase…</t>
  </si>
  <si>
    <t>de Sa, León</t>
  </si>
  <si>
    <t>León de Sa</t>
  </si>
  <si>
    <t>enideros.” Los magistrados hm ofrecido 200 libras ester­ ... AVISO. linas de premio al que descubra al autor de esta En virtud de providencia del Sr. D. León de Sa«arta. gasta, caballero de la Orden Real de España , juez da primera instancia de esta villa, se ha mandado sacara REINO DE ÑAPOLES. pública subasta una casa sita e…</t>
  </si>
  <si>
    <t>de Saevaporar, León</t>
  </si>
  <si>
    <t>León de Saevaporar</t>
  </si>
  <si>
    <t>en mas fácilmente y du­ ren mas. De la conservación de las patatas* AVISO. 18. Despees que las patatas se han dexado En virtud de providencia del Sr. D. León de Saevaporar hasta el punto indicado en el artículo an­ gasta, caballero de Ja Orden Real de España, juez de terior, ya por medio del sol y de la acción del ai­ primera…</t>
  </si>
  <si>
    <t>de Sagasta, León</t>
  </si>
  <si>
    <t>León de Sagasta</t>
  </si>
  <si>
    <t>Gaceta de Madrid n.º 193</t>
  </si>
  <si>
    <t>as posturas y nombres de los expertos, su juramento, y el resúmen mejoras que se hicieren, siendo arregladas. de su dictamen. Por providencia del Sr. D. León de Sagasta , caba­ 19. En la notificación que se haga á las partes del llero de la Orden Real de España , juez de primera ins­ auto- del juez se les prevendrá que se lle…</t>
  </si>
  <si>
    <t>uestra misera existencia! Ya han consegui­ de acreedores, á cuyo fin, y en virtud de providencia do en parte sus designios, pues donde quiera del Sr. D. León de Sagasta, juez de primera instancia, que han estado, han quemado y arrasado todo, y se publican por nueve dias, y está señalado para su re­ han hecho un desierto con e…</t>
  </si>
  <si>
    <t>de Sagra, Juan</t>
  </si>
  <si>
    <t>Juan de Sagra</t>
  </si>
  <si>
    <t>as limosnas , comida económica y de­ BARRIO DÉ LOS CAÍlOS DEL PERAL. mas socorros que.ponga á su dispoíidou la misma Alcalde de barrio junta general. D. Juan de Sagra. art. iu. Nuestro ministro de lo Interior que­ Diputado eclesiástico da encargado de la execuciou del presente decre­ D. Josef López Braña. to. ss Firmado = YO …</t>
  </si>
  <si>
    <t>de Sahzat, Antonio López</t>
  </si>
  <si>
    <t>Antonio López de Sahzat</t>
  </si>
  <si>
    <t>sociedad. En virtud de providencia del Sr. D. León de Sigaste, juez de primera instancia de esta villa, y por la es­ AUSTRIA. cribanía del número de D. Antonio López de Sahzat, se ha mandado sacar A pública subasta, por término da 30 dias contados desde el 11 del corriente, dos casas Viena $ de febrero, contiguas, sitas «n es…</t>
  </si>
  <si>
    <t>de Saint-Jean, Regnault</t>
  </si>
  <si>
    <t>Regnault de Saint-Jean</t>
  </si>
  <si>
    <t>Gazeta de la Regencia de las Españas n.º 64</t>
  </si>
  <si>
    <t>530</t>
  </si>
  <si>
    <t>imperio, con asistencia de S. A. S. el príncipe vi ce-condestable. Son introducidos SS. EE. los ministros de relaciones exteriores y de la guerra, el conde Regnault de Saint-Jean-d’Acgdy , minis­ tro de estado , y el Sr. conde Durnas, consejero de estado. — S. E. el duque de Basarlo, ministro de relaciones exteriores, comunic…</t>
  </si>
  <si>
    <t>de Salaj, Josef Ignacio Jóven</t>
  </si>
  <si>
    <t>Josef Ignacio Jóven de Salaj</t>
  </si>
  <si>
    <t>á cada uno le.hacen obrar, pasando una vida Estado marques Caballero, D. Manuel María obscura , pero tranquila, si es que puede haberla Cambronera , D. Josef Ignacio Jóven de Salaj, para nn ciudadano honrado que ve su patcueotrer</t>
  </si>
  <si>
    <t>de Salaman, Fernando María</t>
  </si>
  <si>
    <t>Fernando María de Salaman</t>
  </si>
  <si>
    <t>crédito despachado en la tesorería geúeGuerra.................................................... 2IOO ral contra el tesorero de rentas de Palencia. D. Fernando María de Salaman­ ca, por medio de su apodera­ Los herederos de D. Nicolás Ca­ do D. Estéban de Trido y longe............... ........................... 92835 23! Qoe…</t>
  </si>
  <si>
    <t>de Salas, Josef Ignacio de Joven</t>
  </si>
  <si>
    <t>Josef Ignacio de Joven de Salas</t>
  </si>
  <si>
    <t>iembre, dia de sn perihelio, estaría bas­ articulo j. „ Los caballeros de la Orden Real tante inihédiato al polo para no ponerse ú ocultar­ de España D. Josef Ignacio de Joven de Salas y se; que desdé este dia aumentaría de magnitud y D. Andrés Romero Valdés , nuestros consejeros de resplandor durante'cási on mes, porque se i…</t>
  </si>
  <si>
    <t>de Salas, Josef Ignacio Jóveo</t>
  </si>
  <si>
    <t>Josef Ignacio Jóveo de Salas</t>
  </si>
  <si>
    <t>se ha dignado!,,convocar á,los c en tejeros d«-¡¡1 ■ h I.S Di(7-XO. -.■■■&gt; Estado marques Ga,b¿ll;erp r Dj Maopel. María. '» vv 1 y ~ „ Cambronero , D. Josef Ignacio Jóveo de Salas* ^. En algunas. _g^zet^s. je ha dicho qne había sa­ D. Juan Antonio Llórente-, D. Blas.de A tanza, lido la guarnición de esta capital, y qne la gu…</t>
  </si>
  <si>
    <t>de Salazar, Agostía</t>
  </si>
  <si>
    <t>Agostía de Salazar</t>
  </si>
  <si>
    <t>onel D. Ildefonso Diez de Ribera : em­ pleos de ayudantes primeros á los segundos D. Francisco de Paula Figuerss , D. Juan Cini, D. Ventura Escalio , D. Agostía de Salazar 9.,D. Joaquín Escario, D Jaecho Escario y D. Luis Cepeda; y empleos tle ayudantes segundos á los adictos D. Jacobo Mstia de Espinosa, teniente del regimien…</t>
  </si>
  <si>
    <t>de Salazar, Luis</t>
  </si>
  <si>
    <t>Luis de Salazar</t>
  </si>
  <si>
    <t>embarcará dentro de poco en Harwich para reunir­ se á la expedición sueca del Báltico. ' ESPAÑA. Cádiz 2$ de setiembre. REAL CONSULADO. El Excmo. Sr. D. Luis de Salazar, secretario de Estado y del despacho de Hacienda, con fecha 14 del actual ha dirigido á este consulado la orden y noticia, cuyas copias son las siguientes: El…</t>
  </si>
  <si>
    <t>de Salazar, Manuel</t>
  </si>
  <si>
    <t>Manuel de Salazar</t>
  </si>
  <si>
    <t>Paez........................ 1565 19 ñas y de las Indias. D. Antonio Perez de la Lastra............ 1565 vista la consulta de la comisión de liquida­ D. Manuel de Salazar................ .......... 3 55* 3 * ción de la deoda del estado; lo expuesto por nues­ D. Francisco Escudero.......................... 1420 26 tro ministro…</t>
  </si>
  <si>
    <t>de Salcedo, Basilio</t>
  </si>
  <si>
    <t>Basilio de Salcedo</t>
  </si>
  <si>
    <t>... 14760 Doña Josefi* Alvares de Llamas ........ 18000 Por réditos de imposiciones en el fondo vitalicio. D. Josef Gonzalo Ruiz de Texada.... 225 00 D. Basilio de Salcedo............ ........ 12600 D. Santiago Arias................................... 1459 33 D. Josef Antonio Salcedo..................... 12600 D. Manuel Celes…</t>
  </si>
  <si>
    <t>de Salinas, Pascual</t>
  </si>
  <si>
    <t>Pascual de Salinas</t>
  </si>
  <si>
    <t>TA CRUZ. D. Tomas Tordesillas. ( Alcalde de barrio BARRIO DE MORIANAD. Blas Martínez. 1 Diputado eclesiástico Alcalde de barrio D. Felipe Montenegro. D. Pascual de Salinas. Diputados seculares Diputado eclesiástico IX Félix González. D. Andrés Sánchez. D- Gregorio Martínez Mollinedo. Diputados seculares D. Francisco Bermejo. …</t>
  </si>
  <si>
    <t>de Salvatier, Francisco</t>
  </si>
  <si>
    <t>Francisco de Salvatier</t>
  </si>
  <si>
    <t>y las inclemencias des­ ducido ef cto perju ticiaiísimos á la salud de los truyen la mayor parte de íqs «nuevos, ó se los co­ hombres. E lie. «cilio D. Francisco de Salvatier­ men las aves, pereciendo asi antes de nacer las lan­ ra , alcaide del crimen de la chancillaría de Gra­ gostas. lista diligencia es mui importante, por…</t>
  </si>
  <si>
    <t>de Salvatierra, Francisco</t>
  </si>
  <si>
    <t>Francisco de Salvatierra</t>
  </si>
  <si>
    <t>onjurar y excomulgar á las langostas ñana las langostas están entorpecidas y ei.cogidas. ha sido frecuentísimo, priucip-imnre for ra de Es- El citado D. Francisco de Salvatierra, refiriéndo­ pana. Quando los pueblos eran vexados de las lan­ se á testimonios fehacientes, asegura que con es­ gostas, acudían al juez eclesiástico…</t>
  </si>
  <si>
    <t>de Saniente, León</t>
  </si>
  <si>
    <t>León de Saniente</t>
  </si>
  <si>
    <t>z de Sepúlveda , subteniente» i teniente de la tercera compañía. AVISO. D. Julián Olárte, sargento primero» á subte­ En virtud de providencia del Sr. D. León de Saniente de la quarta compañía. gasta , caballero de la Orden Real de España , del con­ art. n. En la milicia cívica de la villa de Mo­ sejo de S. M., juez de primera…</t>
  </si>
  <si>
    <t>de Santiago, Francisco</t>
  </si>
  <si>
    <t>Francisco de Santiago</t>
  </si>
  <si>
    <t>D. Joan L&lt;so de la Veg-. Diputados seculares Diputado eclesiástico D. Gregorio Uriondo. D. Juan Meti&gt;'a. . .. D. Angel de Di-go. Diputados seculares D. Francisco de Santiago. D. Félix A var z VilLt. .ó. Secretario . D. Juan Josef Rubio. D. Vicente M., ri* Teraya. D. Jostf Carranza. .. ; . &gt;4 ¿j. Secretario BARRIO DB MIRA Mí R…</t>
  </si>
  <si>
    <t>de Santibañez, Angel</t>
  </si>
  <si>
    <t>Angel de Santibañez</t>
  </si>
  <si>
    <t>tiene de costumbre, los mercado* doro Cía.................................................. 22500* «de la América septentrional (1): tuvo zelos la Y D. Angel de Santibañez, por me­ «Francia, y se siguió una guerra en que una y dio también de su apoderada D &gt;ña «otra nación ganaron mas de óoo millones de pe- Cayetana Santibañe…</t>
  </si>
  <si>
    <t>de Santullar, Francisco Alvares</t>
  </si>
  <si>
    <t>Francisco Alvares de Santullar</t>
  </si>
  <si>
    <t>Diputado eclesiástico D. Fermín Blanco. D. Jnlian Caín pe lo. Diputadas seculares Diputados seculares D. Tomas San* de Xbarrola. D. Gerónimo’Marrazi, D. Francisco Alvares de Santullar. D. Bonifacio Cabañas;. D. Fausto Blanco. Secretario Secretario D. Bernardo Casio. D. Antonio Villaducva. BARRIO DB XAS MONJAS DE TINTO, SARRIO…</t>
  </si>
  <si>
    <t>de Sarachaga, Tomas</t>
  </si>
  <si>
    <t>Tomas de Sarachaga</t>
  </si>
  <si>
    <t>silio de Larrasquitu, presbírero, para el beneficio saldrán mañana de esta ciudad. de la villa de Pienoia, en Vizcaya , vacante por fallecimiento d- D. Tomas de Sarachaga: á Don REINO DE ÑAPOLES. Juan Manuel Ruiz de Erenchun , presbítero, para el del lugar de Berricano, en la provincia de Ála­ Ndyoles 7 de abril. va, vacante …</t>
  </si>
  <si>
    <t>de Saríssané, OEcónomos</t>
  </si>
  <si>
    <t>OEcónomos de Saríssané</t>
  </si>
  <si>
    <t>os principales profesores las ciencias; pues en efecto la íilosotía del espíritu de este colegio. humano debe seguir al estudio de las matemáticas El profesor OEcónomos de Saríssané, de Te­ y de la física, para que esta ciencia ocnpe el lugar taba, es una de las personas mas zciosas sobre to­ que debf entre tas verdaderamente…</t>
  </si>
  <si>
    <t>de Sasiain, Josef Vicente</t>
  </si>
  <si>
    <t>Josef Vicente de Sasiain</t>
  </si>
  <si>
    <t>l producto de potasa en el imperio; pero en la provincia de Guipúzcoa , vacante por ausen­ sin tocar á los bosques, propone un premio de 150c» cia de D. Josef Vicente de Sasiain , al ex- francis­ francos al que antes del t.° de mayo de 181$ prue­ cano D. Juan Antonio de Alegría, teniente.rector be auténticamente que ha planta…</t>
  </si>
  <si>
    <t>de Saxonia, Antonio</t>
  </si>
  <si>
    <t>Antonio de Saxonia</t>
  </si>
  <si>
    <t>suprimido los nuevos derechos impuestos sobre ve para Dresde , a fin de hacer la visita que tanto nuestras mercancías. tiempo hace tiene prometida al príncipe Antonio de Saxonia y á su augusta esposa ,^que es herma­ Extracto'de oira carta dé Palermo de fecha dd na de ¡''Emperador. "' ” 29 de élitro. No queda duda ninguna de q…</t>
  </si>
  <si>
    <t>de Saxonia, Augusta</t>
  </si>
  <si>
    <t>Augusta de Saxonia</t>
  </si>
  <si>
    <t>628</t>
  </si>
  <si>
    <t>Polonia, como lo biza cinco anos ha en ia guerra pasada con Rusia; y corría la vez de que rfrecia la cocona al príncipe Pcniatcuski, y casarle con la princesa Augusta de Saxonia. PORTUGAL, Lisboa 6 de junio. Oficio del mariscal general marques de Torres Vedras (lord fí e* llingion) 4 D. Miguel Pereyra Forjas, de su cuartel ge…</t>
  </si>
  <si>
    <t>de Saxonia-Teschen, Alberto</t>
  </si>
  <si>
    <t>Alberto de Saxonia-Teschen</t>
  </si>
  <si>
    <t>o, municaré inmediatamente estos documentos á mi Juan, R.inerio , Luir y Rejudo, y S. A. I. el gobierno pjra que los presente sin dilación á S. A. R. duque Alberto de Saxonia-Teschen. li! Hxcmo. Sr. el Príncipe Regente. conde de Metternich, ministro de Negocios ex­ ,,Sin embargo, veo nna contradicción inexplica­ tranjeros , y…</t>
  </si>
  <si>
    <t>de Schaffousa, Süter</t>
  </si>
  <si>
    <t>Süter de Schaffousa</t>
  </si>
  <si>
    <t>Gaceta de Madrid n.º 99</t>
  </si>
  <si>
    <t>me­ nos términos abraza-mayor número dé objetos y El gobierno del cantón de Argovia ha diputa­ de relaciones: sin embargo, se observa que á pe­ do al consejero Süter de Schaffousa para asistir á sar de estas «ventajas no se ha extendido aun ni he­ las deliberaciones y conferencias qne van á cele­ cho tan general como convenía…</t>
  </si>
  <si>
    <t>de Schwartzeuberg, Carlos</t>
  </si>
  <si>
    <t>Carlos de Schwartzeuberg</t>
  </si>
  <si>
    <t>ono de lús balcones dei palacio. Lazinsky, y dos damas de la órden de Ja Cruz SS. MM. han salido pata Dresde á las ocho de la Estrellada. mañana. El príncipe Carlos de Schwartzeuberg, emba* SUIZA. xador de Vicna cerca de la corte de Francia, ba sido promovido al grado de feld-mariscal de los Basilea 8 de mayo. exércitos austr…</t>
  </si>
  <si>
    <t>de Segovia, Juan Andrés</t>
  </si>
  <si>
    <t>Juan Andrés de Segovia</t>
  </si>
  <si>
    <t>anuel Gamboa para juez de primera instancia, y ha nombrado interinamente, y con subordinación á lo que la Regencia del reyno determine, á los señores D. Juan Andrés de Segovia, D. Luis Gabaldon y López, y D. Francisco Rodríguez de Maqueda. Una carta que hemos visto del quartel general del segundo y tercer exér­ cito, fecha 11…</t>
  </si>
  <si>
    <t>de Segur, Octavio</t>
  </si>
  <si>
    <t>Octavio de Segur</t>
  </si>
  <si>
    <t>ha rechazado con pérdida. En una de estas ac«ciones el conde Deniszen , ayudante general de S. M.’I., ha cogido varios «prisioneros, y entre otros al conde Octavio de Segur. El 18 el cuerpo del « conde Wittgemtein se hallaba entre Wilkomir y Holteny; los cuerpos del «teniente general Tutschkow y del conde Schuwaiow se acercab…</t>
  </si>
  <si>
    <t>de Sentinanat, María Tgnacia Zayas</t>
  </si>
  <si>
    <t>María Tgnacia Zayas de Sentinanat</t>
  </si>
  <si>
    <t>cuenta de la hacienda pública, sobre cuyo deslino no se ha recibido en el juzgado de arribadas orden alguna. Doscientas onzas de oro registradas para Doña María Tgnacia Zayas de Sentinanat por cuenta y riesgo de la patria, y recolectado j)or la misma para entregar á la Excma. Sra. marquesa de Villafranca , presidenta de la ju…</t>
  </si>
  <si>
    <t>de Sepúlveda, Pedro González</t>
  </si>
  <si>
    <t>Pedro González de Sepúlveda</t>
  </si>
  <si>
    <t>eoieote » i capitao de á continuación de ellas» diciendo la persona qne se la séptima compañía. bailare habilitada para su cobranza. Décimo batallan. D. Pedro González de Sepúlveda , subteniente» i teniente de la tercera compañía. AVISO. D. Julián Olárte, sargento primero» á subte­ En virtud de providencia del Sr. D. León de …</t>
  </si>
  <si>
    <t>de Serítmanat, Car los</t>
  </si>
  <si>
    <t>Car los de Serítmanat</t>
  </si>
  <si>
    <t>José González de Argandofía; al alférez do fragata de la misma D. Antonio Diaz de Herrera, y á los cadetes del mismo regimiento de guardias españolas D. Car­ los de Serítmanat, D. José Alcalá Gaiiano, D Manuel de Arrióla, D. José Miró , D. José Antonio de Armenteros , D. José dé Acosta, D. Cárlos Armenteros, D. Lorenzo Fernan…</t>
  </si>
  <si>
    <t>de Setiembre, Kutusczvde y</t>
  </si>
  <si>
    <t>Kutusczvde y de Setiembre</t>
  </si>
  <si>
    <t>ptuar á los que pelean contra nosotros á pesar suyo? Sí ; las naciones ge­ nerosas se complacen en volver el bien por el mal. — AlexmulroT Partes útl general en gefe Kutusczvde 10 y 16 de Setiembre, al emperador Ákxdndro. - , . , , !.° La batalla del 7 ha sido do las rúas sangrientas que*-se han dado en los tiempos modernos. …</t>
  </si>
  <si>
    <t>de Setiembre, TormazoiF el</t>
  </si>
  <si>
    <t>TormazoiF el de Setiembre</t>
  </si>
  <si>
    <t>os periódicos de Londres, Socaparte volvía á París por Konisberg. El general Tschsítchagoff, comandante en gefe del exérch© de Moldavia, se reunió al general TormazoiF el 17 de Setiembre, ■y en diferentes reencuentros hizo 5000 prisioneros, entre ellos á mu­ chos oficiales superiores y al general Ferrier, edecán de Murat, y c…</t>
  </si>
  <si>
    <t>de Sia, Andrés Maquieyra</t>
  </si>
  <si>
    <t>Andrés Maquieyra de Sia</t>
  </si>
  <si>
    <t>824</t>
  </si>
  <si>
    <t>he­ cho á sus feligreses, celebrándose muy particularmente lo» de los doctores D. Martín Ordaz, rector de S. Fclix de Solovio y Santa María S.^lom6 , D. Andrés Maquieyra de Sia. María de Sar, D. Die­ go Mosqiuxi de S. Fructuoso, y D. Luis Rivat y D. Domingo Sor­ do, del Gmn-Hospital y Sta. María-del Camino. Madrid 22 de julio…</t>
  </si>
  <si>
    <t>de Sierra, Domingo Clemente</t>
  </si>
  <si>
    <t>Domingo Clemente de Sierra</t>
  </si>
  <si>
    <t>475</t>
  </si>
  <si>
    <t>ía de b com­ pañías de granaderos y cazadores de Tuy y Monterey, y la reserva de las 4 compañías de fusileros de voluntarios de Leen con su coro­ nel D. Domingo Clemente de Sierra, y el escaso segundo batallón de Tuy. Al cuerpo de vanguardia le cubría á 500 pasos sobre su cabeza el espitan de cazadores de Tuy D. Vicente Jvínd…</t>
  </si>
  <si>
    <t>de Sierra, Nicolás María</t>
  </si>
  <si>
    <t>Nicolás María de Sierra</t>
  </si>
  <si>
    <t>722</t>
  </si>
  <si>
    <t>er de Castaños , presidente. — Pedro, obispo de Orense.— Francisco de Saaveara. — Miguel de Lardizabal y Uribe. — En Cádiz á 15 de julio de 1810. — A D. Nicolás María de Sierra.” Y considerando la Regencia del reyno la necesidad de poner un freno á la infame codicia de los qu? validos de esta conducta atroz del gobierno intru…</t>
  </si>
  <si>
    <t>ier de Castaños, presidente.■= Pedro, obispo de Orense. = Francisco de Saavedra. = Miguel de Lardizab ii y Uribe. =En Cádiz á 15 de julio de 1810.= A D. Nicolás María de Sierra.” ■ El Consejo de Regencia se ha servido expedir y circular los decretos que siguen: „ DON FERNANDO VII, por la gracia de Dios Rey de España y de las …</t>
  </si>
  <si>
    <t>de Sigaste, León</t>
  </si>
  <si>
    <t>León de Sigaste</t>
  </si>
  <si>
    <t>or fiseber una memoria so­ AVISO. bre los cometas. El consejero de Estado Gíety fue nombrado miembro de la sociedad. En virtud de providencia del Sr. D. León de Sigaste, juez de primera instancia de esta villa, y por la es­ AUSTRIA. cribanía del número de D. Antonio López de Sahzat, se ha mandado sacar A pública subasta, por …</t>
  </si>
  <si>
    <t>de Sígastl, León</t>
  </si>
  <si>
    <t>León de Sígastl</t>
  </si>
  <si>
    <t>Gaceta de Madrid n.º 57</t>
  </si>
  <si>
    <t>ste cometa al entendimiento hu­ AVISO. mano del que lo habia hallado en 1456! Los tur­ Para pacro de acreedores, y en virtud de providen­ cia del Sr. D. León de Sígastl , caballero de la Orden cos acababan entonces de destruir el imperio grie­ Real de España, del consejo de S. VI., juez de pri­ go , y amenazaban invadir la Eu…</t>
  </si>
  <si>
    <t>de Siles, Felipe</t>
  </si>
  <si>
    <t>Felipe de Siles</t>
  </si>
  <si>
    <t>os. D. Pedro Texada, residente en Jaén......... 2200 D. Antonio Muñoz, residente en esta corte. 2200 D. Manuel Casado, id. en Porcuna........... 2200 D. Felipe de Siles, id. en Valdepeñas de Ex-mínimos. Jacú.............................................................. 2200 D. Andrés Sanabria , residente en Madrid. 2200 D. Ju…</t>
  </si>
  <si>
    <t>de Silgas, León</t>
  </si>
  <si>
    <t>León de Silgas</t>
  </si>
  <si>
    <t>las firmas de todos los oficiales que asistieron al consejo. ) AVISO. Se halla adjunto á esta déüberacion ?! estado En virtud de providencia del Sr. D. León de Silgas­ de los víveres existentes en Valencia el dia 26 de te, caballero de la Orden Real de España, juez de pri­ diciembre, que está conforme con el que consta mera i…</t>
  </si>
  <si>
    <t>de Silva, Felipe Fernandez</t>
  </si>
  <si>
    <t>Felipe Fernandez de Silva</t>
  </si>
  <si>
    <t>I), José Mrgiu Tarrafa , id., 9. D. Manuel de los Ríos, id., 9. D. Manuel de Urrua, id. , 9. D. José María de Urrua y D, Domin­ go Bernaola, id. , 9. D. Felipe Fernandez de Silva, por uno, 9. D. Juan Kohli, id!,'9. Doña Juana Francisco Tamayo , id,, 9. D. Pedro Zamora, por 2, 18! D, Mariano Jáuregui , por 3, 2?. D. Francisco …</t>
  </si>
  <si>
    <t>de Silva, Manuel</t>
  </si>
  <si>
    <t>Manuel de Silva</t>
  </si>
  <si>
    <t>D. Eugenio Rafael Muñoz, cura dé Huma­ . fí MaoZanares 20 de abril.de ,i8ta.” nes de Madrid, para el de la villa del Prado , va­ cante pof muerte de D. Manuel de Silva. POLITICA DE COCÍNA , •/! A D. Francisco Reyes Soto, cura de Burujón, ESCRITA POR MI EN EL ULTIMO PERIODO ! para el de Castañar de Xbor, vacante por muerte de …</t>
  </si>
  <si>
    <t>de Sir, Green y</t>
  </si>
  <si>
    <t>Green y de Sir</t>
  </si>
  <si>
    <t>ESPAÑA E INDIAS DEL JUEVES 23 DE ENERO DE 1312. GRAN-BRETAÑA. 1Londres 30 de diciembre de 1811. La gaceta de la corte lia publicado varios partes del coronel Green y de Sir líoward Dougles, comisarios británicos en Catalu­ ña y Galicia, acerca de los últimos sucesos de España : de los cua­ les y de otras noticias recibidas de…</t>
  </si>
  <si>
    <t>de Snte, León</t>
  </si>
  <si>
    <t>León de Snte</t>
  </si>
  <si>
    <t>da, batida AVISO. por un puñado de soldados bizarros que le aguar­ dan , stgoros de vencerlo quaotas veces se presen­ A virtud de providencia del Sr. D. León de Snte, ó quiera alejarse de su natural guarida. gasta, caballero de la Orden Real de España, juez de primera instancia en esta corte, su fecha, art del cor­ El REI nue…</t>
  </si>
  <si>
    <t>de Snusa, Diego</t>
  </si>
  <si>
    <t>Diego de Snusa</t>
  </si>
  <si>
    <t>Gaceta de Madrid n.º 16</t>
  </si>
  <si>
    <t>setiembre. ,, Mr. M. A. Pas Una carta de Río-Janeiro de últimos de setiem­ ha sido enviado por el gobierno de Venezuela pa­ bre dice que el gtfneral D. Diego de Snusa habia ra proponer al de los Estados-Unidos la conclusión llegado el dia n de aquel raes cerca de Montevideo de un mutuo tratado de comercio. (The Aifrcd). cou 8…</t>
  </si>
  <si>
    <t>de So-oícngo, José María</t>
  </si>
  <si>
    <t>José María de So-oícngo</t>
  </si>
  <si>
    <t>D. Pedro Valenzuela , per 6 meses . 9. D, Manuel Puebla, id., 9. D. BeJen Ramírez, id., 9. D. Ramón Hano v Ve­ ga y su hermano D. Ignacio, por 4, 36. D. José María de So-oícngo, anualmente durante la guerra , 500. D. Joaquín Pedroso, id., 100. El moreno Juan Nepomuceno Diez, id., 54. D. Juan Antonio Cordero, id., 54. D. Do­ m…</t>
  </si>
  <si>
    <t>de Socornal, Juan</t>
  </si>
  <si>
    <t>Juan de Socornal</t>
  </si>
  <si>
    <t>ercenarias , 20. El cura de Aucayaraa D. Agustín de Men­ doza, 12. Ei coronel conde de Premio-real, oficiales y tropa del batallón de Li­ ma , 8-&lt;22. D. Juan de Socornal, 500. D. José Antonio Sarria , 200. El ahoga­ do D. Manuel Vidaurre, por lo respectivo á marzo , 50. La caxa general d« censos de indios , 25000. — Clerecía …</t>
  </si>
  <si>
    <t>de Sojo, Joaquin Antonio</t>
  </si>
  <si>
    <t>Joaquin Antonio de Sojo</t>
  </si>
  <si>
    <t>rado D. EuD. Tomas Gómez Duran..................... 36000 sebio de Oca y Meto.......... ............. pooo1' ’* ■ D. Cárlos Mori, por mano de su apo­ D. Joaquin Antonio de Sojo............... 28838 derado D. Jo*ef Manuel de Iza— guirre............... ............... ............. 30000 Por intereses de vales reales. D. Antoni…</t>
  </si>
  <si>
    <t>de Sologuren, José Julián</t>
  </si>
  <si>
    <t>José Julián de Sologuren</t>
  </si>
  <si>
    <t>os y 5 reales. Don. Fr ancisco González Calvez , 66 y 5. D. Santiago Sánchez , 66 y 5. D. Fran­ cisco Iriondo , 66 y 5. D. Bartolomé Grillo , 66 y 5. D. José Julián de Sologuren, 66 y 5. D. Eustaquio Ortiz, 66 y 5. D. Juan Sanz, 66 y 5. Don José Iramain , 66 y 5. — Id. terceros. D. José Gervasio del Campo , 50. D. Manuel de Z…</t>
  </si>
  <si>
    <t>de Somarrivas, Melchor</t>
  </si>
  <si>
    <t>Melchor de Somarrivas</t>
  </si>
  <si>
    <t>. Del presidio: D. Juan Jacinto Iztueta , D. Clemente Britapajas, D. Antonio Guzman, D. Faustino Ru­ bio, D. Josef García Peña, D. Francisco Armendi, D. Melchor de Somarrivas, D. Antonio Saquero , ei cabo de brigada D. Josef Ruiz, y D. Fran­ cisco Sánchez. Todos Los demas que se hallaron en el castillo hasta su entre­ ga al s…</t>
  </si>
  <si>
    <t>de Sor, Josef</t>
  </si>
  <si>
    <t>Josef de Sor</t>
  </si>
  <si>
    <t>tio de la Barranca, que al oriente linda con tierra de D. Josef Gallo, sargento, á abanderado. D. Josef Teodoro Santos, al mediodía con el retamar de D. Josef de Sor ¡a y con el mayorazgo de Luzon, y art. v. Nuestros ministros de lo Interior y al norte la cruza un poco la vereda de Tordegrillos; de la Guerra quedan encargados…</t>
  </si>
  <si>
    <t>de Soria, Duran</t>
  </si>
  <si>
    <t>Duran de Soria</t>
  </si>
  <si>
    <t>úm. 2.° de juramentados, y crecido número de polacos y dragones. (Diario-Redactor de Sevilla.) Madrid 2 de octubre, El dia 26 del mes pasado salió el general Duran de Soria para Calatayucf con artillería de batir. Ei coronel Gaian hace tiempo que se halla bloquean­ do aquella ciudad, y se espera ver rendida su guarnición al a…</t>
  </si>
  <si>
    <t>de Soto, Francisco</t>
  </si>
  <si>
    <t>Francisco de Soto</t>
  </si>
  <si>
    <t>........................ 2200 D. Francisco Xavier Casado, id..................... 2200 D. F rancisco Fuilierat, id.............................. 2200 D. Francisco de Soto, id................................... 22^0 D. Juan de los Reyes, id.................... ............ 2200 P. Francisco Carrasco , id.......................…</t>
  </si>
  <si>
    <t>de Soto, Juan</t>
  </si>
  <si>
    <t>Juan de Soto</t>
  </si>
  <si>
    <t>RIO DÉDOÍÍA MARIA DE ARAGON, inas allá de Hnchentriny , y dexó destj-tpdos los ■. Alcalde de barrio bosques; y habiéndose dividido en doSjtpc2,op, ti D. Juan de Soto. uno rodó por urv-precipicio , y el otro íe^jíevó Diputado eclesiástico unas grandes pilas de J«:ña-, dos cabañas, 12 gran­ D. Ventura Mandaya. jas con todo el f…</t>
  </si>
  <si>
    <t>de Soto, Ramón Miguel</t>
  </si>
  <si>
    <t>Ramón Miguel de Soto</t>
  </si>
  <si>
    <t>tán del regimiento de infantería de línea de volunta­ rios distinguidos de Cádiz; los de capitanes á D. José Pórtela . Dolí Jaciuto Alvarez del Pazo, D. Ramón Miguel de Soto, D. Pedro Roullosa, D. José García Verdugo, D. Pedro José Pórtela, D Francis­ co Rodríguez, D. Rosendo Lagoa, D* Xavier Perez Címbrelo y D. Manuel Fernan…</t>
  </si>
  <si>
    <t>de Sousa, Diego</t>
  </si>
  <si>
    <t>Diego de Sousa</t>
  </si>
  <si>
    <t>ira de S. A. R. era restablecer sólidamente las relaciones de paz y amistad entre los dos ter­ ritorios: que para este fin S. A. R. había mandado que D. Diego de Sousa se retirase con todo el exército sin pérdida de tiempo á la frontera portu­ guesa: que ya le suponía en marcha en razón de haberle comunicado las ór­ denes de …</t>
  </si>
  <si>
    <t>de Starkerfels, Laroche</t>
  </si>
  <si>
    <t>Laroche de Starkerfels</t>
  </si>
  <si>
    <t>convento de S. Francisco el 14 del corriente, toaxo la dirección det mayor general C. Colville. El primero de estos dos ataques fué executado por el capitán Laroche de Starkerfels del primer batallón de línea de la legión real alemana, y el otro por el teniente coronel Harcort con el regimiento 40, que desde entonces permanec…</t>
  </si>
  <si>
    <t>de Subiilaga, Agustín</t>
  </si>
  <si>
    <t>Agustín de Subiilaga</t>
  </si>
  <si>
    <t>ón , 3. El capitán de ía flotante Valenciana , 10. Su tripulación , 4. D. Nicolás Moreno, capitán del navio Piedad , 52 y 4. Su tripulación , 14 y 4. D. Agustín de Subiilaga, capitán de la fragata Guadalupe , 35. Su tripulación , 30 y 4. D. Juan Amo­ nio Mtyo, capítau de la fragata Fama, 10. Su tripulación , 14. D. José Fer­ …</t>
  </si>
  <si>
    <t>de Taegui, Francisco Antonio</t>
  </si>
  <si>
    <t>Francisco Antonio de Taegui</t>
  </si>
  <si>
    <t>­ maso Huidobro , 50. D. José Antonio Fuster, 15. ]), Antonio Pcrez , 10. I). Julián de Herrera, 100. D. Juan Calderón , 50. D. Domingo Miranda,’ 25. D. Francisco Antonio de Taegui , 50. D. Ramón Caballero , 25. D. José do ílercsa , 50. D. Silvestre Pon ce de León , 25. D. Francisco González, 50. D. Simón Muñoz, 25. D. Manuel…</t>
  </si>
  <si>
    <t>de Tafalla, José Perez</t>
  </si>
  <si>
    <t>José Perez de Tafalla</t>
  </si>
  <si>
    <t>o; compañía de fusileros al primer te­ niente de granaderos , graduado de coronel, D. Cayetano Carcer; primera tenencia do granaderos al de fusileros D. José Perez de Tafalla ; primera tenencia de fusileros al segundo teniente, con grado de teniente coronel, D. Domingo Martínez de Piniilc s: empleos de al­ féreces de granader…</t>
  </si>
  <si>
    <t>de Tamarjcia, Bernabé</t>
  </si>
  <si>
    <t>Bernabé de Tamarjcia</t>
  </si>
  <si>
    <t>nando Bao Calderón , 1. 1). José Antonio Martínez, 1. D. Tomas Castro , l. D. Juan Antonio Cainacho , 1. D. Luis Alfonso , capellán de Sta. Rosa , 2. D. Bernabé de Tamarjcia, 25. D. Manuel Concha,!. D. Gabriel Oroviogoitia, 6. D. Manuel de la Daga , 10. D. Francisco Moreno , 1. — D. Francisco Moretra y Matute , fiel de moneda…</t>
  </si>
  <si>
    <t>de Taran, Jasé Gutiérrez</t>
  </si>
  <si>
    <t>Jasé Gutiérrez de Taran</t>
  </si>
  <si>
    <t>presidente él Sr. D. Jasé Gutiérrez de Taran , diputado suplente por Ñus va España; y para secretario el Sr. D. José Torres Mugí, dipu­ tado propietario por ei reyno de Valencia. Las Cortes generales y extraordinarias se han servido di</t>
  </si>
  <si>
    <t>de Tejada, Félix Martínez</t>
  </si>
  <si>
    <t>Félix Martínez de Tejada</t>
  </si>
  <si>
    <t>17 de la manz. 448 , tasada en hijos......... ...................................... 1192 II 13 1354 rs. , cuyo sitio comprehend* 4780 pies -, quien D. Félix Martínez de Tejada.......... 1701 quisiere hacer postura, acuda ante dicho señor juez por D Pedro Schropp................... ......... 3362 16 la escribanía de provincia…</t>
  </si>
  <si>
    <t>de Tejada, Juan Ruiz</t>
  </si>
  <si>
    <t>Juan Ruiz de Tejada</t>
  </si>
  <si>
    <t>.................. 2200 Ex-mercenarios calzados. D. Ignacio Requera, id. en Montilla.......... 2200 D. Ja *r» Bernia , residente en Córdoba...... 210 D. Juan Ruiz de Tejada, id.......................... 2200 2 20° D. Josef-Rodríguez, diácono, id.................. Ex-capuchinos. 2 20° D. Nicolás Roxo , id......................…</t>
  </si>
  <si>
    <t>de Texada, Josef</t>
  </si>
  <si>
    <t>Josef de Texada</t>
  </si>
  <si>
    <t>................. ............. 2 2CO D. Rafael de Leiva ,dd............................... 2200 D. Josef Melendez Valdés, id.*.»............... 2200 D. Josef de Texada, Td............................... 2200 D. Andrés Benitez, resideute en Montoro. 2200 D. Joan Ramírez ; id.......................... 2200 D. Francisco Ñoñez, …</t>
  </si>
  <si>
    <t>de Texada, Josef Gonzalo Ruiz</t>
  </si>
  <si>
    <t>Josef Gonzalo Ruiz de Texada</t>
  </si>
  <si>
    <t>2 D. Simón García Puerta...................... 14760 Doña Josefi* Alvares de Llamas ........ 18000 Por réditos de imposiciones en el fondo vitalicio. D. Josef Gonzalo Ruiz de Texada.... 225 00 D. Basilio de Salcedo............ ........ 12600 D. Santiago Arias................................... 1459 33 D. Josef Antonio Salcedo…</t>
  </si>
  <si>
    <t>de Texada, Josef Gregorio</t>
  </si>
  <si>
    <t>Josef Gregorio de Texada</t>
  </si>
  <si>
    <t>Jorge María de Ancos, contralor de los hospitales militares, para los gastos ocurridos en ellos............................. ........ • 15000 Idem á D. Josef Gregorio de Texada, paga­ dor de la tercera división, para atender á los gastos de ella.................. ........................... 71921 Idem á D. Manuel Moxo, capitá…</t>
  </si>
  <si>
    <t>de Texada, Zoilo Saenz</t>
  </si>
  <si>
    <t>Zoilo Saenz de Texada</t>
  </si>
  <si>
    <t>... 20412 D. Sebastian de 'Alolliuedo..... ............. 18000 D. Josef López de Arcos...................... 60750 D. Clemente deíPerea, por medio de D. Zoilo Saenz de Texada................... i6tO su apoderad£jL)l'Juan deJBelaodía. 80000 D. Simón García Puerta, por medio D. Tomas Cotop................. .................. 43…</t>
  </si>
  <si>
    <t>de Tienda, Juan</t>
  </si>
  <si>
    <t>Juan de Tienda</t>
  </si>
  <si>
    <t>de ellas. Capitanes. Tenientes. D. Bartolomé Pineda. D. Joaquín Cañete, de granadero». D. Juan Francisco Ramírez. D. Manuel Bujalance, de tiradores. D. Juan de Tienda. Tenientes. D. Josef Joaquín Henares. D. Vicente Ort'z y Alguacil. D. Pedro Atiza. D. Juan Pioeda. D. Josef Vexijar. Subtenientes. D. Josef de Osuna y Quadra. D…</t>
  </si>
  <si>
    <t>de Toda, José</t>
  </si>
  <si>
    <t>José de Toda</t>
  </si>
  <si>
    <t>co Armero, capitán graduado y ayudan­ te mayor del regimiento de Betanzos : á terier tes , á D Ju?.n ve Fiores , teniente del regimiento de Castilla, D. José de Toda, tenien­ te de granaderos del de Pontevedra , D. Mariano Peray , teniente del segundo batallón del Rivero, D. Francisco Romay , subteniente uel regimiento de Bet…</t>
  </si>
  <si>
    <t>de Toledo, Artnildez</t>
  </si>
  <si>
    <t>Artnildez de Toledo</t>
  </si>
  <si>
    <t>) El dnque de Castro- Piñano , D. Salvador Pereliós, D. Pedro Roca , D. Francisco Rovira. IMPERIO FRANCES. Mariscales de campo. París ±4 de enero. Él conde Artnildez de Toledo. Brigadieres. Estado aproximado de los principales efectos de artillería existentes en la plaza de Valen­ D. Pedro Vicente, el conde de Peñaslote, el c…</t>
  </si>
  <si>
    <t>de Toliy, Barclay</t>
  </si>
  <si>
    <t>Barclay de Toliy</t>
  </si>
  <si>
    <t>egurar que los franceses encontrarán en la Rusia una guerra semejante á la de la península* Ha producido el efecto qufe se deseaba ia proclama que el general Barclay de Toliy dirigió á los alemanes. Todos, los estados de la confederación 9 y has­ ta el mismo Rey de Prusia» han tratado dé Tefütarla en otras proclamas. fiaría d…</t>
  </si>
  <si>
    <t>de Tolly, Barclai</t>
  </si>
  <si>
    <t>Barclai de Tolly</t>
  </si>
  <si>
    <t>periales Han atravesado. la España, nión del exército parece no está mui á favor dedos sin encontrar enemigos que Jes hayan, disputado el. planes del general Barclai de Tolly, á quien se le paso. Ahora entran&gt;as disputassqbre quién tuyo la acusa haber dado lugar á que las divisiones del exér­ culpa de que sé frustrasen .tan.l…</t>
  </si>
  <si>
    <t>de Tolly, Barclay</t>
  </si>
  <si>
    <t>Barclay de Tolly</t>
  </si>
  <si>
    <t>e Joan Buclay ordenamos lo siguiente: pasó á Rusia , donde te estableció, y de ¿i des­ „ Todos los pagos designados en esta lei, que ciende el actual general Barclay de Tolly. esteo vencidos desde el i." de enero da i8ti , po­ drán hacerse en los libramientos del estado , men­ Del 8. cionados en la misma lei, y despachados en…</t>
  </si>
  <si>
    <t>en persona. La gran desventaja del exército ruso, sobre todo en una guerra de larga duración, consistía en lo mal arreglado del ramo de hacienda. El general Barclay de Tolly, escoces de origen, y minis­ tro de la guerra, que en la actualidad manda en gefe el exeircito, ha remediado este vicio inherente al sistema militar segu…</t>
  </si>
  <si>
    <t>ficiente en el territorio ruso. Se cuentan unos 4® prusianos en el campo del exército ruso, y no se pasa dia sin que lleguen muchos desertores----■El general Barclay de Tolly ha sido nombrado ministro de la Guerra, y el cuerpo de exército que .mandaba ha pasado baxo las ordenes dei general Beningsen. Qotemburgo 18 d’ julio. A…</t>
  </si>
  <si>
    <t>alcanzan hasta el 11 de agosto, acompañados de un boletín oficial publicado el 9 en aquella ciudad , anunciando qntre otras cosas lo que sigue: „ El general Barclay de Tolly y el príncipe Bagration se han reunido eñ *&gt; Smolensko. El general Plato w , que manda la vanguardia del general Barclay » de ToUy*.tiene, diariamente es…</t>
  </si>
  <si>
    <t>e Oudinot hubiese repasa­ do el rio, y se tenia por cierto que su pérdida en la ultima acción fuera ma­ yor de lo que se habia dicho al principio. El general Barclay de Tolly escribe desde Smolensko con fecha del ro: solo habla de un ataque de la caballería del conde Pablen sobre la retaguar­ dia del enemigo, que hizo retirar…</t>
  </si>
  <si>
    <t>Bennigsen retrocedió con el fin de escoger una posición militar, y se apostó en Eylan. Durante*quatro dias sucesivos su retaguardia, mandada por ?él general Barclay de Tolly, actual ministro de la Guerra en Rusia, tu­ vo que resistir varios ataques vigorosos hasta las tres de la tarde del 7 dé febrero, que la batalia se hizo …</t>
  </si>
  <si>
    <t>297</t>
  </si>
  <si>
    <t>usos en el Danubio, acaba de ser nombrado príncipe del imperio y generalísimo de los exércitos rusos del Nerte, teniendo por generales subalternos al conde Barclay de Tolly y al príncipe Bagration. Esta mudanza de comandante en gefe de los exércitos rusos nos da fundadas esperanzas de que veremos continuar las operaciones con…</t>
  </si>
  <si>
    <t>Gazeta de la Regencia de las Españas n.º 144</t>
  </si>
  <si>
    <t>les haga proposiciones de paz. Siguen embarcándose en los puertos de Inglaterra tropas para la península. Según las últimas cartas de Petcrsburgo el conde Barclay de Tolly fué llamado á la capital para desempeñar él ministerio de</t>
  </si>
  <si>
    <t>al prusiano desgraciado: es vuestra alian­ j»sus estandartes, se lee ¡qué horror! la firma del za; es el vano fantasma de vuestro grande exército, « general en gefe Barclay de Tolly , y aun se ex- que espantó á la Europa en tiempo de Catalina, y » presa hacerse asi por órden del Emperador de al que nosotros hemos dado todo su…</t>
  </si>
  <si>
    <t>de Torr, Antonio</t>
  </si>
  <si>
    <t>Antonio de Torr</t>
  </si>
  <si>
    <t>laícte. .. .. 1 áet Gtnt~&lt; T*tntfci k . , D. Salvador Quilos.......... .. . 1 tai* * • • • O ro ..... O. Ramón Piad**.................. 1 Ot •(£...#« D. Antonio de Torr. 1 Sitóte n unte O. Diego Aboban............. • f Cepita* ,. .. D. Manuel Alberga ti..... . 1 1 Ot^o..... Guardias v Oteo •. .... D. J v.é Ignacio Ter;-. • • …</t>
  </si>
  <si>
    <t>de Torre, Francisco</t>
  </si>
  <si>
    <t>Francisco de Torre</t>
  </si>
  <si>
    <t>D. Fraucisco Silverio Vázquez. D. Pedro de' Rio. .' . t Diputados seculares Diputado eclesiástico D. Angel Rorherosa. D. Clemente Antonio Uribarren. D. Francisco de Torre*. Diputados ‘seculares D. Juan López. D. Estéban Rodríguez. Secretario D. Antonio Febrer. L. ' D. Simón Péricibho. D. Francisco Redondo. j Secretario BARRIO…</t>
  </si>
  <si>
    <t>de Torres, Alejandro</t>
  </si>
  <si>
    <t>Alejandro de Torres</t>
  </si>
  <si>
    <t>........ .... • 1 • V RIME 11A . C Capitán. • . D. Tomas de !a Fuente. • • • 1 • Cantabria &lt; Ayudante. . D&gt; Mateo Primo. ••••«»» • • 1 C Teniente . . D. Alejandro de Torres... • • 1 'Coronel. . . D. Francisco Heno............. • • 1 Sarg. mayor / el coronel. D. Manuel Bayena............. • 1 Cádiz. 1 j Teniente. . D. Miguel A…</t>
  </si>
  <si>
    <t>de Torres, Antonio</t>
  </si>
  <si>
    <t>Antonio de Torres</t>
  </si>
  <si>
    <t>ierda hácia otra de las flechas de Chirívella, desde donde formado en columna siguió la retirada que V. E. había mandado antes á mi ayudante de campo D. Antonio de Torres: y después de haber atravesado el pueblo de Catarroja, fue atacado impetuosamente por un escuadrón de hú­ sares enemigos, que aunque perdió 9 hombres, hizo …</t>
  </si>
  <si>
    <t>édulas hipotecarias correspondientes, con arreglo D. Jnsef María Calonge................... 90 84 al artícuio 111 da nuestro real decreto de 9 de ju­ D. Antonio de Torres.................... 90 Sí- nio de 1809. D. Pablo Coma.................... ........... 992 as! art. iu. Nuestro ministro de Hacienda queda D. Zoilo Saenz de …</t>
  </si>
  <si>
    <t>de Torres, Domingo</t>
  </si>
  <si>
    <t>Domingo de Torres</t>
  </si>
  <si>
    <t>1145</t>
  </si>
  <si>
    <t>eron enviando á tierra, á excepción de Galeano con 12 hom­ bres mas , que se escaparon á la isla de Gamas en un bote. Mientras esto sucedía á bordo ; D. Domingo de Torres aprisionó á los 23 hombres que liabian saltado á tierra : y habiendo sabido por uno de ellos que Robinson estaba lleno de desconfianza, por lo cual no vendr…</t>
  </si>
  <si>
    <t>de Torres, Francisco</t>
  </si>
  <si>
    <t>Francisco de Torres</t>
  </si>
  <si>
    <t>andez de Silva, por uno, 9. D. Juan Kohli, id!,'9. Doña Juana Francisco Tamayo , id,, 9. D. Pedro Zamora, por 2, 18! D, Mariano Jáuregui , por 3, 2?. D. Francisco de Torres, por «no, 9. D, Vicente García Caraballo , id., 9. D. Raytnundo Marnefo Valdes , id., 9. D. Jo.'é Sequevra y Palma , id., 9. D. Antonio Blauco, id., 9. D.…</t>
  </si>
  <si>
    <t>de Torres, Joaquín</t>
  </si>
  <si>
    <t>Joaquín de Torres</t>
  </si>
  <si>
    <t>................. 1100 D. Aíiguel Carames, id................... ....... ........ 2290 .D.. Antonio Perez, id. , id............................. 1100 D. Joaquín de Torres, id............................ 2200 D. Josef Romero, id. residente en Lucena. 1100 D- Manuel de Burgos, residente en Priego. 2200 D. Rafael Vdlalba, id., i…</t>
  </si>
  <si>
    <t>de Torres, José</t>
  </si>
  <si>
    <t>José de Torres</t>
  </si>
  <si>
    <t>á la orden de Y. S., salí de esta plaza con los tres batallones de Canarias , Alicante y Chinchilla , al mando de los co­ roneles D. Demetrio Odalíd, D. José de Torres y el sargento ma­ yor D. Joaquín Cortés, 2 piezas de artillería de á caballo , y una pequeña guerrilla de húsares de Castilla , componiendo un total de l&amp;Q'J h…</t>
  </si>
  <si>
    <t>de Torres, José María</t>
  </si>
  <si>
    <t>José María de Torres</t>
  </si>
  <si>
    <t>. Rafael Caraballo•; á tenientes del mismo á Dan José María Chaves, D. Francisco A-Roso, D Vicente del Junco, y á subtenientes á D. Manuel del Junco, D. José María de Torres, D. Francisco Robayna y D. José Gómez ; y en e1 escuadro^ monta­ do, á capitán á D. Felipe Ximenez; á leo lente á D. Andrés de L°on; á subteniente á D J …</t>
  </si>
  <si>
    <t>de Torres, Josef</t>
  </si>
  <si>
    <t>Josef de Torres</t>
  </si>
  <si>
    <t>Que el conmódoro Rodgers ofreció socor­ batallón á D. Francisco Xavier Villanueva; para ros al c.ipiran del buque deS. M. el Pequeño Belt ayudante á D. Josef de Torres, y para abandera­ en la madrugada del dia siguiente á la acción. do á D. Cristóbal Galvan. 17. Que de resultas del fuego del Pequeño Asimismo quedan nombrados …</t>
  </si>
  <si>
    <t>id................ 2200 D. Juan Rodríguez, id. en Mancha Real.. 2200 D. Manuel Sevillano, id.-en-Jaén................ 2a00 Ex-ntercenarlos descalzos. D. Josef de Torres , diácono , id............... 3200 D. Benito Alonso, residente en Madrid..... 2200 D. Juan Perez, id...................... 2200 D. Márcos Guerra, lego, id. en…</t>
  </si>
  <si>
    <t>de Torres, Juan Francisco</t>
  </si>
  <si>
    <t>Juan Francisco de Torres</t>
  </si>
  <si>
    <t>Fernando Fernandez oficiales de las ocho compañías los individaos si­ D. Josef Cañete. guientes : Tenientes. Capitanes. D. Joan Sánchez de la Cuenta. D. Juan Francisco de Torres. D. Gonzalo de Valenznela, de granaderos. D. Juan Martin de la Torre, de tiradores. Subtenientes. D. Pedro Morales. D. Josef Ximenez. D. Estanislao A…</t>
  </si>
  <si>
    <t>de Torres, Julián Martínez</t>
  </si>
  <si>
    <t>Julián Martínez de Torres</t>
  </si>
  <si>
    <t>pra; mítica de, 171.6, á qce dió ocasión el conraduri.í d - propio'......................... 2 ICO matrimonio Jel infante D. Luis, se escribió preci­ D. Julián Martínez de Torres, em­ samente para remediar est s abusos. Pero iuí au­ pleado en la antigua real Casa........... 2200 tores, llevados de un zelo mal entendido, exten…</t>
  </si>
  <si>
    <t>de Torres, Simón</t>
  </si>
  <si>
    <t>Simón de Torres</t>
  </si>
  <si>
    <t>de-Merode, senador, é inspector gene­ Por imposiciones en la renta del tabaco. ral para la organización de las cohortes de ia 24.* división militar. D. Simón de Torres.................................... 36540 D. Juan Bautista Bailester...................... 4WS2 12 Aix la-Chápele 1 $ de abril. Total...................... 4 a…</t>
  </si>
  <si>
    <t>lizitde........................ 45Q'-&gt; moso............................................. 22500 D. Joaquin de Yuza......... .................... 7 9[* D. Simón de Torres.............. .............. . 40500 D. Juan Antonio de Noreña................ 4184 33 Doña Ana María Dorre , y en tu nom­ D. Josef de Roxas........... ......…</t>
  </si>
  <si>
    <t>de Torres, Vicente</t>
  </si>
  <si>
    <t>Vicente de Torres</t>
  </si>
  <si>
    <t>rito de las personas. Es mui pequeño mérito para D. Eugenia García, id. en Muño-Pedí o.... 2200 caudillo el valor : el valor es de todos los españo­ D. Vicente de Torres, id. en Martin-Mi les , y aun el deseo del acierto. Talentos y saber guel................................................................... 2200 son necesar…</t>
  </si>
  <si>
    <t>de ToUy, Barclay</t>
  </si>
  <si>
    <t>Barclay de ToUy</t>
  </si>
  <si>
    <t>lo que sigue: „ El general Barclay de Tolly y el príncipe Bagration se han reunido eñ *&gt; Smolensko. El general Plato w , que manda la vanguardia del general Barclay » de ToUy*.tiene, diariamente escaramuzas con el enemigo, las quales son tod w das ventajosas, á las armas rusas. El exército que se empleaba en Turquía •»ha entr…</t>
  </si>
  <si>
    <t>de Tricio, Juan Estébatj</t>
  </si>
  <si>
    <t>Juan Estébatj de Tricio</t>
  </si>
  <si>
    <t>xto Espinosa........... decretado y decretamos lo que sigue : 3375 D. Antonio D ¡mingo Porlier 54001 21 articulo i. ,, Se declaran acreedores del es­ D. Juan Estébatj de Tricio... 384 7 14 tado por las sum.iS que á continuación se expretaa D. Benigno Bonet......................... ' 1805 los sugetos siguientes. D. Joan Bautis…</t>
  </si>
  <si>
    <t>de Tuero, Francisco Alfonso</t>
  </si>
  <si>
    <t>Francisco Alfonso de Tuero</t>
  </si>
  <si>
    <t>rados para formar la audiencia de esta capital* 12 señores ministros por el orden siguiente. Regente. EL Sr. D. Josef Vaca de Guzinan. Ministros. Sr. D. Francisco Alfonso de Tuero. = Sr. D. Ildefonso Cres­ po Mayor. = Sr. D. Vicente María Cabero. = Sr.- D. Francisco Cándido Paz. = Sr. D. Ramón Satue. =Sr. D. Josef García de l…</t>
  </si>
  <si>
    <t>de Tufada, José Pcrez</t>
  </si>
  <si>
    <t>José Pcrez de Tufada</t>
  </si>
  <si>
    <t>s de coroneles ; primera ayudantía mayoral segundo ayudante D. Frm i cisco de Sn'e", Mon ; primeras tenencias de fusileros á los se­ gundos tenientes D. José Pcrez de Tufada, de granaderos f&gt;. Cris-</t>
  </si>
  <si>
    <t>de U'itcgui, Juan Manuel</t>
  </si>
  <si>
    <t>Juan Manuel de U'itcgui</t>
  </si>
  <si>
    <t>8158 Parece que los turcos tienen gnn confianza en esta D. Antonio de Yarritu.............. . 470 expedición , no solo por el 1 ú nero respetable de D. Juan Manuel de U'itcgui..... 70950 fuerz.s que han reunido pata ella, sino también D. Livinio Stuiek y Wandergoporque cuentan con muchos partidarios dfutro de ten.............…</t>
  </si>
  <si>
    <t>de Ugarriza, Manuel</t>
  </si>
  <si>
    <t>Manuel de Ugarriza</t>
  </si>
  <si>
    <t>nto yor Calibre de su artillería, no podían conseguir primero, á subteniente de la qoarta-compañía. ventaja alguna contra el valor y pericia de nues­ D. Manuel de Ugarriza, sargento primero,-4' tros marineros , tomaron el partido de largarse des­ subteniente de la quinta compañía. pués de una pérdida considerable de hombres, …</t>
  </si>
  <si>
    <t>de Ugarte, Francisco Toxibio</t>
  </si>
  <si>
    <t>Francisco Toxibio de Ugarte</t>
  </si>
  <si>
    <t>rgo, D. Esteban Antonio de O rellana, D. Juan Miguel Paez de la Cade­ na, D. Manuel Torras Cónsul, D. Eimon Navarro Pingarron , Don Francisco M vin y D. Francisco Toxibio de Ugarte : para la de fis­ cal militar á D. Martin González de Menchaca, mariscal de campe de ios exércitos nacionales, y para la de fiscal togado á D. Ram…</t>
  </si>
  <si>
    <t>de Ugf, Francisco Toribio</t>
  </si>
  <si>
    <t>Francisco Toribio de Ugf</t>
  </si>
  <si>
    <t>477</t>
  </si>
  <si>
    <t>s a( agua. El día 10 del corriente se instaló ea esta p^aza la real audiencia del reyno, compuesta por el pronto de los antiguos oidores de la misma, D. Francisco Toribio de Ugf*rte, D Ji.sé López Cozar y I), Francisco Cándido de Paz. Con est* motivo, ei decano D. Fran­ cisco Toribio de ligarte pronunció un discni£o, de que c…</t>
  </si>
  <si>
    <t>de Urbina, Gabriel Fernandez</t>
  </si>
  <si>
    <t>Gabriel Fernandez de Urbina</t>
  </si>
  <si>
    <t>e la Cárcel de Corte, 25. — Recibidos de Guayaquil. El gobernador D. Bariolomé Cucalón , 500. El ministro tesorero D. Luis de Ariza, 100. El contador D. Gabriel Fernandez de Urbina, 100. (. Se continuarán.) ¥ CADIZ : EN LA IMPRENTA REAL.</t>
  </si>
  <si>
    <t>de Urda, Eiiseo Martin</t>
  </si>
  <si>
    <t>Eiiseo Martin de Urda</t>
  </si>
  <si>
    <t>......... 2200 D. Pedro I’ascnal de Sierra, id. en ArjoBx-carmelitas calzados. nilla,........ ............................................... —&gt; 2100 D. Eiiseo Martin de Urda , residente en D, Juan Gutiérrez, id. en Jaén.................. 2200 Madridejos.................................................. 2200 D. Francisco Xavi…</t>
  </si>
  <si>
    <t>de Urraza, Juan Antonio</t>
  </si>
  <si>
    <t>Juan Antonio de Urraza</t>
  </si>
  <si>
    <t>Cádiz á 24 de octubre de 1812.= A IX Antonio Cano Manuel.” Ante el Sr. juez de primera instancia D. Francisco Asín, y por la escribanía del número de D. Juan Antonio de Urraza, penden Jos autos de abintestato forma­ dos por fallecimiento de Doña Agustina Carlota Abad, vecina que fue de esta corte, de estado honesto, que vivía…</t>
  </si>
  <si>
    <t>frivolas disculpas con que paliar no ante el referido señor juez por ¡a escribanía del nú­ la debilidad. Y si no ya ve vmd. que desde el Nie­ mero de D. Juan Antonio de Urraza. men á Moskow todavía no lé han pillado, antes ha Sucedido t'odó lo contrario: en fin, amigo mió, yo vuelvo á mis trece; la guerra de Rusia se acabó al…</t>
  </si>
  <si>
    <t>de Urrua, Manuel</t>
  </si>
  <si>
    <t>Manuel de Urrua</t>
  </si>
  <si>
    <t>9. D. Pió Miliar, id., 9. D. Martin Domínguez, id. 9. D* Joaquín de Cárdenas, id., 9. I), José Mrgiu Tarrafa , id., 9. D. Manuel de los Ríos, id., 9. D. Manuel de Urrua, id. , 9. D. José María de Urrua y D, Domin­ go Bernaola, id. , 9. D. Felipe Fernandez de Silva, por uno, 9. D. Juan Kohli, id!,'9. Doña Juana Francisco Tamay…</t>
  </si>
  <si>
    <t>de Urruehi, Angel</t>
  </si>
  <si>
    <t>Angel de Urruehi</t>
  </si>
  <si>
    <t>............................... 18000 corte..... ............................................... 23040 jr■ Doña María AriaULuiz de Estenoz..... 90090 D. Angel de Urruehi............................. 11520 D. Antonio de ¡Medíene lo..................... 18000 D. Antonio Alvarez.............................. 20412 D. Sebastian d…</t>
  </si>
  <si>
    <t>de Valenznela, Gonzalo</t>
  </si>
  <si>
    <t>Gonzalo de Valenznela</t>
  </si>
  <si>
    <t>de las ocho compañías los individaos si­ D. Josef Cañete. guientes : Tenientes. Capitanes. D. Joan Sánchez de la Cuenta. D. Juan Francisco de Torres. D. Gonzalo de Valenznela, de granaderos. D. Juan Martin de la Torre, de tiradores. Subtenientes. D. Pedro Morales. D. Josef Ximenez. D. Estanislao Agnilar. D. Juan de Ortega Lue…</t>
  </si>
  <si>
    <t>de Valle, Juan</t>
  </si>
  <si>
    <t>Juan de Valle</t>
  </si>
  <si>
    <t>n la sesión de 24 del corriente á la renovación de su presidente, vice-presideute y uno de sus secretarios ; salieron electos, para presidente el Sr. D. Juan de Valle, diputado por Cataluña; para vicc-prcsiden* te el Sr. D. Juan Bernardo Quiroga y Uria , diputado por Galicia; y. para secretario el Sr. D. Juan María Jg Herrera…</t>
  </si>
  <si>
    <t>de VARSOVÍA, GRAN DUCADO</t>
  </si>
  <si>
    <t>GRAN DUCADO de VARSOVÍA</t>
  </si>
  <si>
    <t>s archiduques Juan y imperio. Antonio se hallan en el dia en Gratz. Ha sido nombrado director de la policía de Ri­ ga el príncipe L„banon-Rostow$ky , gobernador GRAN DUCADO DE VARSOVÍA. militar de aquella ciudad. El Emperador ha mandado que el archiman­ Kalich iS de abril. drita Doisitey de la Georgia sea consagrado obispo co…</t>
  </si>
  <si>
    <t>de Vascon, José</t>
  </si>
  <si>
    <t>José de Vascon</t>
  </si>
  <si>
    <t>aquella ciu­ dad 50 desertores con armas. El tribuna! nombrado para examinar la conducta de los marque­ ses de Valencia y de Ponte de Lima, y la del coronel José de Vascon­ celos de Sá, los ha declarado inocentes por sentencia de 30 de di­ ciembre último. Estos tres caballeros se hallaban en Francia de orden de Junot, cuando …</t>
  </si>
  <si>
    <t>de VclauuJe, Jfoscf</t>
  </si>
  <si>
    <t>Jfoscf de VclauuJe</t>
  </si>
  <si>
    <t>.cizaga, que al qtic puede mas, no hai que gruñirie, y D. jn.n M reno, D. Maitm berapio de Ufiarte que en to.l.s Us tierras del mundo en materia d# y D. Jfoscf de VclauuJe. g'bier.'o, no hai mas parientes que mi* dier.te», e toes, que no hai mas gu-to ni afecto ni parentesco á que atender sino á lo m is seguro, y qoe puedo ma…</t>
  </si>
  <si>
    <t>de Vega, Josef</t>
  </si>
  <si>
    <t>Josef de Vega</t>
  </si>
  <si>
    <t>de la Cufesrá/id. en Cabra....... 2200 1&gt;. Ignacio Morales, id................................ 2200 D. Pedro Ximenez , id etl Luqüe........... . 2200 D. Josef de Vega, id.................. ................ aiod D. Hipólito Granados, id. en Pezuelo de D. josef Santa Cruz, id............................. • 2200 Calat ra*a'.....…</t>
  </si>
  <si>
    <t>de Vegas, Antonio</t>
  </si>
  <si>
    <t>Antonio de Vegas</t>
  </si>
  <si>
    <t>obayna, D. Bernardo Domínguez, D. Jacobo Dubreuü, 1). Luis Pana, Don 3JabIo de Ltrin, D. Juan María Grifón, D. Francisco Martínez, D. J osé de Vegas, D. Antonio de Vegas, D. Mariano Lktadi y Don Marcee Morejon ; y á subtenientes de bandera á D. Buenaventura Dubreuil, D. Miguel Orioñez, D. Eusebío RoduTfo Reggio, Don ARtonio I…</t>
  </si>
  <si>
    <t>de Vegas, Pedro</t>
  </si>
  <si>
    <t>Pedro de Vegas</t>
  </si>
  <si>
    <t>osé Bou; á subtenientes de granaderos á D. Arnaido Guillemard , D. Juan Fer­ nandez y D. Diego Barrado; á subtenientes de fudleros á D. José Urcullo, D. Pedro de Vegas, D. Martin Palmo, D. Juan Itobayna, D. Bernardo Domínguez, D. Jacobo Dubreuü, 1). Luis Pana, Don 3JabIo de Ltrin, D. Juan María Grifón, D. Francisco Martínez, …</t>
  </si>
  <si>
    <t>de Velasco, Luis</t>
  </si>
  <si>
    <t>Luis de Velasco</t>
  </si>
  <si>
    <t>8i8 D. Luis de Velasco , id.................... ................ a 200 blancor,.................... .....i................. 2200. r&gt;. Manuel de Galindo, id............................... jico D. Bartolomé García,</t>
  </si>
  <si>
    <t>de Velasco, Rosa Catalina Vázquez</t>
  </si>
  <si>
    <t>Rosa Catalina Vázquez de Velasco</t>
  </si>
  <si>
    <t>s oficiales , sargentos y tropa de caballería , 163 y 2 y medio. D. Ma­ tías Querejazu, canónigo de esta Sta. iglesia, 1000. D. Tomas Querejazu, 500. Doña Rosa Catalina Vázquez de Velasco , 500. Doña Constanza de la Puente y Querejazu, 500. D. Juan Antonio 4ndueza, cura de Yangai, 100. El cirujano Miguel Galarza , 10. El cole…</t>
  </si>
  <si>
    <t>de Velchere, Juan</t>
  </si>
  <si>
    <t>Juan de Velchere</t>
  </si>
  <si>
    <t>sta quadriila ha robado á lot María, construido todo de piedra de sillería, y la propietarios pacíficos de la orilla derecha del Gua­ casa llamada de D. Juan de Velchere» admirable dalquivir muchos centenares de ganados. Don Mi­ or la hermosura y frondosidad de sos jardines. guel Portee y las agentes montados de la policia ha…</t>
  </si>
  <si>
    <t>de VeLsco, Saturio Angel</t>
  </si>
  <si>
    <t>Saturio Angel de VeLsco</t>
  </si>
  <si>
    <t>seculares Diputados seculares D. Gregorio Zorrilla. D. Agustin Villa. D. Domingo Villamif. D. Juan Perez Pinedo. Secretario I&gt;. Antonio María Bonomo. D. Saturio Angel de VeLsco. BARRIO DE SANTO TOMAS. barrio de los, angeles. Alcalde de barrio Alcalde de barrio I). Manuel de la Cámara. i D. Felipe Várela y Suarez. Diputados se…</t>
  </si>
  <si>
    <t>de Venayas, Manuel</t>
  </si>
  <si>
    <t>Manuel de Venayas</t>
  </si>
  <si>
    <t>l Domínguez. D. Ventura Alcalde. -.Diputados seculares D. Juan Antonio García. D. Mariano López. D. Josef Rico Pablo. D. Juan P.trdo. D. Josef Prado. D. Manuel de Venayas. Secretario Secretario D. Josef Mendez. D. Antonio Regino López. BARRIO DE. XA PLAZUELA DEL GATO. BARRIO DE SAN ILDEFONSO. Alcalde de barrio Alcalde de barr…</t>
  </si>
  <si>
    <t>de Ventura, Buenaventura</t>
  </si>
  <si>
    <t>Buenaventura de Ventura</t>
  </si>
  <si>
    <t>Idem á Doña Rafael Rodriguen, viuda de D. Buenaventura de Ventura, oficial que fue de la Secretaría de. Hacienda , por su pensión ...... . ...... ................ ......... 1095 30 Idem por portes de sal conducida á estos al­ macenes desde las. fábricas..</t>
  </si>
  <si>
    <t>de Vera, Federico</t>
  </si>
  <si>
    <t>Federico de Vera</t>
  </si>
  <si>
    <t>anaderos á D. Mi­ guel Vaienza, y de fusileros á D. Francisco Xavier Vargas , D. Eusebio Teiíez , D. Pedro Mansilla , D. Jacinto Toro, y de bandera á D. Federico de Vera. En la compañía veterana de infantería de Maynas, el empleo de capitán á D. Manuel Fernandez Á^varez ; tenen­ cia á D. Juan Manuel Ogararte, y subtenencia á …</t>
  </si>
  <si>
    <t>de Vera, Francisco</t>
  </si>
  <si>
    <t>Francisco de Vera</t>
  </si>
  <si>
    <t>ervido conferir compañía de granaderos en el regimiento de infantería de BuenosAyres á D. José Piris, y de fusileros á D. Francisco de Reguera Pérez, D. Francisco de Vera primero, D. Antoni» Vianguet, Don José Francisco de Vera, D. José Vila y D. Juan Crisóstomo Mar­ tínez ; la ayudantía del primer batallón á D. Juan de Palma…</t>
  </si>
  <si>
    <t>de Vera, Ignacio</t>
  </si>
  <si>
    <t>Ignacio de Vera</t>
  </si>
  <si>
    <t>Pedro Ríos , 10. D. Juan María Morillo , 10. D. Mariano Arcia y Tello, 20. D. José Camilo Morillo, 10. D. Juan..... .. 50. D. Guillermo Gutiérrez, 4. D. Ignacio de Vera, 6. D. Ignacio Govostiza, por algunos vecinos de la ciu­ dad Vieja , 22. D. Mariano Allende , 10. D. Antonio Vallejo por el pueblo d« Balao, 1G. D. Carlos Lag…</t>
  </si>
  <si>
    <t>de Vida, Alfonso</t>
  </si>
  <si>
    <t>Alfonso de Vida</t>
  </si>
  <si>
    <t>rt. v. En la villa de Espejo se formarán dos D. Josef Joaquín de Priego. compañías. D. Gerónimo Montilla. Quedaa nombrados para capitanes y oficiales D. Alfonso de Vida, y Gamboa. de ellas. Capitanes. Tenientes. D. Bartolomé Pineda. D. Joaquín Cañete, de granadero». D. Juan Francisco Ramírez. D. Manuel Bujalance, de tiradores…</t>
  </si>
  <si>
    <t>de Vigodet, Gaspar</t>
  </si>
  <si>
    <t>Gaspar de Vigodet</t>
  </si>
  <si>
    <t>573</t>
  </si>
  <si>
    <t>e se le mandaba restituirse con la posible brevedad á la península, entregando el mando de las pro­ vincias del Rio de la Plata al mariscal^ de campo D. Gaspar de Vigodet, gobernador de esta plaza ; y así lo verificó embarcándose pa­ ra Europa. El nuevo capitán general habia practicado desde luego todas las diligencias que ha…</t>
  </si>
  <si>
    <t>de Viíches, Gonzalo Cruz</t>
  </si>
  <si>
    <t>Gonzalo Cruz de Viíches</t>
  </si>
  <si>
    <t>uín Cisternes, D. José Iribesri, IX Fran­ cisco de Anido, IX Julián Cid, D. Felipe Sobrado, D. Manuel Lo­ sada C&amp;dóraiga, IX Xavier Vázquez Varela, y D. Gonzalo Cruz de Viíches, regente, oidores, alcaldes del crimen y fiscal de !a real au­ diencia de Galicia; del intendente del reyno IX C-sáreo Gaidcntd; del eider de la audie…</t>
  </si>
  <si>
    <t>de Villa, Juan</t>
  </si>
  <si>
    <t>Juan de Villa</t>
  </si>
  <si>
    <t>...... 2200 Cabra..................................................................... 2200 D. Bartolomé de Córdoba , id........................ 2200 D. Juan de Villa, residente en Lucena...... 2200 Ex-franciscanos. D. Sebastian Guerrero, id.............. 2200 P. Luis de Anta , residente en Córdoba.... 22c© ü. Antonio del Rio…</t>
  </si>
  <si>
    <t>de Villa, Manuel Ortiz</t>
  </si>
  <si>
    <t>Manuel Ortiz de Villa</t>
  </si>
  <si>
    <t>ranaderos, á Don Juan Esteban G&amp;rate, D Manuel T jada y Cuadra y D. José de Xazartc ; de cazadores, á D Julián García Montarroso; y de fusile­ ros, á D. Manuel Ortiz de Villa te, D. Francisco Mendoza, D. Ra­ fael López, D Manuel C &gt;h?.ro y T^gle, D. Andrés Sánchez de Q iros, D. José A nez-aga, D. Manuel'Antoai© de P.;ctido, D…</t>
  </si>
  <si>
    <t>de Villacueva, Andrés</t>
  </si>
  <si>
    <t>Andrés de Villacueva</t>
  </si>
  <si>
    <t>....................... 2200 D. Pedro Rodríguez , id............................... 2200 D. Joief González, id.................................. 2200 D. Andrés de Villacueva , residente cu AlD. Miguel del Rincón,.id............................ 2200 caracejos.................. 22CO D. Fernando Cabrera, id......................…</t>
  </si>
  <si>
    <t>de Villafranca, Soalt</t>
  </si>
  <si>
    <t>Soalt de Villafranca</t>
  </si>
  <si>
    <t>o que avanzaba contra él una fuerza superior enemiga; entonces ss re­ tiró en bu j * orden á la distanc.a necesaria. „ Luego que supe la retirada del mariscal Soalt de Villafranca, puse el exércdo en movimiento bácia Castilla : la vanguardia llegó á Casteílo-Braneo, para donde partiré mañana. — No tengo noticia de que haya ha…</t>
  </si>
  <si>
    <t>de Villalba, Francisco</t>
  </si>
  <si>
    <t>Francisco de Villalba</t>
  </si>
  <si>
    <t>sta forma: Presidente. ' El Sr. alcalde de esta villa marques de Iturbieta. Vice Presidente. El regidor de la misma D. Josef Manzanilla. Secretarios. D. Francisco de Villalba. D. Francisco López de Olavarrieta. Vocales eclesiásticos. D. Andrés Aranzay.</t>
  </si>
  <si>
    <t>de Víllamieva, Manuel</t>
  </si>
  <si>
    <t>Manuel de Víllamieva</t>
  </si>
  <si>
    <t>dancias de batallón , % los brigadie­ res y capitanes del mismo D. Jo&gt;é Antonio de la Torre y I). José Dusuy ; compañía de granaderos al de fusileros D. Manuel de Víllamieva ; id. de cazadores al de fusileros D. Francisco de Paula ele Marimon ; compañías de fusileros al primer teniente con grado de coronel D. Antonio Miró y a…</t>
  </si>
  <si>
    <t>de Villanueva, Francisco Alvarez</t>
  </si>
  <si>
    <t>Francisco Alvarez de Villanueva</t>
  </si>
  <si>
    <t>............. ......... 2zoo bias, provincia de Burgos......................... 2200, D. Antonio Sánchez, id.....................................2200 D. Francisco Alvarez de Villanueva, id. D. Francisco ds la Cruz, id......................... 2200 en Madrid.......................... ........................ 2200 D. Joan Colos…</t>
  </si>
  <si>
    <t>de Villaoáeva, Dámaso</t>
  </si>
  <si>
    <t>Dámaso de Villaoáeva</t>
  </si>
  <si>
    <t>...... .......................................... 2200 D. Juan de la Portilla, id. de Hscobedo... 22c» D. Benito Camas, natural de Peñacastiilo. 2200 D. Dámaso de Villaoáeva , id. .en San­ 1 Ex-franciscanos. tander.................. 2200 D. BtJiaiío Solana , id. de Santiago de Fieras. 2200 D. Henleterio Ruiloba, natural de Sa…</t>
  </si>
  <si>
    <t>de Villar, Antonio Alvarez</t>
  </si>
  <si>
    <t>Antonio Alvarez de Villar</t>
  </si>
  <si>
    <t>. J*sé Alien , 4. D. Juan Laisequilla , 4. D. Pedro Delgado Alférez., 6. D. Florencio López , 2. D. Antonio López , 2 y 2. D. Manuel de Villar, 1Q0O. D. Antonio Alvarez de Villar, alcalde ordi­ nario de -esta ciudad , 1000. El marques de Casa Dávila , 1000. El mismo, a nombre de su hermano D. José María Sancho Dávila, 500. D.…</t>
  </si>
  <si>
    <t>de Villar, Manuel</t>
  </si>
  <si>
    <t>Manuel de Villar</t>
  </si>
  <si>
    <t>, 4. D. Andrés Orive , 4. D. J*sé Alien , 4. D. Juan Laisequilla , 4. D. Pedro Delgado Alférez., 6. D. Florencio López , 2. D. Antonio López , 2 y 2. D. Manuel de Villar, 1Q0O. D. Antonio Alvarez de Villar, alcalde ordi­ nario de -esta ciudad , 1000. El marques de Casa Dávila , 1000. El mismo, a nombre de su hermano D. José M…</t>
  </si>
  <si>
    <t>de Villeminor, Amalia</t>
  </si>
  <si>
    <t>Amalia de Villeminor</t>
  </si>
  <si>
    <t>Gaceta de Madrid n.º 67</t>
  </si>
  <si>
    <t>de ron en Basford una cosa que prueba su descaro y , Almenara, ministro de lo Interior, con la Señora atrevimiento. Se entraron en casa de W. Barns, Doña Amalia de Villeminor. donde habia tres soldados para gaardar tres tela­ Por reates decretos de 4, 5 y 6 del corriente res; prendieron á los soldados; se pusieron algu­ se ha…</t>
  </si>
  <si>
    <t>de Villodas, Mariano</t>
  </si>
  <si>
    <t>Mariano de Villodas</t>
  </si>
  <si>
    <t>El Sr. D. Mariano de San Juaa. El Sr. D. Josef de Arratia. El Sr. D. Domingo DutarL El Sr. D. Lúeas de Carranza. El Sr. D. Saturio Cantabrana. El Sr. D. Mariano de Villodas. El Sr. D. Joaquín García Domeneeh. El Sr. D. Miguel Caldero» de la fiafftfc</t>
  </si>
  <si>
    <t>de Vimeyro, Wellington y</t>
  </si>
  <si>
    <t>Wellington y de Vimeyro</t>
  </si>
  <si>
    <t>403</t>
  </si>
  <si>
    <t>Núm. 49. 403 GACETA DE LA REGENCIA DE LAS ESPAÑAS DEL SABADO 18 DE ABRIL DE 1812. PORTUGAL. Lisboa 4 de abril. Oficio del conde Wellington y de Vimeyro á D. Miguel Pereyra Forjaz, de su cuartel general enfrente de Badajoz , á 27 de marzo de 1812. ' “Han continuado las operaciones del sitio de Badajoz desde que dirigí á V. E. …</t>
  </si>
  <si>
    <t>de Vinuesa, María Xaviera</t>
  </si>
  <si>
    <t>María Xaviera de Vinuesa</t>
  </si>
  <si>
    <t>S. Mar­ D. Manuel Gallegos, resideute eoXerez... 2200 tin de Valdeiglesias.......................... 2200 Ex-agustinas recoletas. Ex-premostratense. Doña María Xaviera de Vinuesa, residen­ D. Tadeo Rodríguez Cabriaga, residente te en Logroño................ ........................... 2200 en Madrid...........................…</t>
  </si>
  <si>
    <t>de Vitoria, Ramón</t>
  </si>
  <si>
    <t>Ramón de Vitoria</t>
  </si>
  <si>
    <t>de Izormendía............ 2609 13 de aprecio. D. Josef Vázquez................................ 716 2 2-| A&gt; mismo tiempo se cultivan también con mu­ D. Ramón de Vitoria................•....... 4213 25 cho e-m.-ro las ciencias y la literatura. D. Ramón Zazo.................................... 861 2 Nuestra universidad está per…</t>
  </si>
  <si>
    <t>de Vivas, Juan</t>
  </si>
  <si>
    <t>Juan de Vivas</t>
  </si>
  <si>
    <t>Francisco Azpiroz y hermanos , 300. D. Andrés de Larra paga, 100. D. Francisco Hacines, 100. D. Juan Nicasio Sotomavor, -UKI. D. Juan Ergniaga, 100. D. Juan de Vivas, 400, D. Custodio Alvarez, 100. D. Pabl® Bj ingas, 200, (Se continuará.) CADIZ s EN LA IMPRENTA REAL.</t>
  </si>
  <si>
    <t>de Wurtemberg, Alexandro</t>
  </si>
  <si>
    <t>Alexandro de Wurtemberg</t>
  </si>
  <si>
    <t>o de la execucion de esta or­ navegación. den. = E gobernador de la Rusia Blanca s= Firma­ 1 Tal es el resúmen de todas las cartas particula­ dos: el duque Alexandro de Wurtemberg.” res que hemos recibido de Wilna. Las del 8 de ju­ Núm. 2x97. WitepsÉ 15 (27) de junio de 1812. lio apoyan las reflexiones que hicimos sobre el úl…</t>
  </si>
  <si>
    <t>de Wurtemberg, Luis</t>
  </si>
  <si>
    <t>Luis de Wurtemberg</t>
  </si>
  <si>
    <t>o de la Justicia ha publicado de órden de S. M. que los tribunales continuarán las Ha lia 10 de (iiciembre. causas relativas á las deudas de S. A. el Príncipe Luis de Wurtemberg; pero que para evitar seme­ Uno de nuestrcs periódicos literarios trae nn jantes ocurrencias en lo sucesivo, no podrá este largo extracto del guadro …</t>
  </si>
  <si>
    <t>de Xbarrola, Tomas San</t>
  </si>
  <si>
    <t>Tomas San de Xbarrola</t>
  </si>
  <si>
    <t>DiputAdo eclesiástico Diputado eclesiástico D. Fermín Blanco. D. Jnlian Caín pe lo. Diputadas seculares Diputados seculares D. Tomas San* de Xbarrola. D. Gerónimo’Marrazi, D. Francisco Alvares de Santullar. D. Bonifacio Cabañas;. D. Fausto Blanco. Secretario Secretario D. Bernardo Casio. D. Antonio Villaducva. BARRIO DB XAS M…</t>
  </si>
  <si>
    <t>de Ximeno, Jacinto</t>
  </si>
  <si>
    <t>Jacinto de Ximeno</t>
  </si>
  <si>
    <t>lia, D. José Garrea y D. Antonio Taranco, de cazadores, á D. Jo­ sé Francisco de Isasi, y de fusileros á D. Pedro Abadía, D. José de la Riva Agüero , D Jacinto de Ximeno , D. Juan de Irigoyen, Don Angel Aifaro, D. Manuel Raíz de Burgos, D. Antonio Raras, Don Tornas de la Casa y Piedra , D. Domingo Laspiur, D. José CasiiuIto S…</t>
  </si>
  <si>
    <t>de Yanguas, Antonio</t>
  </si>
  <si>
    <t>Antonio de Yanguas</t>
  </si>
  <si>
    <t>...................... 2200 Quintana, provincia de Alava................... 2200 D. Ruñno García', id. de Reinoaa................ 2200 Ex capuchinos. D. Antonio de Yanguas, id. de Tudela de Navarra............................................................ 2200 D. Mannel González Guijarro, residente D. Fernando del Campo, id…</t>
  </si>
  <si>
    <t>de Yanguas, Juan</t>
  </si>
  <si>
    <t>Juan de Yanguas</t>
  </si>
  <si>
    <t>al segundo tenien­ te agregado D. Casimiro de Quesnay ; segunda ayudantía mayoral alférez D. José Celles Mohtredor ; segunda tenencia de fusileros á D. Juan de Yanguas , capitán del regimiento de Baylen ; y á los al­ féreces D. Buenaventura de Mena, D. Juan de Cortes y D. Cárlos Pozzodivórgo ; empleo de alférez de granaderos …</t>
  </si>
  <si>
    <t>de Yarguas, Martin</t>
  </si>
  <si>
    <t>Martin de Yarguas</t>
  </si>
  <si>
    <t>todos los puertos doode seamos lo, y las dos restantes por destitución de D. Jorecibidos, Esta Opinión es mui conforme con Ja sef F'ernandez Ubago y D. Martin de Yarguas. del poder executivo, y nos quita toda esperanza A D. Damaso Bernaldez Tobía , ex-observante de ver terminadas las desavenencias que hai entre franciscano y …</t>
  </si>
  <si>
    <t>de Yarritu, Antonio</t>
  </si>
  <si>
    <t>Antonio de Yarritu</t>
  </si>
  <si>
    <t>1534 puesto* a ser desde luego el teatro de la guerra. D. Joan Josef Biziud.................. 8158 Parece que los turcos tienen gnn confianza en esta D. Antonio de Yarritu.............. . 470 expedición , no solo por el 1 ú nero respetable de D. Juan Manuel de U'itcgui..... 70950 fuerz.s que han reunido pata ella, sino tambié…</t>
  </si>
  <si>
    <t>de Yarza, Rafael</t>
  </si>
  <si>
    <t>Rafael de Yarza</t>
  </si>
  <si>
    <t>1. ,,Se declara acreedora del estado D. Andrés Gilabcrt............................... 2089 14 á la iglesia parroquial del real Sitio de S. Ildefon­ D. Rafael de Yarza............ 372; 27 so , en conformidad al articulo 7.“ de nuestro de­ creto de 9 de junio de 1809, por la cantidad de ¿¡o Total.............................. …</t>
  </si>
  <si>
    <t>de Ye-lasco, Pedro Martínez</t>
  </si>
  <si>
    <t>Pedro Martínez de Ye-lasco</t>
  </si>
  <si>
    <t>imas con el primero ae los sa­ cerdotes que llegaron. Habla anteriormente confesado á sus campa (i) Creyóse al pronto con equivocación que había sido D. Pedro Martínez de Ye-lasco.</t>
  </si>
  <si>
    <t>de Yecla, Julián Diaz</t>
  </si>
  <si>
    <t>Julián Diaz de Yecla</t>
  </si>
  <si>
    <t>..... 1728 17 lo mismo de nuestro consejo de Estado, hemos D. Francisco de Ocaña......................... 2131 5 decretado y decretamos lo siguiente: D. Julián Diaz de Yecla...................... 4937 2* articulo 1. ,,Se declara acreedora del estado D. Andrés Gilabcrt............................... 2089 14 á la iglesia parroq…</t>
  </si>
  <si>
    <t>de Yermo, Gabriel</t>
  </si>
  <si>
    <t>Gabriel de Yermo</t>
  </si>
  <si>
    <t>Mendizabal, para la cual han contribuido con 5000 pesos fuertes y 30'1 tercios de azúcar los comisionados para ella í). Gabriel' de Iturbe é íraeía. D Gabriel de Yermo, y los condes de Heras-Soto y de Casa de Agreda. Al mismo tiempo s® contribuye por todas partes para la ma­ nuten clon de los exércitos. Las señoras de Veracra…</t>
  </si>
  <si>
    <t>de Yiegas, Simón</t>
  </si>
  <si>
    <t>Simón de Yiegas</t>
  </si>
  <si>
    <t>calmado estas voces, y ya no se habia de ello. En la madrugada del 6 murió de repente D. Tomas de Moría. Igual muerte habia tenido en el mes anterior D. Simón de Yiegas. El 12 entró un convoy de Andalucía con bastantes franceses coxos y mancos. — Sigue el continuo entrar y salir de destacamentos á las inmediaciones, la penuri…</t>
  </si>
  <si>
    <t>de Yuza, Joaquin</t>
  </si>
  <si>
    <t>Joaquin de Yuza</t>
  </si>
  <si>
    <t>na.. 10800 Doña María Alexa Cerrageríade Her­ D. Luis Blizitde........................ 45Q'-&gt; moso............................................. 22500 D. Joaquin de Yuza......... .................... 7 9[* D. Simón de Torres.............. .............. . 40500 D. Juan Antonio de Noreña................ 4184 33 Doña Ana María D…</t>
  </si>
  <si>
    <t>de Z, Josef Ruiz</t>
  </si>
  <si>
    <t>Josef Ruiz de Z</t>
  </si>
  <si>
    <t>26353 servido nombrar para el beneficio de la parroquial D. Lois y D. Josef María Cásale... 406 r 85 de Vidania , en Guipúzcoa, vacante por falleci­ D. Josef Ruiz de Z=¡ada................. 3346 17 miento de D. Francisco Lúeas de Chinchurreta , al Doña loes S¿r&gt;fields......................... *353 25! presbítero D. Francisco …</t>
  </si>
  <si>
    <t>de Zafra, Cristóbal Josef</t>
  </si>
  <si>
    <t>Cristóbal Josef de Zafra</t>
  </si>
  <si>
    <t>...................................... 2200 P. Francisco Solano García, id....................... 2200 D. Francisco López , residente en Rambla. 2200 D. Cristóbal Josef de Zafra , id...................... 2200 P. Anselmo de Reyes, subdiácono, id. en D. Ju ande Salas, id........................................ 2200 Cabra......…</t>
  </si>
  <si>
    <t>de Zakíivaz, Juan</t>
  </si>
  <si>
    <t>Juan de Zakíivaz</t>
  </si>
  <si>
    <t>Fer­ nando Soria y D. Angel Va reía , y de porta-estandarte á D. Justo Montuno. Tenencia en el cuerpo de caballería de Blandengues de Buenos-Ayres á D. Juan de Zakíivaz. Y en el batallón de Volunta­ rios de infantería de-Montevideo el empleo de sargento mayor á Don Miguel Granada, y el de ayudante á D. Juan Cesar. Asimismo S.…</t>
  </si>
  <si>
    <t>de Zarate, Antonio Ortiz</t>
  </si>
  <si>
    <t>Antonio Ortiz de Zarate</t>
  </si>
  <si>
    <t>ndo hasta el Dwina; .pujes i&amp;te -vio dista del vela y D. Francisco Itutribarría, alcaldes de corte; Vístula mas que Mpscow- y-Petersbtfrgo del'Dwina. D. Antonio Ortiz de Zarate-, presidente de la jun­ Parece que los, rusos retinen:sus: fuerzas,en Du-' ta criminal de Segovia, y D. Antonio Porras, juez, naburgo , donde-nos espe…</t>
  </si>
  <si>
    <t>de Zarate, Joaquín Ortiz</t>
  </si>
  <si>
    <t>Joaquín Ortiz de Zarate</t>
  </si>
  <si>
    <t>argento mayor de brigada, graduado de teniente coronel, D. José María Da­ na ; á sargento mayor de brigada al capitán , graduado de teniente coronel, D. Joaquín Ortiz de Zarate i y á capitanes á los tenientes D. Pablo Ruiz de la Bastida, D. José Gordillo y D. Manuel Casti­ lla, el segundo graduado.de capitanCADIZ : EN LA IMPR…</t>
  </si>
  <si>
    <t>de Zea, Joaquín</t>
  </si>
  <si>
    <t>Joaquín de Zea</t>
  </si>
  <si>
    <t>vuelto á recibir del país de los gtisdnesi Vanguardia del quarjo cuerpo ; y los dos, brigidietristes noticias de estragos causados por el desmo­ res D. Joaquín de Zea’, sobinspéctdr de °la ‘ caba­ ronamiento de lá nieve' de las montañas. Desde el llería del segundo cuerpo, y D. Antonio Buíriel, dia 15 hasta el 17 de febrero h…</t>
  </si>
  <si>
    <t>de Zemborain, Gerónimo</t>
  </si>
  <si>
    <t>Gerónimo de Zemborain</t>
  </si>
  <si>
    <t>tubre de 1812.=: D. Pe­ dro de Castro, Presidente. = D. Juan de, Dios Alonso y Herrera. = D. Ra­ fael Garrido y Rodríguez. = D. Lorenzo Gotaredona. = D. Gerónimo de Zemborain. = D. Mateo de Norzagaray. = D. Ignacio Campesino. Madrid 20 de octubre de 1812. = Juan Garrido. = Clemente de Cavia y Diez. Por resolución del Sr. D. F…</t>
  </si>
  <si>
    <t>de Zitvide, Francisco</t>
  </si>
  <si>
    <t>Francisco de Zitvide</t>
  </si>
  <si>
    <t>...... . 3495 22 art. ni. Naestro ministro de Hacienda que­ D. Josef Dionisio de Agoilar.......... 3834 da encargado de la execucion del presente de­ D. Francisco de Zitvide.................. 70200 creto. = Firmado = YO EL REI. = Por S. M., D. Juan Bautista Iribarren.............. 314625 el ministro secretario de Estado s Fir…</t>
  </si>
  <si>
    <t>de Zuloaga, Ramón</t>
  </si>
  <si>
    <t>Ramón de Zuloaga</t>
  </si>
  <si>
    <t>deros; segundas ayudantías mayores álos segundos tenientes D. An­ tonio del Valle y D. Manuel Monty; segunda tenencia de granade­ ros al de fusileros D. Ramón de Zuloaga ; id. de fusileros á los al­ féreces de cazadores y granaderos I). Ambrosio López Lisperguer y D. Juan Nepéinnceno de Mancebo; empleos de alféreces de grana­…</t>
  </si>
  <si>
    <t>de Zumaeta, Manuel</t>
  </si>
  <si>
    <t>Manuel de Zumaeta</t>
  </si>
  <si>
    <t>n de Sologuren, 66 y 5. D. Eustaquio Ortiz, 66 y 5. D. Juan Sanz, 66 y 5. Don José Iramain , 66 y 5. — Id. terceros. D. José Gervasio del Campo , 50. D. Manuel de Zumaeta, 50. D. Ignacio Odum; 50. D. Tomas Larrea, 50. D. Joaquín de Arece , 50. D. Francisco González Pavón, 50.— Oficiales amanuenses. D. José Mariano Bustarnanie…</t>
  </si>
  <si>
    <t>Dearbom</t>
  </si>
  <si>
    <t>paña­ do del mayor Clarck, edecán del general Péttit, comandante ae las tropas americanas en la frontera del Canadá. A su llegada fúé presen­ tado al general Dearbom en su cuartel general de Greenbush, don­ de tuvo una larga conferencia con dicho general y el gobernador Tompkins. Dícese que ba venido á comunicar al comandante…</t>
  </si>
  <si>
    <t>Dearborn</t>
  </si>
  <si>
    <t>hpm^ 14 ,j Queda resuéltoj que estos deréchos se­ bre de bien y...,, un bueo hombre.- .. guiráncobrándose, im arto después de hecha la paz ¿ -• ■ El general Dearborn,, nuestro comandante mi­ y no por mas tiempo.” .. litar en aefe , .ha ¡legado á, Washington. ... .. ; , Leído el iutorme se resolvió qne se imprimie­ g de marzo.…</t>
  </si>
  <si>
    <t>1305</t>
  </si>
  <si>
    <t>ose también á ratiécar una suspensión de armas, ajustada entre el teniente general Sir Jorge Prevost , gobernador general del Canadá por S. M. , y el general Dearborn , comandante de las fuerzas americanas en las provincias Septentrionales de ios Estados -Unidos ; mandando por último el gobierno de estos conti­ nuar las hosti…</t>
  </si>
  <si>
    <t>Dearbum</t>
  </si>
  <si>
    <t>evo-Fwrk, de fecha de 4 de al norte de Europa y al mediodía de la Italia febrero , dice asi: por la orden del mes de abril de 1809 , la qual ha ,,‘El general Dearbum ha sido nombrado ma­ limitado el bloqueo á ia Francia y sus dependen­ yor general del exército. Parece cierto que Mad- cias inmediatas. disson no sera reelegido …</t>
  </si>
  <si>
    <t>Debías, Bartolomé</t>
  </si>
  <si>
    <t>Bartolomé Debías</t>
  </si>
  <si>
    <t>un hermoso exército, qne D. Pedro Delgado. do pc-dremos reemplazar, aun quando hagamos una D. Antonio Ximenez. conscripción general en todo el reino. D. Bartolomé Debías. Supongamos por último qne los ¿nglo-america- art. ni. En la vilia de Pota se aumentarán nos ponen en execucion el embargo con que nos dos compañías, que con…</t>
  </si>
  <si>
    <t>Decaen</t>
  </si>
  <si>
    <t>ropa 1082 , de á Barcelona otras dos cargadas de proyectiles para transporte y tiro 443. el arsenal. Del 2 7. Desde el 7 de diciembre , dia en que *1 general Decaen salió de Barcelona después de haber con­ Acaba de publicarse en Londres nna sátira con­ ducido on coovo i, han entrado en este puerto seis tra el Príncipe Regente…</t>
  </si>
  <si>
    <t>ñoles procuraban con actividad reunir armas , municiones, y formar almacenes de víveres , que la escuadra inglesa ayudaba á abastecer (1). Sabedor el general Decaen de las empresas del enemigo contra Ilotas extractadas de las reflexiones que sobre esta materia se publicaron en la gaceta de Cataluña de 8 de 7-.arzo. -(1) jZ¿a …</t>
  </si>
  <si>
    <t>412</t>
  </si>
  <si>
    <t>scalas que habían juntado para el asalto. Los cruceros ingleses, espectadores inútiles de tas victorias del exército francés, se alejaron el¡24¿. ;El general Decaen marchó sobre Olot, Vich,.S. Feliu de Co­ tí i rías y Barcelona; batió completamente á Sarsfield , que vino á ata­ carlo en S. Feliu con un cuerpo de 3000 insurgen…</t>
  </si>
  <si>
    <t>653</t>
  </si>
  <si>
    <t>Capuchinos. Me hallaba decidido no solo á espetarla, sino á salir le al encuentro, por mas que sabia que el exéroito franca, que á las órdenes de su general en gefe Decaen, había llegado á Lérida, retrocedía forzando sus marchas; pero varié de opiuion cuando se me notició que dicho exército h^bia avistado á Barcelona á las 5 …</t>
  </si>
  <si>
    <t>ejero de estado, nombrado intendente de los depar­ tamentos de Monserrat y Bocas del Ebro, y el conde Treiihar 1, pre­ fecto de el de Monserrat; y el general Decaen los instiló en sus car­ gos el 15 del mismo. Los franceses mismos se rien de la farsa, y co­ nocen lo aeTeo de estas dignidades fantásticas. ,,E? gobierno, decía …</t>
  </si>
  <si>
    <t>ri­ meros 4 oficiales. De resultas, el enemigo desistió del empeño de forzar el paso, y tomó otro camino. £1 general Lacy, noticioso de la marcha del general Decaen, dexó en Reus la división de Eróles, y acudió á cubrir á Vich, pero llegó tarde: ios enemigos habían entrado y&amp; en aquella ciu­ dad. Saliendo después de ella, se …</t>
  </si>
  <si>
    <t>Décáetl</t>
  </si>
  <si>
    <t>rnador de la provincia ^tequies de julio del mismo año. (Se continuara.) de Tari osa. ESPAÑA. „Me apresuro á anunciar á las ffopas de mi mando que el general Décáetl escribe con fecha Madrid 09 di enero. del 5 del corriente, que há entrado en Barcelona con un convoi considerable d'e ¿¿nados, harina y Extracto de las minutas d…</t>
  </si>
  <si>
    <t>Décima-Villa, Vicente</t>
  </si>
  <si>
    <t>Vicente Décima-Villa</t>
  </si>
  <si>
    <t>ro C onejo , 40. Id. D. Sebas­ tian Baquerizo , 200. Alférez D. Bernabé Cornejo , 25. Cadete D. Manuel de Aviles, 12. — Aventureros del mismo cu rpo. D. Vicente Décima-Villa , 100. I). Pedro de Haro, 50. D. Bernardo José Roca, 20i&gt;. D. José Amonio Roca* 50. D Pedro Roca, 50. D. Gabriel Morillo, 25. D. Francisco Ufarte, 10.— L…</t>
  </si>
  <si>
    <t>Declarando</t>
  </si>
  <si>
    <t>nes bebieren he­ cho ó hicieran á la otra, sin mas excepción cue en los des casos en que el derecho de gente# exíg ? iadispemabSenrante la h spitalid»d. Declarando sin embargo, que en estos nhmi s cas» s no se le» consentirá vender ó descargar las presas que conduzcan á dichos</t>
  </si>
  <si>
    <t>Deden</t>
  </si>
  <si>
    <t>il'a el 21 á les 4 y medía de la tarde, acompañado del mar Leal Je urdan, su isoyer general; del ge­ neral Dauiianne, gefe de su .cal'ido míiyor; del general Deden , co­ mandante general de artillería; del genera! D&amp;rmags&amp;c. -ccrnaE ¿artife general de infantería ; 'del genéíál Mcr. in , capitán ge-resal de xe? vi­ cio ; del g…</t>
  </si>
  <si>
    <t>Degerando</t>
  </si>
  <si>
    <t>pt*l , presidente. =. Guytoutubricanits de L ,marck. MorVeau, Dapont (de Nemours) vice-presidenLa solidará altisshna , la solidado sempervi- tes. ~Ei barón Degerando , secretario. =C. L. An­ rens , la soli ct.tro canadensis ; el heliatiihus tube­ selmo Costaz , secretario-adjunto. ro sus, hcliantnits strumosus, helianthus mui…</t>
  </si>
  <si>
    <t>Deiort</t>
  </si>
  <si>
    <t>Gaceta de Madrid n.º 213</t>
  </si>
  <si>
    <t>aber merecido del Emper.ul.-r de los france­ los puntos, distinguiéndose el coronel Mesclop y ses que en su proclama delante de Machi 1 , dirigida el general Deiort. á los españoles en 7 de dii-mbre de t 8o8, declaras* , Los dragones, los coraceros, el regimien­ tan abiertamente que reconocía quanto podía haberto 7.0, el 44.0…</t>
  </si>
  <si>
    <t>del Aguila, Manuel Sánchez</t>
  </si>
  <si>
    <t>Manuel Sánchez del Aguila</t>
  </si>
  <si>
    <t>illas, mandadas, una por el capitán primero D. Antonio Tobar, otra por el teniente D. Pedro Arias, que quedé prisionero, y la otra por el subteniente D. Manuel Sánchez del Aguila, quienes se batieron bizarramente durante la acción. — El comandante del pe­ queño batallón de voluntarios de Burgos, manifiesta que sus oficiales y…</t>
  </si>
  <si>
    <t>del Aguila, Santiago</t>
  </si>
  <si>
    <t>Santiago del Aguila</t>
  </si>
  <si>
    <t>d. D. Mateo Calero, 41, Id D. José Antonio Bustamante , 41. Id. D. Francisco Luna, 41. Id. D. Juan Bonanza , 41. Jd. D. Francisco Celeueyra, 41, Idem D. Santiago del Aguila, 41. — Almacenes de pólvora. Fiel de almacenes Don Luis Drliz , 66. D Manuvl Lauiarca , guarda , 20. D. Ventura Aguilar , ensa­ yador mayor interino , 150…</t>
  </si>
  <si>
    <t>del Arco, Antonio</t>
  </si>
  <si>
    <t>Antonio del Arco</t>
  </si>
  <si>
    <t>Tarragona, j; ü. Luis Lobbé , del de Cármona ; y á los cádétés del/mismo cuéjp.9 de guardias Walonas D. Bernardo L’íiotellérié , barón de Wariáge, y D. Antonio del Arco. CADIZ: EN LA IMPRENTA REAL.</t>
  </si>
  <si>
    <t>del Arco, José</t>
  </si>
  <si>
    <t>José del Arco</t>
  </si>
  <si>
    <t>iJ) toba! Majuelo, D. José del Arco, D. Jayme Raíz de Abreu , D. Vi­ cente Co; tés, D. José Sergeaut, graduado de teniente coronel y de cazadores, y D. José de Lemus : primera tenencia con retención de ia segunda ayudantía á</t>
  </si>
  <si>
    <t>del B, Manuel Fernando Raíz</t>
  </si>
  <si>
    <t>Manuel Fernando Raíz del B</t>
  </si>
  <si>
    <t>o comunicó á V. I. para su inteligencia y cumpli­ miento. La R?gencla del reyno se ha servido nombrar gafe político inte­ rino del reyno de Sevilla á D. Manuel Fernando Raíz del B.irgo, ministro del tribunal especial de guerra y marina , y para igual des­ tino en el reyno de Córdoba á D. José Bastillo, ministro ilr la au­ die…</t>
  </si>
  <si>
    <t>del Barrio, Julián José</t>
  </si>
  <si>
    <t>Julián José del Barrio</t>
  </si>
  <si>
    <t>9. D. Juan de la Casa Nueva, id., 9. D. Pedro Antonio de Ayala y D J osé Marcelino de Escobedo, por 2, 18. D. Bonifacio Duarte, id., 18. El canónigo D. Julián José del Barrio , id., 18. D. Julián Delgado, por uno , 9 D. José Melchor Vaídes , id. , 9. D. Juan de Jesús Gómez , por 2, 18. D. Lojye Morales, por 4., 30. el presbít…</t>
  </si>
  <si>
    <t>del Barrio, Luis del Río y</t>
  </si>
  <si>
    <t>Luis del Río y del Barrio</t>
  </si>
  <si>
    <t>diputados seculares Diputado eclesiástico D. M’gnel Cabrero. D. Luis del Río y del Barrio. D. J'taquín Rodrigo. Diputados seculares D1. Jusef Sebastian. D. Juan Amonio Perez. Secretario D. Pedro de las Muelas. D. Fermín Gutiérrez. D. Juan Ximenez. ¡ Secretario BARRIO DEL CARMEN</t>
  </si>
  <si>
    <t>del Basrgo, Mamú Fumando Raíz</t>
  </si>
  <si>
    <t>Mamú Fumando Raíz del Basrgo</t>
  </si>
  <si>
    <t>urallas deí fuerte , hizo prisioneros á los soldados que la custodiaban. ARTICULO DE OFICIO. El g'fr político en comisión de la provincia de Sevilla, D. Mamú Fumando Raíz del Basrgo, avisa con fecha de 22 de este mes que en ios dos dias anteriores se habí* hecho por parroquias la efeccien de la# personas que han ds nombrar el…</t>
  </si>
  <si>
    <t>del BATO, BARRIÓ DB la HDERTA</t>
  </si>
  <si>
    <t>BARRIÓ DB la HDERTA del BATO</t>
  </si>
  <si>
    <t>ría de B ldosola. D. Juan del Riego. ; ; ol . I Secretarlo D. Manuel L-ipez de Ribas. D. Josef María Pardo. • D. Manuel González Robles.- : ^iiví „CL Secretario BARRIÓ DB LA HDERTA DEL BATO. D. Ramón García Xímenéz. s Alcalde de barrio BARRIO DB! LA LATINA, ,, D. Víctor Tomaí de Ituarte. . -i x5&gt;í»'ijl nintif-ei ,&lt;¿ Diputado …</t>
  </si>
  <si>
    <t>del Brasil, Carlota de Borbon Princesa</t>
  </si>
  <si>
    <t>Carlota de Borbon Princesa del Brasil</t>
  </si>
  <si>
    <t>e Bogarra, Lietor &amp;c., que arrastró con quanto ga­ nado habia; pues no hay duda que padecen escasez de víveres. Carta de la Serenísima Señora Infanta Doña Carlota de Borbon^ Princesa del Brasil % d la Regencia de las Españas. „Yo oS fuego que hagáis presente al augusto Congreso dé las Cortes mis sinceros y constantes sentimie…</t>
  </si>
  <si>
    <t>del Cales, Emilio</t>
  </si>
  <si>
    <t>Emilio del Cales</t>
  </si>
  <si>
    <t>al principio que una Por otro decreto de la misma fecha se ba ser­ cosa era la guerra, y otra cosa era los ladrones. vido igualmente S. M. nombrar á D. Emilio del Cales. Y lo digo, tos de acá, acá, y los de allá, Giudice, teniente del regimiento de infantería Real allá. El soldado que pelee , el general que mjnde y dé Extrang…</t>
  </si>
  <si>
    <t>del Campillo, Marcos González</t>
  </si>
  <si>
    <t>Marcos González del Campillo</t>
  </si>
  <si>
    <t>io Diputados seculares D. Josef Antonio lbarrola. D. Juan Bebndia. - Diputados seculares D. Joaquín Sánchez. D. Francisco Perez. D. Andrés Sevillano. D. Marcos González del Campillo. Secretario D. Benito Mendez. BARRIO DE AFLIGIDO». BARRIO DEL HOSPICIO. Alcalde de barrio D. Blas Muñoz. Alcalde de.barrio Diputado eclesiástico …</t>
  </si>
  <si>
    <t>del Campo, Fernando</t>
  </si>
  <si>
    <t>Fernando del Campo</t>
  </si>
  <si>
    <t>Antonio de Yanguas, id. de Tudela de Navarra............................................................ 2200 D. Mannel González Guijarro, residente D. Fernando del Campo, id. de Hscobedo. 2200 en SepúlveJa......... ................................ ....... 2200 Ex-earrnelit as descalzos. PREFECTURA DE SANTANDER. D. Cipriano d…</t>
  </si>
  <si>
    <t>del Campo, José Gervasio</t>
  </si>
  <si>
    <t>José Gervasio del Campo</t>
  </si>
  <si>
    <t>mé Grillo , 66 y 5. D. José Julián de Sologuren, 66 y 5. D. Eustaquio Ortiz, 66 y 5. D. Juan Sanz, 66 y 5. Don José Iramain , 66 y 5. — Id. terceros. D. José Gervasio del Campo , 50. D. Manuel de Zumaeta, 50. D. Ignacio Odum; 50. D. Tomas Larrea, 50. D. Joaquín de Arece , 50. D. Francisco González Pavón, 50.— Oficiales amanue…</t>
  </si>
  <si>
    <t>del Campo, Juan Díaz</t>
  </si>
  <si>
    <t>Juan Díaz del Campo</t>
  </si>
  <si>
    <t>. Administrador v tercenista D. Pedro Roque del Villar, 66. Tercenista primero D. Matías Zapater, 58. Id. segun­ do X). Juan de Unanue , 50. Ayudante D. Juan Díaz del Campo , 25- — Ron­ da de vista y administraciones. D. Tomas López , visitador de almacenes, 100. Id. segundo 1). Francisco Erazu , 100. D Bernardo Cerran . guar…</t>
  </si>
  <si>
    <t>del Campo, Manuel Fernandez</t>
  </si>
  <si>
    <t>Manuel Fernandez del Campo</t>
  </si>
  <si>
    <t>os ellos. Después de lo cual, se había puesto en camino para la cabecera de aquella jurisdicción, cuando recibió aviso del subdelegado de Xamiltepec, D. Manuel Fernandez del Campo, en que le decía que el 10 de noviembre había entrado en este pueblo la gavilla de Valdés, y que entre otros horrorosos excesos había cometido el d…</t>
  </si>
  <si>
    <t>del Campo, Pedro Estéban</t>
  </si>
  <si>
    <t>Pedro Estéban del Campo</t>
  </si>
  <si>
    <t>la Morena, residente en Colmenar viejo........................................... 2200 Ex-basilios. D. Leonor Martínez, id. en esta corte...... 2200 D. Pedro Estéban del Campo, residente en Cimbil............................... 22co Ex-agustinos descalzos. D. Melchor Izquierdo, residente en CucnD. Bernardo Perez, residente en…</t>
  </si>
  <si>
    <t>del Cas, Manuela Antonia Leal</t>
  </si>
  <si>
    <t>Manuela Antonia Leal del Cas</t>
  </si>
  <si>
    <t>debates , la junta criminal extraordinaria de París D. Casimiro Antón Montero..... ......... 6104 21 condenó áípefla de muerte á Margarita Aubierge, Doña Manuela Antonia Leal del Cas­ dq*edad de 28 años, de exercicio cosrurera, casa­ tillo...................................................... 3392 3 da con Pedro Feret, albañi…</t>
  </si>
  <si>
    <t>del Castillo, Florencio</t>
  </si>
  <si>
    <t>Florencio del Castillo</t>
  </si>
  <si>
    <t>778 el Sr. D. Florencio del Castillo, diputado por la ciudad de Cartago, provincia de Cust&amp;rica, y para secretario el Sr. D. Juan Cdraaco Quintano, diputado per ia provincia de Falencia. Hablé adose canronicado de ofnlo y á su</t>
  </si>
  <si>
    <t>ncisco Morros, diputado por Cataluña ; para rice-presi­ dente el Sr. D. Juan Bernardo O-Gavan ^diputado por la isla de Cuba; y para secretario el Sr. D. Florencio del Castillo, diputado por la ciudad de Cartago en la provincia de Goatemaku Circular del ministerio de la Gobernación de Ultramar. El arreglo del ramo de propios y…</t>
  </si>
  <si>
    <t>del Castillo, Juan</t>
  </si>
  <si>
    <t>Juan del Castillo</t>
  </si>
  <si>
    <t>Gazeta de la Regencia de las Españas n.º 18 (suplemento)</t>
  </si>
  <si>
    <t>TA DE LA REGENCIA DEL MARTES 11 DE ENERO DE 1812. ESPAÑA. Cádiz ti de febrero. El ministro plenipotenciario de S. M. destinado á la corte del Brasil, D. Juan del Castillo, con fecha de i.° del corriente desde Lisboa , ha enviado copia de la gaceta extraordinaria de Montevideo de 23 de octu­ bre de 1811, que ha conducido un bu…</t>
  </si>
  <si>
    <t>del Castillo, Leandro</t>
  </si>
  <si>
    <t>Leandro del Castillo</t>
  </si>
  <si>
    <t>o, D. Pedro Simo y O. Tema3 Romero Agredano ; un oidor de Vals adalid; los dos hijos del marques de la Granja; el primogénito del marques de Gradina; D. Leandro del Castillo, corredor del número ; Taboada, ministro de los 20 y portero del cor* regidor, y un religioso gerónimo , hermano del canónigo D. Pedro Vera, que fué en l…</t>
  </si>
  <si>
    <t>del Castillo, Luis</t>
  </si>
  <si>
    <t>Luis del Castillo</t>
  </si>
  <si>
    <t>288</t>
  </si>
  <si>
    <t>a que al acercarse á la primavera pudiesen ir directamente á cargar en los citados puertos del mar Negro. El cónsul de S. M. en el puer­ to de Odessa D. Luis del Castillo, que merece el mejor concepto por sus co­ nocimientos, probidad y patriotismo, escribe con fecha de 5 de junio del pre­ sente año, que había abundancia de t…</t>
  </si>
  <si>
    <t>Gazeta de la Regencia de las Españas n.º 150</t>
  </si>
  <si>
    <t>e que la deserción de los napolitanos es continua juntamente con la de los gendarmas. Vit'h 19 de Octubre.' El cónsul de S. M. en el puerto de Odessa D. Luis del Castillo, que merece el me jor concepto por sus conocimientos , probidad y pa­ triotismo , escribe con fecha de 5 de Junio del presente año, que ha­ bía abundancia d…</t>
  </si>
  <si>
    <t>del Celado, Martin</t>
  </si>
  <si>
    <t>Martin del Celado</t>
  </si>
  <si>
    <t>la ciudad de Queréiaro á ha­ cer sus. robos, los aííicó la madrugada de! IS de julio con 2 parti­ das , al mando de los capitanes O. Pedro Zarzosa y D. Martin del Celado. La sAuacion del eneufigo era sumamente vcnt-ijosa, y ade­ mas , luego que conoció que iba á ser acometido, se había reforzado con algunas cuadrillas, que ac…</t>
  </si>
  <si>
    <t>del Corral, Francisco Victoriano</t>
  </si>
  <si>
    <t>Francisco Victoriano del Corral</t>
  </si>
  <si>
    <t>ibañez. barrio de la comadrS. QUARTEL DE SAN GERONIMO SARRIO DEL BUEN—SUCESO. Alcalde de barrio . . Alcalde, de, barrio D. Feliz Alvarez de Alvarez. D. Francisco Victoriano del Corral. Diputado eclesiástico , Diputadó 'e'clisiástito D. Antonio Rodrigne*. Tpsél'Ramirez.5 Diputados seculares ^pñúiádos seculares D. Joan Rodrígue…</t>
  </si>
  <si>
    <t>del Corral, Luis Ximenez</t>
  </si>
  <si>
    <t>Luis Ximenez del Corral</t>
  </si>
  <si>
    <t>de Iza— guirre............... ............... ............. 30000 Por intereses de vales reales. D. Antonio Nicolás de Achntegui..... 33934 986305 10 D. Luis Ximenez del Corral, por me­ . ).•• ,, -— dio de su apoderado D. Juan GoiQue i nna suma importan novecientos ochen­ ............................... ;.....................…</t>
  </si>
  <si>
    <t>del Corral, Rosalía</t>
  </si>
  <si>
    <t>Rosalía del Corral</t>
  </si>
  <si>
    <t>D. Matías de la Cantera, id., por 3, 27. El licenciado D. José María Granados, id., por uno, 9. El doctor D. Ni­ colás de Campos , por una vez , 500. Doña Rosalía del Corral, id., por 5, 45. El teniente coronel D. José María Seidel y Tañares, id., por 3,27. D. Juan Ignacio Rendon, anuales, 50. Ei capitán D. Joaquín y D. Franc…</t>
  </si>
  <si>
    <t>del Cueto, Domingo</t>
  </si>
  <si>
    <t>Domingo del Cueto</t>
  </si>
  <si>
    <t>, por 2, 13 D. Francisco de Borja Lima, por 4, 36. D. Mateo de Cárdenas, por 2 , 18. D, Juan Vicente Adot, id., 18. D. An­ tonio Brvzon , por uno, 9. D. Domingo del Cueto, id. , 9. Doña Manuela Laborda, id., 9. D. Tomas de la Fuente, id., 9. Los herederos de D. Julio AWarez, D ñi ?daría Luisa, Doña Mariana y D. Diego Mayoli, …</t>
  </si>
  <si>
    <t>del Emperador, Catarina Pauiowna Atérmana</t>
  </si>
  <si>
    <t>Catarina Pauiowna Atérmana del Emperador</t>
  </si>
  <si>
    <t>s. Todos, los estados de la confederación 9 y has­ ta el mismo Rey de Prusia» han tratado dé Tefütarla en otras proclamas. fiaría de S. A. I. la gran duquesa Catarina Pauiowna &gt; 'Atérmana del Emperador, al ministro de h Interior. Donitzje Alexáhdrow'isch: en este momento en que todos los vasallos rusos se hallan animados del …</t>
  </si>
  <si>
    <t>del Hurgo, Manuel Fernandez Ruiz</t>
  </si>
  <si>
    <t>Manuel Fernandez Ruiz del Hurgo</t>
  </si>
  <si>
    <t>1343</t>
  </si>
  <si>
    <t>ó con particular agrado la relación de estos rasgos heroicos de patriotismo, de que ha dado parte el gefe político que fué de la provincia de Sevilla D. Manuel Fernandez Ruiz del Hurgo, y ha tenido á bien mandar se inserte en la gaceta para satisfacción de esta recomendable ciudadana, estímulo de las demás, y debida admiració…</t>
  </si>
  <si>
    <t>del Junco, Manuel</t>
  </si>
  <si>
    <t>Manuel del Junco</t>
  </si>
  <si>
    <t>loiiisio Martínez y D. Rafael Caraballo•; á tenientes del mismo á Dan José María Chaves, D. Francisco A-Roso, D Vicente del Junco, y á subtenientes á D. Manuel del Junco, D. José María de Torres, D. Francisco Robayna y D. José Gómez ; y en e1 escuadro^ monta­ do, á capitán á D. Felipe Ximenez; á leo lente á D. Andrés de L°on;…</t>
  </si>
  <si>
    <t>del Junco, Vicente</t>
  </si>
  <si>
    <t>Vicente del Junco</t>
  </si>
  <si>
    <t>apitales del escuadrón desmontado á D. Dloiiisio Martínez y D. Rafael Caraballo•; á tenientes del mismo á Dan José María Chaves, D. Francisco A-Roso, D Vicente del Junco, y á subtenientes á D. Manuel del Junco, D. José María de Torres, D. Francisco Robayna y D. José Gómez ; y en e1 escuadro^ monta­ do, á capitán á D. Felipe X…</t>
  </si>
  <si>
    <t>del Moral, Josef</t>
  </si>
  <si>
    <t>Josef del Moral</t>
  </si>
  <si>
    <t>os de guerra D. Josef Marouez. ingleses mui destrozados de resultas de un comba­ D. Bernardo GumeZ. te naval, ganado por ía esqnadra francesa deToloa D. Josef del Moral. sobre la esquadra inglesa en las alturas de las islas D. Joaquín Machuca; Baleares. (Gazetd de Sevilla.) Igualmente el REI se ha servido aprobar la Madrid i …</t>
  </si>
  <si>
    <t>del Moral, Simón</t>
  </si>
  <si>
    <t>Simón del Moral</t>
  </si>
  <si>
    <t>empleados en el hospital real de S. Ambrosio, por 3 durante la guer­ ra , 20. D. Mariano Pedraja, por uno en 0 meses , 9. 1). Nicolás £\rez , id. 9. D. Simón del Moral, por 2 en un año, 1S. El mismo como encargado por el Gobierno para la colección de donativos en el barrio de S. Nicolás ex’ramuros, recogió y entregó 239 y (i.…</t>
  </si>
  <si>
    <t>del Olmo, Juan Francés</t>
  </si>
  <si>
    <t>Juan Francés del Olmo</t>
  </si>
  <si>
    <t>a por tér­ D. Josef Hernández Delgados mino de 30 dias', contados desde el i6 del presente, úna casa sita en esta coste, calle de Toledo, junto;', la D. Juan Francés del Olmo. puerta del mismo nombre , seííaladi c'm.el núm. 37, D. Josef Gil. mana. 109., la qual tiene de' sitó- .izqSíJ pies cuadra­ D- Isidro de Lara._ dos supe…</t>
  </si>
  <si>
    <t>del P, Salto y</t>
  </si>
  <si>
    <t>Salto y del P</t>
  </si>
  <si>
    <t>9 de julio ei teniente coronel D. Torcuata Truxillo, comandante general de la provincia de Mechonean , que una gran reunión de rebeldes, al mando del coronel Salto y del P. Garcilita, se habían apoderado del pueblo de Santa María, dis­ tante media legua de Valladolid, y se habían posesionado de una loma inmediata ; envió cont…</t>
  </si>
  <si>
    <t>del Pino, Andrés</t>
  </si>
  <si>
    <t>Andrés del Pino</t>
  </si>
  <si>
    <t>........ 2 zoo nan-Nuñez......................................................... 2200 D. Diego Mexias, id....,......................,.......... 2zqo D. Andrés del Pino, id.......................... .......... 2200 D. Cristóbal de León, id................................. &amp;2QO D, Miguel Cobos, residente en Pozoblanco; 22©o D.…</t>
  </si>
  <si>
    <t>del Pino, Francisco Crespo</t>
  </si>
  <si>
    <t>Francisco Crespo del Pino</t>
  </si>
  <si>
    <t>García y Lara , diácóno , id....... 2200 D. Antonio de Flores, id. en Cabra............ 2200 D. Manuel Vázquez , id........................... . 2209 D. Francisco Crespo del Pino, id. en Fer- D. Juan Rodríguez Vaso, id........................ 2 zoo nan-Nuñez......................................................... 2200 D. Die…</t>
  </si>
  <si>
    <t>del Poyo, Eustaquio</t>
  </si>
  <si>
    <t>Eustaquio del Poyo</t>
  </si>
  <si>
    <t>IO. Diputado eclesiástico ’ Alcalde de barrio p. Vicente Escolano. D. Josef Gil Roiz. ' Diputados seculares Diputado eclesiástico D. Tomas Puertoias. D. Eustaquio del Poyo. D. Francisco Mateo Saenz. Diputados seculares Secretario D. Josef Mana Fourdicer. D. Rafael González del Valle. . D. Anastasio García. D. Joaquín Hevia. Q…</t>
  </si>
  <si>
    <t>del Pozo, Angel Martínez</t>
  </si>
  <si>
    <t>Angel Martínez del Pozo</t>
  </si>
  <si>
    <t>til mi débil recomendación en favor de sugetos tan beneméritos. — Dios guarde á Y. E. muchos años. Habiéndose servido la Regencia del reyno nombrar á D. Angel Martínez del Pozo su comisionado para publicar y jurar la cons­ titución de la monarquía española en la villa de Yilíamartin , pro­ cedió desde luego á cumplir su encar…</t>
  </si>
  <si>
    <t>del Pozo, Joaquín</t>
  </si>
  <si>
    <t>Joaquín del Pozo</t>
  </si>
  <si>
    <t>l del segundo de Bur­ gos y D. Pedro Martínez Coronado, capitán agregado al primero úe Córdoba. Continúan los donativos mensuales de la isla de Cuba. D. Joaquín del Pozo, por un soldado, 9 ps. fs. mensuales. D.Erancisco Goly, id., 9. D. Manuel Gasue , id., 9. D. Pedro Valenzuela , per 6 meses . 9. D, Manuel Puebla, id., 9. D.…</t>
  </si>
  <si>
    <t>del Príncipe, En el</t>
  </si>
  <si>
    <t>En el del Príncipe</t>
  </si>
  <si>
    <t>y añil. Se han publicado en Copenhague dos diserta­ ciones mui curiosas: ¡a ana intitulada De occulto TBA.TRO. ■urbis Romae nomine, del señor Munser, obispo En el del Príncipe, a tas ocho de la noche, se re­ de Sel-oda, eo la qual intenta probar que la ciu­ presentará por la compañía española la comedia eu dad de Roma, ademas…</t>
  </si>
  <si>
    <t>del Rey, Pascual</t>
  </si>
  <si>
    <t>Pascual del Rey</t>
  </si>
  <si>
    <t>ro Fernandez, D.'José Muela , D. José María Ximcnez , D. Domingo Draper , D. Ma­ nuel Guio, D. Juan Utrero , D. Benigno Merchau, D. Víctor Casasola , D. Pascual del Rey , D. Miguel Parrales, D. Francisco Ay uso, D. Miguel González, D. Antonio (González, D. Angel Liare, D. José Uiloa,D Francisco Acosta, D. Justo Clemente, D. J…</t>
  </si>
  <si>
    <t>D. Pedro Fernandez, D. Josef Muela, D. Josef Mafia XimenezDon Domingo Draper, D. Manuel Guio, D. Juan Utrero, D. Benigno Merchan, D. Víctor Casasola, D. Pascual del Rey, D. Miguel Parrales, D. Francis­ co Ayuso, D. Miguel González, D. Antonio González, D. Angel Llave, D. Josef Ulloa, D. Francisco Acosta, D. Justo Clemente, D.…</t>
  </si>
  <si>
    <t>del Riego, Francisco García</t>
  </si>
  <si>
    <t>Francisco García del Riego</t>
  </si>
  <si>
    <t>te Perez , como pa­ rio del fondo de presas del minis­ dre de D. Juan Fra ncisco,..,........ 924 terio de Mirina............................... 23465 D. Francisco García del Riego, y D. Antonio Cáceres, por medio ds en su nombre el mismo D. Juan su apoderado D. Celedonio de Vicente Perez.............................. 1848 Lop…</t>
  </si>
  <si>
    <t>del Riego, Juan</t>
  </si>
  <si>
    <t>Juan del Riego</t>
  </si>
  <si>
    <t>putado eclesiástico D. J &gt;üef de Llora. D. Antonio Rafael L zano. D. Gil Antonio L igana. Diputados secutarte .; 5 r x i D. Josef María de B ldosola. D. Juan del Riego. ; ; ol . I Secretarlo D. Manuel L-ipez de Ribas. D. Josef María Pardo. • D. Manuel González Robles.- : ^iiví „CL Secretario BARRIÓ DB LA HDERTA DEL BATO. D. R…</t>
  </si>
  <si>
    <t>del Rincón, Genaro Faustino</t>
  </si>
  <si>
    <t>Genaro Faustino del Rincón</t>
  </si>
  <si>
    <t>del ayuntamiento consti­ tucional D. Manuel de Riláacova, D. Pedro,Uñarte y D. Lucas de Carran­ za, y. los de la municipalidad-D. Juan Antonio Pico, D. Genaro Faustino dél Rincón, D. Lorenzo Iruegas,D.. Diego Barreda, D. Josef Ocharan, Don Manuel de la Viña, D. Antolin Munarnz y D. Pedro Pinillos, aprobaron unánimemente q.uan…</t>
  </si>
  <si>
    <t>del Rio, Alonso Antofi</t>
  </si>
  <si>
    <t>Alonso Antofi del Rio</t>
  </si>
  <si>
    <t>González,.id. en id.......... 2200 vincÍ3 de Ciudad-Rodrigo......................... 2209 D. Juan Gonu-z, id. en id............................ 2200 D. Alonso Antofi del Rio, id. de Fuente D. Miguel de P.ibios , diácono, id. en San Cespe............................................ 22co Cristóbal................. 2200 D. Alexa…</t>
  </si>
  <si>
    <t>del Rio, Domingo</t>
  </si>
  <si>
    <t>Domingo del Rio</t>
  </si>
  <si>
    <t>de este departamento y del hospital de S. José. — Para este iVtir.no establecimiento ha cedido también 547 rs., importe de la mitad de sus ganancias, D. Domingo del Rio, otro de los accionistas. ARTICULO DE OFICIO. decreto. ,,Las Cortes generales extraordinarias convencidas de la necesidad de establecer desde luego el gobiern…</t>
  </si>
  <si>
    <t>del Rio, Josef</t>
  </si>
  <si>
    <t>Josef del Rio</t>
  </si>
  <si>
    <t>San­ 1 Ex-franciscanos. tander.................. 2200 D. BtJiaiío Solana , id. de Santiago de Fieras. 2200 D. Henleterio Ruiloba, natural de San Vi­ D. Josef del Rio, id. de Santander............. 2200 cente de la Barquera................................... 2200 D. Ramón de Cunes........................... 2200 D. Antonio Gor…</t>
  </si>
  <si>
    <t>del Rio, Narciso Gonzalo</t>
  </si>
  <si>
    <t>Narciso Gonzalo del Rio</t>
  </si>
  <si>
    <t>Rafael Hernández, id. de S. Sebastian. Seculares. D. Ignacio Abadía. 35. Antonio Garniz. D. Diego Palacio. D. Marcelo S. Román. [■ D. Paulino Sofia. D. Narciso Gonzalo del Rio. Y para que el público pueda entenderse con dicha ¡unta, y no padezca atraso en ninguno de sus ramos la dirección y administración de dichas santas cas…</t>
  </si>
  <si>
    <t>del Rio, Pedro</t>
  </si>
  <si>
    <t>Pedro del Rio</t>
  </si>
  <si>
    <t>2 ií la misma provincia, en la qual siguen los distur­ Doña Tuinas» Y.-hra , viuda y bios en varios distritos , y el aborrecimiento á los heredera de D. Pedro del Rio ge fes Oel gobierno, quienes han apurado la sangre G reía ........................................ 4961 16. y los recur os de ios habitantes en una goerra tan D…</t>
  </si>
  <si>
    <t>del Rio, Valentín</t>
  </si>
  <si>
    <t>Valentín del Rio</t>
  </si>
  <si>
    <t>isco de Paula Benavides , subtenien­ te del primero de Guadix, D. Luis Castilla y O. Julián Lombar­ do , subtenientes de la Corona: á subtenientes, á D. Valentín del Rio, D. Francisco Palacios, D. Ildefonso Lillo, D. Pedro Ortiz de Lequizaman , D. Mateo Masegosa, D. Sebastian Vilches y Don' Antonio María Muñoz, cadetes de la …</t>
  </si>
  <si>
    <t>del Rivero, Manuel</t>
  </si>
  <si>
    <t>Manuel del Rivero</t>
  </si>
  <si>
    <t>soldados que paga en España durante la guerra á 4 rs. cada uno de vn. , 14G. El teniente coronel D. José Coquet, 400. El corone! de milicias de Jauja D. Manuel del Rivero, 1000. D. Gabriel de Jilguero, cura de Baños , 200. Cabildo y vecinos de la ciudad de Huanaco. De los propios del. cabildo # 2000. El subdelegado P. Domingo…</t>
  </si>
  <si>
    <t>del Rosal, García</t>
  </si>
  <si>
    <t>García del Rosal</t>
  </si>
  <si>
    <t>e­ guientes : cilla , Suarez , Casanova, Contador, Fabiani, Alverá, Capitanes. Fernandez y Lledó. En el de la Cruz, á las quatro de la tarde, se ext­ D. García del Rosal. ernará la comedía en tres actos titulada ios siete Infan­ D. Jnsef de Porras. tes de Lara; seguirá una tonadilla, y se dará fin con un D. Antonio Mariano Mo…</t>
  </si>
  <si>
    <t>del Saz, Isidro</t>
  </si>
  <si>
    <t>Isidro del Saz</t>
  </si>
  <si>
    <t>D. Josef Lechuga , id............. 2200 D. Diego Guerrero, id. eo la Guardia...... 2200 Bx-dominicos. D. Antonio.Guerrero, id. en Cambil........ 2200 D. Isidro del Saz, residente en Madrid..... 2200 D. Josef de Luna , id. en Jaén.................... 2200 D. Juan Ramón López Bermejo, id. en V¡llarubia de Jos Ojos..............…</t>
  </si>
  <si>
    <t>del Solar, Mariano</t>
  </si>
  <si>
    <t>Mariano del Solar</t>
  </si>
  <si>
    <t>100. D. Juan de Irigoyen , segundo , 50. D. Roque Vaca, contador de moneda primero , 66. Id. segando D. Pedro Gil , 50. — Almacenes. Admi­ nistrador D. Mariano del Solar, 100. Oficial interventor D. Juan José Guzman , 66.—, Administración del casca. Administrador v tercenista D. Pedro Roque del Villar, 66. Tercenista primero …</t>
  </si>
  <si>
    <t>del Sotiibo, Fernando</t>
  </si>
  <si>
    <t>Fernando del Sotiibo</t>
  </si>
  <si>
    <t>. . Diputado eclesiástico Diputado eclesiástico D. Ramón Romero. D. Juan Romnaldo'de Rozas. Diputados seculares Diputados seculares D. Manuel Moreda. D. Fernando dél Sotiibo. D. Pedro Bazo. D. Pedro Madrid. D. Severiaoo Xaramillo. D. Lorenzo Marqueta. , Secretario ‘ Secretario D. Juan Roiz Divila. D. Luis López de Castro. BAR…</t>
  </si>
  <si>
    <t>del Valle, Antonio</t>
  </si>
  <si>
    <t>Antonio del Valle</t>
  </si>
  <si>
    <t>&gt;. Jo­ sé de ¡as Cuevas, B José María Vergara, D. Francisco Xavier VaUariuo, D. Vicente Cortés, O. Minml Monti, de cazadores, D. Flo­ rencio Cerutti, D. Antonio del Valle, D. Manuel María Rodríguez Rubio y D. Luis María Montero, ele cazadores ; al conde de Torre* jon, D. Ramón de Orozco, D. Tomas Heredia, D. Joaquín Bay ona y…</t>
  </si>
  <si>
    <t>del Valle, Francisco Diez</t>
  </si>
  <si>
    <t>Francisco Diez del Valle</t>
  </si>
  <si>
    <t>dulas hipotecarias correspondientes, con arreglo D. Josef Brau................................ 473 4 al articulo 3.0 de nuestro decreto de 9 de junio D. Francisco Diez del Valle...... 710 13 de 1809. D. Mariano Herranz..................... 3422 iy art. m. Nuestro ministro de Hacienda queda D. F rancisco Ciavijo........... ...…</t>
  </si>
  <si>
    <t>del Valle, Juan</t>
  </si>
  <si>
    <t>Juan del Valle</t>
  </si>
  <si>
    <t>gundo primero D. José Morote , 100. El segundo D. Antonio Gutiérrez , 25. El portero primero D. Joaquin Cosío , 25. El segundo D. José Cruzado, 10. — D. Juan del Valle, 50. El colegio dei Príncipe , rector , vice-rectores, maestros y estudiantes, 200. De las 3 cor­ ridas de toros y su encierro destinadas á este donativo , 777…</t>
  </si>
  <si>
    <t>del Valle, Manuel</t>
  </si>
  <si>
    <t>Manuel del Valle</t>
  </si>
  <si>
    <t>de Torre-Tagls ; ayudantías á D. Francisco Antonio Goy tá­ salo, O- Dámaso Ar as y D. Fernando Dueñas; subtenencias de ban­ dera á D. Ramón deErrea, D. Manuel del Valle, D. Juan Gil, D. Juan Ignacio Mendizabal, D. Rafael Palomeque y D. Juan Pa­ nero; compañías de granaderos, al marques de la Celada déla Fuen­ te , al marques …</t>
  </si>
  <si>
    <t>del Valle, Manuel María</t>
  </si>
  <si>
    <t>Manuel María del Valle</t>
  </si>
  <si>
    <t>i. D. José Perez, 1. I&gt;. Manuel Chacal tana, 2. Pon Francisco Aguirre, 2. FU mismo real Convictorio en plata labrada del uso de los colegiales, 3000. D. Manuel María del Valle ? oidor de esta real audien­ cia, 500. El Sto. tribunal de la inquisición, 12QÓ0. D. Bartolomé Vedoya, teniente asesor de la intendencia de Tarma,-en c…</t>
  </si>
  <si>
    <t>del Valle, Nicolás</t>
  </si>
  <si>
    <t>Nicolás del Valle</t>
  </si>
  <si>
    <t>ón y Alhucemas : místico Sto. Cristo del Grao. — Para Tenerife y Costafirme : bergantín Aguila. Continúan los donativos mensuales de la isla de Cuba. D. Nicolás del Valle, proto-medico regente , por un soldado, durante la guerra, 9 ps. fs. mensuales. D. Gonzalo Luis Alfonso, por 6 en un año y des­ pués 3 , á reserva de aument…</t>
  </si>
  <si>
    <t>del Valle, Rafael González</t>
  </si>
  <si>
    <t>Rafael González del Valle</t>
  </si>
  <si>
    <t>es Diputado eclesiástico D. Tomas Puertoias. D. Eustaquio del Poyo. D. Francisco Mateo Saenz. Diputados seculares Secretario D. Josef Mana Fourdicer. D. Rafael González del Valle. . D. Anastasio García. D. Joaquín Hevia. QUARTEL DE MARAVILLAS. Secretario BARRIO DE SAN BASILIO. D. Pedro Gil y Muro. Alcalde de barrio BARRIO DE …</t>
  </si>
  <si>
    <t>del Villar, Antonio Allegue</t>
  </si>
  <si>
    <t>Antonio Allegue del Villar</t>
  </si>
  <si>
    <t>terino , 200. El oficial segundo D. Francisco Ortega, contador de la corbeta Peruano , 160. El tercero D. José María Bastarre.chea , 200. El cuar­ to D. Antonio Allegue del Villar, 14Ó. D. José Santiago Campino , con­ tador de la fragata Astrea, 140. El oficial mayor de la comisaría de guer­ ra y capitán de milicias D. Juan B…</t>
  </si>
  <si>
    <t>del Villar, Pedro Roque</t>
  </si>
  <si>
    <t>Pedro Roque del Villar</t>
  </si>
  <si>
    <t>enes. Admi­ nistrador D. Mariano del Solar, 100. Oficial interventor D. Juan José Guzman , 66.—, Administración del casca. Administrador v tercenista D. Pedro Roque del Villar, 66. Tercenista primero D. Matías Zapater, 58. Id. segun­ do X). Juan de Unanue , 50. Ayudante D. Juan Díaz del Campo , 25- — Ron­ da de vista y admini…</t>
  </si>
  <si>
    <t>del Viso, Juan</t>
  </si>
  <si>
    <t>Juan del Viso</t>
  </si>
  <si>
    <t>era ha «ido muerto: las reliquias d« D. Francisco Rodríguez Contreras. este exército bán llegado á Cádiz el dia' 20 iie éste' D. M.»oueT Qúiróz. mes. D. Juan del Viso. Han llegac^ á Gibraltar tres navios de guerra D. Josef Marouez. ingleses mui destrozados de resultas de un comba­ D. Bernardo GumeZ. te naval, ganado por ía es…</t>
  </si>
  <si>
    <t>Delancey</t>
  </si>
  <si>
    <t>y marchó al ataque de la posición del enemigo con la misma bizarría que los demás cuerpos. &gt; í; : ,,'Me confieso particularmente obligado al térnente coronel Delancey, quartel maestre general en comisión, gefe de este ramo en au­ sencia del quartel maestre general, y á Ins'ofici'dé» deesifi mando ^ y del éstádo mayor, ptor lo…</t>
  </si>
  <si>
    <t>Delancy</t>
  </si>
  <si>
    <t>avanzando para el ataque de la posición del enemigo con la misma gallardía con que lo hicieron las demas tropas. Estoy particularmente reconocido al teniente coronel Delancy, diputa­ do del quartel-maestre general, que ai presente se halla á la cabeza de este departamento por ausencia del quartel-maestre general, y á los ofic…</t>
  </si>
  <si>
    <t>Delgado, Andrés</t>
  </si>
  <si>
    <t>Andrés Delgado</t>
  </si>
  <si>
    <t>contrarios á su prosperidad, dan P. Raf.el de Luna , id....................................... 2200 esperanzas mui fondadas de que en años regulares D. Andrés Delgado , id................................ ... 2 2co D. Andrés Barrero, id...................................... 2203 se logrará aclimatarla completamente. D. Antonio…</t>
  </si>
  <si>
    <t>Delgado, Carlos</t>
  </si>
  <si>
    <t>Carlos Delgado</t>
  </si>
  <si>
    <t>8. D. Isidro Guillen, 8. í). Santiago León , 6. D. Jacinto Ríos , 8. D. Miguel Rodríguez , 8. Don Fernando Urtiaga, 8. D. José Antonio Enriquez , 13. D. Carlos Delgado , 8. B. Juan Piñeiro, 8. D. Felipe Arria, 8. D. Mariano Ay lucrdo, 13. D. Ma­ nuel llenera, S. D. Pedro Norieaga, 8. D. Juan de la Peña , 8. D. José Pasíjuel ,…</t>
  </si>
  <si>
    <t>Delgado, Francisco Pacheco</t>
  </si>
  <si>
    <t>Francisco Pacheco Delgado</t>
  </si>
  <si>
    <t>z , id en Montilla... 2200 D-J uan N ivarro , id,........................................ 2200 D. Antonio Lain, id en Bujalaoce................ z 200 D. Francisco Pacheco Delgado, id........... . 2200 D. Buenaventura Ruiz, residente" en Mon- . 944';°° rilla....................................................... ....... 2 200 …</t>
  </si>
  <si>
    <t>Delgado, Juan Fernandez</t>
  </si>
  <si>
    <t>Juan Fernandez Delgado</t>
  </si>
  <si>
    <t>es, id................. 2200 D. Francisco Ximenez, id............................. 2200 D. Miguel Carmena, id................................... 22co D. Juan Fernandez Delgado, id.................... 2 200 D. Jos, f de ía Cruz, id en Mantilla............ 2200 D. Luis Calvo, id.......................... ...................... …</t>
  </si>
  <si>
    <t>Delgado, Julián</t>
  </si>
  <si>
    <t>Julián Delgado</t>
  </si>
  <si>
    <t>D. Pedro Antonio de Ayala y D J osé Marcelino de Escobedo, por 2, 18. D. Bonifacio Duarte, id., 18. El canónigo D. Julián José del Barrio , id., 18. D. Julián Delgado, por uno , 9 D. José Melchor Vaídes , id. , 9. D. Juan de Jesús Gómez , por 2, 18. D. Lojye Morales, por 4., 30. el presbítero D. Manuel Echevarría, id. 36. D. …</t>
  </si>
  <si>
    <t>Delgado, Luis</t>
  </si>
  <si>
    <t>Luis Delgado</t>
  </si>
  <si>
    <t>Ex-rñercenarios calzados. D. Luis Delgado, lego, id. en Porcuna.... 1100 D. Josef Antonio García, residente eo Ja - D. Andrés de Quesada, id. id. en Jaén...... 1100 balquina............... ........................................ 2</t>
  </si>
  <si>
    <t>Delgado, Pedro</t>
  </si>
  <si>
    <t>Pedro Delgado</t>
  </si>
  <si>
    <t>los trabajos der sitio con alguno de los cxércitos que tiene en campaña. Hemos perdi­ Subtenientes. do pues en la península un hermoso exército, qne D. Pedro Delgado. do pc-dremos reemplazar, aun quando hagamos una D. Antonio Ximenez. conscripción general en todo el reino. D. Bartolomé Debías. Supongamos por último qne los ¿n…</t>
  </si>
  <si>
    <t>Delgados, Josef Hernández</t>
  </si>
  <si>
    <t>Josef Hernández Delgados</t>
  </si>
  <si>
    <t>'; y por D. Zoilo Casero. la escribanía del número de D. Antonio López de Sa« D. Josef Calvo. lazar , se ha mandado sacar á púb'icsf subasta por tér­ D. Josef Hernández Delgados mino de 30 dias', contados desde el i6 del presente, úna casa sita en esta coste, calle de Toledo, junto;', la D. Juan Francés del Olmo. puerta del m…</t>
  </si>
  <si>
    <t>Delort</t>
  </si>
  <si>
    <t>buenos, 300 sillas de bres heridos y quatro muertos, y hacia mucho es- montar, 350 maletas, 350 capas, aoo carabinas, tr g» en el enemigo, quando el general Delort *s 350 sabes, 150 lanzas, muchas pistolas ¡"g'esas, presentó con su caballería amenazando tomar el arneses de toda especie, botas, zapatos Scc. , el Único camino p…</t>
  </si>
  <si>
    <t>Delzon</t>
  </si>
  <si>
    <t>res lanzadas defén-; tres batallones'rusos de mi izquierda, al frente de mi iendo sus cañones. caballería, al encuentro do los dos batallones, los El general Delzon nombra al coronel Scrrent, quales embisten, y hacen retirar á los contrarios con de! 8.° de infantería ligera, herido} al gefe de bata­ mucha pérdida. Queria mant…</t>
  </si>
  <si>
    <t>Gaceta de Madrid n.º 242</t>
  </si>
  <si>
    <t>es par concluirse ia profecía. Si alguno nos hubiese ]\'losko-zv 14 de octubre de 18 7 o. El general dicho entonces: «Ingleses, antes que esta guerra barón Delzon lia marchado sobre Dmirew. El Reí se concluya se os obligara á pagaron 10 por 100 de Ñipóles está con la vanguardia sobre el Naca, de vuestras rentas: se os sujetar…</t>
  </si>
  <si>
    <t>firmas hasta el número de 5©. en su consecuencia al otro dia 7, a las cinco y me­ .Entre tanto se celebraba el matrimonio de un dia de la mañana, el general Delzon hizo atacar £ polaco con una lituana y el de un lituano con una Borodino por el 106.J En el momento en que este polaca, para expresar con esta unión la que desde v…</t>
  </si>
  <si>
    <t>ligera del ge­ neral Ornano, mui débil para resistir á fuerzas tan considerables, se retiraba con orden, á cuyo tiem­ II4X.0. po la segunda línea del general Delzon, que habia estado constantemente en apoyo de las tropas que Reflexiones «obre la variación del precio del trigo, defendían *á Borodino, se formó rápidamente en po…</t>
  </si>
  <si>
    <t>Demizcw, Orloff</t>
  </si>
  <si>
    <t>Orloff Demizcw</t>
  </si>
  <si>
    <t>l dia 9, y en varias acciones fueron muertos ó hechos prisioneros unos 7.250 hombres, y se toma­ ron ó destruyeron gran número de camiages. Ei &gt;0, el conde Orloff Demizcw encontró unos 9000 enemigos que en tres columnas se diri­ gían de E¡nía á Smolensko. Logró cortar una de estas columnas y la obligó á encerrarse en un lugar…</t>
  </si>
  <si>
    <t>Demons, Cárlos</t>
  </si>
  <si>
    <t>Cárlos Demons</t>
  </si>
  <si>
    <t>l de Terrazas y D. Esteban Miró , y al primer ayudante mayor con gra­ do de coronel D Román de Lassaleta; primera ayudantía mayor al segundo teniente D. Cárlos Demons; primera tenencia de granade­ ros al de fusileros D. José de Cortés; idem de cazadores al segundo teniente con grado de teniente coronel D. José Solis ; primera…</t>
  </si>
  <si>
    <t>Denisjeff</t>
  </si>
  <si>
    <t>277</t>
  </si>
  <si>
    <t>estra pérdida en muerdos y heridos no pasa de 600 hombre*; pero es sensible por la muerte del valeroso comandante-del regimiento 25.V de cazadores el coronel Denisjeff, que murió de una bala de cañón. Mis in­ tenciones son ahora perseguir al enemigo sobre el Dwina.”</t>
  </si>
  <si>
    <t>Denisow, Orlow</t>
  </si>
  <si>
    <t>Orlow Denisow</t>
  </si>
  <si>
    <t>z , coronel y negocios de la guerra el teniente general príncipe brigadier. G ,ittchakow. HUNGRIA. Han llegado á esta capital el príncipe Golysin; el conde Orlow- Denisow , edecán del Emperador; V re¡burgo 72 de abril. t-1 general Dcrnidotv y el teniente general Ridielien , gobernador militar de Odessa. El 18 de este mes lleg…</t>
  </si>
  <si>
    <t>Deniszen</t>
  </si>
  <si>
    <t>iempo de practicar sus reconocimientos nos ha atacado en diversos « puntos; pero siempre se le ha rechazado con pérdida. En una de estas ac«ciones el conde Deniszen , ayudante general de S. M.’I., ha cogido varios «prisioneros, y entre otros al conde Octavio de Segur. El 18 el cuerpo del « conde Wittgemtein se hallaba entre W…</t>
  </si>
  <si>
    <t>Denizen, Delow</t>
  </si>
  <si>
    <t>Delow Denizen</t>
  </si>
  <si>
    <t>siones. £i ene­ migo ha atacado diversos puntos para hacer reconocimientos, y siem­ pre ha sido rechazado con pérdida. En una de estas esz&amp;rsmuzas el conde Delow Denizen, general ayudante de S. M. I., hizo varios pri­ sioneros , entre I03 que s¿ halla el conde Octavio Segur. „El 18, el cuerpo dei conde Witfgcnriein estaba ent…</t>
  </si>
  <si>
    <t>Denizoff, Orloff</t>
  </si>
  <si>
    <t>Orloff Denizoff</t>
  </si>
  <si>
    <t>de guardias, mandados por el mayor general barón Miiller Zakomins» koi. Marchamos en tres columnas ; la primera compuesta de cosacos dirigida por el conde Orloff Denizoff, y los 20 regimientos de yagers por el barón Kaminskoi. Esta división tuvo orden de pene­ trar por el flanco izquierdo del enemigo. La segunda columna se co…</t>
  </si>
  <si>
    <t>Denizot</t>
  </si>
  <si>
    <t>tilidad sin tener quejas cada dia de la mala conducta que observan; sino que en verdad no son capaces de cosa alguna. Solo el ayudante francés Mr. el capitán Denizot, que podria hacer algunos servicios, está siempre malo; es un cuerpo envejecido, y por consiguiente un ente nulo en la plaza. Me veo en la necesidad de servirme …</t>
  </si>
  <si>
    <t>Deroy</t>
  </si>
  <si>
    <t>a acción Labia sido reforzado por las tropas bávaras &gt; mandadas por el general Wrede, recibió un nuevo refuerzo de las mismas trepas alas órdenes del general Deroy, lo que dio motivo, después de la reunión, á una sangrienta acción el 17 del mismo mes. Las tropas rusas, no obstante la superioridad en numero del ene­ migo, qued…</t>
  </si>
  <si>
    <t>po de batalla con otros quatro generales mas de brigada; y de siete á ocho generales heridos, que probablemente experimentarán la misma suerte que el general Deroy. Los franceses atribuyen á los rusos, como era de esperar, la pérdida de 40 á 50$ hombres, inclusos 5$ prisioneros; pero</t>
  </si>
  <si>
    <t>udinot ha­ bla recibido un refuerzo de tropas bávaras, mandadas por el general Wrede, y otro después, también de las mismas tropas, á las órdenes del general Deroy; y reunido todo el cuerpo, me atacó á las quatro de la tarde del 18 por todos los puntos con cinco divisiones de infantería, dando principio á la ac­ ción con un f…</t>
  </si>
  <si>
    <t>hombres ; 800 caballos y algunos cañones 1© prisioneros han cuidó en poder del exército fran­ por Lobiezin hacia Iwantzewlezy sobre el Czara cés: el general Deroy salió herido. para inquietar las comunicaciones de Slonim , he mandado al general Mohr que marche, y procure Combate de Valontitia. alcanzar y y hacerle todo él mal…</t>
  </si>
  <si>
    <t>Deschenter</t>
  </si>
  <si>
    <t>onsejo de Estado du­ el teniente feld-mariscal Klenaus consejero ín­ rante la ausencia de S. M. timo. El conde de Rom.'mzow, canciller del imperio El general Deschenter, qoe regularmente acom­ y presidente del consejo de Estado; el conde Kots- pañaba al Emperador Joset n en sus viages , ha chubey, presidente de la sección de …</t>
  </si>
  <si>
    <t>Desde</t>
  </si>
  <si>
    <t>Gaceta de Madrid n.º 243</t>
  </si>
  <si>
    <t>WinkeWo para que el enemigo no ad­ bieran quedado enteramente perdidos 200© siervos, virtiese sus movimientos. que de nada tienen cblpa.Por tanto el Emperador Desde que Moskow había dexado de existir, se ha comentado con mandar que se destruya la tenia proyectado el Emperador abandonar este ciudadela y demas establecimientos …</t>
  </si>
  <si>
    <t>Deseando, Tomas Ló</t>
  </si>
  <si>
    <t>Tomas Ló Deseando</t>
  </si>
  <si>
    <t>ervidumbres. hecha en el tiempo en que las artes caminaban á su decadencia. Rs. IVlrs. Parts %T de mayo. D. Joan de Losada, por medio de so apoderado D. Tomas Ló­ Deseando la academia jónica tener afganos da­ pez................................................ 6400 tos y noticias sobre el estado de la civilización y D. Roque …</t>
  </si>
  <si>
    <t>Desjardins</t>
  </si>
  <si>
    <t>otegido por el bosque que estaba á mi de­ ton , del 92.0; al gefe de batallón Chorard, del 84.“; recha, desfilaba toó 12 batallones, con el objeto ql capitán Desjardins, del 8.° de infantería ligera , y ae contar mi derecha; . maniobra que me hubiera al capitán de artillería Bonardele, que mas se distin­ forza'dp a abandonar …</t>
  </si>
  <si>
    <t>Deslinde, Jtiiii</t>
  </si>
  <si>
    <t>Jtiiii Deslinde</t>
  </si>
  <si>
    <t>vasallo que lo es ya ouesiro, en vir­ Sr. D........... ................. M jjeherini...... zoo tud de la presente croenanzá, liega á morir antes Sr. D. Jtiiii Deslinde............. ............... 200 que este vasallo nos haya pedido la investidura, ó Sr. D. Francisco Carr.-f-........................ aoo si Ueg.se á sobreveni…</t>
  </si>
  <si>
    <t>Devo, Félix</t>
  </si>
  <si>
    <t>Félix Devo</t>
  </si>
  <si>
    <t>D. Pedro Echeverría , ti. D José María Palqoij , 17. D. Pedro José Colmenares , pres­ bítero , 12. D. José María Galindo, 12. D. Juan Contreras , 12 D. Félix Devo’.i ? 10. D. Manuel Moreno , 10. D. Vicente Pastrana , 10. — Estudiantes de medicina. D. Mariano Campero, 17. D. Mariano Murga, 8. D. Norberto Ve­ ga , 4. D. Isidro …</t>
  </si>
  <si>
    <t>Devoy</t>
  </si>
  <si>
    <t>abemos que el general de división conde Gouvion St.-Cyr ha sido nom­ brado mariscal deí imperio; y por otro de Munich de iodelmismo mes consta-que el general Devoy murió de resultas de sus heridas. El barón de Rehauser, enviado extraordinario del Rey de Suecia, tuvo la primer audiencia dé S. A. R. el Príncipe Regente el 22 de…</t>
  </si>
  <si>
    <t>Dewnie, Juan</t>
  </si>
  <si>
    <t>Juan Dewnie</t>
  </si>
  <si>
    <t>es de Sevilla. En la acción de Espartinas del 5 se cubrió de gloria el bata­ llón de tiradores de Badajoz que pertenece á esta división. Su coro­ nel D. Juan Dewnie y su sargento mayor D. Rodrigo Bermudez, á la cabeza del batallón, le daban el exemplo del valor que decidió la victoria. Una carga á la bayoneta desordenó é hizo…</t>
  </si>
  <si>
    <t>Diai, Eugenio</t>
  </si>
  <si>
    <t>Eugenio Diai</t>
  </si>
  <si>
    <t>. i D. Felipe Várela y Suarez. Diputados seculares Diputado eclesiástico D. Francisco Moreno. D. Tomas Conde. D. Fernando G.ilan. Diputados seculares D. Eugenio Diai. D. Manuel Lázaro. Secretario D. Antonio Neyra. D. Rafael Antonio Mazon. D. Pedro Ezquerra. Secretario BARRIO DE SANTA CRUZ. D. Tomas Tordesillas. ( Alcalde de b…</t>
  </si>
  <si>
    <t>Díaz, Anselmo</t>
  </si>
  <si>
    <t>Anselmo Díaz</t>
  </si>
  <si>
    <t>individuos comprehe cid idos en el anterior artículo la pensipp que le va señalada, Ex-escttlapios. mientras no goce otra renta ó sueldo equivalente. D. Anselmo Díaz, natural de Madrid........ «200 art. iii. Nuestro ministro interino de Nego­ cios eclesiásticos y el de Hacienda quedan encar­ ... Total.................... 2904…</t>
  </si>
  <si>
    <t>Diaz, Benito</t>
  </si>
  <si>
    <t>Benito Diaz</t>
  </si>
  <si>
    <t>.............................. .'....... 2300 D. Josef de Ortiz, diácono, id................ . 2200 D. Pedro Perez Pulido, id. en Cabra......... 2200 D. Benito Diaz , residente en Moutilla..... 2200 DF Manuel de Galvez , íd............................. 2200 D. Josef González Hidalgo , id................... 2200 D. Pedro Ferna…</t>
  </si>
  <si>
    <t>Díaz, Diego</t>
  </si>
  <si>
    <t>Diego Díaz</t>
  </si>
  <si>
    <t>2: o cesivamente. En ios tiempos modernos, quando ia D. Juan Ruiz Ve riz de Torres , id..... . 2200 casa d: Austria adquirió cierta preponderancia en D. Diego Díaz, diácono, id....................... 2200 Europa , consiguió est.,b ecer sobre el trono de Es­ D. Miguel Gonzilez, id............................... 2200 paña su di…</t>
  </si>
  <si>
    <t>Díaz, Francisca de Paula</t>
  </si>
  <si>
    <t>Francisca de Paula Díaz</t>
  </si>
  <si>
    <t>. D. Cristóbal Figueroa. Ei tribunal se separó para juntarse al dia liTenientes. guiente en Mechanci-Hall. D. Serafín Eslava , de granaderos. Del ¡3. D. Francisca de Paula Díaz, de tirador*!, El tribunal se reunió conforme á lo acordado D. Josef Mesa. del dia anterior. Presentes el conmódoro Stephen D. Agustin Cruzado. D'catu…</t>
  </si>
  <si>
    <t>Diaz, Francisco</t>
  </si>
  <si>
    <t>Francisco Diaz</t>
  </si>
  <si>
    <t>. D. Manuel Alonso. • o1 Coronel, el brigadier. D. Manuel uatDpn.... '* • , 1 Capitán. • . D. Francisco Soto.. ... f t 9 » 1 Lena . .. ^ Teniente . . D. Francisco Diaz...... * » , O ro ««.»• D José CatbaHc.c... .. , ? 9 . Otro ..... D. Matías (garrote...... 1 v_Síibtemente D. Juan Nuncí/...«;(. . • t 1 í Tea lente .. D. Anton…</t>
  </si>
  <si>
    <t>Diaz, Hilaido</t>
  </si>
  <si>
    <t>Hilaido Diaz</t>
  </si>
  <si>
    <t>­ no Montes , 25. El cura de Repeña D. Manuel Castrillon , 17. D. José Ga­ lludo , G. El cura de Moro D. José María fluidobro , 25. D. Tomas Milá, 6. D. Hilaido Diaz , 6. El cura de Casraa D. Manuel José Voto, 25. D. Tomas Maguido ,4. — El gremio de carniceros de . carnero del abasto de Lima , 10 y 4 rs. Julián (duispe , indi…</t>
  </si>
  <si>
    <t>Díaz, José</t>
  </si>
  <si>
    <t>José Díaz</t>
  </si>
  <si>
    <t>os y cabes. La pérdida de Abad consistió en la muerte del cabo de tiradores Francisco Navarrete , y fueron heridos levemente el teniente de la quinta D. José Díaz, un trompeta, y el sargento Juan Isardo: del escuadrón de Camuñas quedaron heridos el sargento mayor, su ayudante D. Pe­ dro Sánchez , y un cabo. Este suceso dió oc…</t>
  </si>
  <si>
    <t>Díaz, Justo</t>
  </si>
  <si>
    <t>Justo Díaz</t>
  </si>
  <si>
    <t>sé Muelle , 83 y 2 y medio. D. Capistrano Flores, 83 y 2 y medio. Oficia­ les de libros. D, Domingo Moreno , 50. D. José de Eslava , 50. Amanuenses. D. Justo Díaz , 41 y 5. D. José Mariano Arris , 41 y 5. D. Juan Zapatiu. 41 y 5. D. Julián Sarmiento , 41 y 5. D.' Juan Cosío , 41 y 5. D. Alexapdro Morales, agregado, 39 y 6. D.…</t>
  </si>
  <si>
    <t>Díaz, Manuel</t>
  </si>
  <si>
    <t>Manuel Díaz</t>
  </si>
  <si>
    <t>o , 9 D. José Melchor Vaídes , id. , 9. D. Juan de Jesús Gómez , por 2, 18. D. Lojye Morales, por 4., 30. el presbítero D. Manuel Echevarría, id. 36. D. Manuel Díaz, por 10,90. D. Francisco Ferrer Salomer y sus hijos, du­ rante dos años, por 2, 18. D. Sebastian de Espinosa y sus hijos, id., 18. Don José Uz, por un año, por un…</t>
  </si>
  <si>
    <t>Díaz, Mariano</t>
  </si>
  <si>
    <t>Mariano Díaz</t>
  </si>
  <si>
    <t>135</t>
  </si>
  <si>
    <t>; pero no obstante he podido salvar éstos enseres, ya escoltándolos con una porción de gente, ya con toda la fuerza; dexando al cuidado del teniente D. Mariano Díaz contener al enemigo, que aunque superior en fuerzas , fué en parte derrotado por este benemérito oficial. Seria molesto, si refiriese á Y. S. el pormenor de las m…</t>
  </si>
  <si>
    <t>Diaz, Miguel</t>
  </si>
  <si>
    <t>Miguel Diaz</t>
  </si>
  <si>
    <t>00 ............................................................................... 2200 D. Juan Perez Algaba, id................................ 22co D. Miguel Diaz, id. en Ecija......................... 2200 P. Rafael Serrano , id......................................... 2200 D. Pablo González , id...........................…</t>
  </si>
  <si>
    <t>Díaz, Pedro</t>
  </si>
  <si>
    <t>Pedro Díaz</t>
  </si>
  <si>
    <t>............. 2200 D. Elias Olmedo, id.................................... 3200 Ex-agustinoi. D. Fraucisco Ruíz Pízarro, id................... . 2200 D. Pedro Díaz, residente en Córdoba...... 2200 D. Vicente de la Cruz , id............. ............ 2200 D. Juan de Osuna, id...... ............................ 2200 D. Domingo …</t>
  </si>
  <si>
    <t>(i. D. José Correa, 30, D. Nicolás Angulo, 25. D. Juan Madriñan, 30. D. Manuel Ignacio Aguirre, 10 D. Francisco Ortias , 20. D. Miguel Guerrero , 10. D. Pedro Díaz, 25 D. Juan Bautista Sán­ chez, 6. Juan Al varado, 8. D. Vicente Sánchez, 6 D. Manuel Crespo , 6. El ilustre cabildo, 12J00. D. Francisco Oramas, 16 D José Moran p…</t>
  </si>
  <si>
    <t>Diboait</t>
  </si>
  <si>
    <t>Anastasio, secre­ tario; del conde de Metilo, aposentador ; de.Ofiairill, ministro déla guerra; de Urqnijo, ministro - te ere t ario ¿e estado; de?, general Diboait, comandante de gendarmes; del reVqúLS tífoGurrdía-rcd, comandaste dé las. compañías -francas; y de uniún núnfeio *de egregfeéí:«y É ue-v?n á presenciar la derrota…</t>
  </si>
  <si>
    <t>Dichos, Juan el Médico</t>
  </si>
  <si>
    <t>Juan el Médico Dichos</t>
  </si>
  <si>
    <t>s enemigos, los que sé acamparon: 20 dragones que habían entrado en la villa.salieron precipitadamente de ella, solo por ha­ ber visto 12 soldados de D. Juan el Médico* &gt;Dichos dragones se llevaron consigo al corregidor y quatro hacendados, después de haber exigido 400 varas de lienzo. Deseando la junta de Burgos publicar y-j…</t>
  </si>
  <si>
    <t>Dickson</t>
  </si>
  <si>
    <t>esta, oyó desde Gibraltar un cañoneo mui fuerte. Una plaza al tiempo de su rendición. tempestad obligó al Stately, y i los demas buques que manda el capitán Dickson , á dcxar su aposta­ Capitán general del exército. dero; pero sabemos que ya lian vuelto otra vez. Los franceses tienen en Rattan ioS. hombres y Excmo. Sr. D. Joa…</t>
  </si>
  <si>
    <t>Didelot</t>
  </si>
  <si>
    <t>sus necesidades han de ser tan pre­ Por S. A. S. el príncipe archicanciíler del im­ ferentes, que todas deben desaparecer á su vista. perio , Mr. «1 barón Didelot, gentilhombre del Em­ Los exércitos que no pueden triunfar sin g.fes y perador. sin disciplina, no pueden tampoco congregarse ni Por S. A. S. el príncipe vice-conde…</t>
  </si>
  <si>
    <t>Die</t>
  </si>
  <si>
    <t>munifi­ agustino descalzo, para oira radon de la catedral cencia y amor á las artes deS. M. la estatua .de piedra de Calahorra, vacante por muerte de D. Die^o de Fernando V ,qtie se ha puesto en la-plaza del Pes­ Landibar. 0 cado sobre un pedestal. Estos principios anuncian A D. Vicent.e Alvares Santullano , presbítero, felic…</t>
  </si>
  <si>
    <t>particularmente lo» de los doctores D. Martín Ordaz, rector de S. Fclix de Solovio y Santa María S.^lom6 , D. Andrés Maquieyra de Sia. María de Sar, D. Die­ go Mosqiuxi de S. Fructuoso, y D. Luis Rivat y D. Domingo Sor­ do, del Gmn-Hospital y Sta. María-del Camino. Madrid 22 de julio. En la gaceta de hoy se lee el siguiente a…</t>
  </si>
  <si>
    <t>Die, José Mazon y D</t>
  </si>
  <si>
    <t>José Mazon y D Die</t>
  </si>
  <si>
    <t>Mancebo; empleos de alféreces de grana­ deros á los de fusileros D, José Ignacio de Alava y D. Francisco Keyser; id. de cazadores á los de fusileros D. José Mazon y D Die­ go de Orbaneja; y empleos de alféreces de fusileros á los tenientes de infantería D. Alfonso de Tuero y Hevia , del regimiento de Can­ tabria y D. Silvestr…</t>
  </si>
  <si>
    <t>Diego</t>
  </si>
  <si>
    <t>mente para entrometerse en gocio alguno al otro lado del Uruguay. las disensiones de los españoles del Rio de la Plata, Se asegura en Rio-Janeiro que D. Diego de pues nos parece qne esto no hará mas qae empeo­ Sonsa tiene orden para combinar sus operaciones rar las cosas; porque aunque es verdad que las dos con las tropas de …</t>
  </si>
  <si>
    <t>xemplo. El príncipe de Neufchatel ha ido á Londres á ¡ Válgame Dios! ¡ Lo qué bosteza vmd., señor pedir de rodillas la paz: recibióle el Reí, estando D. Diego! ¿Qué, hai sueño? en compañía de nuestro embaxador el conde da Como que me levanté esta mañana á las quatro. Fernán- Nuñsz , y le preguntó: ¿ Qué quieres ? _ Pues á mí …</t>
  </si>
  <si>
    <t>Diez, Gerónimo</t>
  </si>
  <si>
    <t>Gerónimo Diez</t>
  </si>
  <si>
    <t>cia , con el orden de preferencia que sigue, á D. José María Paig, D. Antonio Cartavarrh , D. Antonio López Quintaba, D. Francisco López Lisperguer, D. Gerónimo Diez, D. Ciríaco González Carva­ jal , D. Antonio Cano Manuel, D. Tadeo Segundo Gómez, D. Ma­ nuel dei Castillo Negrete , D. Francisco Ibañez de Ley va , D. Ma­ nuel'…</t>
  </si>
  <si>
    <t>Diiraii</t>
  </si>
  <si>
    <t>416</t>
  </si>
  <si>
    <t>on 4000 fusiles y cantidad de vestuarios y de zapatos que venían de Francia. igualmente escribe^ por diferentes conductos que el 18 entró en Soria el general Diiraii, obligando á los franceses y afrancesados á meterse precipitadamente en el castillo, En la ciudad se encentraren muchos efectos de guerra, 30000 raciones de gall…</t>
  </si>
  <si>
    <t>Diiurt</t>
  </si>
  <si>
    <t>ui-ra.es OJoneü y Roche atacaron ei su honor y sus derechos han sido atacados ó vul­ 21 por la !ii„ñ ,n:t con i 2© hombres la vanguardia nerados. del general Diiurt y la brigada del coronel Mes- i No ha quedado ya todo mas que satisfecho cotí clop en Cu lera. El enemigo fue batido en todo* iola.haber merecido del Emper.ul.-r …</t>
  </si>
  <si>
    <t>Dio</t>
  </si>
  <si>
    <t>.,ta x,° de mayo. batallón. Nombramos para comandante á D. Josef La sociedad cree deber advertir á los concur­ Sánchez Yebra; para ayudante primero á D. Dio­ rentes que no todas las especies de remolachas dan nisio Sobrinos; para ayudante seguedo á D. Amo­ la misma cantidad Je azúc.r, ni cor» tanta facili­ nio Molinero, y par…</t>
  </si>
  <si>
    <t>613</t>
  </si>
  <si>
    <t>sta de les oficiales y sol­ dados que se señalaron : y recomiendo muy particularmente á S. A. la Regencia del reyno poT medio de V. E., al arquitecto D. Dio­ nisio Radiola, y á los sargentos primeros graduados de caballería, empleados siempre con partidas de la misma arma en obseryaci@n de los enemigos, D. Manuel Bcitran y D.…</t>
  </si>
  <si>
    <t>25. D. Gaspar Casanova , 25. D. Isidro Arauz, 6. D. José Bernal , 25. D. Ramón Menendez , 25. D. Sebastian Puga, 50. El comendador de la Merced , 50. D. Dio-, go Granados , 20. D. Luis Noli, 10. Teodoro Garóes , 4. Tomas Duarte , 4. D. Manuel Bravo, 5. D. José Florencia, 6. D. Ventura Bustamante, G. Don Pedro Ríos , 10. D. Ju…</t>
  </si>
  <si>
    <t>Dioni, Pedro</t>
  </si>
  <si>
    <t>Pedro Dioni</t>
  </si>
  <si>
    <t>n Ruiz Dávila y su hermano D. Manuel residente en España , ademas de 400 ps. anuales que ofrecen , 800. Real tribunal da dientas. Contadores mayores. D. Pedro Dioni­ sio Calvez, 289 y 3. D. Antonio Chacón, 289 y 3. El marques de Valde1 ¡ríos, 289 y 3. El marques de Laca, jubilado, 192 y 7 y medio. El mar. (.{■jes de S. Felipe…</t>
  </si>
  <si>
    <t>Dionis</t>
  </si>
  <si>
    <t>y traza un cuadro filosófico del reyno de Portugal en las dos primeras épocas de nuestra monarquía; es decir, desde su principio hasta el reynado de D. Dionis, y desde este rey hasta el rey nado de D. Juan I; y otra memoria del consejero José Antonio de Sá, en la cual se apuntan algunos obstáculos, que convendría re­ mover pi…</t>
  </si>
  <si>
    <t>Dionisia</t>
  </si>
  <si>
    <t>coronel D. José Ricardo O-farrilt por 10, 90. El presbítero D. Rafael de Campos y Franquíz por 2, 18. Daña Dominga Perez (mientras pueda) por uno, 9. Doña Dionisia, el presbítero D. Francisco Xavier , ei capitán de navio D. Bruno y D. José Mariano de Palacios por 2, durante ia guerra, 18. El fiscal de la real ha­ cienda D San…</t>
  </si>
  <si>
    <t>Dionisio</t>
  </si>
  <si>
    <t>iques) (D.Francisco), coronel del regimiento Medina JD. Ramón), comandante del cuerpo- de de Málaga. ' inválidos de heviha. '1 ’ ’J Epriquez Navarra (D. Dionisio), cura párroco Meruendano (D. Francisco) , capitau del Biím. 3.°de la iglesia de S. Nicolás do Requena, y re- de cazadores á caballo.</t>
  </si>
  <si>
    <t>Divfféy</t>
  </si>
  <si>
    <t>l teniente coronel Barnard del 95, del tenieute coronel Colborne, del mayor Gibbs, del mayor Napier del 52, y del teniente coronel Macleod del 43. El capitán Divfféy del 43, y el teniente Garwood del re­ gimiento 52 , que fué herido, me han sido señaladamente recomenda­ dos. El teniente cojronel Eider y el tercero de cazad»re…</t>
  </si>
  <si>
    <t>Dívila, Francisco de Sales</t>
  </si>
  <si>
    <t>Francisco de Sales Dívila</t>
  </si>
  <si>
    <t>batallón de quatro compañías. que se formará una compañía. Nombramos para comandante de este batallón D. Francisco Porcelo queda nombrado capitán; á D. Francisco de Sales Dívila; para ayudante á D. Juan Valverde teniente, y D. Manuel de LuD. Diego Suarez de Fígueroa, y para abanderado qae subteniente. á D. Antonio Josef de Lo…</t>
  </si>
  <si>
    <t>Dnarez, Vicente Morales</t>
  </si>
  <si>
    <t>Vicente Morales Dnarez</t>
  </si>
  <si>
    <t>515</t>
  </si>
  <si>
    <t>dar allí los refuerzos que espera le envíe Marment. Cádiz 8 de abril. Ayer mañana en la iglesia del Carmen se hicieron solemnes exe­ quias por el Sr. D. Vicente Morales Dnarez, presidente de fas Cortes generales y extraordinarias , que falleció en la madrugada de! 2 del corriente. Asistió en cuerpo el augusto Congreso naciona…</t>
  </si>
  <si>
    <t>Dnendds</t>
  </si>
  <si>
    <t>905</t>
  </si>
  <si>
    <t>anx, y ocupa el país comprehendido entre el Eiba y el Oder. E* general Rapp, go­ bernador de Da- ízí-k, tiene á sus órdenes la división holandesa del general Dnendds: el general de división Hogendrop es gobernador de Konigsberg. Las cartas de esta ciudad de 4 del pasado refieren que dos regí* mientes de hújares prusianos se h…</t>
  </si>
  <si>
    <t>Dnrutte</t>
  </si>
  <si>
    <t>683</t>
  </si>
  <si>
    <t>icultades que por este ane do á la cifra, y no he encontrado el resultado medio será fácil resolver.” que esperaba. Pero como el momento actoal es El general Dnrutte ha mandado en una drden favorable para que el gobierno de S. M. interven­ del día del 6, que todos los individuos del exérga en las provifencias del partido fede…</t>
  </si>
  <si>
    <t>do D, Nicolás Ca</t>
  </si>
  <si>
    <t>Nicolás Ca do D</t>
  </si>
  <si>
    <t>...................... 2IOO ral contra el tesorero de rentas de Palencia. D. Fernando María de Salaman­ ca, por medio de su apodera­ Los herederos de D. Nicolás Ca­ do D. Estéban de Trido y longe............... ........................... 92835 23! Qoerejazu........... ............................. 7840 Por depósitos hechos e…</t>
  </si>
  <si>
    <t>do Sanjnr, Jo e</t>
  </si>
  <si>
    <t>Jo e do Sanjnr</t>
  </si>
  <si>
    <t>su intelig-io* y geb-emo. - D . árdea de 8. E. la Camisión de gobierne de cite r no— 'Manuel de. Andela. societario segundo.” E ¿oariscri do-, campo D. Jo&gt;é do Sanjnr.n, gobernador miniar y pdít'co de esdo plaza, ha mandado publicar, con fecha de 22 del jasado, un bando que contiene varias disposiciones para precaver</t>
  </si>
  <si>
    <t>do Valle, Juan</t>
  </si>
  <si>
    <t>Juan do Valle</t>
  </si>
  <si>
    <t>s secretarios: salieron electos para presidente el Sr. D Vi­ cente Pascual, diputado propietario por la ciudad de Teruel: para vice-presidente el Sr. D. Juan do Valle , diputado propietario por el principado de Cataluña ; y para secretario el Sr. D. Joaquín Díaz Caiicja, diputado propietario por la provincia de León. CADIZ : …</t>
  </si>
  <si>
    <t>do VII, FERNAN</t>
  </si>
  <si>
    <t>FERNAN do VII</t>
  </si>
  <si>
    <t>30 bayonetazos, he premiado &lt;;on 1® reales, y con la distinción en el pecho de una hermosa medalla de oro, en que está grabado nuestro Monarca el Sr D. FERNAN­ DO VII, cuyo donativo me había hecho un buen patriota. «Recomiendo á los generales, gefes, oficiales y tropa por los extraordi­ narios servicios que han hecho en una c…</t>
  </si>
  <si>
    <t>Dobero, Bartolomé</t>
  </si>
  <si>
    <t>Bartolomé Dobero</t>
  </si>
  <si>
    <t>bal remite con su parte -)4 dispersos, tino muerto y 15 herido?. Quarts una carta que recibió riel comandante de b .tallón 1." de noviembre de 1811.” D. Bartolomé Dobero, en que le inform.ibt mui por menor de la brillante conducta que liabia ob­ Extracto del parte del mariscal de campo San servado su batallón , pues hallándos…</t>
  </si>
  <si>
    <t>Doblado, Tomas</t>
  </si>
  <si>
    <t>Tomas Doblado</t>
  </si>
  <si>
    <t>timo D. Matías Gallardo , 83. El octavo D. Pedro José Carrillo , 66. El noveno D. Marcos Palma, 66. El décimo D. Francisco Chacón , 60. El un­ décimo D. Tomas Doblado, 50. El duodécimo D. Lorenzo Amat, 50. El agregado D. Domingo Gangutia , 66. El escribiente primero D. Luis Calvo, 41. El segundo 3). Francisco Calderón , 41. E…</t>
  </si>
  <si>
    <t>Doc</t>
  </si>
  <si>
    <t>e el rey de Ñapóles mandaba en persona, j que el virey de Italia ha salido herido. Segundo boletín. Cuartel general 18 (30) de Julio. — El cuerpo del general Doc­ toro w qm tenia orden de observar los movimientos del enemigo en las inmadiaeianea de Yesoheiik'cwitsch-, habiendo notado que algu­ nas tropas de este avanzaban con…</t>
  </si>
  <si>
    <t>Docgobierno</t>
  </si>
  <si>
    <t>enidos, y en su modo ligados por fa La guardia imperial en Wilna. fuerza de la opinión; y los necesitados reciben del El sexto cuerpo, mandado por el general Docgobierno paternal de S. M. una protección genero­ torow, compuesto de dos divisiones de infantería y sa , y por otra parte saben que no podrían obtener una de caballe…</t>
  </si>
  <si>
    <t>Docto</t>
  </si>
  <si>
    <t>enemigo en su retaguardia; y en el mismo instante , el conde Tolstoy recibió orden de salir de los bosques con los 4 regimientos para reunirse con el general Docto-</t>
  </si>
  <si>
    <t>Doctorcw</t>
  </si>
  <si>
    <t>1124</t>
  </si>
  <si>
    <t>er muy encarnizada y sangrienta; pe­ ro ai fin el valor de los rosca triunfó de ia superioridad del número, y el enemigo faé arrollado. El cuerpo del general Doctorcw, que vi­ no á relevar al de Ra¿ e-w?k?, atecó á los franceses al amanecer, y duró la acción hs3&gt;taáá'-;ncche'habiendo sido aquéllos rechazados en todos los punt…</t>
  </si>
  <si>
    <t>Doctorow</t>
  </si>
  <si>
    <t>e el haberse este establecido en Swenze« ny, cerca de Vidoy. Por este movimiento se han asegurado perfectamente «las comunicaciones con el cuerpo del general Doctorow, al qual se le ha « unido el conde Pablen, que estaba en Grodno al principio de las hostilida«des. De este modo nuestros cuerpos no han perdido hasta ahora dest…</t>
  </si>
  <si>
    <t>99</t>
  </si>
  <si>
    <t>que contienen una pobla­ ción de un millón de almas, han pagado ya ai exército francés el tributo de todos sus recursos. „ El rodeo peligroso que el general Doctorow ha tenido precisión de ha­ cer para retirarse es la prueba de la confusión que reyna en el exército ene­ migo. Este general, que manda el sexto cuerpo ruso, se h…</t>
  </si>
  <si>
    <t>109</t>
  </si>
  <si>
    <t>109 estado llegaría al Dwina.” (Con dificultad puede hacerse un elogio mayor del general Doctorow. Bonaparte no se lo imagina.) ,,La marcha de Bagration ofrece todavía una prueba mas clara del esta­ do de desorden y falta de combinación del exército enemigo. Este general, que manda un c</t>
  </si>
  <si>
    <t>1812 BAXO EL GOBIERNO DE LA REGENCIA DE LAS ESPANAS. RUSIA. Noticias oficiales del exército ruso. Quartel general 30 de julio de 1812. Eí cuerpo del general Doctorow, que teráa orden de observar ios movimientos del enemigo en las inmediacio­ nes de Bisdau-Kolwitsch., adonde se había advertido que una parte de sus tropas avanz…</t>
  </si>
  <si>
    <t>o hubiera escapado un solo hombre, si hubiese sido posible enviar entonces la caballería á perseguirlos. .,En seguida me dirigí hacía la división del general Doctorow, que según me había presumido estaba con el conde Osíernaan , y le mandé que se apoderase- de- otro collado para inquietar al enemi­ go cruzando los fuegos. Ata…</t>
  </si>
  <si>
    <t>Dohan, Francisco</t>
  </si>
  <si>
    <t>Francisco Dohan</t>
  </si>
  <si>
    <t>s insurgentes no quie­ fantería de Murcia; D. Ignacio Balanz.itcoronel ren presentarse en campo raso. El-sistema que de ios voluntarios de la Patria; D. Francisco Dohan adoptado se parece al de las guerrillas de .tregart, capita l de guardias Wa’onas ; D. Francis­ la España europea, con la diferencia que lo prac­ co Ustavir, …</t>
  </si>
  <si>
    <t>Doktorow</t>
  </si>
  <si>
    <t>el cuerpo del general Wittgenstein está en Rimschany : los de los generales Baggohufwudt, Tutschkow y Schuwalow se han unido en Widzy: el cuerpo del general Doktorow se halla en Budna; y la reserva en Zamosz. » El 18 (30) de junio el capitán Galewa, del regimiento de huíanos po­ lacos , salió á un reconocimiento con un esquad…</t>
  </si>
  <si>
    <t>Dolgo</t>
  </si>
  <si>
    <t>Gaceta de Madrid n.º 115</t>
  </si>
  <si>
    <t>cias que la tado dos veces , violando asi las leyes de la iglesia! dieta se ofrece dar en el artículo 38 : en el bien en­ Han llegado aquí de Twer el príncipe Dolgo- tendido de .que se ha de dar una quarta parte mis roncki, el ayudante general Kom.arowski y ei gc- ea atención á’qne.no hai.ninguna proporción corre ccral Paphow…</t>
  </si>
  <si>
    <t>Dolz, Vicente</t>
  </si>
  <si>
    <t>Vicente Dolz</t>
  </si>
  <si>
    <t>este pueblo y el de Fabavanella á 30 franceses que llevaban una carga de verduras, se la qui­ taron , y los pusieron en huida. — Ei 10 del corriente D. Vicente Dolz, comandante de la décima, desembarcó por la madrugada en las inmediaciones de Aibuixec , y reconoció este pueblo y los de Masaifasar y Maglielía. — Seis individuo…</t>
  </si>
  <si>
    <t>Domeneeh, Joaquín</t>
  </si>
  <si>
    <t>Joaquín Domeneeh</t>
  </si>
  <si>
    <t>El Sr. D. Angel González Barreyro. Señores regidores comisarios de ios altárteles en que está dividido Madrid. Quartel de S. Isidro, al cargo del Sr. D. Joaquín Domeneeh. A Quartel de la Plaza, al cargo del Sr. D. Francisco Sosa. Quartel de Palacio, al cargo del Sr. D. Josef Manzanilla. Quartel del Barquillo, al cargo del Sr.…</t>
  </si>
  <si>
    <t>Domeneeh, Joaquín García</t>
  </si>
  <si>
    <t>Joaquín García Domeneeh</t>
  </si>
  <si>
    <t>El Sr. D. Josef de Arratia. El Sr. D. Domingo DutarL El Sr. D. Lúeas de Carranza. El Sr. D. Saturio Cantabrana. El Sr. D. Mariano de Villodas. El Sr. D. Joaquín García Domeneeh. El Sr. D. Miguel Caldero» de la fiafftfc</t>
  </si>
  <si>
    <t>Domin</t>
  </si>
  <si>
    <t>os. Cádiz 8 de Octubre de 1812. Conclusión de los &lt;fados relativos á los acontecimientos de Caracas, „E1 comandante general del exército ele S. M. G. D. Domin­ go de Monte verde , que en su final contestación á las proposicio­ nes que le hicieron José Sata y . Bussy y Manuel Aídao , comi­ sionados por el comandante general de…</t>
  </si>
  <si>
    <t>Domingo</t>
  </si>
  <si>
    <t>ante adhesión á sn perso­ D. Manuel de la Viña en logar dé D. Josef de na, le nombró á su regreso á España en 1809 ins­ Carniza; procurador síndico á D. Domingo Da- pector de sanidad de la guardia real, caballero tari en reemplazo de D. Ramón de A guio» y pro­ de la Orden Real de España, y miembro de la ad­ curador substituto…</t>
  </si>
  <si>
    <t>berlas sabido, no hubieran tocado á cosa ningu­ drid, i.° de infantería de línea.' na; pero lian sido castigados por esta villanía, Arce y Caballero (D. Domingo) , corregidor de porque uno de dios ha estado colgado dei cuello Requena ,y presidente de la diputación presen­ como un ahorcado por espacio de tres minutos, y tada ú…</t>
  </si>
  <si>
    <t>lo, le pidio el dir Para la abadía de la colegiata del Salvado*; 4d mero que Jiabia recogido-por .el genero.^ce acaba­ Sevilla, vacante por muerte de D. Domingo .Ra­ ba de veoder , le maltrató^ Je hirió basta 17 veces mírez, á D. Antonio de Estrada, .ex-franciscana con.iioa. navaja , y le dexó abandonado! después descalzo. . …</t>
  </si>
  <si>
    <t>en todo el dia Muntaner (D. Juan), teniente de tiradores del siguiente á Brihut ga sin la menor oposición de los propio regimiento. enemigos. Nigra ( D. Domingo), sargento primero de! regi­ Estos han dexado muertos en la acción 2jo miento Real Extrangero. hombres, gran «uniera de heridos, y una gran Palma (D. Francisco) , sar…</t>
  </si>
  <si>
    <t>Domínguez, Bernardo</t>
  </si>
  <si>
    <t>Bernardo Domínguez</t>
  </si>
  <si>
    <t>llemard , D. Juan Fer­ nandez y D. Diego Barrado; á subtenientes de fudleros á D. José Urcullo, D. Pedro de Vegas, D. Martin Palmo, D. Juan Itobayna, D. Bernardo Domínguez, D. Jacobo Dubreuü, 1). Luis Pana, Don 3JabIo de Ltrin, D. Juan María Grifón, D. Francisco Martínez, D. J osé de Vegas, D. Antonio de Vegas, D. Mariano Lkt…</t>
  </si>
  <si>
    <t>Domínguez, Gregorio</t>
  </si>
  <si>
    <t>Gregorio Domínguez</t>
  </si>
  <si>
    <t>oa, D* Xavier Perez Címbrelo y D. Manuel Fernandez; los de ayudantes mayores á D Francisco Ca­ rayaca y D. Juan Bautista Cabaleri; los de tenientes á D. Gregorio Domínguez. D. José Martínez, D. Juan Matalobos, D. Bernardo Mari ño, Id. Manuel Iglesias y Vázquez, D. Manuel Perez, í&gt;. Ma­ teo Pi con , D. «luán de Neyra y D. Este…</t>
  </si>
  <si>
    <t>Domínguez, José</t>
  </si>
  <si>
    <t>José Domínguez</t>
  </si>
  <si>
    <t>615 y 1 y tres cuartos rs. El ministro tesorero interino D. Domingo de las Casas una mesada. D. Vicente Pena, oficial mayor, 30. D. Manuel Celis, 25. D. José Domínguez , 33 y 2 y medio. D. Francisco Taramona, 10. D. Pablo Antonio Moreno , 10. D. Francisco Ameta f oficial mayor jubi­ lado, 25. D. Marcelo Laclara, contador de m…</t>
  </si>
  <si>
    <t>Domínguez, Juan Mauuul</t>
  </si>
  <si>
    <t>Juan Mauuul Domínguez</t>
  </si>
  <si>
    <t>io D. Blas Muñoz. Alcalde de.barrio Diputado eclesiástico D. Bernardo Roger. D........................... Diputado eclesiástico . Diputados seculares D. Juan Mauuul Domínguez. D. Ventura Alcalde. -.Diputados seculares D. Juan Antonio García. D. Mariano López. D. Josef Rico Pablo. D. Juan P.trdo. D. Josef Prado. D. Manuel de V…</t>
  </si>
  <si>
    <t>Domínguez, Martin</t>
  </si>
  <si>
    <t>Martin Domínguez</t>
  </si>
  <si>
    <t>sco Gómez, mientras pueda , id, 9. D. Antonio Bustamante, por 2 durante la guerra, 18. D. Francisco López Gamuza, por «no , 9. D. Pió Miliar, id., 9. D. Martin Domínguez, id. 9. D* Joaquín de Cárdenas, id., 9. I), José Mrgiu Tarrafa , id., 9. D. Manuel de los Ríos, id., 9. D. Manuel de Urrua, id. , 9. D. José María de Urrua y…</t>
  </si>
  <si>
    <t>Domínguez, Plácido</t>
  </si>
  <si>
    <t>Plácido Domínguez</t>
  </si>
  <si>
    <t>291</t>
  </si>
  <si>
    <t>ausado las ruinas de sus casas y familias. » Nuestra pérdida asciende á quatro muertos y 20 heridos-del batallón de mi mando, entre estos el teniente D. Plácido Domínguez, que ha sido atra­ vesado en un brazo: ignoro la que ha tenido el regimiento de Logroño; pero sí sé que ha sido inferior á la mía, habiendo consistido la de…</t>
  </si>
  <si>
    <t>la misma clase D. Pedro Sologaistoa y D. Antonio Herrera ; los tenientes de granaderos D. Mariano Tabuenca y D. Antonio Aznar; los de la misma clase D. Plácido Domínguez, que recibió la herida de pasar un brazo, y el de ca­ zadores D. Josef Bernaz , los subtenientes D. Cipriano Galvez, D. Manuel Hurtado, D. Vitorino Tabuenca,…</t>
  </si>
  <si>
    <t>63</t>
  </si>
  <si>
    <t>bían causado las ruinas de sus casas y familias. „Nuestra pérdida asciende á 4 muertos,y 20 heridos del batallón de mi mando, entré estos el teniente D. Plácido Domínguez: ignoro, la que ha tenido el regimiento de Logroño ; pero sí sé que ha sido inferior á la mia; habiendo consistido la de caballería en 3 caballos muertos y …</t>
  </si>
  <si>
    <t>Domioguez, Tomar García</t>
  </si>
  <si>
    <t>Tomar García Domioguez</t>
  </si>
  <si>
    <t>rio Gamboa á teniente de la quarta do i confiar á la administración superior y á la vi­ compañía. gilancia del consejero de Estado íntimo H.gemt-.nn, D. Tomar García Domioguez, sargento prime­ una junta particular de hacienda , compuesta de ro , á subteniente de la novena compañía. él y de otros quacro miembros; á* saber, el …</t>
  </si>
  <si>
    <t>Don</t>
  </si>
  <si>
    <t>e la mañana, á la señal de un cañonazo, se pusiese el exército sobre las armas; que el coronel D. Juan Ramírez con los batallones de los beneméritos, coronel Don ablo Astete y tenientes coroneles D. Luis Astele y D. Mariano</t>
  </si>
  <si>
    <t>Gaceta de Madrid n.º 143</t>
  </si>
  <si>
    <t>mensos En el de la Cruz, á las cinco y media de la tarda, n que deb¿ acarrearla (á la pntri ) la continuaron se cxecutar.í ¡a ópera nueva, música del profesor Don «de ia guerra : reflexionad los que ha padecido efl Esteban Cristian!, titulada los Muertos fingidos; ‘e &gt;, los qtt ¡tro años que imprudentemente la habéis bailará …</t>
  </si>
  <si>
    <t>u. ion En el de la Cruz, :í las cinco y medía de la tarde, francesa la fuerza total de ia Esp.ña no llegaba á se escoltará la ópera nuera, música del profesor Don una tercera parte de la de Fr-.ricia , de suerte que Esteban CrDl'.ini, titulada los Muertos fingidos; si p» dia calcularse que las tuerzas de estas dos poten­ liai…</t>
  </si>
  <si>
    <t>Donaghue</t>
  </si>
  <si>
    <t>de ser &amp;c. =F.rmado=: Sk«rhecho bastante daño á las tropas ligeras francesas; pe­ ret, coronel.” ro á pesar de eso el enemigo permanece á tiro de El capitán Donaghue, que hacia de edecán, ■f fusil de la plaza, eu una posición tal que la domina el teniente Borgh , ambos &lt;ic' segundo batallón del •meramente, de modo que ouestio…</t>
  </si>
  <si>
    <t>Donaire, Juan Antonio</t>
  </si>
  <si>
    <t>Juan Antonio Donaire</t>
  </si>
  <si>
    <t>ure ia constitución que han forma­ Para el de Villanueva de la Cañada al ex-fran­ do (:): monstruo sin cabeza , y absurda concepción ciscano descalzo D. Juan Antonio Donaire. de republicanismo con monarquía. En España se Para el de Vilbrobia de Jos Ojos de Guadiana llaman defensores de la religión quando á los católi­ á D. An…</t>
  </si>
  <si>
    <t>Doneil, O</t>
  </si>
  <si>
    <t>O Doneil</t>
  </si>
  <si>
    <t>podido ilegar á su destino. El ene­ na, escoltada por un esquadron de caballeril, á migo empezó inmediatamente á hacer varias evo­ cuyo frente iba el general O Doneil , y di óiden luciones, y reconocí que su número era á lo me­ ál ayudante general del estado mayor D. Fernan­ nos de á.3500 hombres de infantería y alguna do Miy…</t>
  </si>
  <si>
    <t>Donell, Henrique O</t>
  </si>
  <si>
    <t>Henrique O Donell</t>
  </si>
  <si>
    <t>Se empezó á ' hablar desde luego de Se ha interceptado la carta siguiente escrita Ja tentativa que se hizo últimamente para formar desde Alicante por D Henrique O Donell, uno una administración por medio de una coalición; y de los miembros de la nueva regencia dé Cádiz, ú dicen que con este motivo el Príncipe desaprobó su her…</t>
  </si>
  <si>
    <t>Donis, José Angel</t>
  </si>
  <si>
    <t>José Angel Donis</t>
  </si>
  <si>
    <t>inistrador do Chaehapovas I). Andrés de Torres, 4 2. Id. de S. Pedro I). Pablo Flores,, JO. Id. de Lu.nbayeqae 1J. Pedro A i jovin , DO. Id. de Piura D. José Angel Donis, 50. El maestro de postas de Nepeñu , 2. Los dos postillones de Nepe6 &gt;, J. Los dos conductores de Conohucos á lloaras , 2. Cw- rene de Arequipa. Administrad…</t>
  </si>
  <si>
    <t>Donna, Guillermo</t>
  </si>
  <si>
    <t>Guillermo Donna</t>
  </si>
  <si>
    <t>ir que han muerto un ciento de, in­ la guardia real á D. Joan 11 e anco, teniente, á ca­ gleses, no he de rezar un padre nuestro por sus al­ pitán; Á D. Guillermo Donna, subteniente., á te­ mas. ¿ Para qué quieren ellos padres nuestros , tonta, niente; y D. Lorenzo Dufaant , sargento primero, repitió'sa marido ,si son de seta…</t>
  </si>
  <si>
    <t>Dono, Manuel</t>
  </si>
  <si>
    <t>Manuel Dono</t>
  </si>
  <si>
    <t>Calvo , id., 2. D. Isidro José Cay mar i, id., 4. I). Fernando Alonso de Coya , id., uno. DoJ ña María Josefa Bachpni, por un soldado por 4 meses, 9. D. Manuel Dono­ so , para un soldado durante la guerra, anualmente 103. Los PP. dominicos por medio de su prior el P. Fr. Antonio Andreu, por 4 durante ia guerra, 36. El tenient…</t>
  </si>
  <si>
    <t>Donoughmore</t>
  </si>
  <si>
    <t>te, el que por un lado repre­ Con las mismas señales de satisfacción se brin­ sentaba el genio de Irlanda , en actitud de supli­ dó en seguida por el conde Donoughmore , y por cante, presentando la petición de los católicos al el 'marques Dowskire. Príncipe Regente; y por el otro la figura de la Mr. Curran, archivero, tomó la…</t>
  </si>
  <si>
    <t>Dootorow</t>
  </si>
  <si>
    <t>e hizo por el El dia 4 habia ya el sol secado y dexado prac­ 9.0 regimiento de lanceros polacos. ticables los caminos. En Wilna tocio se dispone y El general Dootorow, viendo cortado el cami­ organiza. Los arrabales han padecido bastante por no, retrocedió hacia Qlehanovi. El mariscal prínci­ la gran multitud de hombres eme s…</t>
  </si>
  <si>
    <t>Dorochow</t>
  </si>
  <si>
    <t>1393</t>
  </si>
  <si>
    <t>avía las mis­ mas posiciones, y que los cosacos , que no cesan de acosarlas du­ rante la noche , las han obligado a retirar sus posiciones. „E1 mayor general Dorochow avisa por via de adición á su ulti­ mo j arte del 14 de Octubre, que 377, y no 352 soldados y 15 ofi­ ciales fueron los hechos prisioneros en Vereja y enviados …</t>
  </si>
  <si>
    <t>Dorocoíf</t>
  </si>
  <si>
    <t>do ademas gran número de muertos en el campo. „E1 21 y 22 las partidas rusas traxeron 500 prisioneros. . „El 23, día en que escribe, había enviado al general Dorocoíf hacia el camino de Mojaisk, y le daba parte de haber hecho 200 prisioneros, entre ellos seis oficiales. Al mismo tiempo el teniente coronel Davidoff, del 15.0 d…</t>
  </si>
  <si>
    <t>Doroehow</t>
  </si>
  <si>
    <t>de la guerra desde el 1S hasta el 14 de Octubre dados en Letaschefka el 13 y 19 del propio mes. Primero. „Tengo la honra de comunicar á V. M. que el general Doroehow, que había sido destacado con orden de hostilizar al enemigo en el espacio intermedio entre Gihatsk y Mojáis k, se hallaba en­ cargado principalmente de destruir…</t>
  </si>
  <si>
    <t>DorokhefF</t>
  </si>
  <si>
    <t>isioneros que han hedí© las tropas ligeras del general Winzingtrode en los caminos de Dwer, Yaroslaw . Wladimir, Vo okolamsk , Wos-Gesensk, y las del general DorokhefF en el de Smolensko á Mojaisk, j?uernigorod•• Wiasma, Wereyra, sin incluir en esta cuenta á los prisioneros que hace por su parte el exército grande, ni á los q…</t>
  </si>
  <si>
    <t>Dorre, Ana María</t>
  </si>
  <si>
    <t>Ana María Dorre</t>
  </si>
  <si>
    <t>de Yuza......... .................... 7 9[* D. Simón de Torres.............. .............. . 40500 D. Juan Antonio de Noreña................ 4184 33 Doña Ana María Dorre , y en tu nom­ D. Josef de Roxas........... ...................... 27000 bre su marido D. Miguel Fermín D. Fernando 'Fout y González , por de Esparza, por m…</t>
  </si>
  <si>
    <t>DorregO, Luís</t>
  </si>
  <si>
    <t>Luís DorregO</t>
  </si>
  <si>
    <t>inta división durante la ausencia de este general con licen­ cia : los brigadieres generales Páek, y el conde de Resende al servició portu­ gués : el coronel Luís DorregO del regimiento portugués núm. 1 f.° reí coronel Dóuglas del regimiento potingues núm. 8.°: el conde de Ficalho, teniente coronel del mismb regimiento: el co…</t>
  </si>
  <si>
    <t>Dorscnne</t>
  </si>
  <si>
    <t>114</t>
  </si>
  <si>
    <t>lla la vieja es cortísimo el número de tropas que hay de infantería, y ínas corto aun el de la caballería : la poca que habia, anda de escolta con el conde Dorscnne, que algunos dicen vuelve aquí, pero que marchará después^ En la gaceta galo-hispana del sexto gobierno, de 15 de este mes, se lee el siguiente artículo , que es …</t>
  </si>
  <si>
    <t>Dorseane</t>
  </si>
  <si>
    <t>cia, manifiesta el cuidado que da á Bonaparte la división navarra del mando dei famoso Espoz y Mina, y la causa que ha mo­ tivado las operaciones del general Dorseane en este mes pasado , con el objeto de destruirla. Carta interceptada de Berihier á Dorsoune, — ,, París 5 de marzo ie 1812.— Parece , general, que ha entrado en…</t>
  </si>
  <si>
    <t>Dorsenne</t>
  </si>
  <si>
    <t>ismas fanfarronadas en orden á la expulsión de los ingleses de la península. Pero Marmont habla de Dorsenne como de un auxi­ liar : propuse, dice, al general Dorsenne que se me incorporase con parte de su exército para hacer levantar el sitio de Ciudad-Rodrigo , y lueo-o no vuelve á hacer mérito de él, ni le nombra mas que pa…</t>
  </si>
  <si>
    <t>ciones para echar definitivamente á los ingleses de !a península, en ningún otro exército encontrará S. M. mayor celo ni mas rendida obediencia. — El conde Dorsenne: ’ Seria obra larga el corregir ó rectificar todas las inexactitudes contenidas en el oficio precedente.— Ese tono fanfarrón y amena­ zador que reyna en todo él, …</t>
  </si>
  <si>
    <t>netrado hasta la villa de Astudillo, y hallándome súbitamente circuido .de 4000 infantes y 1200 caballos enemigos, que dé resultas de la retirada del general Dorsenne aca­ baban de llegar á la ciudad y villas ele Paleucia , Torqucmada y Castrojeriz, distante la que mas 4 leguas; noticioso de que por la pai te de Oarrion y Par…</t>
  </si>
  <si>
    <t>101</t>
  </si>
  <si>
    <t>e esta infantería se salvó. „No be recibido noticia alguna del sexto exército. ,,Por las noticias recibidas del interior de la España, se sabe que el conde Dorsenne ha marchado á Francia con parte de la guardia imperial, á pesar de las instancias en contrario del rey intruso, y del mariscal duque de lia gusa. ,,La opinión mas…</t>
  </si>
  <si>
    <t>Bur­ gos el general Rocjuet, gobernador que e*a interino del sexto go­ bierno : le sucede en el mando el general de división Van-dor-Musen. El 12 el conde Dorsenne estaba en Villafranca de la Provin­ cia: se duda si se dirigirá á Bayona ó á Pamplona, como también silos batallones de la guardia que han ido de aquí han entrado …</t>
  </si>
  <si>
    <t>solo en orden á las cosrs del norte de Europa, sino aun á las de otras provincias de España. Las cartas de Bayona dicen oue se espera la llegada del general Dorsenne, que iba destinado á Navarra con un cuerpo numeroso de tropas , y antes de llegar á Pamplona recibió orden de pasar á Francia. Con el mariscal Víctor, que llegó …</t>
  </si>
  <si>
    <t>de España.— Hay noticias del famoso Espoz y Mina hasta el 29 de marzo. Pa­ rece que Napoleón ha mandado se haga un esfuerzo para destruirlo, y que el general Dorsenne es quien tiene esta comisión , junto con ía de arruinar é incendiar los pueblos del valle de Roncal, y apode­ rarse de los cuantiosos almacenes que suponen tien…</t>
  </si>
  <si>
    <t>conducidos á Francia. Copia del parle del mariscal de campo D. Francisco Espox y Mina al teniente general O. Gabriel de Mendizabal. “ Exorno. 8r : El general Dorsenne, especial encargado de su emperador para la agregación de Navarra al imperio francés, reunió 19000 infantes y 2000 caballos, combinando con el general París y e…</t>
  </si>
  <si>
    <t>591</t>
  </si>
  <si>
    <t>591 ligro de ser muerto por sus mismos sddados , a!¿volver de perseguir á slgunos de los enemigos fugitives. 8e asegura que al general Dorsenne le h?~n íia'do en andas des­ de Pamplona á Vitoria, donde le has hecho ia opeiacicn del tré­ pano , y estí muy de peligro. Cádiz 8 de junio. Los franceses han invadido nuevamente á As…</t>
  </si>
  <si>
    <t>123 'Extracto de los f eries franceses. Varis 2j3 de julio. El 27 del corriente se celebraron en ena capital los funerales del conde Dorsenne, que estuvo últimamente mandando parte de los ejércitos franceses en España. Berlín 18 de julio'.' Con motivo de algunas desavenencias que han ocur­ rido últimamente entre las tropas ex…</t>
  </si>
  <si>
    <t>ncipios de julio de VYolkü’.vick :qon dirección -á Wilna, y cortado Del 25. en el camino, .hubo de retroceder para ganar a Acaba de morir en París el conde Dorsenne, Minsk; mas,acosado por el príncipe de Eckmülh, general de división, comandante de los granaderos mudó de .dirección, y abandonando sil designio del de infantería…</t>
  </si>
  <si>
    <t>Dortorro</t>
  </si>
  <si>
    <t>homoaloíf......... 24000 4.0 cuerpo por el general TuschhotL.......... 18000 5.0 cuerpo por el príncipe Bagration............ 40000 6.° cuerpo por el general Dortorro\v‘.......... 18000 136000 Tero debe suponerse que esta suma está muy rebaxada, ademas que en ella no se coinprehenden las divisiones novena y deciinaquiata de i…</t>
  </si>
  <si>
    <t>Doto'González, Joaquín</t>
  </si>
  <si>
    <t>Joaquín Doto'González</t>
  </si>
  <si>
    <t>ez Corona* . . D. Alfonso Gastes!. D. Manuel Gayoso. D. Joaquín' Sojo. ¡ A^attáup Valladares,, 7 rr. . . Secretario Secretario D. Manuel dé la Torre. D. Joaquín Doto'González. BARRIO DB LA CRUZ. BARRIO DE SAN CAYETANO, • . : - 'Alcalde de barrio Alcalde de barrio ’! E&gt;. Joan Josef ©janguren. D. Diego Josef de,-Villa. . Diputa…</t>
  </si>
  <si>
    <t>Dougbis, Howard</t>
  </si>
  <si>
    <t>Howard Dougbis</t>
  </si>
  <si>
    <t>entender que esta columna dd pio­ jo , vino á mudarse de limpio para presentarse con decencia á íes andaluces.” Certiñc. 12 de enero. A solicitud del coronel Howard Dougbis, comisario británico, se han insertado en los papeles públicos de Galicia ios 2 artículos si­ guientes: 1. ° A los soldados que sirven en ¿os exércitos fr…</t>
  </si>
  <si>
    <t>Dóuglas</t>
  </si>
  <si>
    <t>cia : los brigadieres generales Páek, y el conde de Resende al servició portu­ gués : el coronel Luís DorregO del regimiento portugués núm. 1 f.° reí coronel Dóuglas del regimiento potingues núm. 8.°: el conde de Ficalho, teniente coronel del mismb regimiento: el coronel Laeerda y el teniente coronel Bi­ zarro del regimiento …</t>
  </si>
  <si>
    <t>Douglas, Howard</t>
  </si>
  <si>
    <t>Howard Douglas</t>
  </si>
  <si>
    <t>235</t>
  </si>
  <si>
    <t>gual de armas, ofrece desde luego pitra el uso y manejo de los dignos y honrados patriotas que concurran á alistarse en este nuevo cuer­ po. El señor coronel Howard Douglas, comisionado de S. M. B en esta plaza , bien persuadido de que !a Galicia debe contribuir por su parte á su formación , ha oficiado con la junta superior …</t>
  </si>
  <si>
    <t>Dounie, Don Juan</t>
  </si>
  <si>
    <t>Don Juan Dounie</t>
  </si>
  <si>
    <t>uan dé la Cruz Mourgeon, tomaron á Sevilla el 28 del mes pasado; ha habido alguna pérdi­ da por ambas partes:por la nuestra se contaba como muerto el brigadier Don Juan Dounie, quien fue gravemente herido en la cabeza con una bala de fu­ sil , y cogido prisionero. Los enemigos volaron el fuerte de Constantina, y se retiraron …</t>
  </si>
  <si>
    <t>Dowei, Enrique</t>
  </si>
  <si>
    <t>Enrique Dowei</t>
  </si>
  <si>
    <t>e Sacdcman, 100. D. Antonio Gower, 20. D. Juan Gar­ cía, 100. D. Juan Bautista Arnaza, 10. D Manuel T aranera, ¿0. D. Enrique Dowel, 100. Un amigo de D. Enrique Dowei, 50. M. y 8., 100. D. Juan de Agreda, 21. Un asturiano, 10. E. M. D., 200. Doa Mauricio Onis, 10. G. T. M. y compañía, 100. D. José de Espi­ nosa, 50. I). Manue…</t>
  </si>
  <si>
    <t>Dowel, Enrique</t>
  </si>
  <si>
    <t>Enrique Dowel</t>
  </si>
  <si>
    <t>pañol, 100 y 120 cami­ sa?. D. Jorge Sacdcman, 100. D. Antonio Gower, 20. D. Juan Gar­ cía, 100. D. Juan Bautista Arnaza, 10. D Manuel T aranera, ¿0. D. Enrique Dowel, 100. Un amigo de D. Enrique Dowei, 50. M. y 8., 100. D. Juan de Agreda, 21. Un asturiano, 10. E. M. D., 200. Doa Mauricio Onis, 10. G. T. M. y compañía, 100. D…</t>
  </si>
  <si>
    <t>Dowine</t>
  </si>
  <si>
    <t>salvo la noche anterior, tan luego como supo la aproximación de nuestras tropas. Los detalles de estos sucesos deben ser muy interesantes. Quando el brigadier Dowine cayó herido en manos de los franceses so£j) Los franceses llaman jurados á los españoles que están á su servicio , y no­ sotros usamos de ia misma voz; pero en r…</t>
  </si>
  <si>
    <t>Downerg</t>
  </si>
  <si>
    <t>ó qne estaba á la entrada de la ba­ El ti el almirante apresó é hizo quemar el hía de Audierna. A las nueve las vigías empezaron brick el Jorge Will, capitán Downerg, de 136 á gritar, diciendo que veían los cachones; aunque toneladas. E,te barco venia de Ja isla S. Miguel, esto no era creibie, no obstante el almirante man­ un…</t>
  </si>
  <si>
    <t>Downie</t>
  </si>
  <si>
    <t>oneros, insertaremos parte de una carta, fecha en Sevilla á 5 del mes pa­ sado, cuyo contenido es como sigue. „ Después de haber cogido prisionero al brigadier Downie, le llevaron á pie por toda la ciudad, y luego que sa­ lieron de ella, se hacia difícil el conducirle así; á cuyo tiempo Jlegó Villatte, y dispuso, viéndole á p…</t>
  </si>
  <si>
    <t>Doylc, Carlos</t>
  </si>
  <si>
    <t>Carlos Doylc</t>
  </si>
  <si>
    <t>­ yor. por sí y por todos los dependientes de este ramo. El 12, algunos militares arrestados en el castillo de Sta. Catalina, y el teniente ge­ neral D. Carlos Doylc y gefes del depósito militar de la Isla de León, poT sí y á nombre de las respectivas clases de aquel establecimiento. Ei 14, D. Garlos Francisco ÁmeUer, directo…</t>
  </si>
  <si>
    <t>Doyle</t>
  </si>
  <si>
    <t>provincia. ,, Por disposición del supremo Consejo de Regencia se ha esta­ blecido en la isla de León un depósito de reclutas, baxo las órde­ nes del general Doyle , con el objeto de extinguir de una vez la parcialidad provincial, germen fecundo de funestas divisioacs y ri­ validades , y reunir en un punto seguro una respetabl…</t>
  </si>
  <si>
    <t>Doyle, Carlos</t>
  </si>
  <si>
    <t>Carlos Doyle</t>
  </si>
  <si>
    <t>474</t>
  </si>
  <si>
    <t>as, para conducir á Cádiz los reclutas gallegos destinados al depósito de ía Isla de León, que se ha formado baxo ia dirección del teniente gene­ ral D. Carlos Doyle , con el objeto de reemplazar nuestros exércitos.</t>
  </si>
  <si>
    <t>Draper, Domingo</t>
  </si>
  <si>
    <t>Domingo Draper</t>
  </si>
  <si>
    <t>íguez, D. Ildefonso Rulz, D. Agustín Lázaro, D. Juan Biirguiilos, D. Santiago López Ruiz, D. Pedro Fernandez, D.'José Muela , D. José María Ximcnez , D. Domingo Draper , D. Ma­ nuel Guio, D. Juan Utrero , D. Benigno Merchau, D. Víctor Casasola , D. Pascual del Rey , D. Miguel Parrales, D. Francisco Ay uso, D. Miguel González,…</t>
  </si>
  <si>
    <t>Draper, Josef Mafia XimenezDon Domingo</t>
  </si>
  <si>
    <t>Josef Mafia XimenezDon Domingo Draper</t>
  </si>
  <si>
    <t>Calero, D. Calixto Rodríguez, Don Ildefonso Ruiz, D. Agustín Lázaro, D. Juan Burguillos, D. Santiago López Ruiz, D. Pedro Fernandez, D. Josef Muela, D. Josef Mafia XimenezDon Domingo Draper, D. Manuel Guio, D. Juan Utrero, D. Benigno Merchan, D. Víctor Casasola, D. Pascual del Rey, D. Miguel Parrales, D. Francis­ co Ayuso, D.…</t>
  </si>
  <si>
    <t>Drieberg, Federico</t>
  </si>
  <si>
    <t>Federico Drieberg</t>
  </si>
  <si>
    <t>sugetos que no hubiesen sido nombrados por el con mas exactitud el mérito de la iuvencivU dei se­ REI, hasta que dando cueata á S. M. el colador, ñor barón Federico Drieberg. qualquiera que sea , por este ministerio de los nom­ Desde la mas remota antigüedad intentaron los bramientos hechos por los que tengan derecho pa­ homb…</t>
  </si>
  <si>
    <t>Drmut</t>
  </si>
  <si>
    <t>590</t>
  </si>
  <si>
    <t>oficios del mariscal general, marques de Torres• Yedras, á O. Miguel Pereyra Forjnz. I.° „Cuartel general de Fuente-Guinaldó 13 de mayo de 1812. — El general Drmut ha mudado su cuartel general desde FuenteOvejuna á HInojosa de Córdoba. „S 5 ha dicho estos dias pasados que José Bdnaparte había sido nombrado generalísimo de los…</t>
  </si>
  <si>
    <t>Dronet</t>
  </si>
  <si>
    <t>desde Llerena con fecha del 9 del corriente , en cuyo tiem­ po, parte de las fuerzas enemigas se había dirigido de Berlanga hácia Fuenteovejuna, y el general Dronet con 10000 hombres y muy poca artillería, había marchado por el Campillo sobre Zalamea.— No tengo partes auténticos sobre el sitio de Astorga, posteriores ai 5: si…</t>
  </si>
  <si>
    <t>Drouet</t>
  </si>
  <si>
    <t>n Patencia, sin duda para con­ tinuar sn marcha á Francia. Aquí esperamos hoy las de Peñafief, Tordesillas y otras, que se dice marcharán con nuestro gobernador Drouet. — Dorsenne salió de Burgos el 3 del corriente para Vitoria con 2100 infantes y 500 caballos. Las partidas de los Curas, el 2 del mismo, cogieron la guarnición…</t>
  </si>
  <si>
    <t>al tiempo q*e ha hecho ge­ neralmente en toda la península hasta el 5 ó 6 de este mes. — Por las relaciones del teniente general Hill , parece que el general Drouet habia sido reforzado de'Sevilla ,'y que habia avanzado nuevamente hacia Zafra. Creo probable que el general Mili se moverá el 12 ó el J3 hacia la frontera de Port…</t>
  </si>
  <si>
    <t>l mismo ccncifcta, uVillagarcía 11 de abril de i. 8) 2.— Tengo el honor de comuni­ caros, que habiendo tenido anoche noticia de qwe la caballería del general Drouet, en fuerza de 2500 hombres, estaba acariñada entre Usagre y este pueblo, dispuse que la brigada del mayor general Anson, mandada por el teniente coronel Pomonby, …</t>
  </si>
  <si>
    <t>iscal Soult se hallaba en Extremadura. — El conde de Penne se halla actualmente de vuelta para Extremadura coa las tro­ pas del quinto exército. — El general Drouet está en Fuente-Oveju­ na , rey no de Córdoba, con las tropas de su mando, y el mariscal Soult en Sevilla, según las últimas noticias que me ha dirigido el tenient…</t>
  </si>
  <si>
    <t>e nuevamente á Tarifa. „Con todo, parece que el. enemigo recibió prontamente noticias de la marcha de Sir R. Hill, visto que las tropas del mando del general Drouet se pusieron en movimiento kácia su izquierda, y llegaron el dia 17 á Medeilín sobre el Guadiana, y al día siguiente un destaca­ mento de; caballería del cuerpo ¿e…</t>
  </si>
  <si>
    <t>ticos. Alas 2 de la tarde del dia l.° de Noviembre se presentó en el puente de Toledo un oficial francés en clase de parlamentario , en­ viado por el general Drouet que estaba en Getate, y avisó que al dia siguiente entraría José Boiiáparté con sus tropas, y que debía salir una diputación del ayuntamiento, clero y personas pr…</t>
  </si>
  <si>
    <t>Druet</t>
  </si>
  <si>
    <t>Conil. El general Ballesteros se hallaba el 29 de julio en Grazaiema. ,,He recibido carta de sir R. Hill, con fecha de 8 del corriente, y aun­ que el general Druet había estado en movimiento por tres dias consecuti­ vos , no parece que sean de importancia alguna. ,,E1 mayor general Clinton me participa desde Cuellar, con fech…</t>
  </si>
  <si>
    <t>Dteterow</t>
  </si>
  <si>
    <t>mpo de batalla hasta la noche, en que recibió orden del general en gefe de ir á tomarla posírian que se le habia señalado para una acción general. El general Dteterow pasó al mismo tiempo ©1 Du­ na , y llegó al propio sitio. Al conde Yon Pablen se le dió el mando de la retaguardia que estaba apostada á 10 werstas del ©xércít …</t>
  </si>
  <si>
    <t>Duarte, Antonio</t>
  </si>
  <si>
    <t>Antonio Duarte</t>
  </si>
  <si>
    <t>, por 4 , 36. D* Manuel Ruiz y compañía, por uno, 9. D. Francisco Delgado Vetez, id., 9. D. Manuel Urueta, por 4, 36. D. Francisco Polo , por uno, 9. D. Antonio Duarte , id., 9. D. José Perera, id., 9. D. Bonifacio Tariego, id., 9. D. Andrés Lesama, por 2, 18. D. José Marcial &lt; e Echarri, id., 18. D. Manuel Mas, por uno, 9. D…</t>
  </si>
  <si>
    <t>Duarte, Bonifacio</t>
  </si>
  <si>
    <t>Bonifacio Duarte</t>
  </si>
  <si>
    <t>por 2, 18. D, Manuel de la Holia, por uno, 9. D. Juan de la Casa Nueva, id., 9. D. Pedro Antonio de Ayala y D J osé Marcelino de Escobedo, por 2, 18. D. Bonifacio Duarte, id., 18. El canónigo D. Julián José del Barrio , id., 18. D. Julián Delgado, por uno , 9 D. José Melchor Vaídes , id. , 9. D. Juan de Jesús Gómez , por 2, 1…</t>
  </si>
  <si>
    <t>Dubreton</t>
  </si>
  <si>
    <t>480</t>
  </si>
  <si>
    <t>y las hubiera entregado si este heroico hecho hubiese sido apoyado por toda ia ca­ ballería , que no Ibgó á tiempo. jjLos enemigos , mandados por el general Dubreton, sufrieron un fuego horroroso al paso del puente, y se situaron en una altura inme­ diata á él. AIií sostuvieron ei fuego la mayor parte del dia, siéndoles siemp…</t>
  </si>
  <si>
    <t>Dubreuil, Buenaventura</t>
  </si>
  <si>
    <t>Buenaventura Dubreuil</t>
  </si>
  <si>
    <t>n María Grifón, D. Francisco Martínez, D. J osé de Vegas, D. Antonio de Vegas, D. Mariano Lktadi y Don Marcee Morejon ; y á subtenientes de bandera á D. Buenaventura Dubreuil, D. Miguel Orioñez, D. Eusebío RoduTfo Reggio, Don ARtonio Infante, D. Juan Vuiaverde y D José Jguacio Cruzat En el de infantería déla Habana, á capitán…</t>
  </si>
  <si>
    <t>Dubreuü, Jacobo</t>
  </si>
  <si>
    <t>Jacobo Dubreuü</t>
  </si>
  <si>
    <t>nandez y D. Diego Barrado; á subtenientes de fudleros á D. José Urcullo, D. Pedro de Vegas, D. Martin Palmo, D. Juan Itobayna, D. Bernardo Domínguez, D. Jacobo Dubreuü, 1). Luis Pana, Don 3JabIo de Ltrin, D. Juan María Grifón, D. Francisco Martínez, D. J osé de Vegas, D. Antonio de Vegas, D. Mariano Lktadi y Don Marcee Morejo…</t>
  </si>
  <si>
    <t>Dubrevii, Antonio</t>
  </si>
  <si>
    <t>Antonio Dubrevii</t>
  </si>
  <si>
    <t>y, Don ■Cirilo de Mor&amp;nt y D. Francisco Perez Maro; á tenientes de grana­ deros k D. José Alpanscque y D. José Declouuf; á tenientes de fu­ sileros á D. Antonio Dubrevii, D. Francisco Cañedo, D. Juan Do­ mínguez , D. J usé Bernardo, D. Pedro Rey-yo , D. Carlos Reggio, D Bernardo Prieto, D. Cirilo Lessacier, í). Juan Galguare,…</t>
  </si>
  <si>
    <t>Dudesko</t>
  </si>
  <si>
    <t>tonará dorante el invierno tardar ó contrariar la marcha de estas tropas, será en las inmediaciones de Stcph*n¡st¡a. castigado con pena de muerte. El conde Dudesko ba sido nrmbradó kaima- También se ha dado orden al nuevo cap ¡tare kan ó ban de la pequeña Valaquu, cuya digni­ baxá de que tome las medidas, mas eficaces á fio. …</t>
  </si>
  <si>
    <t>Dueñas, Fernando</t>
  </si>
  <si>
    <t>Fernando Dueñas</t>
  </si>
  <si>
    <t>ta y D. Antonio Alvarez d;i Villar; la sargentía mayor, al marques de Torre-Tagls ; ayudantías á D. Francisco Antonio Goy tá­ salo, O- Dámaso Ar as y D. Fernando Dueñas; subtenencias de ban­ dera á D. Ramón deErrea, D. Manuel del Valle, D. Juan Gil, D. Juan Ignacio Mendizabal, D. Rafael Palomeque y D. Juan Pa­ nero; compañías…</t>
  </si>
  <si>
    <t>Dufaant, Lorenzo</t>
  </si>
  <si>
    <t>Lorenzo Dufaant</t>
  </si>
  <si>
    <t>rezar un padre nuestro por sus al­ pitán; Á D. Guillermo Donna, subteniente., á te­ mas. ¿ Para qué quieren ellos padres nuestros , tonta, niente; y D. Lorenzo Dufaant , sargento primero, repitió'sa marido ,si son de seta ? ¿ No has oído de­ cir al señor cura que no son cristianos como nosotros, á subteniente. Por decretos de…</t>
  </si>
  <si>
    <t>Dufour</t>
  </si>
  <si>
    <t>y le hirieron otros dos. Los generales NhiimujEn este momento S. M. me envió la división ty, Grouchy, Eriant, Borde-Soult, Alouriez, QuenEriant; y e! general Dufour paso la quebrada á la nont, Roussel, Chouard y Bessieres se lian dis­ ■ eheza del regimiento i;." de infantería ligera; y tinguido. Los generales Latour-xMaubourg…</t>
  </si>
  <si>
    <t>Duíf, Diego</t>
  </si>
  <si>
    <t>Diego Duíf</t>
  </si>
  <si>
    <t>on el secretario y demas individuos de la unbaxada: seguían el centra-almirante Legge, generFtl de la escuadra británica, ei cónsul déla misma nación D. Diego Duíf, y i¡urneroi&gt;a comitiva de oficiaíes ingleses de mar y tierra, y cerraba una escolta de caballería man­ dada por un oficial. 1 as tropas dé la formación tocaron ma…</t>
  </si>
  <si>
    <t>Dujon</t>
  </si>
  <si>
    <t>as rocas, y le parece inve­ el caballero Faverot, coronel del n.° regimienta rosímil. En fin , dicen que en el valle de Hsii no de caza lores; Mr. el barón Dujon , coronel super­ te conoce la persona que 1er sirvió de guia en esta numerario del 4.0 regimiento de coraceros; Mr. expedición. Doré, coronel dei 34.0 regimiento de …</t>
  </si>
  <si>
    <t>Dumont, Josef</t>
  </si>
  <si>
    <t>Josef Dumont</t>
  </si>
  <si>
    <t>Gaceta de Madrid n.º 132</t>
  </si>
  <si>
    <t>aotería Real Torres y Várgas. Señores Infantes , Avecilla , Casanova, Alverá, Mas y Fabiuni Extranjero á D. Luis Misselly, ayudante mayor, i capitán; D. Josef Dumont, subteniente, á te­ En el de la Cruz, á las cinco y media de la tarde, niente: y en el regimiento núm. i.’ de cazadores se executará la pieza titulada los Viages…</t>
  </si>
  <si>
    <t>Dundas</t>
  </si>
  <si>
    <t>general, y á los oficiales que le acompañan: á los del red cuerpo de zapadores, por la eficacia con que ine auxiliaron, y en particular al honorable teniente coronel Dundas, al te­ niente coronel Sturgeon, perteneciente al último, y al mayor Seovell, perte­ neciente al primero: asimismo al teniente coronel vVaters, que al pre…</t>
  </si>
  <si>
    <t>Dúo, Juan Antonio</t>
  </si>
  <si>
    <t>Juan Antonio Dúo</t>
  </si>
  <si>
    <t>dos mis cui­ dados y de la incertidumbre de mi suerte ulterior. ,, De mucho me ha servido los auxilies que me han franqueado el subal­ terno de V. S. D. Juan Antonio Dúo, y espero que me sirvan también los demas q*e el mismo pueda prestarme en adelante; pero habiéndome este in­ formado de que no tiene cartuchos de fusil, sino…</t>
  </si>
  <si>
    <t>Dupont</t>
  </si>
  <si>
    <t>rvar que el gobierno británico no tuvo parte alguna en aquella capitulación, y que hasta se duda haya en este pais un solo oficial del exér­ cito del general Dupont. Pero sobre todo su descaro liega á lo máximo, quando dice que los ingleses fueron los primeros que quebrantaron su palabra, y que este procedimiento habia mereci…</t>
  </si>
  <si>
    <t>Duran</t>
  </si>
  <si>
    <t>unstancias de la ventaja conseguida el SO del pasado entre Osoni11a y Tardelquende ? á 3 leguas de Almazan, por nuestra corta di­ visión al mando del brigadier Duran, contra la columna francesa de 70 caballos y mas de 1000 infantes , que después de haber sacado gran cantidad de granos y dinero de los partidos de Berlanga y de…</t>
  </si>
  <si>
    <t>458</t>
  </si>
  <si>
    <t>ahía re­ plegado sus restantes fuerzas en Calatayud, y que no estaba en dis­ posición de poder prestar auxilio á Soria, para impedir la operación del general Duran, sobre su capital, me resolví el 26 á hacer un mo­ vimiento rápido para ver de proteger aquel cuerpo perseguido, sin embargo de nuestra larga distancia. Dirigiéndo…</t>
  </si>
  <si>
    <t>as veces L-s esfuerzos de cuerpos casi iguales al que ahora le persigue, volverá á burlarlos en esta ocasión, y se cubrirá nuevamente de gloria. — El general Duran se vió obligado á levantar el sitio del castillo de Soria y á retirarse sobre Agreda, y después Bobre Cervera por ha­ ber acudido fuerzas enemigas muy superiores. …</t>
  </si>
  <si>
    <t>655</t>
  </si>
  <si>
    <t>■Esta ventaja que obtuvo la caballería de nuestra división , sin mas pérdida que algunos heridos, casi todo» levemente; la'noticia de lá entrada del general Duran en Soria el 19 del mismo mes 5 y !&amp;s de los progresos del general Villacampa , que después de triunfar del cuerpo enemigo de Palombini el 8 en Campillo, el 22 en At…</t>
  </si>
  <si>
    <t>l general de Soto 15 Je agosto de 1812. = Duran.” Quando los franceses supieron la completa derrota de Marmont evacua­ ron la ciudad de Logroño, y el general Duran, sin perder momento, entró en ella, destruyó las fortificaciones exteriores, la casa inquisición y el fuer­ te llamado Balbucirá; pero no pudo continuar en esta op…</t>
  </si>
  <si>
    <t>141</t>
  </si>
  <si>
    <t>giéndose por V iilazayas á Soria; á los dos dias pasaron 800 in­ gleses por el mismo camino; y es probable que reforzada con estos la divi­ sión del *general Duran , se e* treche el sitio de aquella ciudad. V arias carias de las inmediaciones de Francia aseguran que en Bayona reyna el mayor descontento. El último decreto expe…</t>
  </si>
  <si>
    <t>oita estaba a ií paciendo. Los incesantes movimientos que ya con toda sn división , ya con parte de ella ha hecho p r las inmediaoiones de Logroño el general Duran. han libertado á los puebla comarcanos de los ro­ bos y saqueos que con el nombre da contribución hace el enemi­ go de una manera que no tiene exampio ci aun ea la…</t>
  </si>
  <si>
    <t>de 12 de setiembre dimos por supuesto que Borja estaba eva­ cuada por ei enemigo; ésta noticia ha salido falsa. Por el parte que inserta­ mos hoy del general Duran resulta no haberse verificado hasta ahora la total evacuación de Calatayud. Copia del parte dirigido por el general Duran al'general en gefe del se­ gundo y tercer…</t>
  </si>
  <si>
    <t>Duran, Antonio</t>
  </si>
  <si>
    <t>Antonio Duran</t>
  </si>
  <si>
    <t>son españoles: se admi­ de infantería de línea , 4 D. Juan O Lohluy , ayu­ nistra en nombre de su R i la justicia: el papel dante mayor, 4 capitán; á D. Antonio Duran, te­ sellado tiene las armas reales y el nombre del So­ niente , á ayudante mayor; á D. Tomas Monroi, berano. Todas las corporaciones prestaron con la D. Marian…</t>
  </si>
  <si>
    <t>Duran, Faustino</t>
  </si>
  <si>
    <t>Faustino Duran</t>
  </si>
  <si>
    <t>ceta , administrador , 108 y 2 rs. y medio. D. Fausti­ no Hurtado , 4. D. Juan Moscos , teniente del resguardo , 7. I). Juan Espino­ sa , guarda, tí. D. Faustino Duran , id., tí. D. Juan Otero , amanuense , 4. D. José María Arricia por el importe de 5 vestuarios de tropa de caballería, 14-5. Comerciantes de Piltra. D. Joaquín…</t>
  </si>
  <si>
    <t>Duran, José</t>
  </si>
  <si>
    <t>José Duran</t>
  </si>
  <si>
    <t>leguas , dexando en mi poder el ene­ migo 17 caballos, sin contar los que han caído en poder ü ^ i a l \ i— sien del brigadier Mallín. Del brigeditr D. José Duran al general en gefe. del segundo y tercer exército.—Cuartel general de Ateca 10 de noviembre de I8tl, K «ar del mal estado de mi salud , pasé el 5 del corriente a. l…</t>
  </si>
  <si>
    <t>Duran, Josef</t>
  </si>
  <si>
    <t>Josef Duran</t>
  </si>
  <si>
    <t>an Vigo, que con las quatro compañías de cazadores de estos batallones, sus auxiliares D. Vicente Sánchez, de Cataluña; Don Bernardo García, de Lena; D. Josef Duran, de Sigiienza; D. Cecilio Ayllon, de Ciudad-Real, y demas subalternos, traspasaron la esfera de la bi­ zarría y constancia, tan commes á los militares del exércit…</t>
  </si>
  <si>
    <t>Duran, Manuel</t>
  </si>
  <si>
    <t>Manuel Duran</t>
  </si>
  <si>
    <t>ncisco María Charum , 83 y 2 y me­ dio. D. Diego Antonio Posada , 166 y 5. D. Antonio Franca, 83 y 2 y me­ dio. D. Manuel Ferreiros , 83 y 2 y medio. D. Manuel Duran , 83y 3 y medio. ( Se continuarán.) a m. CADIZ ; EN L1 IMPRENTA REAL.</t>
  </si>
  <si>
    <t>Duran, Mariano</t>
  </si>
  <si>
    <t>Mariano Duran</t>
  </si>
  <si>
    <t>para atacar­ los, se retiraron rápidamente, perseguidos por el batallón de Bru­ mas, con pérdida de algunos muertos y heridos. A principios del raes, D. Mariano Duran, capitán de granade­ ros dei segundo batallón de S. Ferasnio, atacó con 100 soldados en el camino de Gerona á Bañólas un convoy enemigo, que arro­ lló y persigu…</t>
  </si>
  <si>
    <t>Duran, Tomas Gómez</t>
  </si>
  <si>
    <t>Tomas Gómez Duran</t>
  </si>
  <si>
    <t>ntísimo tribunal de la fe , deseando que se con­ ................. AVISO. serve por infinitos siglos. ,,Tu mayor gloria, pro- Por providencia del Sr. D. Tomas Gómez Duran, rumpe. e* este teatro de delincuentes y facinero­ juez de primera instancia en esta villa, dada en 19 del sos castigados. De ti puedo yo decir lo que de la…</t>
  </si>
  <si>
    <t>Duran, Trinis Gómez</t>
  </si>
  <si>
    <t>Trinis Gómez Duran</t>
  </si>
  <si>
    <t>Ramón García Gdiego , marido de Doña María Bujeta Martínez REINO DE ÑAPOLES. Garay, poseedora del mayorazgode los Dazas, por medio de su apode­ rado D. Trinis Gómez Duran........ 3982 *7 Potenza (en la Basilicata) a de mayo. D. Cários de Pando y Alava, conde de Vihaptterna, como poseedor Esta mañana á las seis y quiriro hemos…</t>
  </si>
  <si>
    <t>Durar, Jrvef</t>
  </si>
  <si>
    <t>Jrvef Durar</t>
  </si>
  <si>
    <t>r vendiéndolas por dez sdp Navarrete , director de los mismos reales sí ó en sos tiendas , estarán sujetos á las mismas estudios, y fueron examinados D. Jrvef Durar», ¡formalidades arriba prescriptas á los maestros ar­ D. Nicolás Berroya y Aíviz, D. jos^f Fernandez meros ; pero no podrán de modo alguno vender, Mayoral, D. Man…</t>
  </si>
  <si>
    <t>Durnas</t>
  </si>
  <si>
    <t>introducidos SS. EE. los ministros de relaciones exteriores y de la guerra, el conde Regnault de Saint-Jean-d’Acgdy , minis­ tro de estado , y el Sr. conde Durnas, consejero de estado. — S. E. el duque de Basarlo, ministro de relaciones exteriores, comunica el informe siguiente:</t>
  </si>
  <si>
    <t>Duro, Agustín</t>
  </si>
  <si>
    <t>Agustín Duro</t>
  </si>
  <si>
    <t>100 la fuente de la nueva plaza de Santa Ana; y tam­ D. Agustín Zavala............................. 60 bién ha dado otra estatua de nuestros antiguos D. Agustín Duro.............................. 40 Reyes, para ocupar un oportuno sitio en la plaza D. Juan Puente.................................. 40 de S. Miguel: providencias …</t>
  </si>
  <si>
    <t>Duvango, Vicente</t>
  </si>
  <si>
    <t>Vicente Duvango</t>
  </si>
  <si>
    <t>gno é interesante objeto : „Ei Excrao. Sr. duque dei infantado, ICO libras esterlinas. D. Ma­ nuel de la Torre, 210. El cónsul general de España, 50. D. Vicente Duvango, 50. D. Ricardo Sbield, 100. D. Jayme Campbell, 100. D. Andrés Loughnan, 50. Los Sres. Gordon, Murfiy compañía, 105. D. José Moreno de Mora, ¿0. Un patriota e…</t>
  </si>
  <si>
    <t>Duveir</t>
  </si>
  <si>
    <t>588</t>
  </si>
  <si>
    <t>francesa 18 millones de pesetas. En. toda Alemania no se vea mas que tropas francesas en mar­ cha. (Jerónimo Socaparte había llegado á Varsovia, y el mariscal Duveir&gt;t á Thern. El 6 de abril se incendió el arsenal de Magdeburgo, sin que se sepa la causa de este acontecimiento. —A principios del mismo mes se reama un cuerpo de…</t>
  </si>
  <si>
    <t>Duvó</t>
  </si>
  <si>
    <t>217 eran soTprehender al ayuntamiento y demás cabezas de familia, par no querer pagar la contribución, según manifestó el general Duvó, diciendo á la gente que encontró en la casa de su alojamiento, que por no haber encontrado á la justicia y deraa» en la villa, pasaría dentro de tercero dia á incendiarla. „jDta 17. En est</t>
  </si>
  <si>
    <t>Dxouetcuyas</t>
  </si>
  <si>
    <t>as cartas que he recibido del teniente general Hill con fecha de l.° del corriente, dicen que: estaba á punto de ponerse en movimiento p?ra atacar al general Dxouetcuyas fuerzas considera­ ba inferieres á las suyas.” II. Rueda 14 de julio de 1812.—,,EL general Bbnaet se reunió en la terdc del dia 7 del corriente al exército e…</t>
  </si>
  <si>
    <t>e Connock, Jo</t>
  </si>
  <si>
    <t>Jo e Connock</t>
  </si>
  <si>
    <t>tenientes-co­ roneles D. Francisco Serrállach, D. Luis Genaro La-Rocque, D. Jo­ sé Minio, D. Juan Ponman y D. Manuel Gamindez ; el capit&amp;n de fragata D. Jo«é Connock; los sargentos mayores D. Jian de Arcos, D. José María Rubio, D, Francisco Florencio, D. Juan Eusebio Manzano y D. Vicente Jaudenes, y el auditor de gaern O B ai…</t>
  </si>
  <si>
    <t>e Dámaso, José de la Cruz Arcava y D J</t>
  </si>
  <si>
    <t>José de la Cruz Arcava y D J e Dámaso</t>
  </si>
  <si>
    <t>murí Ferrar, Q Antonio Gutiér­ rez, D. Esteban Gabejo, D. Manuel A ¿dama, D. Joié Ignacio Eca­ saba!, D. Juan Pablo Morales, ÍX J &gt;sé Ignacio Arcaya, D. José de la Cruz Arcava y D J &gt;¿é Dámaso M irabes; habiendo concedido al porpio tiempo ayudantías veteranas de infantería, á ios ayudantes primers? y segando de urbanos, D. Ma…</t>
  </si>
  <si>
    <t>e Echarri, José Marcial</t>
  </si>
  <si>
    <t>José Marcial e Echarri</t>
  </si>
  <si>
    <t>4, 36. D. Francisco Polo , por uno, 9. D. Antonio Duarte , id., 9. D. José Perera, id., 9. D. Bonifacio Tariego, id., 9. D. Andrés Lesama, por 2, 18. D. José Marcial &lt; e Echarri, id., 18. D. Manuel Mas, por uno, 9. D. Do* mingo Cabrera , id., 9, D. Joaquín Goycourva, id,, 9. D. Juan Hernande* Acosta, id., 9. (Se continuará.) …</t>
  </si>
  <si>
    <t>e Mseso, Jo</t>
  </si>
  <si>
    <t>Jo e Mseso</t>
  </si>
  <si>
    <t>1027</t>
  </si>
  <si>
    <t>1027 clore» de Cs tata ña , D. Jo é Mseso , para que mar de fusilar Ic* de* primero» prisioner* s q e fcrga , en represaba de uno de mis guias, que aprehendido y c uducico á .Lérida, sufrió este mismo castigo, gm que su vestuario, a</t>
  </si>
  <si>
    <t>e Salgado, Jo</t>
  </si>
  <si>
    <t>Jo e Salgado</t>
  </si>
  <si>
    <t>enientes D. Gabriel Se­ dó y D. Luis Tlxeyro, y los subtenientes D. Genaro Sano, D. Ma­ nuel Blanco y D. Andrés González , el capitán del de Mortrey, D. Jo é Salgado, ios tenientes de granaderos y cazadores del mismo cuerpo D. Juan Suances, D. Ambrosio HorcasiHasy D. Felipe A ña­ ño , y ios subtenientes D. Francisco B¿an, D. …</t>
  </si>
  <si>
    <t>e Sema, Jo</t>
  </si>
  <si>
    <t>Jo e Sema</t>
  </si>
  <si>
    <t>osé C.uóps, D. Manuel L no, D. Pedro Rueda, D. Santiago B-dhmia , O. José Clemente, D. Jo­ sé Me-reno Muñoz, D. Andrés López, D. Baldomcro Espartero, D. Jo&amp;é Sema , D. Fernando Borrero, y D. Francisco Cortazar.</t>
  </si>
  <si>
    <t>E-cudero, Valeriano</t>
  </si>
  <si>
    <t>Valeriano E-cudero</t>
  </si>
  <si>
    <t>r á esta cuitada dueña de tos tiznones y tes para la vicari, de Navalcarnero , vacante por thafarrinazos con que trabajos y malas compañías muerte de D. Valeriano E-cudero. la han desfigurado, y h,gamos por restituirle el Y por otro decreto del mismo dia ha veni­ color y facciones que Dios le dio. .Escribamos una do S. M. en …</t>
  </si>
  <si>
    <t>Eacy</t>
  </si>
  <si>
    <t>y Xitnena, después de haber evacuado Laval la parte que ocupaba del campo de S. Roque y Algeciras, retirándose á la sierra Carbonera. En Cataluña el general Eacy decretó que los nombres de vándalos, ase­ sinos y salteadores sean los únicos que se apliquen en lo sucesivo á los fran­ ceses ; de manera, que en vez de decir /@ fr…</t>
  </si>
  <si>
    <t>Earljne</t>
  </si>
  <si>
    <t>migo Común. Un Bahía de Palermo 23 de enero. cuerpo ruso que había ido á atacar el castillo de Akaleithe ha sido rtch zado con pérdida, y ha El mayor general Earljne ha sido nombrado tenido que renunciar á esta empresa. comandante de esta plaza inmediatamente después H ce unos 15 dias que se extendió aqui la del nombramiento …</t>
  </si>
  <si>
    <t>Easaga, Francisco</t>
  </si>
  <si>
    <t>Francisco Easaga</t>
  </si>
  <si>
    <t>. D. Francisco Oramas, 16 D José Moran por resto de los pulperos, 122. Doña Francisca Cortazar, 62 y 4 D Francisco Pareja, 30. D.-Pablo Mendiola, 60. D. Francisco Easaga, 8. D, Francisco Irrisarri , 20. El protomedico D. Ignacio Hurtado, y su mug&lt;r Doña María de los Santos Serna, 160. Varias señoras de Guayaquil, 355 y 4. El …</t>
  </si>
  <si>
    <t>Eaton</t>
  </si>
  <si>
    <t>os que tenga un cierto núme­ ro de navios de guerra. Este tratado fue firmado por el príncipe Kurakin y el príncipe Talleyrand. El buque americano el General Eaton ha llegado el 25 á Deal desde Ca­ lais, de donde habia salido la noche anterior conduciendo algunos pasageros, y por ellos hemos recibido los últimos boletines del…</t>
  </si>
  <si>
    <t>Ebei</t>
  </si>
  <si>
    <t>tomarlo se mezcla comunmente con miel. La do­ sean conducidos fuera del territorio del cantou. sis , desde que empieza á sentirse el croup , hasta El doctor Ebei, célebre por ¡as obras que ha que empieza á minorarse, es de seis á diez granos escrito sobre la Suiza, se halla en esta ciudad hace por la mañuía y por la tarde. Se…</t>
  </si>
  <si>
    <t>Eca, Joié Ignacio</t>
  </si>
  <si>
    <t>Joié Ignacio Eca</t>
  </si>
  <si>
    <t>renzo López y D. J é Mumei Listem; y de alférez de las de cabsterí*, á D. M'murí Ferrar, Q Antonio Gutiér­ rez, D. Esteban Gabejo, D. Manuel A ¿dama, D. Joié Ignacio Eca­ saba!, D. Juan Pablo Morales, ÍX J &gt;sé Ignacio Arcaya, D. José de la Cruz Arcava y D J &gt;¿é Dámaso M irabes; habiendo concedido al porpio tiempo ayudantías v…</t>
  </si>
  <si>
    <t>Echavagueren, Ignacio</t>
  </si>
  <si>
    <t>Ignacio Echavagueren</t>
  </si>
  <si>
    <t>455</t>
  </si>
  <si>
    <t>18 cargas de fusiles y de otros efectos de guerra. „Mí pérdida ha consistido en 27 muertos, entre dios el capitán de, granaderos del tercer batallón D. Ignacio Echavagueren y el te­ niente de la cuarta compañía del mismo D. Juan Lobez, y en 81 he­ ridos, entre ellos el capitán D. Benito Irigoyen y 2 oficiales. „P«. rteriormen…</t>
  </si>
  <si>
    <t>Eche, Feliciano</t>
  </si>
  <si>
    <t>Feliciano Eche</t>
  </si>
  <si>
    <t>José Sánchez, 6. D. José Alegre, 10. D. Mariano Lucar, 6. D. Toribio Echeverría, 6. D. Lino Figueroa , 2. D. Tomas Collas, 2. D. Domingo Sánchez , 6. D. Feliciano Eche­ varría , 2. D. Calixto López , 2. D. Gaspar de Castilla , 6. D. José Arana , 2. D. Benito Lacea, 2. D. Jorge Gadea, 6. D. Manuel Bergara, 2. — Regi~ miento de…</t>
  </si>
  <si>
    <t>Echevarría, Josef</t>
  </si>
  <si>
    <t>Josef Echevarría</t>
  </si>
  <si>
    <t>icho camino D. Josef Canell. de Carabanchel, y linda al mediodía con tierra del D. Antonio Mesa. conde de Francos, y al poniente con otra de un veci­ D. Josef Echevarría. no de Madrid, conocido por Velarde; su caber quatro D. Manuel Sobrinos. fanegas y 2a estadales, y su valor 720 reales cada fa­ ar.t. ni. En la villa de Lnqn…</t>
  </si>
  <si>
    <t>Echever, Francisco de Sales</t>
  </si>
  <si>
    <t>Francisco de Sales Echever</t>
  </si>
  <si>
    <t>everde al empleo de espitan de navio de la real armada. Asimismo y para premiar el igualmente distinguido mérito del comandante subalterno de marina, D. Francisco de Sales Echever­ ría ; del alférez de fragata D. José de Mesa y Figueroa, y de !o3 ca­ pitanes y pilotos de baques particulares, D. Mateo Oronoz, D. An­ tonio Ugar…</t>
  </si>
  <si>
    <t>Echeverría, José</t>
  </si>
  <si>
    <t>José Echeverría</t>
  </si>
  <si>
    <t>curas de S. Sebastian , 100. I^a congregación de seglares de nuestra Sra. de la O, 12000. Cuerpo de Morenos de esta capital. Piaña mayor. Ayu­ dante D. José Echeverría', 50. Capellán D. Francisco Jáuregui , 2. Garzón Domingo Caveto, 22. Id. Juan Manuel Oyararte , 21 y 2. Tropa. El capi­ tón de ia primera compañía José Palacio…</t>
  </si>
  <si>
    <t>Echeverría, Manuel Aotonio</t>
  </si>
  <si>
    <t>Manuel Aotonio Echeverría</t>
  </si>
  <si>
    <t>sef Sebastian. D. Juan Amonio Perez. Secretario D. Pedro de las Muelas. D. Fermín Gutiérrez. D. Juan Ximenez. ¡ Secretario BARRIO DEL CARMEN CALZADO. D. Manuel Aotonio Echeverría. Alcalde de'barrio D. Antonio Aivarez. BARRIO DE LA PLAZUELA DB SAN JUAN* Diputado eclesiástico Alcalde dt 'barrio D.................... D. Antonio …</t>
  </si>
  <si>
    <t>Echeverría, Pedro</t>
  </si>
  <si>
    <t>Pedro Echeverría</t>
  </si>
  <si>
    <t>25. D.'Lo­ renzo niñones , 25. D. Juan de la Roca , 25. D. Andrés Gómez , 25. D. José Fiaría Dávila , 25. D. José Puente , 25 D, Manuel Sequin , 25. D. Pedro Echeverría , ti. D José María Palqoij , 17. D. Pedro José Colmenares , pres­ bítero , 12. D. José María Galindo, 12. D. Juan Contreras , 12 D. Félix Devo’.i ? 10. D. Man…</t>
  </si>
  <si>
    <t>res de mont ña D. Nicolás VilLgarcía , ha Sr- D. Henrique Serradle................ 300 hecho prisionero el dia ai en Tamajon al llamado El Excmo. Sr. D. Pedro Echeverría,. ijO el Manco con i.n rfifial, 54 hombres, y 80 caba^ El Excmo. Sr. D. Mariano Luis de lio» de su partida. E,. resto de ella, compuesto de Urqutjo..........…</t>
  </si>
  <si>
    <t>Echeverría, Toribio</t>
  </si>
  <si>
    <t>Toribio Echeverría</t>
  </si>
  <si>
    <t>é Mexia, 2. D. Hilario Olivera, 10. D. Ma­ nuel de Torres, 10. D. Carlos Villa-Chica, 8. D. José Sánchez, 6. D. José Alegre, 10. D. Mariano Lucar, 6. D. Toribio Echeverría, 6. D. Lino Figueroa , 2. D. Tomas Collas, 2. D. Domingo Sánchez , 6. D. Feliciano Eche­ varría , 2. D. Calixto López , 2. D. Gaspar de Castilla , 6. D. Jo…</t>
  </si>
  <si>
    <t>Echezuria, Juan Nepomuccno</t>
  </si>
  <si>
    <t>Juan Nepomuccno Echezuria</t>
  </si>
  <si>
    <t>23 de junio del año próximo, pasado , se ha servido nombrar segundo ayudante mayor del cuarto batallón del regimiento real de Zapadores Minadores ^ á D. Juan Nepomuccno Echezuria, teniente del regimiento infantería de Ordenes Milita roe. ' El Consejo de Regencia se ha servido conferir en el batallón de artilleros milicianos p…</t>
  </si>
  <si>
    <t>Ecija, Antonio</t>
  </si>
  <si>
    <t>Antonio Ecija</t>
  </si>
  <si>
    <t>ESPAÑA. Francisco Balboa , ex carmelita descalzo. Para la de Arenas y Jatar , vacante por no ha­ Valla do!íd 4 de marzo. berse presentado á servirla D. Antonio Ecija , ex­ dominico, á D. Eugenio Cha..fdi, ex-francisca­ Cinco mil bandidos de las qoadrillas de Du­ no del orden tercero , sicristan de la de Pitres. ran, de Amor, …</t>
  </si>
  <si>
    <t>Eduardo</t>
  </si>
  <si>
    <t>Salafranca: segunda ayudantía mayor al segundo teniente de granaderos D. José Clemente de Buerens:segundas tenencias de granaderos á los de fusileros D. Eduardo de. Silva y D. Vicente Segurado : ídem de cazadores ai alférez D. Pe­ dro Cabañas : segundas tenencias de fusileros al alférez D. J uan de la Chaussee y á D. Vicente …</t>
  </si>
  <si>
    <t>Egipto</t>
  </si>
  <si>
    <t>Gaceta de Madrid n.º 217</t>
  </si>
  <si>
    <t>ciudades , la forma de las ca­ M. moría sobre los vasos ungüentarías que se ías, de los trages, de los'utensilios y de los ins­ llevaban antiguamente d Egipto , y sobre los que trumentos de las artes ; en una paLbra , de todo allí se fabricaban, por Mr. Roziere, ingeniero quanto puede componer y formar una relación de minas. …</t>
  </si>
  <si>
    <t>Egipto, I</t>
  </si>
  <si>
    <t>I Egipto</t>
  </si>
  <si>
    <t>e­ critas en este sentid •, en las quacs encontrarán dades otro rel.Tvo al estado moderno ó presente los que quier.n penetrar en ios profundos miste­ d I Egipto, con una serie de observaciones astro­ rios de e-te puibio, muchos hechos proo.;d-&gt;s y tó nicas hechas por Mr. Nouct, astrónomo de la comparados entre M con mucho lin…</t>
  </si>
  <si>
    <t>Egoaguirre, Mariano</t>
  </si>
  <si>
    <t>Mariano Egoaguirre</t>
  </si>
  <si>
    <t>gación de S. Felipe Neri , 25. 1). Domingo Pimentei , por sí y por la botica de la Bueña-muerte , 25. D. José Gil , 25. D, Fran­ cia o 5 lo mes , 25. D. Mariano Egoaguirre , IG. D. Luis Q, ni ros , 12. D. Ale* x andró Boh urques , 12. i). José Isidoro Alcedo, 12. D. Mariano Espino'a, 10. 1). Luis Sánchez Baharuonde, 10. D. Ma…</t>
  </si>
  <si>
    <t>Egoavil, Fernando</t>
  </si>
  <si>
    <t>Fernando Egoavil</t>
  </si>
  <si>
    <t>otay D Marcos Jara , 4. Id. de Parcos I). Juan Antonio Uavila , 5. Id. de Marcas D. Grego­ rio Dávila , 5. Carrera de Pitaco. Administrador de Ya,n!¡ D. Fernando Egoavil j 8. Id de Tarma I). Pedro Pagan,JO Id. de Jauja D. Juan de Landa, 25. Id. de Huancayo D. Felipe Sopeña, 50. Id. de Pasco D. Manuel Cuvillaa, 50. (Se cóníiim…</t>
  </si>
  <si>
    <t>Eguía, Pedro</t>
  </si>
  <si>
    <t>Pedro Eguía</t>
  </si>
  <si>
    <t>general de Sangüe­ sa y enero 11 de 1812—Excmo. Sr. — Gabriel de AfendhabaL — Exorno. Sr. ministro de la guerra. — P. D. — El gefe del estado ma­ yor D. Pedro Eguía, que me acompañó en toda la expedición , se halló presente , y desempeñó con toda exactitud las funciones de su empleo.” Cádiz 13 de mano. En esta noche pasada lo…</t>
  </si>
  <si>
    <t>Egusquiza, Félix</t>
  </si>
  <si>
    <t>Félix Egusquiza</t>
  </si>
  <si>
    <t>de S. Lázaro. D. Anselmo Perez de la Canal , cura de S. Lázaro, 100. D. Nicolás Rueda, capellán del hospital de S. Lázaro, 12. D. Carlos Marin , 12. D. Félix Egusquiza , 12. D. Juan Prada, 25. D. Fer­ nando Quirós , 25. D. José Antonio Fuente, 4. D. Francisco Cavero , 2. Don Silvestre Peñaranda, 2. D. Sebastian Guerrero , 2. …</t>
  </si>
  <si>
    <t>Ehla, José</t>
  </si>
  <si>
    <t>José Ehla</t>
  </si>
  <si>
    <t>allado lid, — Francisco Toribia Hernández. — JLeon ds Harmatchea , secretario.” El. 14 de! oorrieafo se presantó en Valdepeñas el oidor de Valen­ cia D. José Ehla f quicen habiendo sido pieso por el mariscal del imusrfe Saohet por fefídeute, y trasladado al castillo de Jaca, fué recostado el día 2 de este por una división de …</t>
  </si>
  <si>
    <t>Eioriaga, Victoriano</t>
  </si>
  <si>
    <t>Victoriano Eioriaga</t>
  </si>
  <si>
    <t>48 Continúan los donativos del Perú. Oficiales de ivfnnteria de Pardos. Capitán Victoriano Eioriaga, % pa. fs. IL Evaristo Noriega, 10. Teniente Vicente Ramírez, 10. Id. Yanuario Al­ dea , 10. Subteniente Francisco Xavier de Noriega , 10. Id. Nicolás Berme­ jo, 2. El comandante militar de</t>
  </si>
  <si>
    <t>Ekmii, Joaquín</t>
  </si>
  <si>
    <t>Joaquín Ekmii</t>
  </si>
  <si>
    <t>o de infantería de Cuba, á capí tan á D Bartolomé Mora­ les : á ayudante á D. Juan Francisco de Castro Palomino; á tenien­ tes á B. Gabriel Menoeal y D. Joaquín Ekmii ; á subtenientes de granaderos - á O. Francisco Valera y D. Carlos Laurent, á subtenien­ tes de fusileros á D. Juan Agilitar, D. Lorenzo de Avila, 0. Salva­ dor…</t>
  </si>
  <si>
    <t>el Atica, KutU</t>
  </si>
  <si>
    <t>KutU el Atica</t>
  </si>
  <si>
    <t>es poemas atribuidos á Hesiodo pueden ser los restos de alguna escuela poética que hubiese existido en sumamente viva. El gran visir ha dado parte a! general KutU- el Atica , la Acay a y la Beoda antes de las guer­ row del nacimiento de un heredero del trono oto­ ras causadas por la emigración de las tribus dóri­ mano, y este…</t>
  </si>
  <si>
    <t>el Cester, Main</t>
  </si>
  <si>
    <t>Main el Cester</t>
  </si>
  <si>
    <t>a­ «paternal protección; acelerad, glorioso santo, el nuel Cuhas y D. Carlos Espinosa; y al presbítero «dichoso momento, en que abrigados todos en el D. Main el Cester para diputado eclesiástico del «dulce seno de la paz , podamos exercer sanr.iinenbarrio de S. Plácido, quartel de Maravillas , vacan­ «te los actos de la relig…</t>
  </si>
  <si>
    <t>el Conquistador, Jaime</t>
  </si>
  <si>
    <t>Jaime el Conquistador</t>
  </si>
  <si>
    <t>el do las operaciones de Aníbal como una infracción Reí D. Alonso xi, 001179 (ií); que la ganó el del tratado, le reputaron digno de castigo; mas Reí D. Jaime el Conquistador en 1239 (13); que preponderando la facción Barcina &gt; amiga de aquel hubo alg nos alborotos y disensiones en ella quangeneral, hallaron con q«e Qpntentar…</t>
  </si>
  <si>
    <t>el Excmo, Francisco Rodríguez del Por</t>
  </si>
  <si>
    <t>Francisco Rodríguez del Por el Excmo</t>
  </si>
  <si>
    <t>te­ El Sr. Malaspina , napolitano, coronal al ser­ niente agregado á la compañía de infantería de la vicio de S. M. siciliana. plaza de Barcelona; á D. Francisco Rodríguez del Por el Excmo. Sr. duque de Bassano, ministro Castillo, cirujano segundo del regimiento de Cas­ de Relaciones exteriores, tilla , t.° ríe infantería lig…</t>
  </si>
  <si>
    <t>el Moreno, An</t>
  </si>
  <si>
    <t>An el Moreno</t>
  </si>
  <si>
    <t>r. Medicus dice que en de ; ai teniente del regimiento de Madrid , i.’’ A einar.it han visto que t¡ trigo de invierno se da de infantería de línea , ¡D. An&lt;&gt;el Moreno primer ex'eleme neme eu u i campo en que se han culti­ teniente de la segunda compañía de z.padore»; .&lt;! vado adormidera' ; de modo, que esta preciosa plan­ cap…</t>
  </si>
  <si>
    <t>el P, Sancho y</t>
  </si>
  <si>
    <t>Sancho y el P</t>
  </si>
  <si>
    <t>ervicio. * . : El 13 fondeó en este puerto el queche HienV:, á cuyo bordo ve­ nían los qué le apresaron , y los prisioneros TaylorJones:y Quesada, el comandante Sancho y el P. -mercenario Acosta: al anclar en él principiaron los vivas dé los oficiales y dé la tripulación , al Hey, ú la nación y á Montevideo , é hizo una mages…</t>
  </si>
  <si>
    <t>el Sr, Domingo DutarL</t>
  </si>
  <si>
    <t>Domingo DutarL el Sr</t>
  </si>
  <si>
    <t>. D. Agustín de Goicoechea. El Sr. D. Pedro Uñarte. El Sr. D. Francisco Marchámalo. El Sr. D. Mariano de San Juaa. El Sr. D. Josef de Arratia. El Sr. D. Domingo DutarL El Sr. D. Lúeas de Carranza. El Sr. D. Saturio Cantabrana. El Sr. D. Mariano de Villodas. El Sr. D. Joaquín García Domeneeh. El Sr. D. Miguel Caldero» de la fi…</t>
  </si>
  <si>
    <t>el Sr, Francisco Gutiérrez Sossl</t>
  </si>
  <si>
    <t>Francisco Gutiérrez Sossl el Sr</t>
  </si>
  <si>
    <t>rna. Regidores* El Sr. marques de Cartelfuerte. El Sr. D. Pedro Baranda. El Sr. D. Manuel de Rivacoba y Gorbea* El Sr. D. Josef de Manzanilla. El Sr. D. Francisco Gutiérrez Sossl El Sr. D. Agustín de Goicoechea. El Sr. D. Pedro Uñarte. El Sr. D. Francisco Marchámalo. El Sr. D. Mariano de San Juaa. El Sr. D. Josef de Arratia. …</t>
  </si>
  <si>
    <t>el Sr, Manuel de Rivacoba y Gorbea</t>
  </si>
  <si>
    <t>Manuel de Rivacoba y Gorbea el Sr</t>
  </si>
  <si>
    <t>a siguiente í Alcaldes. Sr- marques de Iturbieta, y conde de Villapaterna. Regidores* El Sr. marques de Cartelfuerte. El Sr. D. Pedro Baranda. El Sr. D. Manuel de Rivacoba y Gorbea* El Sr. D. Josef de Manzanilla. El Sr. D. Francisco Gutiérrez Sossl El Sr. D. Agustín de Goicoechea. El Sr. D. Pedro Uñarte. El Sr. D. Francisco M…</t>
  </si>
  <si>
    <t>el Sr, Podro López Segovia y</t>
  </si>
  <si>
    <t>Podro López Segovia y el Sr</t>
  </si>
  <si>
    <t>n , Herrera é 11 inojosa, teniendo Y. E. presente que León estuvo á mi lado en las lloras del fuego y del riesgo. — Igualmente me acompañó mi auditor D. Podro López Segovia y el Sr. D. Pedro Yicente Cañete , que fue­ ron espectadores de la batalla. „ Los cocha barí Linos cortaron el puente que echaron entre el Des­ aguadero y…</t>
  </si>
  <si>
    <t>el Ti, Juan</t>
  </si>
  <si>
    <t>Juan el Ti</t>
  </si>
  <si>
    <t>in. D. Manuel Solana. D. Júan Antonio Leonardo. Municipalidad de Antequeral' , 11BRO. Corregidor. Coróníca de los Reyes de España desde Alaríco hasta D. Juan el Ti , escrita por Saavedra ¡ siete tomos D. Alonso Bilbao. en 8.° etf rústica, á 70 rs., mitadá cambio de libros, Regidores. y mitad á dinero efectivo. Se hallará en e…</t>
  </si>
  <si>
    <t>Elias, Carlos</t>
  </si>
  <si>
    <t>Carlos Elias</t>
  </si>
  <si>
    <t>exD. Julián de H-riera, al ex-tririitario calzado dutninico. D. Baltasar de babzar. Para la de Itrabo, vacante por no h.berse pre­ sentado á servirla D. Carlos Elias, ex franciscano, Igualmente se ha servido S. M., por decreto á D. Ignacio Gallegos, ex-carmelita descalzo. de) mismo dia , nombrar para servir las sacristías, Pa…</t>
  </si>
  <si>
    <t>Elias, Salvador</t>
  </si>
  <si>
    <t>Salvador Elias</t>
  </si>
  <si>
    <t>............... 2200 P. F rancisco Navarro , id............................... 2200 D. Luis de Luque , id....................................... 2200 D. Salvador Elias, id......................................... *200 D. Antonio Baigon , id............................. ........ 2200 D. Josef de Priego , id....................…</t>
  </si>
  <si>
    <t>Eliiott</t>
  </si>
  <si>
    <t>stand , mercader, de Londres. A. Lewton, comerciante , de Betton. X). Fdwards ,. rabonerode Hambrock. R. Iindon, asentista de madera de construcción, D. Eliiott, carnicero, de Londres. de Briudl. J. Elworthy, escribano, de PHroonth. J. Lockwood, agente de negocios, de Londres. W. Ewans , comerciante, de Carnaven. I. «nsda!e ,…</t>
  </si>
  <si>
    <t>Elio</t>
  </si>
  <si>
    <t>Gaceta de Madrid n.º 36</t>
  </si>
  <si>
    <t>es­ honores militares , fueron sobrecogidos repentina­ tar el juramento acostumbrado eu manos de S. M. mente de un terror pánico, imaginándose que el general Elio les armaba un lazo, y que quería ESPAÑA. prenderlos; y se volvieron al momento. Elio se irri­ tó sobremanera por una sospecha que hace tan po­ Madrid 4 de febrero. …</t>
  </si>
  <si>
    <t>126</t>
  </si>
  <si>
    <t>, y con mucho gusto , soy yo. El supre­ mo Gobierno ha oido con consideración mis repetidas súplicas para dexar este mando, y se ha servido elegir al general Elio para que me releve.”</t>
  </si>
  <si>
    <t>Ayer por la mañana se rindió el castillo de Consuegra al general Elio, quedando prisionera de guerra su guarnición. Este suceso se ha retardado al­ gún tanto por no haber llegado la artillería de batir, en defecto de la quaí se ha hecho un fuego continuo desd</t>
  </si>
  <si>
    <t>Elio, Xavier</t>
  </si>
  <si>
    <t>Xavier Elio</t>
  </si>
  <si>
    <t>dida, pelearon con valor é hicieron comprar cara su ventaja al enemigo. Era ya imposible que nuestro gobierne se mostrase indiferente. El señor virey D. Xavier Elio recibió en ei mes de noviembre una orden del Consejo de Regencia en que se le mandaba restituirse con la posible brevedad á la península, entregando el mando de l…</t>
  </si>
  <si>
    <t>Elizalde, José</t>
  </si>
  <si>
    <t>José Elizalde</t>
  </si>
  <si>
    <t>s , 8 1). Luis Menacho , 8. D. Vicente Navar•rete , 3. D. Miguel Velez Villa , 8. D. Manuel Ai 1 Ion , 8. i). Pedro Caveto, •8. I). José Malarin , 8. D. José Elizalde, 8. D. Francisco Bernoa, 4. D.'Fé­ lix Matos, 8. (Se continuará.) CADIZ : .EN LA IMPRENTA EEA'L.</t>
  </si>
  <si>
    <t>Elizalde, Luis</t>
  </si>
  <si>
    <t>Luis Elizalde</t>
  </si>
  <si>
    <t>, por de Esparza, por mano de su apo­ sí, y como marido de Doña Anto­ derado D. Luis de Elizalde........... 33300 nia Salcedo................... 6210 D. Luis Elizalde........................... ........ 90000 Los reales hospitales civiles de esta Di Josef López.................................... 18000 corte..... ............…</t>
  </si>
  <si>
    <t>Elizaldi, Antonio</t>
  </si>
  <si>
    <t>Antonio Elizaldi</t>
  </si>
  <si>
    <t>illagomez, D. Miguel Fernandez Carcalen,, D. Manuel Fér■ñaiidéz dé'IqS1 Senderos, 0.' Francisco Soler , D. José Perez, D. Luis Arzu, D. Rafaei Lacy , D. Antonio Elizaldi, D. Francisco Reyes y D. Manuel PezueiaCADL6 : EN LA IMPRENTA REAL.</t>
  </si>
  <si>
    <t>Elliot</t>
  </si>
  <si>
    <t>tomaron al enemigo 33 piezas de artillería de bronce y de hierro. Es digna de elogio la conducta y valor que han observado los indios mandados por el coronel Elliot y por el capitán M’fíee, los cuales han tratado con mucha humanidad 4 los prisioneros ; de manera que el enemigo no ha recibido mas daño en sus personas que el qu…</t>
  </si>
  <si>
    <t>Ellis</t>
  </si>
  <si>
    <t>orone­ les Blakeney de fusileros reales. Knight del 27, Er kine del 40, y el capitán Leaky que mandaba el 23 de fusileros, por haber sido he­ rido ei teniente coronel Ellis durante las operaciones anteriores del sitio. ,,Ea la quinta división debo nombrar al mayor Híll del octavo de cazadores, que dirigió el ataque falso cont…</t>
  </si>
  <si>
    <t>deración el coronel Williams del regimiento 6o.°: el teniente coronel Wallace dél regimiento 88.°, que mandaba úna brigada en la tercera división: el coronel Ellis del regimien­ to 23.que mandaba la brigada del mayor general Pakenham en la quarta división durante su ausencia, en que mando íá división tercera: el honorable cor…</t>
  </si>
  <si>
    <t>Elorza, Agustín</t>
  </si>
  <si>
    <t>Agustín Elorza</t>
  </si>
  <si>
    <t>de las tropas nacionales que 5 he­ ridos, 2 de ellos de gravedad. Distinguiéronse los capitanes D Si­ món de la Portilla y D. José Velcz, el teniente D. Agustín Elorza, los alféreces D. Tomas Suero, D. Juan Amador y D. Joaquín Bar­ ragan , y en general toda la oficialidad de Tres Villas. I). Manuel Pardo participa con la mism…</t>
  </si>
  <si>
    <t>Elorza, Juan</t>
  </si>
  <si>
    <t>Juan Elorza</t>
  </si>
  <si>
    <t>Juan Aramburu, 10. El tercer pi­ loto D. Antonio Sarria, y el contramaestre Miguel Olaquivel, 12. El resto de la tripulación de dicho buque, 28 y 4, D. Juan Elorza, cirujano de la fragata S. Juan Bautista, 17. El contramaestre, el guardián y el sangra­ dor , 14. Eí resto de Ja tripulación de dicho buque, 36. D. Juan Perez Mue…</t>
  </si>
  <si>
    <t>Elousa, Antonio</t>
  </si>
  <si>
    <t>Antonio Elousa</t>
  </si>
  <si>
    <t>del nuevo Santander y Huasteca, desde 19 de junio hasta 23 de setiembre. Habiendo llegado á mediados de junio al pueblo del Pantano el ayudante mayor D. Antonio Elousa, supo que los rebeldes de la sierra de Ñola, de Tula y otras partes, al mando del cabecilla htA-</t>
  </si>
  <si>
    <t>Elregbcijo'y, Francisco Xavier Castaños</t>
  </si>
  <si>
    <t>Francisco Xavier Castaños Elregbcijo'y</t>
  </si>
  <si>
    <t>que se hallaban en esta plaza en los términos y modo prevenido por el decreto délas Cortes, yen cumplimiento de la orden del señor capitán g'ene.r-al D. Francisco Xavier Castaños----- Elregbcijo'y demostraciones de alegría* que se manifestaban en el semblante de todos, los individúos, indicaban que los votos y juramento que p…</t>
  </si>
  <si>
    <t>Emilio</t>
  </si>
  <si>
    <t>ente, á capitán de la todo' oiga mis consejps, y que me la '“claven en la segunda de.granadéros. - frente'sino sana o revienta. Bien sé que hai prác­ D. Emilio. Schols, teniente,ácapitaq de la ticos que aconsejan para esta clase de enfermeda­ primera compañía del ptimeút, batallón. ....... des ei método curativo del doctor Ac…</t>
  </si>
  <si>
    <t>Emilio, Carlos</t>
  </si>
  <si>
    <t>Carlos Emilio</t>
  </si>
  <si>
    <t>592 Senties, D. Carlos Emilio, y D. Manuel Oferegon, capitanes délos regimientos de infantería de la Union y Asturias, y del de caballería del Infante. En América. La Regencia de las E pañas se ha servido conce­ der en</t>
  </si>
  <si>
    <t>Emmeri</t>
  </si>
  <si>
    <t>ante del batallón de l| Troplonq (D. Arnaud), subteniente qoartel-maesmilicia cívica de Toledo. tre del regimiento de granaderos ue la guardia Pacón (D. Emmeri), tirador de la gaardia real. rea!. ': Palacio (D. Joaquín), consejero de ia prefectura Truxillo (D. Mánnel)., subteniente del regimien­ de Córdoba. to de Castilla, i.…</t>
  </si>
  <si>
    <t>Empecinado</t>
  </si>
  <si>
    <t>mbres de todas armas al nundo del general Roben:, con el fui de batirá las divisiones de ios genérales Basecourt y Vi— llacampu, y á las partidas del brigadier Empecinado. La expedición salió de Requena, y se dividió en dos porciones; una llegó el dia 16 hasta Almodovar del Pinar en persecución del Empecinado, y otra sobre Vi…</t>
  </si>
  <si>
    <t>res de todas armas al mando del general Robert, con el fin de ba­ tir a las divisiones de los generales Bassecourt y Villacampa, y á la* partidas del brigadier Empecinado. La expedición salió de Reque­ na, y se dividió en dos trozos; uno llegó el día 16 hasta Almodovar del Pinar en persecución del Empecinado , y otro sobre Vi…</t>
  </si>
  <si>
    <t>Emperador, Manuel Perez Ca</t>
  </si>
  <si>
    <t>Manuel Perez Ca Emperador</t>
  </si>
  <si>
    <t>nzaron al paso, funciones correspondientes á la sala: de alcaldes y del Vístula; manifestados entonces los designios del junta criminal de ésta corte D. Manuel Perez Ca­ Emperador., urgía su execución. Asi.que,.-el exér­ mino., juez de las juntas .de -negocios contenciosos, cito ha hecho largas marchas, -pata llegar mani­ pre…</t>
  </si>
  <si>
    <t>En, Miguel</t>
  </si>
  <si>
    <t>Miguel En</t>
  </si>
  <si>
    <t>quedó la quarta en una quebrada, y la quinta ocu­ su quartel general de Cabezón , cun fech. 2 S pó la mesa de.... y de octubre, al limo, y Excmo. Sr. D. Miguel En el mismo dia mando S. M. que Se desalojare Pereyra Forjaz. al enemigo de sus posiciones, y se le hiciese retirar Estuve tan ocupado con los movimientos y ope­ i la …</t>
  </si>
  <si>
    <t>En, Pascual</t>
  </si>
  <si>
    <t>Pascual En</t>
  </si>
  <si>
    <t>................................ 20940 17 Extracto de las minutas de la secretaba de Es­ La marquesa de la Solana , por me­ tado. dio de su apoderado D. Pascual En nuestro" palacio de Madrid á 16 de julio Salinas............................................... 15065 26% de 18 1 2. D. Juan Quintano.......................... 115…</t>
  </si>
  <si>
    <t>En, Saint-Cricq</t>
  </si>
  <si>
    <t>Saint-Cricq En</t>
  </si>
  <si>
    <t>tnerian desempeñó el cargo de .fiscal, y el co­ misario de marina óanson el de secretario del con­ Roma 4 de marzo. sejo. Los cargos hechos contra el capitán Saint-Cricq En conformidad del decreto imperial de ip fueron los siguientes: 1.° No haber tomad» parte de enero y,timo se ha reunido en el Capitolio el alguna en el comb…</t>
  </si>
  <si>
    <t>En, Va</t>
  </si>
  <si>
    <t>Va En</t>
  </si>
  <si>
    <t>rara, diócesis de Toledo, por Extracto de las minutas de la secretaría de muerte de D. Francisco Oliva. Estado. Al ex-mínimo de S. Francisco de Paula D. Va­ En nuestro palacio de Madrid á 24 de junio lentín Márcos , presbítero, para servir en enco­ de 18x2. mienda el beneficio de la parroquia de S. Pedro d« Dou Jjosef Napoleó…</t>
  </si>
  <si>
    <t>Enderica, Vicente</t>
  </si>
  <si>
    <t>Vicente Enderica</t>
  </si>
  <si>
    <t>1216 IX José Pclaez, del Mixto: al capitán de Puebla D. José Velazquez ; al de la Corona D. Vicente Enderica; al teniente D. José María Novoa, al patriota D. Raymundo Zaragoza , y á José María Yillavlcencio , del batallón de Tula, que mató á uno de los capi­ tanes insurgentes que intentó salir á c</t>
  </si>
  <si>
    <t>Engelhardt</t>
  </si>
  <si>
    <t>El cuerpo del príncipe Wittgenstein había sus húsares á Kustoviez, posesión que era de la pasado el Dwina en retirada para Riga, y el gene­ mugcr del general Engelhardt, de donde sacaron ral Levis fue á cubrirle] pero habiéndose encontra­ caballos y algunas preciosidades. Quando los pai­ do con los generales prusianos Gravert…</t>
  </si>
  <si>
    <t>Engracia</t>
  </si>
  <si>
    <t>añolas; pero ninguna, podia por sí sola remediar tanta miseria. Ya felizmente llegó el dia en que se han podido vencer tantos obstáculos. La se­ ñora Doña Engracia Coronel trató de poner en práctica éste pensamiento; dio los primeros pasos, é inmediatamente encontró prontas á todas las seño­ ras de está, ciudad ; vy la señora…</t>
  </si>
  <si>
    <t>Enrile, Pascual</t>
  </si>
  <si>
    <t>Pascual Enrile</t>
  </si>
  <si>
    <t>gadier. La plaza dé Astorga ha capitulado ántes de ayer tarde en los términos que V. S. verá por la copia adjunta^ de su capitulación», CAPITULACION. D. Pascual Enrile , ayudante general de estado ma­ yor de los íxércitos, encargado de los plenos poderes de S. E. D. Francisco Xavier de Castaños, capitán ge­ neral de los exérc…</t>
  </si>
  <si>
    <t>rigadier. Xa plaza de Astorga ha capitulado antes de ayer tarde en los términos que V. S. verá por la copia adjunta de su capitulación. Capitulación• D. Pascual Enrile,‘ayudante general de estado mayor de los exércitoí, encargado de los plenos poderes dé S. E. D. Francisco Xavier de Castaños, , capitán general de* los exércit…</t>
  </si>
  <si>
    <t>Enriqucz, Manuel</t>
  </si>
  <si>
    <t>Manuel Enriqucz</t>
  </si>
  <si>
    <t>dero de la Corona Miguel Sardineta y al dragón de España José Uribc* Recomienda á los oficiales siguientes : al capitán D&gt; Roberto Ortíz, al teniente D. Manuel Enriqucz y al alférez D. Antonio Posada , deí batallón de Frontera ; á los tenientes D. Ramón Ponce de León y</t>
  </si>
  <si>
    <t>Enrique</t>
  </si>
  <si>
    <t>) , catedrático de de cazadores í caballo. matemáticas de S.Tsldro el R ai de esta corte. Pelejero (D. Luis) , capitán de tiradores del regi- Víctor (D. Enrique), teniente de tiradores del miento de Madrid, i.° de infantería de linea. regimiento Reai Irlandés. Peñalver (D. Juan) , director general de los ca­ Vidal ( D. Bartol…</t>
  </si>
  <si>
    <t>Enriquez, José Antonio</t>
  </si>
  <si>
    <t>José Antonio Enriquez</t>
  </si>
  <si>
    <t>s pastor, 8. D. Manuel Fuente, 8. D. Isidro Guillen, 8. í). Santiago León , 6. D. Jacinto Ríos , 8. D. Miguel Rodríguez , 8. Don Fernando Urtiaga, 8. D. José Antonio Enriquez , 13. D. Carlos Delgado , 8. B. Juan Piñeiro, 8. D. Felipe Arria, 8. D. Mariano Ay lucrdo, 13. D. Ma­ nuel llenera, S. D. Pedro Norieaga, 8. D. Juan de …</t>
  </si>
  <si>
    <t>Eoheveste, Ramón</t>
  </si>
  <si>
    <t>Ramón Eoheveste</t>
  </si>
  <si>
    <t>itán Sola y á 50 cabal os que Le quedaban de S. Carlos y patriotas ; y sir­ viéndole de ayudante y so'dado el capellán del batallón ligero de México, D. Ramón Eoheveste, avanzó á ellos, desando ennd cen­ tro al capitán Carrera con 2 piezas. Los rebeldes entonces. viendo la resolución de esta valiente tropa, y no podiendo resi…</t>
  </si>
  <si>
    <t>Eoniatowsky</t>
  </si>
  <si>
    <t>fuego mas destructor sobre las filas francesas que el que estas podían causar contra los cuerpos parapetados. Confiesan también los franceses que el príncipe Eoniatowsky se batió en la izquierda con fortuna varia, y que en la derecha el general Morand, que atacó los reductos, fue rechazado vigorosamente, y no pudo mantener su…</t>
  </si>
  <si>
    <t>Eopex, Antonio</t>
  </si>
  <si>
    <t>Antonio Eopex</t>
  </si>
  <si>
    <t>ancesas de Bribiesca y Panccrbo, y yo me retiré á !a vi­ lla de Busto , sin otra pérdida que un herido. í L Del comandante del regimiento de Afianza, D. Antonio Eopex, al coronel /). Gerónimo Merino. — Lerma 22 de enero de 1S‘2.— Noticioso el 20 de este mes de que hablan llegado á Lerma 600 in­ fantes y 150 caballos enemigos,…</t>
  </si>
  <si>
    <t>Eraso, José</t>
  </si>
  <si>
    <t>José Eraso</t>
  </si>
  <si>
    <t>ntes coroneles D. Santiago Mon­ tero , D. Manuel Fernandez ViUamil y D. Tomas García. Tenen­ cias coronelas : del regimiento de infantería de Palma á D. José Eraso ; del de IJitonia á D. Juan Antonio Fábregas; del de Mataró á I). Gerónimo de la Concha; del de S. Fernando á D. Antonio VijaJonrnar ; del de Fernando VII á D. Die…</t>
  </si>
  <si>
    <t>Eraso, Mariano</t>
  </si>
  <si>
    <t>Mariano Eraso</t>
  </si>
  <si>
    <t>10. D. Francisco Carbajai , 30. Vicente Pacheco, 10. D. Ramón Calvo, 100. D. Miguel Isusi, 1Ó. D. Vtcente Chacón, 30. D. Manu-1 Rodríguez Plaza, 10. D. Mariano Eraso, 2. D. José María Castro, ayudante de Piura , 47 y 2 y medio. Don Antonio Mirón , 10. D. Juan Buzca. 15. J#sé Maria Gainza, 6 D. José Ariza, 6. D. Domingo Pombar…</t>
  </si>
  <si>
    <t>Erebec</t>
  </si>
  <si>
    <t>nocer en 18 años, y que el dida de los segundos no pasa de 100 hombres entre presente acontecimiento era contrario á la susodi­ muertos y heridos. El capitán Erebec y el teniente cha obligación, y á la qualidad principal de su ca­ Valis quedaron en el campo del honor , y el capi­ rácter, que consiste en hacer bien por mal; y …</t>
  </si>
  <si>
    <t>regimiento de caballos ligeros, que dolorosa por la muerte de dos oficiales, los mas va­ sostuvo el ataque casi solo perdió como unos 80 lientes; del capitán Erebec, de dragones número t.°, caballos, no obstante haber peleado con el mayor que ya se había distinguido en elcombate de la ma­ denuejo. Fatigada en su marcha esta b…</t>
  </si>
  <si>
    <t>Ereñozaga, Ignacio</t>
  </si>
  <si>
    <t>Ignacio Ereñozaga</t>
  </si>
  <si>
    <t>maestre y tripulación, 15 con 4. Don Pablo Parera, capitán de la fragata Cárnien Nícolasa , 17. Su maestre D. Liborio Vendrell, 17. El segundo piloto D. Ignacio Ereñozaga, 12. El tercer piloto D. Feliciano Canesoltas , 10. El contramaestre y tripulación de dicho buque , 31. El escribano y tripulación de la fragata Truxillana,…</t>
  </si>
  <si>
    <t>Ergniaga, Juan</t>
  </si>
  <si>
    <t>Juan Ergniaga</t>
  </si>
  <si>
    <t>hermano, 100. D. .i uau Francisco Azpiroz y hermanos , 300. D. Andrés de Larra paga, 100. D. Francisco Hacines, 100. D. Juan Nicasio Sotomavor, -UKI. D. Juan Ergniaga, 100. D. Juan de Vivas, 400, D. Custodio Alvarez, 100. D. Pabl® Bj ingas, 200, (Se continuará.) CADIZ s EN LA IMPRENTA REAL.</t>
  </si>
  <si>
    <t>Eróles</t>
  </si>
  <si>
    <t>nuestras tropas desalojaron del pueblo á la retaguardia enemiga y la persiguieron hsst&amp; C&amp;Ides. Combate de Aitafa’ia el 24 de enero. La división del barón Eróles, compuesta de 4000 Liantes y 250 caballos , fué atacada y envuelta por el general Lamarqus?. Después de muchas horas de pelea, Esoles mandó á su división que se disp…</t>
  </si>
  <si>
    <t>Errasti, Josef</t>
  </si>
  <si>
    <t>Josef Errasti</t>
  </si>
  <si>
    <t>, berano , hallar en 6i el centro de la justicia, el D. Josef Ramón Zomalave, D. Pedro LarrUmbe protector da sns vasallos, y el reparo de los males y D. Josef Errasti, que también reciben la edu­ que la guerra ha hecho inevitables ; este es , Señor, cación dentro del mismo seminario. el voto unánime de quantos pueblos hemos t…</t>
  </si>
  <si>
    <t>Errazqoin, Juan Manuel</t>
  </si>
  <si>
    <t>Juan Manuel Errazqoin</t>
  </si>
  <si>
    <t>eliería, D. Pablo López de la Huerta á su frente, ha pronunciado el discurso siguiente: y D. JosefTellería: seminaristas D. Tomas Hea- Señor: riquez, D. Juan Manuel Errazqoin, D. Juan Bau­ tista Montes, D. Domingo Urdagarin, D. Juan ,,Vuestra villa de Requena, comprehendida Antonio Ozamiz, D. Juan Achucarro, D, Josef en la pr…</t>
  </si>
  <si>
    <t>Erskine, Sir Guillermo</t>
  </si>
  <si>
    <t>Sir Guillermo Erskine</t>
  </si>
  <si>
    <t>946</t>
  </si>
  <si>
    <t>ión, dada por el teniente gene5a an&lt;^ Hill, deuaa brillante acción, que tuvo con a ca a tena enemiga la división de caballería deí mando del teniente general Sir Guillermo Erskine el 24 de julio. ” o ne recibido noticias ulteriores de las operaciones</t>
  </si>
  <si>
    <t>Es, Dionisio</t>
  </si>
  <si>
    <t>Dionisio Es</t>
  </si>
  <si>
    <t>dia las principales Urda en la del Cármen calzado; D. Sebastian Bar­ obras que han publicado varios miembros de esta rios en la de Guardias de Corps; D. Dionisio Es- ilustre sociedad, ó qne le han sido presentadas por tebez en la de Afligidos; D. Julián Cliavier en I2 otros sabios como un homeoage debido á este cé­ de Montere…</t>
  </si>
  <si>
    <t>Es, Francisco García</t>
  </si>
  <si>
    <t>Francisco García Es</t>
  </si>
  <si>
    <t>x Colon, madscal de campo de los exércitos nacionaie?&gt;: para las dos de la ciase de intendentes, al del exército de Valencia D. Anselmo de Riv&amp;g, y á D. Francisco García Es­ pinos.; , que lo es del departamento ds marina de Cádiz. Pasa las 7 pkz ,s de ministros togados á D. M mú Femando Ruiz del Burgo, D. Esteban Antonio de O…</t>
  </si>
  <si>
    <t>Escalara</t>
  </si>
  <si>
    <t>no de Gaarnizo con di­ rección á Santón a; pero se dice que con el fin da reunirse y aban­ donar aquel punto. Él Sr. Porlier entró en Santander, y ti coronel Escalara quadó en Torrdavega. Toda la costa de Cantsbíia manos Santoña está libre de enemigos. Coruña 24 de agosto. El general gefs del estado mayor del quinto, sexto y …</t>
  </si>
  <si>
    <t>Escalera, Claudio</t>
  </si>
  <si>
    <t>Claudio Escalera</t>
  </si>
  <si>
    <t>BADO 25 DE ENERO DE 18J2. ESPAÑA. Valencia de Alcántara 14 de enero. Parte dirigido á la junta superior de la provincia de Toledo por los comaniantes D. Claudio Escalera, L&gt;. Vicente Giralda , 1). FeliciaCuesta y D. Cristóbal Pcntigoso. “Excmo. Sr.: No pudiendo mirar con indiferencia la libertad, con que la columna volante de…</t>
  </si>
  <si>
    <t>Escalio, Ventura</t>
  </si>
  <si>
    <t>Ventura Escalio</t>
  </si>
  <si>
    <t>ago Bañueics y al coronel D. Ildefonso Diez de Ribera : em­ pleos de ayudantes primeros á los segundos D. Francisco de Paula Figuerss , D. Juan Cini, D. Ventura Escalio , D. Agostía de Salazar 9.,D. Joaquín Escario, D Jaecho Escario y D. Luis Cepeda; y empleos tle ayudantes segundos á los adictos D. Jacobo Mstia de Espinosa, …</t>
  </si>
  <si>
    <t>Escario, Joaquín</t>
  </si>
  <si>
    <t>Joaquín Escario</t>
  </si>
  <si>
    <t>Ribera : em­ pleos de ayudantes primeros á los segundos D. Francisco de Paula Figuerss , D. Juan Cini, D. Ventura Escalio , D. Agostía de Salazar 9.,D. Joaquín Escario, D Jaecho Escario y D. Luis Cepeda; y empleos tle ayudantes segundos á los adictos D. Jacobo Mstia de Espinosa, teniente del regimiento de Badajoz, D. José Cru…</t>
  </si>
  <si>
    <t>Escarnida, Juan Manuel</t>
  </si>
  <si>
    <t>Juan Manuel Escarnida</t>
  </si>
  <si>
    <t>a em­ Tenietites, prender el sitio regular de una plaza que tuviese D. Bartolomé Cevailos Portilla. una guarnición proporcionada, y los víveres y mu­ D. Juan Manuel Escarnida. niciones correspondientes, aun quaucio el enemigo D. j oscf Puerta. uo perturbase los trabajos der sitio con alguno de los cxércitos que tiene en campa…</t>
  </si>
  <si>
    <t>Escobar, Bartolomé</t>
  </si>
  <si>
    <t>Bartolomé Escobar</t>
  </si>
  <si>
    <t>envidia de las ricotas de todos los pueblos vecinos. El barón de Borster................... 1232 3 Gala, labradora rica de aquella tierra., y Marina, D. Bartolomé Escobar.................. 2053 *7 tendera de un pueblo inmediato, eran las dos qoe D. Justo Tellez............................ 14820 28 mas enamoradas estaban del e…</t>
  </si>
  <si>
    <t>Escolar, JuEn</t>
  </si>
  <si>
    <t>JuEn Escolar</t>
  </si>
  <si>
    <t>D. Pedro Ortiz de Lequizaman , D. Mateo Masegosa, D. Sebastian Vilches y Don' Antonio María Muñoz, cadetes de la escuela mi-ifar del tercer exército, D. JuEn Escolar , D. José Pareja y D. Higinio Fernandez , sar­ gentos primeros del expresado batallón de zapadores, el segur do graduado de subteniente. Igualmente ha promovido …</t>
  </si>
  <si>
    <t>Escolar, Lúeas</t>
  </si>
  <si>
    <t>Lúeas Escolar</t>
  </si>
  <si>
    <t>ix A var z VilLt. .ó. Secretario . D. Juan Josef Rubio. D. Vicente M., ri* Teraya. D. Jostf Carranza. .. ; . &gt;4 ¿j. Secretario BARRIO DB MIRA Mí RIO. D. Lúeas Escolar. ••• •• Alcalde de barrio ' BARRIO DEL HUMILLADERO. , D. Francisco María de Odiaga. ■ ^ .W Diputado eclesiástico Alcalde de barrio D. Domingo Aivarcz. D. Franci…</t>
  </si>
  <si>
    <t>Escovar, José</t>
  </si>
  <si>
    <t>José Escovar</t>
  </si>
  <si>
    <t>peroía* necen en la puerta del convento de S. Agustín. Ayer prendieron en Utrera al marques de Casaulloa , á D. Juan Forreras, á D. Alonso Riasoia, á D. José Escovar y á dos párro­ cos , que todos son conducidos hoy á Carmona, para incorporarse con ios presos aquí. Se asegura que en todos los pueblos harán lo mismo, y que es …</t>
  </si>
  <si>
    <t>Escrbi, Joaquín</t>
  </si>
  <si>
    <t>Joaquín Escrbi</t>
  </si>
  <si>
    <t>te coronel, D. Domingo Martínez de Piniilc s: empleos de al­ féreces de granaderos á los déla misma clase D. Juan Nepomuceno de Mancebo, cazadores, y D. Joaquín Escrbi de fusileros ; y empleos de alféreces de fusileros ai teniente D. José Mazon, subtepíente del batallón de voluntarios de Campomayor, D. Jo&amp;é Ignacio de Alava, …</t>
  </si>
  <si>
    <t>Escrig, Vicente</t>
  </si>
  <si>
    <t>Vicente Escrig</t>
  </si>
  <si>
    <t>director del colegio de nobles de aque­ Ei S-xv.1 nmih advertiser del 26 de marzo avi­ lla ciudad. sa de haber tomado pjs;siou los americanos de las D. Vicente Escrig , vicario mayor de la par­ Floridas y de la isla de A.ne:ia, la qual se ha en­ roquia de S. Pedro de la ciudad Valencia. tregado por capitulación. Uno de ios ar…</t>
  </si>
  <si>
    <t>Escudero, Francisco</t>
  </si>
  <si>
    <t>Francisco Escudero</t>
  </si>
  <si>
    <t>a la consulta de la comisión de liquida­ D. Manuel de Salazar................ .......... 3 55* 3 * ción de la deoda del estado; lo expuesto por nues­ D. Francisco Escudero.......................... 1420 26 tro ministro de Hacienda , y oida la sección de D. Josef Gómez de Mazo.................... 1728 17 lo mismo de nuestro co…</t>
  </si>
  <si>
    <t>Escudero, Ramón</t>
  </si>
  <si>
    <t>Ramón Escudero</t>
  </si>
  <si>
    <t>- Regidoresá D. Marine! Re«?g?I. .Regidores, D. Josef de Eduberri/ D. Pedro Daripe. ’ D. Nicolás Muñoz. D. Jnan Manuel Nobal. D. Manuel de Cárdenas. D. Ramón Escudero. D. Francisco Vasco. D. Francisco Xavier Gandanillo*. D. Juan MonSalve.' D. Antonio G..rcíj de la Pedrosa, D. Josef L chambre. D. Ignacio G irmcndia. D. M:ga.l …</t>
  </si>
  <si>
    <t>Escudero, Teótimo</t>
  </si>
  <si>
    <t>Teótimo Escudero</t>
  </si>
  <si>
    <t>D. Joaquín Goyoneta; los regidores, marques de la Granja y D. Francisco Cavaleri; el regente de esta real audiencia D. Fernando Calvia, y los oidores D. Teótimo Escudero, D. Pedro Simo y O. Tema3 Romero Agredano ; un oidor de Vals adalid; los dos hijos del marques de la Granja; el primogénito del marques de Gradina; D. Leandr…</t>
  </si>
  <si>
    <t>Escudero, Timoteo</t>
  </si>
  <si>
    <t>Timoteo Escudero</t>
  </si>
  <si>
    <t>idente. También han quitado la subprefectura á Cabrera, amigo de Solis, y el empleo de presidente del tribunal criminal, formado por los franceses, á D. Timoteo Escudero, por no haber querido condenar al sargento López de miqueletes , el mismo que fué ajusticiado el 29 de noviembre. Se dice que quitan también á Huertos y al a…</t>
  </si>
  <si>
    <t>Escuti, Saturnino</t>
  </si>
  <si>
    <t>Saturnino Escuti</t>
  </si>
  <si>
    <t>dad á cuenta de 100.000 ps. que ha ofrecido, 70.000. El capitán del ber­ gantín corsario Cantabrios de Buenos-Ayres D. Martin Salas , 100. El segundo D. Saturnino Escuti ,70. El contramaestre y primer teniente D. José Candarías, 50. La tripulación de dicho corsario, 302. D. Vicente Marino , 153. (Se continuará.) CADIZ : EN LA…</t>
  </si>
  <si>
    <t>Eslava, Serafín</t>
  </si>
  <si>
    <t>Serafín Eslava</t>
  </si>
  <si>
    <t>y el navio de M. británica el Pequeño Belt. D. Cristóbal Figueroa. Ei tribunal se separó para juntarse al dia liTenientes. guiente en Mechanci-Hall. D. Serafín Eslava , de granaderos. Del ¡3. D. Francisca de Paula Díaz, de tirador*!, El tribunal se reunió conforme á lo acordado D. Josef Mesa. del dia anterior. Presentes el co…</t>
  </si>
  <si>
    <t>Esnard</t>
  </si>
  <si>
    <t>mericanos antes del i.° de fe­ de febrero una compañía de infantería del 32.0 dé brero han llenado de alegría ai mondo mercantil; línea, al mando del capitán Esnard , y un destaca­ y prometiéndose sin duda usar de este sistema de mento del 10.0 de cazadores á caballo, á las órde­ fraude y de mentiras, contra el qnal se ba dec…</t>
  </si>
  <si>
    <t>Espala, Gregorio</t>
  </si>
  <si>
    <t>Gregorio Espala</t>
  </si>
  <si>
    <t>lesiástico Diputados seculares D..................... vacante. D. Andrés dei Peral. Diputados seculares D. Ramón Ballesteros. ! D. Lorenzo A raín.yo.'D. Gregorio Espala. D. Miguel Calderón. Secretario Secretario D. Manuel Arce. D. Francisco Marchámalo. BARRIO DEL AMOR D« DIOS* BARRIO BE SAN PASCUAL. Alcalde de barrio Alcalde …</t>
  </si>
  <si>
    <t>ESPAÑA, Carlos de Schwartxenberg</t>
  </si>
  <si>
    <t>Carlos de Schwartxenberg ESPAÑA</t>
  </si>
  <si>
    <t>canjea­ das en Yiena , en el término de 15 dias, ó ántes si se puede. —He­ cho j firmado en París á 14 de marzo de 1812. — El duque de, Ha$$ano. — El príncipe Carlos de Schwartxenberg” ESPAÑA. Estella 19 de junio. Copia de los partes que el mariscal de campo D. Francisco Espo! y Mina dirige al general en gefe del séptimo exér…</t>
  </si>
  <si>
    <t>ESPAÑA, Kurckin</t>
  </si>
  <si>
    <t>Kurckin ESPAÑA</t>
  </si>
  <si>
    <t>o de caber qce el conde LunnUon ha salido de S. PetcrsbuTáro, creeré de mi obligación el p.xFr luego mi pasa­ porte y salir de Ibirís. — Firmado — El príncipe Kurckin '* ESPAÑA. Santacrux de Campezo 8 ds julio. Copia del parte que el mariscal de campo F&gt;. Francisco Espos y Min a dirige al general en gefe del séptimo exércüo. …</t>
  </si>
  <si>
    <t>ESPAÑA, Manuel</t>
  </si>
  <si>
    <t>Manuel ESPAÑA</t>
  </si>
  <si>
    <t>ara nna caída estando bailando coa sa bija ia princesa juez primero á D. Manuel León de la Huerta: se­ Cariota. gundo á D. Pedro Texerina : tercero á D. Manuel ESPAÑA. Duro y Vizmanos: quarto D. Vicente Abasca!. art. iv. Nuestro ministro de la Justicia cui­ Barcelona g de enero. dará de la execucion del presente decreto. =: F…</t>
  </si>
  <si>
    <t>Espantoso, Domingo</t>
  </si>
  <si>
    <t>Domingo Espantoso</t>
  </si>
  <si>
    <t>administrador contador y empleados e i la aduana , 359. Los pueblos de B vbahoyo , Cara­ col , y Puebto viejo , por mano de O Ignacio Casanova, 933. D. Domingo Espantoso , 100. Él pueblo de S. Barón don , 96 y 3. El de Daule , 505 y 1. El de Balsar , 61 y ti y medio. D. Gabriel García Gómez, 7*2. El adminis­ trador, contador …</t>
  </si>
  <si>
    <t>Espartero, Baldomcro</t>
  </si>
  <si>
    <t>Baldomcro Espartero</t>
  </si>
  <si>
    <t>D Vicente Herrera, D. José C.uóps, D. Manuel L no, D. Pedro Rueda, D. Santiago B-dhmia , O. José Clemente, D. Jo­ sé Me-reno Muñoz, D. Andrés López, D. Baldomcro Espartero, D. Jo&amp;é Sema , D. Fernando Borrero, y D. Francisco Cortazar.</t>
  </si>
  <si>
    <t>Espejo, Juan Evangelista</t>
  </si>
  <si>
    <t>Juan Evangelista Espejo</t>
  </si>
  <si>
    <t>del cuerpo ríe dragones, 4250. Curas y clerecía de Já {ja. D. Jo-é Ignacio ¡Moreno , cura de Huancayo , 100. D. Pablo González , id. de SicaFa , 50. D. Juan Evangelista Espejo, id. de Sapallanga, 50. D. Xavier Aguinacable , id. de Jauja , 50. Don Faustino Perez , id. de Concepción , 50. D. Manuel llamos, 30.* 1). Francisco Be…</t>
  </si>
  <si>
    <t>Espejo, Pedro</t>
  </si>
  <si>
    <t>Pedro Espejo</t>
  </si>
  <si>
    <t>disan , 1. D. Toribio Antonio Calvo, oficial de la aduana de íluaura, 25 , é igual cantidad cada año. que dure la guerra. El subdelega­ do de Chancay D. Pedro Espejo , 100 y lo mismo cada año que dure la guer­ ra. El conde de las Lagunas , 200. El común de indios del pueblo de Layhuaytambo , -38. D. Juan Macho y su hermano D.…</t>
  </si>
  <si>
    <t>Espel, Viceote</t>
  </si>
  <si>
    <t>Viceote Espel</t>
  </si>
  <si>
    <t>quín Melgarejo. Diputados seculares '-Diputados seculares D. Angel Sahun. D. Domingo Antonio de la Osaña.' D. Mariano Sopeña. D. Juan de Barreiieche. D. Viceote Espel. D. Josef Arandilla. - . Secretario D. Agustin Estebes. D. Arias Gonzalo de Loza. Secretario D. Nicolás García de la Osa. BARRIÓ: DE AIERCENAR1AS DESCALZAS. BAR…</t>
  </si>
  <si>
    <t>Espert</t>
  </si>
  <si>
    <t>1228</t>
  </si>
  <si>
    <t>últimas visitas ; pues se observa que cada vez emplean todas sus fuerzas disponibles , acompañadas de algún canon. El gefe de los misinos Decaen , el general Espert y varios ofi­ ciales de giaduncion , con Font y Glosas y otros renegados , estu­ vieron el ¡7 riel corriente, en áreas de Mar .Después de muchas amenazas , y arre…</t>
  </si>
  <si>
    <t>Espert, L</t>
  </si>
  <si>
    <t>L Espert</t>
  </si>
  <si>
    <t>de Segovía la mañana del mismo día, y marchó por el Guadarrama. Dexó en Segovia una guardia avanzada, la mayor parte de caballería, baxo e mando del general L’Espert; destruyólos cañones y municiones que había en el castillo; se llevó la plata de las ig esias y otros efectos preciosos, é impuso una contribu­ ción considerable…</t>
  </si>
  <si>
    <t>m baxo la dirección de Sir Home Popham. —Tengo la honra de ser &amp;e. — Firmado—Wellington ” P. D. ,,Acabo de oir que Ls tropas francesas del general L’Espert se han retirado de Segovia por S. Ildef^m;o.,, Extracto de una carta del conde de Wellington al conde de Batkurst, fecha en Madrid á 13 de agosto de 1812. „Viendo que el e…</t>
  </si>
  <si>
    <t>Espinaeh, Pablo</t>
  </si>
  <si>
    <t>Pablo Espinaeh</t>
  </si>
  <si>
    <t>terventor D. Celedonio Bowi, • • vi v Bou 12. A ¡ministrador de Guamachuco D. Agustín Sánchez , 50. Id, de Cajamarca T&gt; Miguel Espinnch, 504. Olioíal D. Pablo Espinaeh , 200. Administrador do Chaehapovas I). Andrés de Torres, 4 2. Id. de S. Pedro I). Pablo Flores,, JO. Id. de Lu.nbayeqae 1J. Pedro A i jovin , DO. Id. de Piura…</t>
  </si>
  <si>
    <t>Espino'a, Mariano</t>
  </si>
  <si>
    <t>Mariano Espino'a</t>
  </si>
  <si>
    <t>, 25. D, Fran­ cia o 5 lo mes , 25. D. Mariano Egoaguirre , IG. D. Luis Q, ni ros , 12. D. Ale* x andró Boh urques , 12. i). José Isidoro Alcedo, 12. D. Mariano Espino'a, 10. 1). Luis Sánchez Baharuonde, 10. D. Marcelino Velarde , 10. I&gt;. José María Frevre , íi). D. Guillermo Geraldino , 10. D. Lorenzo Barba , 10. Don Manuel …</t>
  </si>
  <si>
    <t>Espinosa, Carlos</t>
  </si>
  <si>
    <t>Carlos Espinosa</t>
  </si>
  <si>
    <t>s sus hijos baxo su benéfica sombra y dos vacmtes que resultan por ausencia de D. Ma­ «paternal protección; acelerad, glorioso santo, el nuel Cuhas y D. Carlos Espinosa; y al presbítero «dichoso momento, en que abrigados todos en el D. Main el Cester para diputado eclesiástico del «dulce seno de la paz , podamos exercer sanr.…</t>
  </si>
  <si>
    <t>Espinosa, José</t>
  </si>
  <si>
    <t>José Espinosa</t>
  </si>
  <si>
    <t>to a, 2. id. D. Tomas Medrano, 2. Id. IX Eulalio Egoavil, 4. Id. TX José Xarvarte , 2. Id. D. Antonio Zavala , 2 Subteniente IX Diego Adalid, 25. Jd. D. José Espinosa, 25. Id. D. Manuel Aidaieo , i. Id. D. Tadeo Rozas , 2. Sargento n»ayor D. Juan Duran , 4. Capitán D. Se­ bastian A costa, 4. Subteniente D. José Ralao, 1. Id. …</t>
  </si>
  <si>
    <t>Espinosa, José Granada</t>
  </si>
  <si>
    <t>José Granada Espinosa</t>
  </si>
  <si>
    <t>an de Dios , 100. D. Luis Centextábili, 10. D. Gaspar Cenon de Medina, escribano de gobierno, 25 D. Pe­ dro Aguirre , 6. El prior de S. Agustin , 40. D. José Granada Espinosa , 10. D. Joaquín Torres , 8. D. José Moran por aguardientes y pu’peros, 341 y 4. El mismo por los regatones , chinganas y otras personas , 44 y 3. D. Ma…</t>
  </si>
  <si>
    <t>Espinosa, Lorenzo</t>
  </si>
  <si>
    <t>Lorenzo Espinosa</t>
  </si>
  <si>
    <t>ancisco Paredes, 200. D. Mi­ guel Navarrete , 4. D. Miguel Camino , 30. D. Joaquín Malo, 6. D. José Ma­ ría Tello , 6. D. Juan Silvestre Touroi , 20. D. Lorenzo Espinosa , 30. D. Jo­ sé Ramón Menendez, 25. D. Félix de la Cruz, 4. D. Cristóbal Barragan, 10. D. Ramón Córdoba, 12. D. Femando Plaza, 4. Colectado por el ayu­ dante…</t>
  </si>
  <si>
    <t>Espinosa, Manuel Sixto</t>
  </si>
  <si>
    <t>Manuel Sixto Espinosa</t>
  </si>
  <si>
    <t>.... 16052 I2 nuestro ministro de Hacienda, y oída la sección D. Rafael M »rtinez de A iz^...... 6885 de Hacienda de nce tro consejo de Estado, hemos D. Manuel Sixto Espinosa........... decretado y decretamos lo que sigue : 3375 D. Antonio D ¡mingo Porlier 54001 21 articulo i. ,, Se declaran acreedores del es­ D. Juan Estébat…</t>
  </si>
  <si>
    <t>Espinosa, Pedro</t>
  </si>
  <si>
    <t>Pedro Espinosa</t>
  </si>
  <si>
    <t>. Joaqnin Peralez queda nombrado espiran; D. Leoncio Sánchez. D. Pablo Olivas teniente, y D. Juan Josef Gu­ D. Josef Buelga.*. ' tiérrez sobtenientel D. Pedro Espinosa. art. vii. -En la villa de Pedroche se formará D. Juan Antonio Gutiérrez. media compañía. D. Juan de Frías. Queda nombrado capitán de ella D. A-onsO D. Agustin…</t>
  </si>
  <si>
    <t>Esponera, Manuei GíU D Joan</t>
  </si>
  <si>
    <t>Manuei GíU D Joan Esponera</t>
  </si>
  <si>
    <t>e intereses de vales D. P dro Faura.................................. toyo reales. D. F rancisco Mald nado...,.............. 1304 24 Los herederos de D. Manuei GíU- D Joan Esponera y sobrinos........... 5956 17 bert.................................................... 1310 12 !&gt;■ J uan Sauz y Barrnte, deposita­ D. J uan Vicent…</t>
  </si>
  <si>
    <t>Espoz</t>
  </si>
  <si>
    <t>157</t>
  </si>
  <si>
    <t>tubre de 1S11.—^Francisco Espoz y Mina"— (1) La¡ irregularidad con que se han recibido los correos, y por con • siguiente los &gt;s r.— . — del portes — brigadier Espoz yy Mina, ha motivado la in. —...^lf&lt;,. versión del orden en que se han publicado (os 10 que remitió hasta 23 de octubre ai general JSlendiuibtii. l^os 4 primeros…</t>
  </si>
  <si>
    <t>ndonó la ciudad, y se encerró en el castillo de la Aljafcría. Después de haber extraido del arrabal cuan­ to pertenecía a los enemigos, se dirigió el brigadier Espoz á Hues­ ca , dónele 200 hombres guarnecían la fortaleza y custodiaban mu­ chas riquezas, fruto déla rapacidad de nuestros invasores. Aunque con algún trabajo, se…</t>
  </si>
  <si>
    <t>ture lui avoit donné. — De raleza. — Da Y. M. imperial y (I) Son las que llevaba Mr. JDestandes, que fue muerto el 9 de abril, cuando la división del general Espoz serpee hendíó éinterceptó el convoy francés entre Arlehan y Salinas. Eos originales, que existen en la primera secretaría de Estado y del Despacho, están todos esc…</t>
  </si>
  <si>
    <t>n batirse, y su anhelo en amontonar pruebas de valor que dicen públicamente: si la infantería es tan guerrera, la caballería no dexará descarado á su brigadier Espoz*, Tengo el placer de presentar á V. S. unos útiles para al equipo de la división : el regimiento se dará por satisfecho con la gloria de ver en sus compañeros lo…</t>
  </si>
  <si>
    <t>imusrfe Saohet por fefídeute, y trasladado al castillo de Jaca, fué recostado el día 2 de este por una división de fes tropas navarras doi maudo del general Espoz j Mina, que Espitando las murallas deí fuerte , hizo prisioneros á los soldados que la custodiaban. ARTICULO DE OFICIO. El g'fr político en comisión de la provincia…</t>
  </si>
  <si>
    <t>Espoz, Francisco</t>
  </si>
  <si>
    <t>Francisco Espoz</t>
  </si>
  <si>
    <t>n conduciendo á la plaza de Cardona y otros pun­ ios.— El general Lacy estaba en Vich. Otra caria se ha recibido del brigadier (ya mariscal de campo) D Francisco Espoz v Mina, con íce ha de 9 de febrero étimo en Sangüesa, que dice literalmente : „ Aunque en este reyao de Navarra no hay en ei día fuerza ene*</t>
  </si>
  <si>
    <t>gencia del reyno de los distinguidos ■ servicios y anreci&amp;bles calidades que concurren en los mariscales de cxmpo D m J &gt; é María de- Sár.-tociídes y D. Francisco Espoz.y M':na, se ha ser­ vido nombrar al primero- comandanta general del reyno de Galicia, y ai segundo, por segundo gane ral del séptimo exército. La 'Rfgenera de…</t>
  </si>
  <si>
    <t>1076! tinados á guarnecer los pantos que ocupan; las tropas de la divi» sion navarra al mando del marital de campo D. Francisco Espoz j Mina gozan de una quietud que hasta ahora habían desconocido, no ocupándose mas que en acercarse en pequeñas partidas á los ueblos ocupados por el enemigo para impedirle hacer salidas en E ut…</t>
  </si>
  <si>
    <t>Esquivel, Francisco Torres</t>
  </si>
  <si>
    <t>Francisco Torres Esquivel</t>
  </si>
  <si>
    <t>é Márquez, portero, 41. — Corita* daría. El contador D. Pedro Fernando Truxillo , 416. El oficial primero Don. Félix Saenz de Tejada, 200. El segundo D. Francisco Torres Esquivel, 125. El tercero D. Cários Ortiz , 100. El cuarto D. Mariano Almiron , 100. El quinto D Juan Ensebio Punentel, 83. El sexto D. Miguel de Jaras, 83. …</t>
  </si>
  <si>
    <t>Essen</t>
  </si>
  <si>
    <t>al coronel ludschuck, ó reconcentradas cerca de Gíurgcwo. de ingenieros Eckespar. El general M-.rk W continú. m.nJmJo en ía pe­ queña Valaquia , y el general Essen manda el ala iz­ DINAMARCA. quierda ; pero dicen que va á salir par, la Lima­ da. Su este caso parece que el general Markow Copenhague $ de mayo. tomara el mando d…</t>
  </si>
  <si>
    <t>en la misma orilla, y trata de echar un puente sobre el rio en Keutzberg. Riga está en buen estado de defensa, y nada tiene ciertamente que temer. El general Essen ha destacado tropas pa­ ra atacar el ala derecha del exército prusiano, y cortar al general Grawest de Mitau, donde solo hay una corta guarnición. Rey na en toda l…</t>
  </si>
  <si>
    <t>Estabula, Gaspar</t>
  </si>
  <si>
    <t>Gaspar Estabula</t>
  </si>
  <si>
    <t>Gazeta de la Regencia de las Españas n.º 102</t>
  </si>
  <si>
    <t>apitán de alemanes, y entre los últimos 3 oficiales. — Aquella misma noche había yo dispuesto que la primera compañía, al mando de su capítan segundo D. Gaspar Estabula , fuese á scrpithender una compa­ ñía que iba todos ios días á S. Feliu desde el puede ele Molina de Rey. No surtió efecto la sorpresa p -r hab¿r concurrido t…</t>
  </si>
  <si>
    <t>Estanislao, María Robert</t>
  </si>
  <si>
    <t>María Robert Estanislao</t>
  </si>
  <si>
    <t>upimos que Aldíguien (D. Alexaadro) , capitán de granaderos había tropa á corta distancia , y resolvimos reti­ de la guardia real. rarnos. Alexandre (D. María Robert Estanislao}, capitán „N, B. Los hombres que habían robado estos del mismo cuerpo. efectos ignoraban enteramente mis órdenes, que á Alvarez ( D. Juan), tirador de…</t>
  </si>
  <si>
    <t>Estayeck, Jum BiUtista</t>
  </si>
  <si>
    <t>Jum BiUtista Estayeck</t>
  </si>
  <si>
    <t>lo la provincia no sean suficientes c*t* vez esta corte.......................... ........ 87193 s para resistir á los turcos, han abandonado sas ho­ D. Jum BiUtista Estayeck........ 18^3 10 gares iecogie-do lo mas precioso que tenían, y se D. Josef Alegre......................... . 53 53 21 han retirado á otros pueblos de la…</t>
  </si>
  <si>
    <t>Esteban</t>
  </si>
  <si>
    <t>gra­ presentante dejas demás en la diputacioa pr«dos^' do coread. ' ' Bírcen.i ( D. Tomas), sargento jv, rv ■+ . -Vsgif erttada'últímaménté. Estrada (D. Esteban), capitán .del nútn. 3.0 dejjiifntr. de Ganada , 4.0 de in'f’/ir: ’f; ■ hutía. “'ííázadbres á.'cabijló. .. B^mn ( D. Joscl'), hú¿i( de u euartf iViea!.'1 ; Ezpélera (…</t>
  </si>
  <si>
    <t>Estéban</t>
  </si>
  <si>
    <t>nición, claman­ de Sta. Cruz y de S. Pedro de la dicha ciudad de do el pueblo que aquella catástrofe, acaecida en Jaén, vacantes por fallecimiento de D. Estéban el mismo dia y hora de publicarse dos años an­ del Pozo. tes la independencia , era castigo por la infideli­ dad d la madre patrias lo que procuraba atajar Eustaquio …</t>
  </si>
  <si>
    <t>Estébanez, Agustín Fernandez</t>
  </si>
  <si>
    <t>Agustín Fernandez Estébanez</t>
  </si>
  <si>
    <t>le en el pie qné no en la mano; y ú'tiimMaría Guerra, b. Nicolás Rubira, D. Antonio- tnente, que ¡i el cántaro da en la piedra , ó la pie­ Gutiérrez, D. Agustín Fernandez Estébanez, Don dra da en el cántaro, el mal es siempre, para el Manuel Gadea , b. Estéban Perez, D. Pedro Cor­ cántaro, y otras cosas por este estilo; ya se…</t>
  </si>
  <si>
    <t>Esterri, Nicanor</t>
  </si>
  <si>
    <t>Nicanor Esterri</t>
  </si>
  <si>
    <t>s á sus reales pies e! hotínez; seminaristas D. Luis Colina , D. Joan Josef menage de sumisión y respeto que deben á V. M. Cámara, D. Mariano Tejada, D. Nicanor Esterri- todos los pueblos de su vasta monarquía. pa, D. Carlos Sicilia y D. Miguel Guridi; D. An­ ,, Mucho tiempo há que Requena y lugares de tonio Irigoyen y D. Ani…</t>
  </si>
  <si>
    <t>Esterripa, Francisco</t>
  </si>
  <si>
    <t>Francisco Esterripa</t>
  </si>
  <si>
    <t>al, 1000. El Exorno, cabildo por completo de los 100.000 ps. que ofreció, 30.000. D. Francisco Moreno y Escanden , oidor de esta real audiencia, 395. D. Francisco Esterripa, alcalde de corte, 400. D. Juan Ramí­ rez, gobernador de íínaroehiry, 300. D. Francisco Calderón y Fastamente, co­ ronel de 'Farma, 2000. D. Antonio Alvar…</t>
  </si>
  <si>
    <t>Esteve</t>
  </si>
  <si>
    <t>? Ño convendré con observado con gran vigilancia y (añilado todos los vmd. en que ha sido prudenre dar lugar á prue­ movimientos de e‘ta esquadra. El coronel Esteve bas tan arriesgadas, tratándose de la suerte de una marchtí rápidamente con e! regimiento 14.° al em­ nación entera, y exponiéndola á terribles resenti­ bocadero …</t>
  </si>
  <si>
    <t>Estrada, Nicolás</t>
  </si>
  <si>
    <t>Nicolás Estrada</t>
  </si>
  <si>
    <t>1200 D. Nicolás Estrada parala plaza de ministro del tribunal espacial de Guerra y Marina, que ha resultarlo vacante por dimisión que de ella se sirvió S. A. admitir al gefe de escuadra I). José Espinosa Tello. La Regencia del reyno se ha servido nombrar subtenientes de in­ fant</t>
  </si>
  <si>
    <t>Eu, Francisco</t>
  </si>
  <si>
    <t>Francisco Eu</t>
  </si>
  <si>
    <t>i. Francia , parque , ti no es á su gusto , no lo han do En la escultura : D Franci co Aí'arrih.i. dex ir parar un dia siquiera; todos lo dicen, y lo D. Francisco Eu..s, D. Carlos Gar í y D. Josef saben sin ser abogados, que toda la vida en Espa­ P-* riiucci. ña ha sido menesrer estar bien con Ftancia . por­ En la arquitectur…</t>
  </si>
  <si>
    <t>EuD</t>
  </si>
  <si>
    <t>4 mano de *ú apoderado .D. Fran­ D. Josef Gonzalo Ruiz de Celada, ’• cisco Ñoñez...................................... 5400 por medio-de so apoderado D. EuD. Tomas Gómez Duran..................... 36000 sebio de Oca y Meto.......... ............. pooo1' ’* ■ D. Cárlos Mori, por mano de su apo­ D. Joaquin Antonio de Sojo......…</t>
  </si>
  <si>
    <t>EuDe, Jasto</t>
  </si>
  <si>
    <t>Jasto EuDe</t>
  </si>
  <si>
    <t>n de perecer en la i ayudante mayor del mismo regimiento; á ios eosia al oeste ^el Jutland cerca de Rissensteen. subtenientes del referido regimiento D. Jasto EuDe los 1900 hombres qne componían la tripula­ ret y B. Francisco Chanville á tenientes ; y al ción de los tres navios, solo han podido salvarse sargento primero del p…</t>
  </si>
  <si>
    <t>EUey</t>
  </si>
  <si>
    <t>anifestase solo 3 escuadrones, y procurase entretener al enemigo por sq frente hasta que la brigada del mayor general Le-Marchant, á la cual envié al coronel EUey para que la guiase cubierta por las alturas, estuviese pronta á atacar al enemigo por su flanco. Esta combinación tuvo el mas feliz éxito; y el enemigo, acometido á…</t>
  </si>
  <si>
    <t>Eugenio</t>
  </si>
  <si>
    <t>imero Casant ( D. Pedro), teniente de la gendarmería real. de la guardia cívica de Madrid. Castillo (D. Baltasar del), canónigo de la'santa Guztnan ( D. Eugenio), comisario general de po­ . iglesia catedral dé Cuenca , y gobernador de su licía dé Patencia. diócesi. , Henayejos (D.-Nicolás Fernandez) , capitán dclCastillo (D..…</t>
  </si>
  <si>
    <t>Eüo</t>
  </si>
  <si>
    <t>rcha hácia las Peñas de S. Pedro, y llegó á S. Clemente el dia 10 á las 9 de la mañana des­ pués de quatro dias de camino. En el dia anterior tomó el general Eüo el mando del exército, y el 11 se estaba disponiendo la salida para Belmonte (1). Entre tanto el general Villacampa no contento con dar nuevas pruebas de su acredita…</t>
  </si>
  <si>
    <t>Eusabio</t>
  </si>
  <si>
    <t>541</t>
  </si>
  <si>
    <t>dicha jiuía supe­ rior, O. Francisco Gutiérrez de la Huerta, d; puta do en Cortes . por 5 a provincia de Burgos , el presa Ce Fa misma junta superior D. Eusabio E- xardo, canónigo magistral de la Sta. iglesia de Seo. Do­ mingo de la Calzada-, y ü. josé ''Mañas, intendente de la provincia</t>
  </si>
  <si>
    <t>Eusta</t>
  </si>
  <si>
    <t>sta delicada operación con los l^télones primero de Vizcaya, segundo de Alava, y el escuadren de -húsares de Ric ji* á las ordene» de les comandantes D. Eusta­ quio Salcedo , D. Francisco Xavier de Mugartegni y D. Fermín de Salcedo. Dkpusa al memento, que se lernas se una pequeña co­ lumna de vanguardia, fuerte de 130 plazas,…</t>
  </si>
  <si>
    <t>Evora, Antonio</t>
  </si>
  <si>
    <t>Antonio Evora</t>
  </si>
  <si>
    <t>de esta ciudad, recogieran de ios vecinos que los componen, 4207 y medio, D. Francisco y D, Ensebio Al­ vares , por un soldado durante la guerra, 9. D. Antonio Evora , id., 9. Don Evaristo de. Aguirre y D. Pedro Morales , id., 9. D. Blas Fuertes , id. , 9. Don Juan Madrazo, por 2,18. I). Hermenegildo Gaíeano, por uno ,9. D. J…</t>
  </si>
  <si>
    <t>Ewtld</t>
  </si>
  <si>
    <t>871</t>
  </si>
  <si>
    <t>declarantes cor.vienen hombres, entre intafitería y cahadetía , los que tie­ igua'm nte en decir que uno de los efectos m .s in~ ne á sus órdenes el general Ewtld para este solo medi.tos de las referidas órdenes t-s el haber dado objeto , y están repartidos de manera que pueden fomento al comercio activo del extrangero, y par…</t>
  </si>
  <si>
    <t>Expert</t>
  </si>
  <si>
    <t>ción , y de otras muchas per­ sonas ag egadas á la dirección central, que perma­ necerán en Basilea todo el año. También nos lison­ Teniendo aviso el general Expert, gobernador jeamos qne tendremos La felicidad de poseer en es­ de Segovia, de qoe ocupaba Marazoleja un desta­ ta ciudad por algunos días i S. E. el ministro de c…</t>
  </si>
  <si>
    <t>z. ia facultad de salir de la plaza á los que lo deseen, los que quedpeo deben ser considerados como adic­ tos á tos principios arriba expresados. El general Expert, gobernador de Segovía, 3. a „Concedí io en caso que tos miembros de las habiendo logrado alcanzar el 14 del corriente á autoridades civiles y militares tengan la…</t>
  </si>
  <si>
    <t>299</t>
  </si>
  <si>
    <t>l artículo para manifestar que todo se ha reducido á la sorpresa de un pequeño des­ tacamento de la expresada partida. Dice así: ,, Teniendo aviso el general Expert, gobernador de Segovia, de que ocupaba á Morazaleja un destacamento de la partida de Abril, hizo salir en la moche del 1 al 2 del corriente 100 dragones del 18 co…</t>
  </si>
  <si>
    <t>Ezpeleta, Juan Bautista</t>
  </si>
  <si>
    <t>Juan Bautista Ezpeleta</t>
  </si>
  <si>
    <t>listas, para calmar la indig­ llinojosa , en el obispado de Córdoba , vacante por nación del pueblo contra los ingleses, y hacer que fallecimiento de D. Juan Bautista Ezpeleta. mire con indiferencia las vigorosas providencias de A D. Joan Crisóstomo García Caitañazor, nuestro gobierno.” presbítero , ex- trinitario descalzo pa…</t>
  </si>
  <si>
    <t>Ezquerra, Pedro</t>
  </si>
  <si>
    <t>Pedro Ezquerra</t>
  </si>
  <si>
    <t>D. Simón Sainz de Baranda. rD. Francisco ¿Villegas..'- ' Dí Jacinto García de la Parra. D. Manuel Ramos. : ■ Secretario Secretario D. Migoel Perez. " D. Pedro Ezquerra. ¡BARRIO DE LAS DESCALZAS REALES. BARRIO DE SANTIAGO* Alcalde de barrio Alcalde de barrio D. Josef Roe!. D. Francisco Xavier Burd.di®. Diputado eclesiástico Di…</t>
  </si>
  <si>
    <t>F, Agustín</t>
  </si>
  <si>
    <t>Agustín F</t>
  </si>
  <si>
    <t>sido prisioneros ios franceses, pues tenia principiado á abrir un nuevo boquete en la misma casa fuerte. „ Recomiendo á V. E en particular al espitan D. Agustín F ernan­ dez y al sirgínto segundo J -sé Calderón, que con la mayor intrepi­ dez fui el pri mero que c n 20 granaderos se ¡ntroduxo en el recu to de los enemigos, los…</t>
  </si>
  <si>
    <t>F, José Vázquez</t>
  </si>
  <si>
    <t>José Vázquez F</t>
  </si>
  <si>
    <t>658 ecjo de guerra y marina; D. Francisco Xavier Abadía, mariscal de campo de I03 reales exércitos, y D. José Vázquez F.gueroa, secre­ tario interino de estado y délos despachos de marina y hacienda; ha venido en elegir y nombrar secretario de estado y del despacho de estado al marques de Cusa-1rujo; secreta</t>
  </si>
  <si>
    <t>F, Pablo</t>
  </si>
  <si>
    <t>Pablo F</t>
  </si>
  <si>
    <t>o les obliga á vio-ge muy l¿irgo. La gaceta del 18 pone bus nombre» en estos términos : ,,D. Manuel Ubalde Aguirre, capelbm que fué del Buen-suceso ; D. Pablo F guerea , cfíckl retirado de merma , natu­ ral de Vi 'lacenas ; D. Joté Amat, teniente coronel retirado, satura! de Bi*rce!ona; D. Manuel Lozano, oficial de la secreta…</t>
  </si>
  <si>
    <t>Faba</t>
  </si>
  <si>
    <t>887</t>
  </si>
  <si>
    <t>do observar por la Superioridad, le doy orden para que mande afusilar ai oficial y 9 soldados franceses que me dice haber sorteado á prevención, y al comandante Faba* ielli por la calumnia que levantó á los vecinos de Calatayud, y en vindicación de las tres víctimas sacrificadas en los referidos pue­ blos , y de la inhumana y…</t>
  </si>
  <si>
    <t>Fabalelli</t>
  </si>
  <si>
    <t>858</t>
  </si>
  <si>
    <t>en 9 al respecto de 3 por cada una de las víctimas inocentes sacrificadas en aquellos pueblos, y 2 eficíales, el uno también por suerte, y el otro el comandante Fabalelli, por encontrarse en él el delito de vil impostor en un pliego que escribía, y se interceptó, en vindicación de otra, que fné el alcalde de Mo­ chales , á qu…</t>
  </si>
  <si>
    <t>Fablegues, Jsyme</t>
  </si>
  <si>
    <t>Jsyme Fablegues</t>
  </si>
  <si>
    <t>ón González, capitán del segundo del batallón de voluntarios de Santiago , D. José CienfuefgoB, capitán del batallón del General del sexto exército , D. Jsyme Fablegues, capitán con grado de teniente coronel del segundo de Bur­ gos y D. Pedro Martínez Coronado, capitán agregado al primero úe Córdoba. Continúan los donativos m…</t>
  </si>
  <si>
    <t>Fábrega</t>
  </si>
  <si>
    <t>los enemigos ea número de cerca de 3000, y al amanecer del dia siguiente me no­ tició que se dirigían á S. Esteban de Bas. Á consecuencia de esto, el comandante Fábrega pasó á tomar el Grao, con arreglo á ruis instrucciones ; y el primer batallón al mando de su capitán de gra­ naderos , graduado de teniente coronel, D. Juan R…</t>
  </si>
  <si>
    <t>aguardia francesa hasta el Selient. La extraordinaria fatiga les impidió adelantar; per© llegando en este punto mi segundo batallón desde el Grao, el comandante Fábrega ocupó con dos compañías las ventajosas posiciones de S. Miguel de Campmajor y Poliijá para incomodarles el paso , y con su restante fuerza acompañaba con segu…</t>
  </si>
  <si>
    <t>Fábrega, Juan</t>
  </si>
  <si>
    <t>Juan Fábrega</t>
  </si>
  <si>
    <t>624</t>
  </si>
  <si>
    <t>.«•rendes regueros de sangre que se observan por aquella paite. — José Frió. II. Del comandante 'del.segundo batallón dd regimiento de S. Fer­ nando, D. Juan Fábrega, al brigadier D. Francisco Revira. — Cua­ tro de mayo del812. — E 1° de .este mes, noticioso de que los enenrigos se hallaban cerca de Sta. Pau con determinada r…</t>
  </si>
  <si>
    <t>Fábregas, Juan Antonio</t>
  </si>
  <si>
    <t>Juan Antonio Fábregas</t>
  </si>
  <si>
    <t>ro , D. Manuel Fernandez ViUamil y D. Tomas García. Tenen­ cias coronelas : del regimiento de infantería de Palma á D. José Eraso ; del de IJitonia á D. Juan Antonio Fábregas; del de Mataró á I). Gerónimo de la Concha; del de S. Fernando á D. Antonio VijaJonrnar ; del de Fernando VII á D. Diego Alvatez; del de Ausoim á D. Mar…</t>
  </si>
  <si>
    <t>Fábregay, Juan</t>
  </si>
  <si>
    <t>Juan Fábregay</t>
  </si>
  <si>
    <t>723</t>
  </si>
  <si>
    <t>conociendo que mis fuerzas no eran bastantes para tenerlos en un verdadero y estrecho bloqueo, oficié desde luego al comandanta del segundo batallón D. Juan Fábregay para que sin perder moma ato viniera con las tropas de *u-mando á protegerme, practicando lo propio con el coronel D. Juan Charos, pues que rae noticiaron que; d…</t>
  </si>
  <si>
    <t>Fabricio</t>
  </si>
  <si>
    <t>iudas y huéllanos de calor se extienden y recoged hácia los lados por los militares muertos en el campo del honor. _ medio de varios conductos. f• El profesor Fabricio leyó ayer en la academia de las ciencias una disertación mui curiosa sobre HUNGRÍA. las costumbres de los habitantes de Ja Groenlandia* Presburgo 27 de febrérd…</t>
  </si>
  <si>
    <t>Faccir, Pablo</t>
  </si>
  <si>
    <t>Pablo Faccir</t>
  </si>
  <si>
    <t>ial de la renra recho para autorizar matrimonios p en ventajosos, de la loteiL................. 6600 y acaso reprobados por la mora!; y tal vez movi­ D. Pablo Faccir.i, e&gt;npie,d&gt; en las pro­ das de biX '.s intereses personales, se introducían visiones del exé'CÍto............................ 2666 en las casas para promoverlos…</t>
  </si>
  <si>
    <t>Fácio, José Antonio</t>
  </si>
  <si>
    <t>José Antonio Fácio</t>
  </si>
  <si>
    <t>i­ pado de Asturias al primero, y del reyno de Aragón al segundo. Igualmente ha nombrado S. A. ayudante segundo del estado ma­ yor de loa exércitos á D. José Antonio Fácio , segundo teniente del regimiento ce reales guardias españolas. Ea Regencia del reyno ha visto con complacencia el noble des­ prendimiento con que D. Ma&amp;ue…</t>
  </si>
  <si>
    <t>Fació, José Antonio</t>
  </si>
  <si>
    <t>José Antonio Fació</t>
  </si>
  <si>
    <t>oey^que mugió en el ampo; herido el tenien­ te coronel CkKkdyud-inté íefExcmo. Sr. general en gefe ; y contu­ so el ayudante segundo de e.siadó mayor D. José Antonio Fació. 3. a' Desde el general en gefe, de toda la clase de gefes y estado mayor y són pocos los (ifiaáies que ño fian recibido algún balazo ó cu­ chillaría €7i s…</t>
  </si>
  <si>
    <t>Facundo</t>
  </si>
  <si>
    <t>ste mes. Berna &lt;5" de abril. El REI pOT decreto, de 12 de mayo de 1812 El enviado bávaro cerca del gobierno de la se ha servido nombrar al ex-cartuxo D. Facundo confederación helvética ha informado á S. E. el "Villaroel , presbítero , para una capellanía del coro landamaDn que hai una quadrilla de bandoleros y de la catedral …</t>
  </si>
  <si>
    <t>Fafjó, Salvador</t>
  </si>
  <si>
    <t>Salvador Fafjó</t>
  </si>
  <si>
    <t>dar al enemigo en términos que á breve rato se retiró precipitadamente. Del comandante de i tercio de. voluntarios cazadores de la co ta de fiíataró D. Salvador Fafjó, á ZX Salvador Vtña'.s, insp.-ctor de tos tercios de la Fghn patriótica catalana- — Veinte y cinco de noviembre de 1811.—Ayer mañana salieron de Barcelona á bus…</t>
  </si>
  <si>
    <t>Fajol</t>
  </si>
  <si>
    <t>n multitud de hombres eme se refugiaron en pe de Eckmülh avmiuó hacia Ochmiana para soste­ ellos durante ia, tempestad. En dicha ciudad ua'-.R ner al general Fajol con una división de infantería, una fábrica para 60® raciones de pan. Se ha esta­ los coraceros de la división del conde Vdlence, y blecido otra para igual cantida…</t>
  </si>
  <si>
    <t>Falceto, Domingo</t>
  </si>
  <si>
    <t>Domingo Falceto</t>
  </si>
  <si>
    <t>uan de Gálvez Huesman. D. Antonio Perez Dávila. Secretario. D. Guillermo Terri. D. Pedro Fernandez Nieto. Municipalidad de Toledoj Corregidor. AVISO. D. Domingo Falceto. Regidores.- , En virtud de providencia del Sr. D. Juan Bautísty D. Manuel Balza. Guitart, juez de primera instancia'en esta villa'; y por D. Zoilo Casero. la…</t>
  </si>
  <si>
    <t>Falconero, Diego</t>
  </si>
  <si>
    <t>Diego Falconero</t>
  </si>
  <si>
    <t>tillo, residente en Ecija........ 2200 -D. Josef Je Córdoba , id ................................ 2 ICO D. Vicente Su-zo, residente en Córdoba.. 2200 D. Diego Falconero , id............................i...... 22 OO D. F ruando Camacho, id..’...................... 2202 D. Francisco López Quiros , diácono, id... 2 200 D. Fernan…</t>
  </si>
  <si>
    <t>Falencia, Juan</t>
  </si>
  <si>
    <t>Juan Falencia</t>
  </si>
  <si>
    <t>Patricio Bermudez, 12. D. Ignacio Monteros, l. D. Francisco Lavado, 12. D. Manuel * ’astro monte, G. 15. Fermín Ace ved o, 12. D. Bernardo Soto, 10. D. Juan Falencia, 50. D. Pedro Montaivo , 10. D. Antonio Hernández , 10. B. Domingo Palacios, 10. D. Ramón Saiazar, 12. D. José Antonio Vidasolo, 25. D. Pe iro Au ionio de Casas,…</t>
  </si>
  <si>
    <t>Falgues, Juan</t>
  </si>
  <si>
    <t>Juan Falgues</t>
  </si>
  <si>
    <t>co por si y su gremio , 84. Manuel Rodríguez maestro mayor de plateros , por sí y su gremio , 78.—Cuerpo de dragones. Ei teniente coronel comandante, D. Juan Falgues, 100. El ayudante mayor D .José Joaquin Aviles, 40. El cirujano Manuel Bravo, 25. Cuatro sargentos, 4 cabos y 4 tambores, todos veteranos, 15G. (Se continuará, )…</t>
  </si>
  <si>
    <t>Fanfurriñas</t>
  </si>
  <si>
    <t>este gusto : h'gulo vmd. por dico taimado de la dicta y de los epitafios! ¡pues mí . y por el honor de nuestro sexó , y dígdes á no digo nada el otro D. Fanfurriñas , que se nos esos señores , que no vengan echu.donos la culpa biene echándola de marido , y subiéndose ios cal­ de los disparates que ellos solos lian cometido , …</t>
  </si>
  <si>
    <t>Fanias, José Joaquín</t>
  </si>
  <si>
    <t>José Joaquín Fanias</t>
  </si>
  <si>
    <t>la plaza, á cuyo tiempo entró también haciendo fuego la división del capitán Torres, que habla dado la vuelta por Arenales. ,,Por último, el teniente D. José Joaquín Fanias, con tropas de todos cuerpos, sostenido por el de Geraldino, se acoderó de ios 2 cañones, é hizo prisioneros á 4 oficiales y 22 soldados, con lo que quedó…</t>
  </si>
  <si>
    <t>Farelli, Ca</t>
  </si>
  <si>
    <t>Ca Farelli</t>
  </si>
  <si>
    <t>­ ber penetrado en el valle de Roncal.— Nuestro señor &amp;c. — Lumbier 3 de marzo de 1812, — Exorno. Sr. — Francisco Espos y Mina” II. ,}Excmo. Sr. : El general Ca/Farelli, acantonado en Aoiz, des* tacó 60 caballos á descubrir á las inmediaciones de Enrubiar, en don­ de me hallo situado con el regimiento de húsares : al instante…</t>
  </si>
  <si>
    <t>Farrill, Gonzalo O</t>
  </si>
  <si>
    <t>Gonzalo O Farrill</t>
  </si>
  <si>
    <t>el nuestro , que cumpla!) como deben Sr. conde.de Fue n teu¡ eyji..... .......... J co en este particular en el tdrniiuo de un añp, que se Excmo. Sr. D. Gonzalo O Farrill,...... jeo ]&gt;a !ic.ido arriba. Excmo. Sr. D. Francisco Angulo......... 500 ‘o.° ,, Asi como aseguramos por las presentes 4 Excmo. Sr. duque de Saota-Fe.....…</t>
  </si>
  <si>
    <t>Fascardo, Dionisio</t>
  </si>
  <si>
    <t>Dionisio Fascardo</t>
  </si>
  <si>
    <t>os D. Luis Rícj, 300 ps. fs. D. Manuel Uojia, 406. D José Merino , 200. Doña Teresa Ortega y 'Páralos, J00. El ttNÍente co­ ronel D José Carbó , 200. D Dionisio Fascardo , ,6. ©. Bernardo Roca, 500. T). Domingo Ordeñana, 500. D. Santiago Víctores , .500. D. José María Luzeaudo , auditor de guerra, 200. D. Martin de Icasa, 100…</t>
  </si>
  <si>
    <t>Fasrill, O</t>
  </si>
  <si>
    <t>O Fasrill</t>
  </si>
  <si>
    <t>1071</t>
  </si>
  <si>
    <t>casas y puesto á salvo los efectos mas precioso,? qus tenían. A tas 7 de la tarde de este día se reunieron to les en la Mota del Cuervo, en donde el ministro O Fasrill circuló una orden á lo* pue­ bles inmediatos para que aprontasen 20000 raciones, orden que co­ mo» habia sucedido en otras ocasiones mas críticas, no fué obede…</t>
  </si>
  <si>
    <t>Faus</t>
  </si>
  <si>
    <t>campanero de minas , 400. D. José Moreno , 10. D. Francisco Frevre, 100. D. losé Torres , 50. D. Espíritu Arrieta , 50. Doña Do ninga Lacuriaga, 20. Doña Faus’tina Gutiérrez, 4. Dona Inés Barrera , 10. Doña Manuela Ampudia, 12. Do­ ña Margarita. Armciiones, 4. Doña Mercedes X i menea, 10. Doña Francisca Berasíegui , 25. — Dep…</t>
  </si>
  <si>
    <t>Fausti</t>
  </si>
  <si>
    <t>ivi­ duos del pueblo de Guamachuco, 31 -y 3 rs. y medio. Administración de rentas de Paita. D. Ignacio Cruceta , administrador , 108 y 2 rs. y medio. D. Fausti­ no Hurtado , 4. D. Juan Moscos , teniente del resguardo , 7. I). Juan Espino­ sa , guarda, tí. D. Faustino Duran , id., tí. D. Juan Otero , amanuense , 4. D. José Mar…</t>
  </si>
  <si>
    <t>Faustino</t>
  </si>
  <si>
    <t>los 83 ps. con que ha contribuido anterior­ mente , y de 500 anuales que ofrece durante.la guerra , ha entregado ahora por sí. y á nombre de su hijo D. Faustino , 4000. D. Juan Ruiz Dávila y su hermano D. Manuel residente en España , ademas de 400 ps. anuales que ofrecen , 800. Real tribunal da dientas. Contadores mayores. D.…</t>
  </si>
  <si>
    <t>Fautini, Joaquín</t>
  </si>
  <si>
    <t>Joaquín Fautini</t>
  </si>
  <si>
    <t>pínala ha sido acaso en este punto la de la lotería........................ .................. 2200 mas incierta, mas obscura , y aun contradictoria» D. Joaquín Fautini , 1 ficul de la lo­ Las Ly=s anteriores á la pragmática de 1776 ape­ tería.............................. ......................... 2200 nas daban á los padres…</t>
  </si>
  <si>
    <t>Faxardo, Dionisio</t>
  </si>
  <si>
    <t>Dionisio Faxardo</t>
  </si>
  <si>
    <t>ern, 25. D. Pedro Camacho, 50. D. Juan de Avi­ les, 10. Por los pueblos de la Punta de Sta. Elena, ha entregado D. José Ig* nació Gorrochategui, 100. D. Dionisio Faxardo , 12. El maestro mayor del gremio de barberos ,29 y 5. D. Pedro Alcántara Bruno , 100. D. Juan Mi* guel Germán , 4. D. Esteban José Amador, 100. D. Lupercio …</t>
  </si>
  <si>
    <t>Fchauri, Andrés</t>
  </si>
  <si>
    <t>Andrés Fchauri</t>
  </si>
  <si>
    <t>la mis­ ma generalidad en los de su batallón, p&amp;iticu'ariz* al capitán de granaderos, graduado deteniente core?el, D.Joaquin S¿ntitteban, al teniente D. Andrés Fchauri, que mandaba la compañía de caza­ dores , al subteniente D. Ramón Radía, al primero Asensio Grana­ da, al distinguido D. Francisco Belsa, al cabo primero Juan …</t>
  </si>
  <si>
    <t>Fcioandez, Antonio</t>
  </si>
  <si>
    <t>Antonio Fcioandez</t>
  </si>
  <si>
    <t>................ 2200 Dt Francisco Gregorio de Osuna, lego, id. D. Luí- Bastillo, residente en Ecija.......... 2200 en Córdoba................. 1100 D. Antonio Fcioandez , íd........................... 2200 D. Francisco Angelina ", id...’......................... 22C0 D. Josef Angelina, id.......'............................ …</t>
  </si>
  <si>
    <t>Fcminaya, José</t>
  </si>
  <si>
    <t>José Fcminaya</t>
  </si>
  <si>
    <t>, y ios subtenientes D. Francisco B¿an, D. Joaquín Quiroga y D. Aíitonio Boan, como igualmente el teniente y comandante de la compañía de cazadores, D. José Fcminaya, y el subteniente de la misma D. Cristóbal Marfil. La pérdida de ios individuos de estas compañías ha consistido en 6 muertos y 23 heridos. La de les ene­ migos …</t>
  </si>
  <si>
    <t>Fcr, Manuel</t>
  </si>
  <si>
    <t>Manuel Fcr</t>
  </si>
  <si>
    <t>neros. Jji'xirw-JJfS • • «o O *&gt;' « § •3 *1 a Cuerpos. Clases. Nombres. i « *1 a 1 "Gapit. l.°el y í teo. eoroa. D. Antonio Sabina 1 0 4' Idem. . . . D. Manuel Fcr.ejra. •... 1 • • Teniente . . O. Joaquín Lucas............... • 1 • Sarg. imyf&gt;r RarhisfrU Capitan&gt; aSre&amp;a:1°g#o• D. F;ancisco Venosa.......... • 1 • í) aro asir D…</t>
  </si>
  <si>
    <t>Fcy</t>
  </si>
  <si>
    <t>r que está aquí, no come pan muchos di as, y solo media ración , cuando lo hay. De Avila han traído 3ÜQ fane­ gas de trigo, y prometen enviar mas. El general Fcy que ha estado aquí 4 dias, se ha ido después de imponer á este partido, de orden de Marmont, una contribución de 600000 rs., de los que Talayera debe pagar una terce…</t>
  </si>
  <si>
    <t>Fe, José María</t>
  </si>
  <si>
    <t>José María Fe</t>
  </si>
  <si>
    <t>de contribuir por todos los m id ios posi­ bles á la tranquilidad de S. Salvador, ha diputado por su parte á los señares regidores, perpetuo y decano D. José María Fe irado, y al coronel Dr. Aycineua ya citado , sugetcs en quienes resplandecen las virtudes conciliadoras; para queá nombre del ayuntamiento, y lle­ vando todas t…</t>
  </si>
  <si>
    <t>Federico</t>
  </si>
  <si>
    <t>rió el consejero privado academia jónica. La función se acabó cor. una ce­ conde de Rosenkroae, caballero de la orden del na , á que asistió S. A. el príncipe Federico. Elefante. El 13 de diciembre estaba «i cambio sobra La comisión nombrada para recibir el emprés­ Hainbnrgoíá 773 por xoo.</t>
  </si>
  <si>
    <t>ue signen ¡as negociaciones ; pero tegua' parece la casa de Haviera, desde el conde Cirios hasta el dorarán mucho tiempo. Se está esperando otro ple­ duque Federico ,.padre dd Soberano reinante. nipotenciario que viene de Constantinopla , y que En seguida el señor consejero de Hacienda Rodebe obrar de acuerdo con Hamid-Effend…</t>
  </si>
  <si>
    <t>Federico, Cherien</t>
  </si>
  <si>
    <t>Cherien Federico</t>
  </si>
  <si>
    <t>lo que se ha sacado hasta ahora intacto con­ de la sociedad de ciencias de Copenhague ; S. A. siste en 1500 toneles de alquitrán, 320 barriles de el príncipe Cherien Federico, corno presidente de sebo , 2® tablas de pino de mas de quatro pulga­ la sociedad de ciencias de Dronsthein y de la aca­ das de grueso y de seis á siete…</t>
  </si>
  <si>
    <t>Federico, Cristiano</t>
  </si>
  <si>
    <t>Cristiano Federico</t>
  </si>
  <si>
    <t>bre esre particular, qué nada- podemos ■ suma de 1® rixdalers etf lío rescripto dirigido á decir de él con certeza. Las innovaOione* que de­ S. A. el príncipe Cristiano Federico, presidente rogaran , según dicen, las patentes anteriores sou' de la expresada sociedad. - ::í relativas al papel del estado, y particularmente á La…</t>
  </si>
  <si>
    <t>Feíixando</t>
  </si>
  <si>
    <t>ultado ha correspondido al valor que tienen acreditado cuantos han contribuido á ella.” Con motivo del cumpleaños de nuestro amado monarca «1 se­ ñor D. Feíixando vii ha pasado la Regencia det reyno á cumpli­ mentar á las Cuites ; s« ha vestido la corte de gala, y ae han hechor las salvas correspondientes. El 22 de Agosto lle…</t>
  </si>
  <si>
    <t>Felipe</t>
  </si>
  <si>
    <t>ada líquida del sueldo de cada uno, que importa, 40.32o y 3 y medio. D. Carlos Orbea, cura de Apata, 25. Admi­ nistración de Correos de esta capital. D. Felipe de la ilosa , administrador principal , 300. D. Gabriel García Plaza, contador saq-enso , 83. D. Vicente Oración, oficial mayor interventor, 125. D. Apolinar Pócima, i…</t>
  </si>
  <si>
    <t>Felipe, Carlos</t>
  </si>
  <si>
    <t>Carlos Felipe</t>
  </si>
  <si>
    <t>; nació ei 23 de lebrero de *7 5°* princesa heredera. y se casó el 3 de enero de 1767. El 26 del mes pasado murió en Stettin.e! te­ WESTFAL1A. niente general Carlos Felipe deOwsticn , de edad de 76 años; sirvió con honor 54 años ó tres Reyes Cassel 12 de diciembre. de Frusia. HUNGRIA. Se asegura que será preciso demoler ¡a pa…</t>
  </si>
  <si>
    <t>Félix</t>
  </si>
  <si>
    <t>r de­ S. M.-nombrar al alcalde mayor, juez de primera lante de este puerto los navios siguientes : la Vic­ instancia que fue de la villa de.Bo-!onal, D. Félix toria, montado por sir J. Saumarez; el Orion, de Ramos , para la plaza del tnhmo nombre de la villa 74, capitán sir A. Dickson; el Vigo, de 74, con­ de Fuetne Ovejuna; …</t>
  </si>
  <si>
    <t>. Gonzaléz.Arnap , director!, y D. Juan Antonio Lló­ ,, La Inglaterra , sostenida por la.ignorancia de. rente , consejaros'de. Estad.04 del Timo. Sr. D. Félix lardase menos ilustrada , ha caminado constante­ Amat,.obispo de Osina; dél director do los estu­ mente á.realizar sus proyectos por medio de, to?rr:: dios reales D. Ma…</t>
  </si>
  <si>
    <t>................... I2J2LO guardia de Corps que fue, á subteniente del regi­ D. Francisco de Paula Frías, coma miento 3.0 de cazadores á caballo; y á D. Félix: administrador, judicial de todas Falcon , sargento 1 0 de la compañía de cazadores las reoras pertenecientes 4 Doña de montaña de caballería de Avila , á subteniente J…</t>
  </si>
  <si>
    <t>a buena conducía de los gefes dé su división eu íes acciones á que asistió con el exército de lord Wellingtoo , se puso por equivocación el nombre de D. Félix á D. Julio ONsillc, que es el coronel del primer regimiento de infantería de lá Princesa, y comandante de la vanguardia de dicha división; y co­ mo hay um D. Félix O-Ne…</t>
  </si>
  <si>
    <t>Fellowes</t>
  </si>
  <si>
    <t>Gaceta de Madrid n.º 69</t>
  </si>
  <si>
    <t>agradable noticia de que estando cruzando enfren­ "Londres jo de enero. te de Tulon el navio de S. M. el Conquistador, de 74 cañones, mandado por el capitán Fellowes, so­ Nuestros pv riódieos .de este mej están llenos brevino una gran calina al tiempo qne se hallaba í de mi noticias de robos y asesinatos, y estos son menos de…</t>
  </si>
  <si>
    <t>Fer</t>
  </si>
  <si>
    <t>omunicación á Guaqui ? don­ de tenían un gran campamento con arfiberia, ínterin yo con los del real de Lima , el digno coronel D, Francisco Picoaga y D. Fer­ mín Pierola, y S00 de caballería, 40 de mi guardia y 6 piezas de artillería, me dirigía á tomar á Guaqui, punto.de reunión de su cuartel general. „A1 rayar el dia , el e…</t>
  </si>
  <si>
    <t>particular el veto del señor mariscal de campo Don pero Charlier. Francisco Marcó del Pont, el qual había opinado Al subteniente del mismo regimiento D. Fer­ que debia intentarse abrirse paso con la espada por nando Pereira teniente, en reemplazo de D. Juan en medio del enemigo; y todo el consejo desechó Triviño. - . unánimem…</t>
  </si>
  <si>
    <t>45f JZufriategui: empleos de alféreces á D. Mariano Fernandez, ’D. Fer­ nando Soria y D. Angel Va reía , y de porta-estandarte á D. Justo Montuno. Tenencia en el cuerpo de caballería de Blandengues de Buenos-Ayres á D. Juan de Zakíivaz. Y en el batallón de Volunta­ rios de inf</t>
  </si>
  <si>
    <t>da día mas vehemen­ te y afecta á la obediencia á las legítimas potestades, y á la santa causa que V. E. y todos los buenos y leales vasallos del Sr. D. Fer­ nando vii defienden.”</t>
  </si>
  <si>
    <t>, cura de S. Lázaro, 100. D. Nicolás Rueda, capellán del hospital de S. Lázaro, 12. D. Carlos Marin , 12. D. Félix Egusquiza , 12. D. Juan Prada, 25. D. Fer­ nando Quirós , 25. D. José Antonio Fuente, 4. D. Francisco Cavero , 2. Don Silvestre Peñaranda, 2. D. Sebastian Guerrero , 2. Y D. Matías y D. Clemen­ te Maestro , 100. …</t>
  </si>
  <si>
    <t>riano, 10. E. M. D., 200. Doa Mauricio Onis, 10. G. T. M. y compañía, 100. D. José de Espi­ nosa, 50. I). Manuel Fiorez , 20. Un amigo de Fiorez, 10. D. Fer­ mín de Taatet, 200. D. J. C. de Bsmales, 105. O. Di?go Coion, 10. El R. Di. CoUin3,Sl y 10 chelines. D. Guillermo Barry, 26 y 5. El coronel Colquhoun, 12 y 10. Los redac…</t>
  </si>
  <si>
    <t>ARTICULO DE OFICIO. La Regencia del rey no se ha servido dirigirme el decreto que sigue: D. Fer nando vil , por la gracia de Dios y por la constitución de la monarquía española, rey tíe las Es-pañas, y en su ausencia y cautividad la Regencia del reyno, nombrada por las Cortes genera­ les y extra</t>
  </si>
  <si>
    <t>consejo supremo de guerra y marina. Circular del ministerio de Gracia y Justicia. La Regencia del rcyno se ha servido dirg.rme el decreto que signe: „D. Fer nando vii , por la gracia de Dios y por la constitución de la mofía^qnía rspañ da, rey de las Esp?,ñ;¿s, y en su ausencia y cautividad la Regencia del reyno, nombrada por…</t>
  </si>
  <si>
    <t>Fer, Esteban</t>
  </si>
  <si>
    <t>Esteban Fer</t>
  </si>
  <si>
    <t>to de los qne lo han de y de D. Francisco de Renovales: la seguida con­ éxecutar, no puede sostenerse. {Semanario pa­ tra ti marques de las Hormazas, D. Esteban Fer­ triótico números 8j y 84.) nandez de León y D. Manuel Albuerne &amp;c. ¿ce. El general Lapeña ha hecho también una re­ Madrid 20 de enero. presentación ai congreso, …</t>
  </si>
  <si>
    <t>Fer, José</t>
  </si>
  <si>
    <t>José Fer</t>
  </si>
  <si>
    <t>Subiilaga, capitán de la fragata Guadalupe , 35. Su tripulación , 30 y 4. D. Juan Amo­ nio Mtyo, capítau de la fragata Fama, 10. Su tripulación , 14. D. José Fer­ nandez Padilla, capitán del ber gantín Aranzazu, 15. Su tripulación , 12. La tripulación del bergantín Tomasita, 6. La id. del Serafin , 4. D Fernando Fernandez , c…</t>
  </si>
  <si>
    <t>Fer, Juan</t>
  </si>
  <si>
    <t>Juan Fer</t>
  </si>
  <si>
    <t>odo que se piense dela , para una capellanía real de Reyes nuevos do en poner el embargo, porque esto seria ya una Toledo, vacante por destitución de D. Juan Fer­ declaración de guerra, lo que miro todavía corno nandez de Alonso y Gándara. mui distante. Las voces que hablan esparcido nues­ , A D. Francisco Garso , ex francisc…</t>
  </si>
  <si>
    <t>sacier, í). Juan Galguare, Don Francisco Dalcourt, D. Francisco Devilliers y D. Juan José Bou; á subtenientes de granaderos á D. Arnaido Guillemard , D. Juan Fer­ nandez y D. Diego Barrado; á subtenientes de fudleros á D. José Urcullo, D. Pedro de Vegas, D. Martin Palmo, D. Juan Itobayna, D. Bernardo Domínguez, D. Jacobo Dubr…</t>
  </si>
  <si>
    <t>Fer, Manuel</t>
  </si>
  <si>
    <t>Manuel Fer</t>
  </si>
  <si>
    <t>Gaceta de Madrid n.º 198</t>
  </si>
  <si>
    <t>nobleza , hetnos decretado y decretamos lo si­ que la sufre....... guiente : Por consiguiente debe quedar abolida la in­ articulo r. ,, Concedemos á D. Manuel Fer­ famia trascendental á las familias de los reos de nandez de Córdoba, Pacheco y l„ Cerda, hijo de inquisición, y lo dispuesto por ella misma para que lo. duques de …</t>
  </si>
  <si>
    <t>Fér, Manuel</t>
  </si>
  <si>
    <t>Manuel Fér</t>
  </si>
  <si>
    <t>á los cadetes de la misma arma y -alumnos dél bolégío tfé Mallorca 1). Mariano Yerástégui, D- Fran­ cisco Yillagomez, D. Miguel Fernandez Carcalen,, D. Manuel Fér■ñaiidéz dé'IqS1 Senderos, 0.' Francisco Soler , D. José Perez, D. Luis Arzu, D. Rafaei Lacy , D. Antonio Elizaldi, D. Francisco Reyes y D. Manuel PezueiaCADL6 : EN …</t>
  </si>
  <si>
    <t>Ferian, Manuel</t>
  </si>
  <si>
    <t>Manuel Ferian</t>
  </si>
  <si>
    <t>barcaren á solicitud suya , y se encargaron de atender á las señales, cuyo encargo des­ empeñaron con acierto, portándose en todo con el mayor vaor. „D. Manuel Ferian , que puse de capitán en la goleta en que baxé á las fortalezas, contribuyó mucho al buen éxito de esta ac­ ción , ayudándome en cuantas fatigas se me tfreciero…</t>
  </si>
  <si>
    <t>Feris</t>
  </si>
  <si>
    <t>cia del reyno el decreto siguiente : ,,La Regencia del reyno, nombrada por las Cortes generales y extraordinarias en la ausencia y cautividad del Sr. D. Feris an­ do vil, con el fin de facilitar el mas pronto expediente de los asun­ tos de la secretaría de Estado y del despacho de Hacienda de la pe­ nínsula y de ultramar, que…</t>
  </si>
  <si>
    <t>Ferkando</t>
  </si>
  <si>
    <t>733</t>
  </si>
  <si>
    <t>re él un vítor con e¿íe mote: Vita ¡a constitución española, ARTICULO DE OFICIO. Por e! ministerio de Hacienda se ha circulado e! decreto siguiente : D. Ferkando vii , por la gracia de Dios y por la constitución de la monarquía española , roy de las España», y en su ausencia y cautividad la Regencia del reyno, nombrada por la…</t>
  </si>
  <si>
    <t>Fermín</t>
  </si>
  <si>
    <t>de esta capital, por manera que tienen á la guarnición en una permanente alarma, sin atreverse á salir á pajear los franceses ni sus partidarios. El comandante Fermín suele dar de beber á sus caba­ llos en el pilón de la puerta de Toledo. Algunas personas que prendió el comisario Batial, solo por ha-</t>
  </si>
  <si>
    <t>Fern</t>
  </si>
  <si>
    <t>1415</t>
  </si>
  <si>
    <t>reales, y que han establecido en Toledo el cuartel general.. ARTICULO DE OFICIO. La Regencia del reyno se ha servido expedir *1 decreto siguiente t „D. Fern ando vii, por la gracia d* Dios y por la constitución dé la monarqu a española, rey de las España», y en su ausencia y cautividad la Regencia del reyno^ nombrada por las …</t>
  </si>
  <si>
    <t>Fern'axdo</t>
  </si>
  <si>
    <t>ido basta es le dia la gkiia y la prosperidad de tí.te rey no. ARTICULO DE OFICIO. Le. Regencia del reyno se ha servido expedir el decreto que sigue: D. Fern'axdo viij, por la gracia de Dios y por la constitución de la monarquía española , rey de las Esp&amp;nas, y en su ausencia y cautividad la Regencia del reyno, nombrada por l…</t>
  </si>
  <si>
    <t>Fern-anu</t>
  </si>
  <si>
    <t>entregarse á las armas del Rr-y , c*. no lo ctesvaba. Añade dicho co­ mandarte que todos tes p.cb-cs de vO teguas en oTietro han reco­ nocido-ai Sr. D. Fern-anu© vu, y juiudo te» Córte»'.—Con la de 2$</t>
  </si>
  <si>
    <t>Fernán</t>
  </si>
  <si>
    <t>ña de ha establecido entre los dos países mas que una Avila D. Antonio Fernandez teniente del mismo unión puramente nominal. {The Alfred.) cuerpo; á D. Fernán lo Fagu.-s teníe te de caba­ llería de línea; a O. vlaouei Petrz T.-lfo, tenien­ Del 7. te qne fue de1- regimiento de S Soya . 1 nieote de iofantetía de línea; al subte…</t>
  </si>
  <si>
    <t>Fernan</t>
  </si>
  <si>
    <t>será el ced de las trop.s francesas sin pacto ni condicione* éxito de esta contie &gt;da. i a insurrección se ha con­ algunas; la resolución con que el Príncipe Fernan­ vertido en una terrible guerra civil , que se ex­ do salió de Madrid pata B yona dispuesto á ceder tiende por t&lt; do e¡ país. Los insurgentes son ven­ la parte de…</t>
  </si>
  <si>
    <t>610</t>
  </si>
  <si>
    <t>es diarios gefes que os conducen á ia victoria. — Sí, mis amados compeñ ros: arte el Dks de los exércitos que nos escucha, ante la memoria de nuestro rey Fernan­ do que no3 io pide, y ante nuestra amada patria la España que lo demanda con justicia; prometamos verter la última gota de nuestra sangre ántes que abandonar ia sant…</t>
  </si>
  <si>
    <t>dos en sus ruinas todos los pue­ blos de esta jurisdicción. La ciudad del Tocuyo y la mayor parte de su* pneh'os me han oficiado, reconociendo al Sr. D. Fernan­ do v r i , y me piden auxilio para defenderse del enemigo. He envia­ do ua destacamento á Quibor, y trato de pasar á R .rquiíiíi*eío. El entusiasmo de mis tropas, la …</t>
  </si>
  <si>
    <t>Fernán, Francisco</t>
  </si>
  <si>
    <t>Francisco Fernán</t>
  </si>
  <si>
    <t>rífi ?aTon entre 11 y 12 del dia 6. „ Idearon ésta empresa y trabajaron para el logro de ella los tage­ tes *ig atantes :. miliares-, el .snbt miente D. Francisco Fernán des Vinon , ei sargento ;primer©-Mar-ud Sacada; ídem segundo Bernabé Minino; cabo primero Manuel Alcántara, y O. Joaquín Nuñ.-z. Del presidio: ...O. - J dan-…</t>
  </si>
  <si>
    <t>Fernan, Francisco</t>
  </si>
  <si>
    <t>Francisco Fernan</t>
  </si>
  <si>
    <t>343</t>
  </si>
  <si>
    <t>á V. muchos años. Puerto Cabello julio 9 de 18:i 2. = Monte verde. = Señor gobernador de Coro.” Recobro del castilla de S. Felipe por el subteniente D. Francisco Fernan­ dez Vinori el 30 de junio de 1812. ,, Deseoso este oficial de abandonar á los insurgentes, empezó á fondear los ánimos de varios presos del castillo, y hallá…</t>
  </si>
  <si>
    <t>Fernandez, Agustín</t>
  </si>
  <si>
    <t>Agustín Fernandez</t>
  </si>
  <si>
    <t>la partida veterana, 10. D. Francisco Zúñiga, vecino de dicha villa, 10. D. José Manuel Herróse, 10. D. Damian Jáuregui, 10. D. Juan Bustamante , 10. D. Agustín Fernandez, 10. D. Francisco Ilervoso , 6. D. Simón Hurtado, 6. D. Narciso Aponte , 6. D. Juan José Herdoyza, 4. D. Andrés Orive , 4. D. J*sé Alien , 4. D. Juan Laiseq…</t>
  </si>
  <si>
    <t>Fernandez, Andrés</t>
  </si>
  <si>
    <t>Andrés Fernandez</t>
  </si>
  <si>
    <t>uer­ me en diferentes estados de madurez, y da un te de D. Angel Saeoz de la Cuesta, al presbítero aceite de que se hacen varios usos. El que se saca D. Andrés Fernandez. á frío, exprimiendo la nuez, puede servir en lu­ Nuestro ministro de Negocios eclesiásticos gar del de aceituna; el que se saca por medio del queda encargad…</t>
  </si>
  <si>
    <t>, ex tranciscano observante. dida de 3© hombres muertos , y de unos 160 he­ Para la de Portubus, su último poseedor Don ridos. Pió de Lorenzo Mozo, á D. Andrés Fernandez, La guarnición no tuvo mas que ocho hombres ex-mercenario calzado. heridos. Para la de Alficar , vacante por no haberse El general en gefe hi manifestado su …</t>
  </si>
  <si>
    <t>Fernandez, Andrés García</t>
  </si>
  <si>
    <t>Andrés García Fernandez</t>
  </si>
  <si>
    <t>Gabriel Ciscar, gefe de escuadra , comprehendidos en el decreto’ de 22 del propio mes de enero; al cardenal arzobispo de Toledo D. Luis de Borbon; á D. Andrés García Fernandez, arcediano de Vivero en la catedral de Mondcñedo; al marques de Astorga, conde de Altanaba; al marques del Castelar, teniente general de los exércitos …</t>
  </si>
  <si>
    <t>Fernandez, Angel</t>
  </si>
  <si>
    <t>Angel Fernandez</t>
  </si>
  <si>
    <t>ian...... 2200 D. Manuel Antonio Martínez, residente en Segovia..........................„............................ 2,200 ... Ex-premostr atenses. D. Angel Fernandez, id. en id............. . 2200 D. Pedro González Njiñez , natural de Vi - ' ■ &gt;llaSUSO.............. .........................................................…</t>
  </si>
  <si>
    <t>Fernandez, Antonio</t>
  </si>
  <si>
    <t>Antonio Fernandez</t>
  </si>
  <si>
    <t>ción tres veces al dia ¡a ora­ desde el ? 1 del corriente, á la escribanía det número ción dominical y la satotacion angélica; y no fal­ del cargo de D. Antonio Fernandez. ta historiador qne cree que este fue el origen del Angelus, que todavía rezamos á ciertas horas del TBATVO. dia. Comparad este terror pánico , esta profund…</t>
  </si>
  <si>
    <t>a mayor división en el espíritu público , no cuerpo; al subteniente de Cazadores de mont. ña de ha establecido entre los dos países mas que una Avila D. Antonio Fernandez teniente del mismo unión puramente nominal. {The Alfred.) cuerpo; á D. Fernán lo Fagu.-s teníe te de caba­ llería de línea; a O. vlaouei Petrz T.-lfo, tenie…</t>
  </si>
  <si>
    <t>94 de r 'Tj operación**, recomienda particularmente á los capitanes Don Manual. Blanco Rielera, D. Ramón Araos, D. José Gándara, Don Antonio Herrara, D. Antonio Fernandez, D. José Xímenez y Don Francisco M alano; á I03 tenientes D. Domingo Pallete, y D. Ro­ que B rrasie y D. Juan Rutista Roche; al subteniente D. Tadeo Saiesa …</t>
  </si>
  <si>
    <t>Fernandez, Cristóbal</t>
  </si>
  <si>
    <t>Cristóbal Fernandez</t>
  </si>
  <si>
    <t>res del regimiento de Castilla , 1.* d«t infante­ Lacrqix (D....... ), ayudante mayor de fusileros: ría ligera. - de la guardia real. , ' . ' Cnesra (D. Cristóbal Fernandez), oñeial primero Lanza (P. Elias’Xavier) , limosnero de S." M. del ministerio de Hacienda. Lery (D^Luis), capitán del regimiento de caba-" Darau (D. Casim…</t>
  </si>
  <si>
    <t>Fernandez, Esteban</t>
  </si>
  <si>
    <t>Esteban Fernandez</t>
  </si>
  <si>
    <t>l mayor de la administración &gt; 53. D. Antonio Granger , id. de la contaduría , 22 y 1. D. Manuel Castellanos , segundo de la administración , 12 V 4. D Esteban Fernandez (’olunga, segundo de la contaduría, 50. D. Pablo Posada, tercero de la administración , 20 y 6. D. Nicolás Berastain , tercero de la contaduría, 20 y 6. D. M…</t>
  </si>
  <si>
    <t>Fernandez, Felipe</t>
  </si>
  <si>
    <t>Felipe Fernandez</t>
  </si>
  <si>
    <t>2. Los señores F. y compañía, 20. El lord Dsmtanviile (en FeUmouth) , 10. Los señores F-x y cctnp:*;.fíía ( Falmouih) , 20. D. Gui­ llermo Míiler, 5. D. Felipe Fernandez, 1. L. M., LO y 10 D. Manuel de Beigareche, 50. El teniente coronel Stonor, 10 y 10. El cap* tan Lftc-gtc:*?, 10- D. Gerór-imo HUI é híj-os fRri&amp;tol) , 100. …</t>
  </si>
  <si>
    <t>Fernandez, Fernando</t>
  </si>
  <si>
    <t>Fernando Fernandez</t>
  </si>
  <si>
    <t>e ellas los individuos siguientes: lipe Perez Loutido, y para abanderado á D. La­ cas Valbneoa. Capitanes. Asimismo qnedan nombrados para capitanes y D. Fernando Fernandez oficiales de las ocho compañías los individaos si­ D. Josef Cañete. guientes : Tenientes. Capitanes. D. Joan Sánchez de la Cuenta. D. Juan Francisco de Tor…</t>
  </si>
  <si>
    <t>José Fer­ nandez Padilla, capitán del ber gantín Aranzazu, 15. Su tripulación , 12. La tripulación del bergantín Tomasita, 6. La id. del Serafin , 4. D Fernando Fernandez , capitán de la fragata Joaquina, 20. Su tripulación, 44. D. Ma­ nuel Perez Valencia, capitán del bergantín Fénix , y su tripulación , G. Los maestros carpi…</t>
  </si>
  <si>
    <t>Fernandez, Francisco</t>
  </si>
  <si>
    <t>Francisco Fernandez</t>
  </si>
  <si>
    <t>de D. Juan Perez, id............................... ............... 2200 las .Tor&gt;es........................................................... 22co D. Francisco Fernandez, id.............. ............. 2200 D. Juan Garrido, id. en Baena..... ................ 2200 D. Josef Colorado y Delgado, id...,.......... 220O D. Jacinto…</t>
  </si>
  <si>
    <t>Fernandez, Ignacio</t>
  </si>
  <si>
    <t>Ignacio Fernandez</t>
  </si>
  <si>
    <t>tario del santo ofi­ cio , 25. D. Agustín Aadrade, alcalde de españoles, 25. D. José Perez , ca-; pitan del regimiento provincial de dicha villa, 25. D. Ignacio Fernandez, ayudante del mismo regimiento, 25. D. Cipriano Laos , teniente , 25. D. Luis Andrade , administrador del ingenio de Huaura, 25. D. x\ntonio Manrique, ciruj…</t>
  </si>
  <si>
    <t>Fernandez, Joaquín Manuel</t>
  </si>
  <si>
    <t>Joaquín Manuel Fernandez</t>
  </si>
  <si>
    <t>ebollo, y en este dia eL sargento segundo del batallón de voluntar}es de Aragón Vicente Ligrcs , y el teniente del bai&amp;lton de vo; untarlos de Molina D. Joaquín Manuel Fernandez , agregado cü catado mayor de esta división, el que con la mayor serenidad y oportunidad, comunicó mis órdenes á los puados avanzados y de mayor ries…</t>
  </si>
  <si>
    <t>ir su compañía; el capitán del regimiento de Cariñena D. Ma­ riano Buríllo, mi ayudante de campo; el teniente del batallón de Volunta­ rios de Molina D. Joaquín Manuel Fernandez, agregado ai estado mayor, que trabajaron incesantemente en comunicar mis ordenes con la mayor acti­ vidad; los sargentos primero y segundo de la Pri…</t>
  </si>
  <si>
    <t>Fernandez, José</t>
  </si>
  <si>
    <t>José Fernandez</t>
  </si>
  <si>
    <t>ronel. D. Manuel Bayena............. • 1 Cádiz. 1 j Teniente. . D. Miguel Angulo....... • ■ Subteniente D. Hipólito Salgúese?.... • • 1 0 ^Ofcro .... D. José Fernandez...... • • 1 ¡ C Primer cap. D. Luis Huerga........ 1 • • ■\ | ídem. . . . D. Francisco Lacón*.... Idem 2.a . . D. Pedro G jrae* de la Pena D. Anselmo May té...…</t>
  </si>
  <si>
    <t>Fernandez, Josef</t>
  </si>
  <si>
    <t>Josef Fernandez</t>
  </si>
  <si>
    <t>eriales; no nos faltan marineros ni dinero, subteniente de la expresada compañía , en reem­ y á vuelta de pocos años podrán los Estados Uni­ plazo de D. Josef Fernandez ; y al subteniente dos ser una potencia poderosa y mui respetable. agregado D. Josef Subías á subteniente de la oc­ ,,AJ mismo tiempo deberá abrirse^una nego­…</t>
  </si>
  <si>
    <t>Fernandez, Josef Molina</t>
  </si>
  <si>
    <t>Josef Molina Fernandez</t>
  </si>
  <si>
    <t>o Polidura. D. Timoteo Magnamara.' D. Ignacio' Hermosa. D. Lu ¡s Caballero. D. Joan de Camuo. D. Juan Ahumada.D. Juan de la Torre Pner. Contador. . . D. Josef Molina Fernandez. D. Francisco Peredo. D. Juan de Gálvez Huesman. D. Antonio Perez Dávila. Secretario. D. Guillermo Terri. D. Pedro Fernandez Nieto. Municipalidad de To…</t>
  </si>
  <si>
    <t>Fernandez, Jostf</t>
  </si>
  <si>
    <t>Jostf Fernandez</t>
  </si>
  <si>
    <t>e Zamora, vacante por muerte de A D. Cipriano Palafox, conde de Teba , gen­ D. Miguel Rico de Arcedo. tilhombre de cámara; ál marques de Uluapa ma­ A D. Jostf Fernandez , presbítero, ex-geróniyordomo de la real casa; á D. Antonio Ruiz de mo, para una canongia.de la colegiata de S. Hipó­ Castilla maestro de ceremonias r-y caba…</t>
  </si>
  <si>
    <t>Fernandez, Juan</t>
  </si>
  <si>
    <t>Juan Fernandez</t>
  </si>
  <si>
    <t>es de medicina. D. Mariano Campero, 17. D. Mariano Murga, 8. D. Norberto Ve­ ga , 4. D. Isidro Andrade , 4. D. Ramón Anderos, 4. D. José Pequeño , 4. D. Juan Fernandez, 2. D. José Gordilio , 2. D. José Cañizares, 2. D. Juan Melgar , 2. D. Lorenzo Vargas , 2. D. José Ramírez , 2. D. Juan Sta. María, 2. — Cirujanos, i). José Ga…</t>
  </si>
  <si>
    <t>calza­ Chica, ex-franciscano descalzo. do D. Dionisio Bueno. Para la de Campotejar, su ú'tiino poseedor Y para el d- IVigrns, vacante por renuncia de D. Juan Fernandez, á D. Manuel Llórente, exD. Julián de H-riera, al ex-tririitario calzado dutninico. D. Baltasar de babzar. Para la de Itrabo, vacante por no h.berse pre­ senta…</t>
  </si>
  <si>
    <t>González Hidalgo , id................... 2200 D. Pedro Fernandez , residente en Lucena. 2200 D. Ignacio de la Cuesta, id................ ...... 2200 D. Juan Fernandez, íd........................ 2200 D. Francisco Molina , id.............................. 2200 D. Luis Perales, residente en Puente Do a D.1 Martin de Carmona, id…</t>
  </si>
  <si>
    <t>... ........... 2 2QO D. Juan Rodríguez, id..................................... 2200 D. Juan de la Rosa, id........................ ........... 2200 D. Juan Fernandez, id...................................... 2200 D. Amonio de Lucena, residente en M -nD. Benito García y Pradas, id..................... 2200 t.ilía............…</t>
  </si>
  <si>
    <t>a , capitán .dénirigataj ; &gt; * , por empaque y remesa á Cádiz de..efectos ,t /„ de que e^tí encargado.................................... 6000 Idem á D. Juan Fernandez .Castro por impór- ; *•te de una lámina para impresión de pasaportrA ; tes en la comandancia general, y otros gastos, 13 53 Idem á D. Angel Noguer, habEditádo …</t>
  </si>
  <si>
    <t>Fernandez, Juan José</t>
  </si>
  <si>
    <t>Juan José Fernandez</t>
  </si>
  <si>
    <t>niente del primero de Gnariix, D. Antonio Bravo , teniente de Aimansa , y D. José María Ponce, teniente de Guadalaxara: á ayu­ dante mayor segundo, á D. Juan José Fernandez, subteniente del! regimiento de Alpujarras : á tenientes, á D. Bruno Portillo, sub­ teniente de Alcázar de S. Juan, D. Salvador María Suaivz, subte­ nient…</t>
  </si>
  <si>
    <t>Fernandez, Lorenzo</t>
  </si>
  <si>
    <t>Lorenzo Fernandez</t>
  </si>
  <si>
    <t>.......;...........i................................ 22CQ Rio ja...................................... 2200 D. Francisco Antonio Guati, id.de S. Víc­ D. Lorenzo Fernandez irontecha, id. de tores.......... .'.i............................................................................... 2 2CO Sonvailc........................…</t>
  </si>
  <si>
    <t>Fernandez, Manuel</t>
  </si>
  <si>
    <t>Manuel Fernandez</t>
  </si>
  <si>
    <t>guel de Soto, D. Pedro Roullosa, D. José García Verdugo, D. Pedro José Pórtela, D Francis­ co Rodríguez, D. Rosendo Lagoa, D* Xavier Perez Címbrelo y D. Manuel Fernandez; los de ayudantes mayores á D Francisco Ca­ rayaca y D. Juan Bautista Cabaleri; los de tenientes á D. Gregorio Domínguez. D. José Martínez, D. Juan Matalobos…</t>
  </si>
  <si>
    <t>0 0. Francisco de Paula Orozco, id.............. 2200 D. J uan Bautista, residente an Rionavia... 2200 0. Manuel Reioa , ex-mercenario descalzo. 2209 D. Manuel Fernandez , natural de Presillas. 2200 0. Mjnuel Isidro González , ex-capnchino. 2 200 D. Miguel Fernandez, id. de Santa Gadea., 2200 0. Francisco Medeil , ex-capuchin…</t>
  </si>
  <si>
    <t>, id...................... 2200 D. Francisco Gordillo, id...*........................... 2200 D. JosefRafael Rodríguez, id...................... 2200 D. Manuel Fernandez , residente en Alón— D. Rafael Aledioa , id........................................ 2200 toro................................................................…</t>
  </si>
  <si>
    <t>Fernandez, Mariano</t>
  </si>
  <si>
    <t>Mariano Fernandez</t>
  </si>
  <si>
    <t>45f JZufriategui: empleos de alféreces á D. Mariano Fernandez, ’D. Fer­ nando Soria y D. Angel Va reía , y de porta-estandarte á D. Justo Montuno. Tenencia en el cuerpo de caballería de Blandengues de Buenos-Ayres á D. Juan de Zakíivaz. Y en el batall</t>
  </si>
  <si>
    <t>Fernandez, Miguel</t>
  </si>
  <si>
    <t>Miguel Fernandez</t>
  </si>
  <si>
    <t>2200 0. Manuel Reioa , ex-mercenario descalzo. 2209 D. Manuel Fernandez , natural de Presillas. 2200 0. Mjnuel Isidro González , ex-capnchino. 2 200 D. Miguel Fernandez, id. de Santa Gadea., 2200 0. Francisco Medeil , ex-capuchino, ligo. 1100 0. Pedro Cansí, id. de Santander.............. 2200 Doña Miría Teresa de Monroi y Sa…</t>
  </si>
  <si>
    <t>Fernandez, Nicolás</t>
  </si>
  <si>
    <t>Nicolás Fernandez</t>
  </si>
  <si>
    <t>uno , 9. D. Ignacio González Cadrana por uno , 9, Doña Blanca Resentí por uno, 9. D. Braulio D ego de Vivanco , oficial roal honorario, por uno , 9. D. Nicolás Fernandez por 2,18. D. Lúeas Villaescüsa y D. Jo­ sé Zapata, por uno , 9. Don Francisco Alonso Pela* z , 6 pesos mensuales, (Se continuará.) CADIZ EN LA IMPRENTA REAL.</t>
  </si>
  <si>
    <t>Fernandez, Pedro</t>
  </si>
  <si>
    <t>Pedro Fernandez</t>
  </si>
  <si>
    <t>opuesta , el duque de Sussex dixo que to­ plaza de alcalde del barrio de\S. Cayetano de esta mando la palabra en esta ocasión solemne, había corte; á D. Pedro Fernandez para la de segundo creído llenar su deber no solamente para con una substituto del mismo; á D. Julián Muñoz diputa­ clase respetab’e de sus compatriotas, siuo…</t>
  </si>
  <si>
    <t>z , residente en Moutilla..... 2200 DF Manuel de Galvez , íd............................. 2200 D. Josef González Hidalgo , id................... 2200 D. Pedro Fernandez , residente en Lucena. 2200 D. Ignacio de la Cuesta, id................ ...... 2200 D. Juan Fernandez, íd........................ 2200 D. Francisco Molina , i…</t>
  </si>
  <si>
    <t>la segunda ei 13 del mismo, habiendo cometido poste­ riormente el mando de esta, en lugar dei teniente D. Bartolomé Cor­ dero, al cr; pitan del fixo D. Pedro Fernandez, el cual debe estar hoy en la ciudad de TiuxiHo, a?í como el comandante principal Cor­ rea operando sobre el pvablo de Bay sadores , según los avisos con que m…</t>
  </si>
  <si>
    <t>piritv.s, por uno durante la guerra, 9. D. Ber­ nardo García, por un año , al mes, 5. El doctor D. Juan Perez Delgado, por uno durante la guerra , 9. D. Pedro Fernandez , id., 9. D. Bonito CMombi, id., 9. D. Ramón Pita, id., 9. El escribano D. Cayetano Ponton, id., 9. D. An. tonio Rodríguez , mensuales , 4. El comisario orden…</t>
  </si>
  <si>
    <t>José González Yuste, D. Juan Marmol Calero, Don Calixto Rodríguez, D. Ildefonso Rulz, D. Agustín Lázaro, D. Juan Biirguiilos, D. Santiago López Ruiz, D. Pedro Fernandez, D.'José Muela , D. José María Ximcnez , D. Domingo Draper , D. Ma­ nuel Guio, D. Juan Utrero , D. Benigno Merchau, D. Víctor Casasola , D. Pascual del Rey , …</t>
  </si>
  <si>
    <t>Josef González Yuste, D. Juan Manuel Calero, D. Calixto Rodríguez, Don Ildefonso Ruiz, D. Agustín Lázaro, D. Juan Burguillos, D. Santiago López Ruiz, D. Pedro Fernandez, D. Josef Muela, D. Josef Mafia XimenezDon Domingo Draper, D. Manuel Guio, D. Juan Utrero, D. Benigno Merchan, D. Víctor Casasola, D. Pascual del Rey, D. Migu…</t>
  </si>
  <si>
    <t>Fernandez, Ramón</t>
  </si>
  <si>
    <t>Ramón Fernandez</t>
  </si>
  <si>
    <t>er, abandonan á los Reyes que han servido Hernández Medina, cora de Zarzalejo. ciegamente á sus caprichos, como sucedió al des­ Para el del Cubillo á D. Ramón Fernandez tronado de Suecia , ó separan del solio á los que ya Angulo, cura vicario de Rejas. los estorban , como lo acaban de verificar con el de Para el de Torrecilla…</t>
  </si>
  <si>
    <t>Fernandez, Sebastian</t>
  </si>
  <si>
    <t>Sebastian Fernandez</t>
  </si>
  <si>
    <t>haga, que conmigo mandó en gefe la acción ; del sargento ma­ yor D. Ramón Uizurrun, encargado del primer batallón; de D. Fran­ cisco Ignacio Asura, y D. Sebastian Fernandez, comandantes del cuarto y quinto. Cinco caballeros oficiales y 400 soldados del señor Ballesteros publicarán en toda la nación , que el séptimo exército c…</t>
  </si>
  <si>
    <t>1077</t>
  </si>
  <si>
    <t>es tedas ellas se hallan rigorosamente bloqueadas, inclusa la plaza de Pamplona. , En it noche do! 10 ai 11 del corriente la guarnición enemiga de ce D. Sebastian Fernandez , que sácese hs municiones, galleta y otros efectos de que se apoderó este caudillo. Dtiris ce él entró trmbiea «a aquella ciudad D, Bartolomé Amor ccn SC…</t>
  </si>
  <si>
    <t>1078 este punto , retirándose D. Sebastian Fernandez por el camino de la Gu^rdta ? y ei general Darán por el de Cameros. La noche del 9 al 10 salió de aquí el comandante D. Joan An« ionio Tabuenca cjn 1000 infantes y unos 160 caballos para Soria á impedir que los frances</t>
  </si>
  <si>
    <t>239</t>
  </si>
  <si>
    <t>ha.) Madrid t¡ de octubre. El dia 19 del pasado hubo cañonazos por el punto de Guetaria , y es­ criben que el 20 duraba todavía el fuego. En este dia D. Sebastian Fernandez, comandante del quinto batallón deí general Mina, cogió en el alto dé Descarga (1) un correo con 60 hom­ bres de escolta. El 21 se batió con 2500 enemigos…</t>
  </si>
  <si>
    <t>ército* Madrid 5 de Octubre., El día 19 del pasado hubo cañonazos por el punto de Guetari*, y escriben que el 20 duraba todavía el fuego. En este día D. Sebastian Fernandez , comandante del quinto ba­ tallón del general Mina , cogió en el alto de Descarga un correo con 60 hombres de escolta. El 21 se batió con 2500 enemigos, …</t>
  </si>
  <si>
    <t>Fernandez, Tomas</t>
  </si>
  <si>
    <t>Tomas Fernandez</t>
  </si>
  <si>
    <t>D. José Al gal ovo , 40. D. Juan Punce, 40. D. Ma­ riano Diaz , 40. Carrera de Valles. Administrador de Chancay D. Nicolás Romero , 12. Id. de Huaura D. Tomas Fernandez , 25. Id. de Barranca Don Gregorio Lobaton , 200. Id. de Pativilca D. Toribio Herrera, 17. id. de Cha­ cas D. Antonio Navarro, 25.14. de Ncpeña D. Juan Antoni…</t>
  </si>
  <si>
    <t>Fernandez, Vicente</t>
  </si>
  <si>
    <t>Vicente Fernandez</t>
  </si>
  <si>
    <t>, id.............................. 2200 D. Joaquín de Pineda, id. en Espejo.......... 2200 D. Bartolomé de León, id,,,.......................... 2200 D. Vicente Fernandez, id. en Alcaracejo. 2200 D. Marcos de León y Lara, id...................... 2200 D..Domingo Ximenez , id. en Etjija.............. 2200 D. Pedro de Cañas, id…</t>
  </si>
  <si>
    <t>Fernando</t>
  </si>
  <si>
    <t>tado por Panamá ; y para secretario el Sr. D. José Zorraquin, diputado por Madrid. El Consejo de Regencia se ha servido expedir el decrete que sigue: D. Fernando vii , por la gracia de Dios, rey de España y de las Indias, y en su ausencia y cautividad el Consejo de Regencia* autorizado interinamente, á todos los que las prese…</t>
  </si>
  <si>
    <t>do secre­ tario.— Dado en Cádiz á 26 de enero de 1S1L — A la Regencia del Rey no.” El Consejo de Regencia se ha servido expedir el decreto que slguer D. Fernando vil, por la gracia de Dios r rey de Esp fia y de las Indias , y en su ausencia y cautividad el Consejo de Regencia,, autorizado interinamente, á todos los que las pr…</t>
  </si>
  <si>
    <t>agata Limeña , 10. Su tripulación , 18 y 4. La de i a fragata Bárbara Bostonesa . 15 y 6. La de la fragata Bretaña, 22 y 2. La de! bergantín corsario rey Fernando, 24 y 4. D. Juan Mencliaca , capitán de la fragata corsaria, 40. Su segundo D. Luis Ruem , 25. Su primer teniente D. Rafael Larragoin, 12. Su escribano D. Miguel Po…</t>
  </si>
  <si>
    <t>un buen sistema Capitán de la Compañía de inválidos de Almena, de alternativas. Peí o sin ir tan lejos tenernos entre vaca ite p »r fallecimiento de D. Fernando ií iróni­ n "otros mismos .xcmplos mui útiles, y la socie­ co; y al presbítero ex-regular dei orden de agus­ dad mira cuino un deber suyo el rebordar á ¡os la­ tinos …</t>
  </si>
  <si>
    <t>todos los habitantes sujetos á su mando, protestan solemnemente á la faz del universo, que no reconocen ni reconocerán jamas otro soberano que el Sr. D. Fernando vii , y sus legítimos sucesores y descendientes.</t>
  </si>
  <si>
    <t>e integrante las provincias del Rio de la Plata en unión con la penínsu­ la y con las demas partes de América, que no tienen otro soberano que el Sr. D. Fernando vir. 3 Persuadido firmemente el gobierno de Buenos-Ayres de la justicia y necesidad de auxiliar y sostener á la madre patria en la santa guerra que con tanto tesón y…</t>
  </si>
  <si>
    <t>el general de Villafranca á 10 de enero de 1812.— Xavier Abadía ARTICULO DE OFICIO. La Regencia del reyno se ha servido expedir el decreto que sigue: D. Fernando vii , por la gracia de Dios y por la constitución de la monarquía española , rey de las Españas, y en su ausencia y cautividad la Regencia del reyno, nombrada por la…</t>
  </si>
  <si>
    <t>J 248 ARTÍCULO DE OFICIO. Por el ministerio de la guerra se ha circulado al exército el de­ creto que sigue: D. Fernando vit, por la gracia de Dios y por la constitución de la monarquía española , Rey de las Españas, y en su ausencia y cautividad la Regencia del reyno, nombrada por las Cortes genera­ les y extrao</t>
  </si>
  <si>
    <t>o de les frentes ,deb¿ xo de en dosel, estaba cus­ todiado por un ¡zaguanete de guardias de corpa, el retrato de nues­ tro idolatrado moirnrc* el Sr. D. Fernando vi i Las tropas for­ maban un cuadro, divididas en 4 secciones que hacían las 4 caras, al mando respectivamente del teniente genera! IX Cáilcs Doy le, del brigadier …</t>
  </si>
  <si>
    <t>Sierra. art. II. Las sesenta y quarro diputaciones de Diputados seculares, y el último secretario, caridad de lor barrios que existen continuarán ba­ D. Fernando de ia Barcena. ’ jeo ia vigilancia y.dirección de la junta general, y D. Juan Sánchez Caballero. cuidaráa de conocer el número de pobres que ha­ D. Eugenio Lainez. y…</t>
  </si>
  <si>
    <t>n por impracticable^ Al sargento primero del mismo D¿ Juan Gó­ inútil y perjudicial. Valencia 8 de enero de 1812.” mez .subteniente, en. reemplazo de D. Fernando ( Siguen ¡as finitas. ) Pereira. Van adjuntos á esta deliberación los votos in­ Y al sargento de brigada del regimiento de ca­ dividuales de ¡os miembros del consejo…</t>
  </si>
  <si>
    <t>451</t>
  </si>
  <si>
    <t>eneral en Almendralejo , y sus avanzadas llegan hasta. Llerena. ARTICULO DE OFICIO. La Regencia del reyno se ha servido expedir el decreto que sigue: D. Fernando vit , por la gracia de Dios y por la constitución déla monarquía española , rey de las Espartas, y en su ausencia y cautividad la Regencia del reyno, nombrada por la…</t>
  </si>
  <si>
    <t>de los malos y seguridad de les buenos. „Así os lo asegura por mi medio este magistrado provincial , que á nombre de nuestro cr.tólico monarca el Sr. D. Fernando vii, y por su ausencia y cautiverio, de la suprema Regencia de isl Esta­ ñas, exerce el mas alto de los ministerios...... ,,No puedo omitir el llamar á vuestra consi…</t>
  </si>
  <si>
    <t>485</t>
  </si>
  <si>
    <t>de las inquietudes, sin que haya corrido ni una gota de sangre. ARTICULO DE OFICIO. Por el ministerio de guerra se ha circulado el decreto que signe: D. Fernando vil, porta gracia de Dios y por la constitución de la monarquía española, rey de las Es pañas-, y en su ausencia y cautividad la Regencia det rey no, nombrada por la…</t>
  </si>
  <si>
    <t>Gazeta de la Regencia de las Españas n.º 59</t>
  </si>
  <si>
    <t>eros se conducen siempre por las calles escoltadas con trop'A. ARTICULO DE OFICIO. La Regencia del reyno se ha servido expedir el decreto que sigue 5 D. Fernando vii , por la gracia de Dios y por la constitución déla monarquía española , rey de las Espadas, y en su ausencia y cautividad la Regencia del rey no, nombrada por fa…</t>
  </si>
  <si>
    <t>DE OFICIO. Decreto de la Regencia. „La Regencia del reyno, nombrada por las Cortes generales y ex­ traordinarias en la ausencia y cautividad del Sr. D. Fernando vi i, sin embargo de hallarse muy satisfecha de los servicios de í&gt;. J o&amp;é</t>
  </si>
  <si>
    <t>525</t>
  </si>
  <si>
    <t>de las fuerzas destinadas á nuestras posesiones ultrama­ rinas. ARTICULO DE OFICIO. La Regencia del reyno se ha servido expedir el decreto que sigue: D. Fernando vii , por la gracia de Dios y por la constitución de la monarquía española, rey de las Españas, y en su ausencia y cautividad la Regencia del reyno, nombrada por las…</t>
  </si>
  <si>
    <t>idad de regente convenía se @11«célebre por la distinción con que le honró nues- v giese á un grande de Españ *. {Ay ! amigo: nnn« tro monarca'el Sr. D. Fernando vu , y porque « ea hubiera dicho tal.- Avergüéncese vmd. , me di«coo el bue'r canónigo físcoiquiz persuadió á S. M. « xeron al momento , de pensar tan infamemente. E…</t>
  </si>
  <si>
    <t>s medidas convenientes para coger y matar dest uyendo los panes, viñas y montes, añade que las langostas , y hacian un repartimiento entre los el Reí D. Fernando el Católico mandó convo­ lugares enangostados para ocurrir á los gastos de car cortes de aquel reino en Tarazona, por­ esta operación. Por lo común el método era cog…</t>
  </si>
  <si>
    <t>559</t>
  </si>
  <si>
    <t>GACETA DE LA REGENCIA DE LAS ESPAÑAS DEL MARTES 2 DE JUNIO DE 1812. Cádiz í.° de junio. Antes de ayer, dias de nuestro augusto y amado monarca el Sr. D. Fernando vii , la corte se vistió de gala con uniforme, y hubo salvas de mar y tierra. La Regencia del rey no parió en gran ceremonia á las 11 de la mañana á cumplimentar á l…</t>
  </si>
  <si>
    <t>JUNIO DE 1812. ARTICULO DE OFICIO. La Regencia de] reyno se ha servido dirigir al secretario interina del despacho de la guerra el decreto que sigue: D. Fernando vii , por la gracia de Dios y por la constitución de la monarquía española , rey de las Es pañas, y en su ausencia y cautividad la Regencia del reyno, nombrada por l…</t>
  </si>
  <si>
    <t>617</t>
  </si>
  <si>
    <t>cha de José,.como-de cosa próxima. Santiago SO de mayo,. Hoy se han celebrado con la mayor pompa en esta capital los dias de nuestro amado rey el Sr. D. Fernando vii. El ayunta­ miento ha hecho una solemnísima funcitn de iglesia , Lsistencia del capitán general D, Xavier Castaños , á quien han ido á cum­ plimentar la ciudad, …</t>
  </si>
  <si>
    <t>s guarde &amp;c. — Cerveli0.26-.de mayo de 1812.r—Pedro.Sanfiéld”. ARTICULO DE OFICIO. La Regencia del reyno se ha servido expedir el decreto que sigue: „D. Fernando vii, por la gracia de Dios y por la constitución déla monarquía española, rey de las Espanas, y en su ausencia y cautividad, la Regencia del reyno, nombrada por las …</t>
  </si>
  <si>
    <t>ejázos.—_El auto se publicó con la mayor so­ lemnidad el 30 de mayo, por ser festividad del " En el número 296 del periódico intitulado el Santo iRél D. Fernando, que en un auto de fe Redactor general se ha publicado el siguiente -contra los albigensés dió el exemplo de llevar eñ sus hombros Un haz de leña al brasero en que s…</t>
  </si>
  <si>
    <t>n de fragata D. Domingo Monte'verde, tomó por asalto en 23 de marzo el pueblo fortificado de Carora, donde se proclamó el 29 á nuestro monarca el Sr. D. Fernando vii y á las Cortes genera­ les del reyno: la ciudad del Tocuyo, el pueblo dr Q iibor y otros habían reconocido el Gobierno legítimo é imploraban la asistencia de nue…</t>
  </si>
  <si>
    <t>teverde. — Carora 29 de marzo de 1812. —,.A las 5 y media de esta tarde se ha prcc amado de nuevo en la plaza de esta ciudad á nuestro monarca el Sr. D. Fernando vii y á las Cortes generales del reyno. El regidor D. Antonia Apoiinario Díaz ha desempeñado esta ceremonia , que se ha verificado con suntuoso aparato y concur­ so …</t>
  </si>
  <si>
    <t>657</t>
  </si>
  <si>
    <t>vido expedir el decreto siguiente.' ,, La Regencia del reyuo, nombrada por las Cor es generales y extraerdinarias en la ausencia y cautividad del Sr. D. Fernando vii, debiendo nom brar secretarios de esiatío y del despacho ern arreglo y en el orden que prescribe la Constitución de la monarquía españo­ la , y con las respectiv…</t>
  </si>
  <si>
    <t>678</t>
  </si>
  <si>
    <t>iel de MendizabaL— Exorno. Sr. D. Fran­ cisco Xavier Castaños/* ARTICULO DE OFICIO. La Regencia del reyno se ha servido expedir el decreto qne sigue: D. Fernando vii, por la gracia de Úios y por la constitución de la monarquía española, rey de las Españas, y en su aus ncia y cautividad la Regencia del reyno, nombrada por las …</t>
  </si>
  <si>
    <t>Cadete.. .. 0. Fernando Chencha.. . • * Otro ... .. D. Pedro Pasqnal. 1 l tercera. O tro •»»• o D. Diego Garce* • • •.. . A .•« CastrcpoL Capitán. .. D. Fernando, YiUaamü. . p •. '] /nr ( Oapitd.n • •« D. Ceiareo García., • *,. i Cangas. . 1 c ¿l. . . ° ( buot^’mente D. Manuel Abadejo • ••-». • « _ • C Teniente . . D. Toribio…</t>
  </si>
  <si>
    <t>697</t>
  </si>
  <si>
    <t>ues de Portago. — Excmo. Sr. 1). Francisco Xavier Castaños.1’ ARTICULO DE OFICIO. La Regencia del rey no se ha servido expedir el decreto que sigue : D. Fernando vii, por ia gracia de í&gt;ios y por ia constitución de la monarquía española , rey de las Españas, y en su ausencia y cautividad la Regencia del reyno, nombrada por la…</t>
  </si>
  <si>
    <t>704 del honor, de la lealtad y del amor mas acendrado á nuestro amado soberano el Sr. D. Fernando vii, ai Gobierno que lo representa, y á nuestra común y gloriosa madre patria la invicta España? Yo me prometo loa ef-cts mas felices de la Tennion de estos dos distin­ guidos cuerpos, y espero</t>
  </si>
  <si>
    <t>consu­ lado y el palacio del general. En los balcones de las casas consisto­ riales ertaba baxo un rico dosel el retrato de nuestro amado Rey el Sr. D. Fernando vn, con la correspondiente guardia de honor de la milicia honrada, y varios adornes é inscripciones alusivas á fun­ ción tan augusta. Dió principio á la solemnidad, á…</t>
  </si>
  <si>
    <t>795</t>
  </si>
  <si>
    <t>rata de dirigir ros, azotes &amp;c. Si de esto fuesen menester pruebas, por el pronto sus tropas es la Servia, donde cuen­ presentaría la célula d .1 Sr. D. Fernando vr de 7 ta con muchos partidarios. de mayo de 1748-exped¡d&lt; con motivo del banda que el tribunal de inquisición de corte hizo pu­ ESPAÑA. blicar prohibiendo que fues…</t>
  </si>
  <si>
    <t>. Y el 13 , del contador de provi­ siones del cuarto exército. ARTICULO DE OFICIO. La Regencia del reyno se ha servido expedir e! decreto que sigue : D. Fernando vii , por ia gracia de Dios y por la constitución de la monarquía española , rey de las Españas, y en su ausencia y cautividad la Regencia del reyno, nombrada por la…</t>
  </si>
  <si>
    <t>757</t>
  </si>
  <si>
    <t>es abandone? Sí así lo hiciere, todo se acabó para noioircs.” ARTICULO DE OFICIO. La Regencia del reyno se ha servido expedir el decreto que sigue; ,,D. Fernando vu, por la gracia de Dios y par la constitución de la monarquía e*p iñoh , rey de las Empañas , y en su ausencia y cautividad Ib Regencia del reyno, nombrada por las…</t>
  </si>
  <si>
    <t>erto que la plaza de Astorga se ha rendido ya á nuestras armas. ARTICULO DE OFICIO. La Regencia del reyno se ha servido expedir el decreto que sigue: D. Fernando- vii , por la gracia de Dios y por la constitución de la monarquía española , rey de las Españas, y en su ausencia y cautividad la Regencia deí rey no, nombrada por …</t>
  </si>
  <si>
    <t>817</t>
  </si>
  <si>
    <t>expidiendo en honor y premio de los soldados, que poseen tan dignas prendas, el decreto que S. A. se ha servido dirigirme , inserto en el que sigue: „D. Fernando vii, por la gracia de Dios y por la constitución de la monarquía española , rey de las Espadas &gt; y en su ausencia y cautividad la Regencia del reyno, nombrada por la…</t>
  </si>
  <si>
    <t>843</t>
  </si>
  <si>
    <t>r brevedad : agradeced mi afecto . quedan­ do vuestro. — José” ARTICULO DE OFICIO. La Regencia del reyno se ha servido expedir el decreto que sigue.* D. Fernando vn, por la gracia de Dios y por la cc-DSÍitncion dé la monarquía española , rey de las España» , y en su ausencia y cautividad la Regencia del reyno, nombrada por la…</t>
  </si>
  <si>
    <t>s. diarios franceses cuentan que ha ido á tomar b..ñoj á los Pirineos. Malla 24 de junio. ,..Luego que D. Alberto Megiuo, cónsul de S. M. C. oí Señor D. Fernando vii en esta isla, recibió de su gobierno la orden de dar la mayor publicidad al código constitucional que las Cortes ge» nerales extraordinarias hablan formado y pub…</t>
  </si>
  <si>
    <t>FERNANDO</t>
  </si>
  <si>
    <t>bayo­ netazos, he premiado con 1000 reales, y con la distinción en ei pecho de una hermosa medalla de oro, en que está grabado maestro monarca el Sr. D. FERNANDO vil, cuyo donativo me habia hecho un buen patriota. „Recomiendo á los generales, gefes, oficiales y tropa por los extraordinarios servicios que han hecho en una cam­…</t>
  </si>
  <si>
    <t>hoy me dice el señor secretario del despacho de gracia y justicia lo siguiente: La Regencia del reyno se ha servido dirigirme el decreto que sigue? „D. Fernando vii , por la gracia de Dios y par la c^nstitucien de la monarquía española, rey cíe las Eapañas , y en su ausencia y cautividad la Regencia del reyno, nombrada por la…</t>
  </si>
  <si>
    <t>Gazeta de la Regencia de las Españas n.º 114</t>
  </si>
  <si>
    <t>940</t>
  </si>
  <si>
    <t>irán inmediatamente el surtido competente de papel se­ lla lo, que se les remitirá de e*ta corte, para que desde imego co­ mience á usarse el del Sr. D. Fernando vir, inutilizándose qaanto 55 hallare del rey intrato. 24. Nombrarán también administradores del excusado y noveno, dando cuanta de estos nombramientos interinos par…</t>
  </si>
  <si>
    <t>le regaló un tratado de aritmética escrito por él mismo. ARTICULO DE OFICIO. La Regencia del reyno se ha servido expedir los decretos que si­ guen : D. Fernando vii, por la gracia de Dios y por la constitución de la monarquía española, rey de las Españas, y en su ausencia y cautividad la Regencia del reyno, nombrada por las C…</t>
  </si>
  <si>
    <t>as Coi tes general#» y extraordinaria» acaban de ratificar «1 si­ guiente tratado de amistad , unión y alianza entre España y R usía. „S. M. católica D. Fernando vii , rey de España y de la» In­ dias y S. 41. el emperador de toda» las Rusias, igu alas* ente anima * dos de! deseo de restablecer y fortifUar las antiguas relacio…</t>
  </si>
  <si>
    <t>peles cogidos ’á Moretes en la Cloaca de Amilpaa se halló un oficio que la junta de Citacu&amp;ro le habla dirigido, avi­ sándole que el reconocer al Sr. D. Fernando vii era solamente con el c-bjeto de hacerse partido entre europeos y americanos, i® que duraría hasta que llegase el tiempo de quitar ilusione?. Ea ia ge ceta extrao…</t>
  </si>
  <si>
    <t>gratitud : hasta la virtuosa Reyna de Portugal y del Brasil Doña Carlota Joaquina de Borbon, Infanta de las JSspañas, y her­ mana de nuestro adorado Rey FERNANDO, os colma de honores desde su corte del Rio-Janeyro. Escuchad lo que os dice por la siguiente carta que recibo ayer. ,,Los importantes y heroycos servicios con que e…</t>
  </si>
  <si>
    <t>1083</t>
  </si>
  <si>
    <t>1083 ARTICULO DE OFICIO. La Regencia del reyno se ha servido dirigirme el decreto que tigre: D. Fernando vii , por la gracia de Dios y por la constitución de la monarquía española , rey de las Espanas, yen su ausencia y cautividad la Regencia del reyno, nombrada por las Cortes genera­ les y extraor</t>
  </si>
  <si>
    <t>1091</t>
  </si>
  <si>
    <t>or tesón manifestando una bravura sin igual. (Se continuarán.) ARTICULO DE OFICIO. La Regencia del reynose ha servido dirigirme el decreto que sigue: D. Fernando vii, por la gracia de Dios 7 por la constitución de la monarquía española , rey de las Es pañas, 7 en su ausencia j cautividad la Regencia del reyao, nombrada por la…</t>
  </si>
  <si>
    <t>1094</t>
  </si>
  <si>
    <t>1094 Cm fecha de 27 de Setiembre ha expedido la Regencia al señor D. Antonio Ciño Manuel el decTeto siguiente: D. Fernando yii , por la gracia de Dios y por la constitución de la monarquía española, rey de las Españas, yema ausencia y cautividad la Regencia del reyno, nombrada por las Cortes genera* les y extraordin</t>
  </si>
  <si>
    <t>yor general KíIjütv, hafea hecho 700 prisicneroH franceses. ARTICULO DE OFICIO. La Regencia del rey no se ha servido dirigirme el decreto que í igue: D. Fernando vii,*por la gracia de Dios y por la'constitución de la monarquía española , rey de las Empañas , y mi su ausencia y cautividad (a Regencia del reyno, nombrada per la…</t>
  </si>
  <si>
    <t>1157</t>
  </si>
  <si>
    <t>José Bonaparte. ARTICULO DE OFICIO. Circular del ministerio de Gracia y Justicia. , La Regencia del reyno se ha servido expedir el decreto que sigue: D. Fernando vii, por la gracia de Dios y por la constitución de la monarquía española, rey de las Espanas, y en su ausencia y cautividad la Regencia del reyno nombrada por las C…</t>
  </si>
  <si>
    <t>1181</t>
  </si>
  <si>
    <t>rez VdlamÜ.— En Cádiz á 7 de Octubre de 1812. —• A D. Antonio Cano Manuel. Segunda. Da Regencia del reyno se ha servido expedir el decreto que sigue: D. Fernando vii , por la gracia de Dios y por la constitución de la monarqu a española, rey de las Espadas , y en su ausencia y cautividad la Regencia del reyno, nombrada por la…</t>
  </si>
  <si>
    <t>1188</t>
  </si>
  <si>
    <t>ico para su satisfacción. ARTICULO DE OFICIO. Circular del ministerio de Hacienda. La Regencia del rey no se ha servido expedir el decreto que sigue: D. Fernando vil, por la gracia de Dios y por la constitución de la monarqu a española, rey de las Españas, y en su ausencia y&lt; cautividad la Regencia del reyno, nombrada por las…</t>
  </si>
  <si>
    <t>Gazeta de la Regencia de las Españas n.º 148 (suplemento)</t>
  </si>
  <si>
    <t>LA REGENCIA DEL JUEVES 5 DE NOVIEMBRE DE 181*. ARTICULO DE OFICIO. La Regencia del reyno se ha servido expedir los dos Decretos siguientes? Pi'imero. D. Fernando vii , por la gracia de Dios y por la constitución de la mo­ narquía española, rey de las Eapañas , y en su ausencia y cautividad ia Re­ gencia del reyno nombrada por…</t>
  </si>
  <si>
    <t>1225</t>
  </si>
  <si>
    <t>. — Juan Villavicencio. — Ignacio Rodríguez de Rivas. — Juan Feroz Villamil. — En Cádiz á 9 de Octubre de 1812.— A D. Antonio Cano Manuel.” Segundo. „D. Fernando vit, por la gracia de Dios y por la Constitución de la monarquía española, rey de las Españas, y en su ausencia y cautividad la Regencia del reyno, nombrada por las …</t>
  </si>
  <si>
    <t>1230</t>
  </si>
  <si>
    <t>as censuras si arrepentido pidiere la absolución de ella &amp;c.” ARTICULO DE OFICIO. La Regencia del reyno se ha servido expedir el decreta que sigue: r D. Fernando vn, por la gracia de Dios y por la constitución «Te la monarquía española, rey de las Espauas , y en sil ausencia y cautividad la Regencia del reyno, nombrada por la…</t>
  </si>
  <si>
    <t>artagena. (Se continuará.) ARTICULO DE OFICIO. Circular del ministerio de Guerra. La Regencia del reyno se ha servido expedir el decreto que signe; ,,D. Fernando vii , per la gracia de Dios y por la Constitución de la monarquía española, rey de las Españas, y en su ausencia y cautividad la Regencia del reyno , nombrada por la…</t>
  </si>
  <si>
    <t>812.— A D. José María de Carvajal.” Circular del ministerio de Gracia y Justicia. La Regencia del reyno se ha servido dirigirme el decreto que sigue: D. Fernando vii, por la gracia de Dios y por la constitución de la monarquía española, rey de las Españas , y en su ausencia y cautividad la Regencia del reyno, nombrada por las…</t>
  </si>
  <si>
    <t>acreditados París y Regules, dignos compañeros, de los vencedores de Quautla. Seguid los impulsos de Vuestro'* amor á nuestro adorado Soberano el Sn D. Fernando vil; y si *hubiece' alguno dé vosotros que logre aherrojar la fugitiva fiera de Morelos, que vergonzospíy abatido va buscando una caverna en que ocultar sus deli­ tos…</t>
  </si>
  <si>
    <t>humanidad que le es propia, y que recomiendan en sumo grado las Cortes generales y extraordinarias , y el gobierno representativo del rey nuestro Sr. D. Fernando vii ; mas si señaló el tiempo de su regreso al cuartel general de S. Mateo para la conferencia, fue en el concepto de que en la primera nota se le piden los pasaport…</t>
  </si>
  <si>
    <t>, las recompensas y premios de tan señalados servicios. — Dios guarde á Y. S. muchos años. Yeracruz y Agoste» 13 de 1812. — Juan JBdcria Soto. — Sr. D. Fernando f^ustiHo.” En oficio de 23 del corriente participa el comandante principal de las fuerzas de mar y tierra de Tlacotalpan D. Juan Topete lo que sigue : wMe es indispen…</t>
  </si>
  <si>
    <t>Juan Vtfíavicexcio.—Igrtacw Rodrigue» de Riñas*— Juan Peres VdlamiL —• En Cádiz á 13 de Noviembre de 1812, — A D. Ciríaco González Carvajal. Segundo. D. Fernando vii, por la gracia de Dios y por la Constitución de la monarquía española, rey de las Espadas, y en su ausencia y cautividad la Regencia del reyno, nombrada por las …</t>
  </si>
  <si>
    <t>rias; y para .secretario el Sr. D. Jes6 María Couto. diputado por Nueva» España. La Regencia del reyno s* ha servido expedir el dearete siguien­ te : D. Fernando vii por la gracia de Dios y por la constitución de la monarquía española, rey de las Españas , y en su ausencia y cautividad la Regencia del reyiio , autorizada espe…</t>
  </si>
  <si>
    <t>Fernando, D</t>
  </si>
  <si>
    <t>D Fernando</t>
  </si>
  <si>
    <t>te de ias Cortes, él primer secretario de estado, jefes de palacio, grandes y otras per­ sonas de la primera distinción. Ei primer brindis fué por el rey D- Fernando vii , y el segando por Jorge iii , siguiendo después otros por las Cortes , el príncipe regente de Inglaterra, las familias reates y gobiernas de las naciones am…</t>
  </si>
  <si>
    <t>Férpan, Martín</t>
  </si>
  <si>
    <t>Martín Férpan</t>
  </si>
  <si>
    <t>ilustrada , ha caminado constante­ Amat,.obispo de Osina; dél director do los estu­ mente á.realizar sus proyectos por medio de, to?rr:: dios reales D. Martín Férpan.iéz de Navarrete ;'del bulencfas y de engaños, y con el mismo ob'jeto canónigo de S..Isidro. £?.,francisco. Martínez Ma­ perpetuó Ir guerra , armando ciudadanos …</t>
  </si>
  <si>
    <t>Ferran, Manuel</t>
  </si>
  <si>
    <t>Manuel Ferran</t>
  </si>
  <si>
    <t>marzo, especialmente mi comandante de marina D. Francisco S.,lea de Echeverría, que hace 15 meses sirve sin ínteres alguno,en ks tareas mas penosas; D. Manuel Ferran que asdtió á mi lado en hs operaciones navales*, en que hizo particulares servicios; íes coman­ dantes ¿e buque D. Mateo Oronoz, D. Antonio U¿.arrechena. D Pe­ d…</t>
  </si>
  <si>
    <t>Ferrar, M'murí</t>
  </si>
  <si>
    <t>M'murí Ferrar</t>
  </si>
  <si>
    <t>José Trinidad Guardia, D Pedro María O berta, D. Francisco Manzano, D. J .sé Lorenzo López y D. J é Mumei Listem; y de alférez de las de cabsterí*, á D. M'murí Ferrar, Q Antonio Gutiér­ rez, D. Esteban Gabejo, D. Manuel A ¿dama, D. Joié Ignacio Eca­ saba!, D. Juan Pablo Morales, ÍX J &gt;sé Ignacio Arcaya, D. José de la Cruz Arc…</t>
  </si>
  <si>
    <t>Ferrari</t>
  </si>
  <si>
    <t>rte de la artillería de la guas de Ostrouno, situada ventajosamente detras de división Delzon. ■ un barranco mui escarpado: tenia fuerza de infan­ Al capitán Ferrari, del 8.° de húsares, le llevó tería y artillería, y espesos bosques cubrían su fren­ la pierna una bala. El general Ornano, dé quien te y dáñeos. Se tiraron algu…</t>
  </si>
  <si>
    <t>Ferreiros, Manuel</t>
  </si>
  <si>
    <t>Manuel Ferreiros</t>
  </si>
  <si>
    <t>uan de la Daga, 83 y 2 y medio. D. Francisco María Charum , 83 y 2 y me­ dio. D. Diego Antonio Posada , 166 y 5. D. Antonio Franca, 83 y 2 y me­ dio. D. Manuel Ferreiros , 83 y 2 y medio. D. Manuel Duran , 83y 3 y medio. ( Se continuarán.) a m. CADIZ ; EN L1 IMPRENTA REAL.</t>
  </si>
  <si>
    <t>Ferrer, Antonio</t>
  </si>
  <si>
    <t>Antonio Ferrer</t>
  </si>
  <si>
    <t>bar á discreción íás casas de Jos vecinos. Sustanciada le causa en debida forma , fueran coud Miedos por sen­ tencia del 27 del mismo agosto, el Lie. D. Antonio Ferrer , abogado de esta real audiencia, Ignacio Cataño y José Mariano Ayafa, ca­ bos de granaderos del regimiento del Comercio, Antonio Rodríguez Dongo, Félix Pineda…</t>
  </si>
  <si>
    <t>Ferrer, Magín</t>
  </si>
  <si>
    <t>Magín Ferrer</t>
  </si>
  <si>
    <t>se ha. servido importancia alguna militar ni política. - el REI'nombrar corregidor interino de Madrid ¿ Asi pues, desocupados toaos los almacenes que D. Magín Ferrer. . , había en la ciudad, el duque de Treviso mandó vo­ lar el Kremlin el dia 23 á las dos de la mañana. Ar­ senal, quarteles, almacenes, todo ha quedado des­ TEA…</t>
  </si>
  <si>
    <t>Ferrer, Pedro</t>
  </si>
  <si>
    <t>Pedro Ferrer</t>
  </si>
  <si>
    <t>......... 425 12 El gobierno de este cantón va haciendo cada D. Fórmerio Ignacio de Echeverría. 2000 dia nuevas mejoras en todos los establecimientos D. Pedro Ferrer...... ............................. 10992 9 científicos y de beneficencia. El marques de Beodaña, como pa­ El gusto de las bellas artes, y con especialidad dre, …</t>
  </si>
  <si>
    <t>le haber de anunciar la pér­ El marques de Perales á comandante del quardida de la embarcación Woodbank, que iba de Li­ to batallón, en la vacante de D. Pedro Ferrer. verpool á los Estados-Unidos , y lia perecido en la D. Juan Oden y Metieses, capitán , á ayudante costa de Irlanda, sin haber podido salvar de su primero del te…</t>
  </si>
  <si>
    <t>Ferrier</t>
  </si>
  <si>
    <t>reunió al general TormazoiF el 17 de Setiembre, ■y en diferentes reencuentros hizo 5000 prisioneros, entre ellos á mu­ chos oficiales superiores y al general Ferrier, edecán de Murat, y con «lío» remitió tres banderas cogidas ó los austríacos por el conde de</t>
  </si>
  <si>
    <t>Ferrusola, Juan</t>
  </si>
  <si>
    <t>Juan Ferrusola</t>
  </si>
  <si>
    <t>16. D. Ramón Ribero, 10. D. José Juan de Echevarría , 25. D. Juan Midan, 100. D. Bernardino Salado . 12. D Ignacio Aviles, 100. D. José de.Silva , 6. D. Juan Ferrusola, 50. D. Atanasio l.arios , 10. D José Ponce , 2. D Jcsé de la Vera , 4. D. Pedro Gaiecio , 2. D. Pedro Gamez , 3. D. Gregorio Astyte , 4- La cuadri­ lla de neg…</t>
  </si>
  <si>
    <t>Ferxando</t>
  </si>
  <si>
    <t>oto en ellos las cadenas de la esclavitud , y concurrir ademas en el presente el aniversario de la exfiHacími ai trono ríe nuestro adorado rey el Sr. D. Ferxando yn. En esta gran cada se halla asegura­ do del modo mas firme el cxercicio de la religión católica, apostólica, romana, única verdadera, y prohibido el uso de cualqu…</t>
  </si>
  <si>
    <t>l gobierno ha­ bía ordenado se* concluyese ía función de este dia memorable , que como el primero del revisado de nuestro idolatrado monarca al señor D. Ferxando vil, y como el primero‘también dé la libertad po­ lítica de la nación española , formará una^ de las épócás mas señala­ das é ilustres desús anales. ’ &gt; t . Continúa…</t>
  </si>
  <si>
    <t>Fesch</t>
  </si>
  <si>
    <t>te amo lo mismo que ahora toiite ma vie ton bon frere el ami — hace 20 años, y que toda mi vida Joseph. seré tu buen hermano y amigo — José. VII. Al cardenal Fesch. Á Son Altesse EmiKentissime A S. A. Eminentísima, monse­ Mop.seign.eur Le cardinal Fesch.— ñor cardenal Fesch. — Paris. A P-wis. M idrid le 20 mars 1812 — Madrid …</t>
  </si>
  <si>
    <t>Fesnandez, Miguel Apciinario</t>
  </si>
  <si>
    <t>Miguel Apciinario Fesnandez</t>
  </si>
  <si>
    <t>de navio de !a armada naciera t, D. José O riega, teniente dél regimiento de infantería del Rey, D. Francisco Oteyza, capitán de dragones deNumancia, D. Miguel Apciinario Fesnandez, capitán del regimiento de Cargas de Tineo, D. Miguel Valiejo, espitan del se­ gundo de Soria, D. Melchor Andarlo, tenients con gr&amp;do de espitan d…</t>
  </si>
  <si>
    <t>Fesnasug</t>
  </si>
  <si>
    <t>— José María Calaira•ca, diputado secretario.— Dado en Cádiz á 2Q de setiembre de 1811.” í/a Regencia del reyno se ha servido expedir el decreto que D. Fesnasug vn, por la gracia de Dios y por la constitución de ía monarquía española , rey de las Espadas, y en su ausencia y cautividad la Regencia del rey no, nombrada por las …</t>
  </si>
  <si>
    <t>Fessen</t>
  </si>
  <si>
    <t>, 11 • * DEL MARTES 24 DE NOVIEMBRE DE 1812. GRAN-BRETAÑA. Londres 20 de Octubre. La gaceta de PeterSburgo del 6 de Setiembre contiene ítn parta ■del general Fessen , gobernador de Riga, en que refiere circimstanr diadamente las liftimas salidas que hizo con felicidad aqueLia ¡guarni­ ción. El parte concluye de este modo: ,,L…</t>
  </si>
  <si>
    <t>Feumando</t>
  </si>
  <si>
    <t>1095</t>
  </si>
  <si>
    <t>usilazos tuvo la fortuna de salvarse ileso en la plaza. ^Formáronse en seguida les soldados de la guardia , les reos y presidiarios, y juraron al Sr. D. Feumando vii , obligando después</t>
  </si>
  <si>
    <t>Feunando</t>
  </si>
  <si>
    <t>c.— Hcm blewart. ARTICULO DE OFICIO* Circular del ministerio de Gracia y Justicia. La Regencia del reyno se ha servido expedir el decreto que siguet „D. Feunando vil, por la gracia de Dios y por la Constitución</t>
  </si>
  <si>
    <t>Feunando, O</t>
  </si>
  <si>
    <t>O Feunando</t>
  </si>
  <si>
    <t>olgados destic por la maña?)a , y en especio! se ador­ nóla fachada déla casa capitular * colocándose eú el centro b&amp;xo do­ sel el retrato de nuost o rey O Feunando vi i. E i sos cuatro parage 3 destinados pava la ceremonia, de la pubdcncion, se habían levan­ tado ©tros ta; tos tablados revestidos de damasco, y en cada uno de…</t>
  </si>
  <si>
    <t>Ffrnando</t>
  </si>
  <si>
    <t>423</t>
  </si>
  <si>
    <t>­ minalidades. La ciudad de la Plata y villa de Potosí, siguiendo es­ tos mismos principios, se someten gustosas con todas sus corporacio­ nes al Sr. D. Ffrnando vii , representado en l&amp;s soberanas Cor­ tes nacionales, detestando á la junta subversiva de Buenos Ayres co­ mo autora del desorden, de la opresión y de la tiranía …</t>
  </si>
  <si>
    <t>Fg, Lucas</t>
  </si>
  <si>
    <t>Lucas Fg</t>
  </si>
  <si>
    <t>G. D. Luis del ( "arpio y (i. t) José Herrera , (&gt;. Fr. Antonio Buvungaiay , G. D. José So!is , G. D. Martin Tadeo Lope-. 4. 1). 'ÍV.deo Miranda, 4. D. Lucas Fg' avil ,1. f). Mi­ guel de la O, 4. D. \í ría o Martínez, 2. D. Manuel de la Rocha ,-2 D. Mumu 1 Arancivia , 2. D. M t o Tapia, 2. D. Felipe Saenz , 2. D. Fedto Bernuy…</t>
  </si>
  <si>
    <t>Fhlllpcn</t>
  </si>
  <si>
    <t>. en este rcyno, íué presenta­ do ai Gobierno el 21 do 1 corriente : le acompañó el encargado de negocies de España , D. Manuel González Saimón. " El general Fhlllpcn, gobernador francés que fue de Badajoz y llegó el 14 del presentí; mes á esta capital con su estado mayor, se embarcó ei 19 con otros muchos oficiales prisioner…</t>
  </si>
  <si>
    <t>Fi, Joaquín</t>
  </si>
  <si>
    <t>Joaquín Fi</t>
  </si>
  <si>
    <t>especto á vos, como ministro de Ha­ cienda. Podréis convocar, qnantas veces tengáis Sexto batallón. por conveniente, á Jos gefes de los tres departa­ D. Joaquín Fi: rdoni, subteniente, á teniente mentos del ministerio de Hacienda, para tratar de de la primera compañía. los asuntos mas importantes. Igualmente podréis Séptimo b…</t>
  </si>
  <si>
    <t>Fi, Julián</t>
  </si>
  <si>
    <t>Julián Fi</t>
  </si>
  <si>
    <t>I&gt;. José María Frevre , íi). D. Guillermo Geraldino , 10. D. Lorenzo Barba , 10. Don Manuel Palacios , 10. D. Pedro Tijaite , 10. D. José Amador, 6. D. Julián Fi res , 4 l&gt;. José Capotillo, 4. — Sangradores y barberos. Manuel Chaves, proiobarbero , 25. José Asóla , 10. Martin Palacios , 8. Pablo .Miranda , protobarber® del Ca…</t>
  </si>
  <si>
    <t>Ficaltier</t>
  </si>
  <si>
    <t>Gaceta de Madrid n.º 195</t>
  </si>
  <si>
    <t>........... 272 11. Si no se verifica..................... 136 Rotten 2 ¡de mayo. - 13. Si se remite á árbitros......... 204 El senador Conclanx y el general Ficaltier, comandante de la 15.’ división militar, pasaron %. II. ayer revista á un cuerpo de tropas perteneciente á la cohorte 47.* que marcha á Boloña. Fue inmen­ Dere…</t>
  </si>
  <si>
    <t>Fidalgp, Pascual</t>
  </si>
  <si>
    <t>Pascual Fidalgp</t>
  </si>
  <si>
    <t>ban Mitizone, teniente agregado, í Braga, villa de]. Conde , Barcellos, Barca y los ayudante mayor. dbs batallohes de la Union no llegaron 3 tener el D. Pascual Fidalgp, teniente, á espitan de la terror pánico en el mismo,grado que los dc«na$, primera compañú. . no estuvieron cón ted &gt; enteramente exéotos de é¡; D. J oscf Agu…</t>
  </si>
  <si>
    <t>Fietcher</t>
  </si>
  <si>
    <t>Los oficiales y soldados de los cuerpos de ingeniaros y artille­ ría se han señalado igualmente en las operaciones del sitio y en su terminación, „El teniente coronel Fietcher continuó erv la dirección délas obras, no obstante haber sido herido en la salida hecha por la guarnición en 19 de marzo*; y trabajaron en ellas baxo s…</t>
  </si>
  <si>
    <t>Figueioa, JoBé Vázquez</t>
  </si>
  <si>
    <t>JoBé Vázquez Figueioa</t>
  </si>
  <si>
    <t>S. A. íe ha­ bía confiado interinara ente ; se ha servido reelevane de este, yr en­ cargar interinamente el despacho de las expresadas secretarías &amp; D. JoBé Vázquez Figueioa, secretario interino de Estado y del des­ pacho de Marina.</t>
  </si>
  <si>
    <t>Figuerca, José Vázquez</t>
  </si>
  <si>
    <t>José Vázquez Figuerca</t>
  </si>
  <si>
    <t>761</t>
  </si>
  <si>
    <t>.—- Joaquín de Mosquera y Eigueroa. — Juan Villarcicencio. —. Ignacio Rodriguen de Rivas.— El conde del Abisbal. — En Cádiz á 19 de junio de 1812. —A D. José Vázquez Figuerca.” El Sr. embaxador de S. M. B. en esta corte ha comunicado al Sr. secretario interino dei despacho de estado, en cfinio de 25 de ju­ nio ú timo, que S. …</t>
  </si>
  <si>
    <t>Figueroa, Cristóbal</t>
  </si>
  <si>
    <t>Cristóbal Figueroa</t>
  </si>
  <si>
    <t>el encuentro en­ D. Antonio Aguilar. tre la fragata de los Estados-Unidos el Presidente D. Josef Várgas. y el navio de M. británica el Pequeño Belt. D. Cristóbal Figueroa. Ei tribunal se separó para juntarse al dia liTenientes. guiente en Mechanci-Hall. D. Serafín Eslava , de granaderos. Del ¡3. D. Francisca de Paula Díaz, de…</t>
  </si>
  <si>
    <t>Figueroa, Faustino</t>
  </si>
  <si>
    <t>Faustino Figueroa</t>
  </si>
  <si>
    <t>ent, á subtenien­ tes de fusileros á D. Juan Agilitar, D. Lorenzo de Avila, 0. Salva­ dor Morejon y D Francisco Seidel; y á subtenientes de bandera á D. Faustino Figueroa , D. Francisco Viamonte, D. Francisco Cortazar y D. Salvador déla Luz. En el de la Luisíana, á sargento ma­ yor á D. L ids Piernas; á capitanes de granadero…</t>
  </si>
  <si>
    <t>Figueroa, Francisco de Paula</t>
  </si>
  <si>
    <t>Francisco de Paula Figueroa</t>
  </si>
  <si>
    <t>lvarez , 41 y 5. —Escribanos. D. Amonio Somoza, 53 y 2 y medio. D. Antonio Martínez ,41 y 5. — Merinos y porteros. D. Manuel Otaroza, 45 v 6 y medio. D. Francisco de Paula Figueroa , 45 y 6 y medio. D. Antonio Perez , 45 y 6 y medio. D. Miguel Salabarria , 41 y 5. D. Boni­ facio López Ruiz , 3 y 4. D. Fernando de Mazo y su so…</t>
  </si>
  <si>
    <t>Figueroa, José Vázquez</t>
  </si>
  <si>
    <t>José Vázquez Figueroa</t>
  </si>
  <si>
    <t>501</t>
  </si>
  <si>
    <t>mendables circunstancias. Tendreisio entendido y dispondréis lo nece*ar:.G á su cumpliroieito.— Está rubricado.— En Cádiz á 12 de mb}-o de 1812. — A D José Vázquez Figueroa.” En virtud de la íntima axfcuza y estrecha amEU-d que ten f«..l?zinerte reynan entre la España y la Gran-Bret?ña, y de las db-posi­ ciones de eita genero…</t>
  </si>
  <si>
    <t>573 ARTICULO DE OFICIO. El brigadier D. Joan Alonso Espino, comandante militar de ma­ rina de la provincia de Vigo, ha remitido al Sr. D. José Vázquez Figueroa , secretario interino del despacho universal de marina , con fecha de 20 kl mes que ha fenecido, copia de ia exposición qne en­ tregaron firmada en aquella comandancia…</t>
  </si>
  <si>
    <t>aría Salazar; secretario de estado y,dei des­ pacho de guerra á D. Francisco Xavier Abadía , y secretario de es­ tado y del despacho de marina á vos, D. José Vázquez Figueroa: á cada uno con los sueldos, goces y demas que ccrao á tales secreta­ rios de estado y del despacho corresponde. Pero hallándose ausentes el marque» de …</t>
  </si>
  <si>
    <t>do , presiden­ te. —Joaquín de ‘Mosquera y Figüeroa. — Juan Villavicencio. — lg~ f nacAo Rodríguez de'Riñas. — En Cádiz á 5 de Setiembre de 1812.— ¿A D. José Vázquez Figueroa, secretario ále Estado, encargado del ' -de spaeho do 11 adeuda. JGADIZ : EN LA IMPRENTA REAL.</t>
  </si>
  <si>
    <t>Figueroa, Lino</t>
  </si>
  <si>
    <t>Lino Figueroa</t>
  </si>
  <si>
    <t>vera, 10. D. Ma­ nuel de Torres, 10. D. Carlos Villa-Chica, 8. D. José Sánchez, 6. D. José Alegre, 10. D. Mariano Lucar, 6. D. Toribio Echeverría, 6. D. Lino Figueroa , 2. D. Tomas Collas, 2. D. Domingo Sánchez , 6. D. Feliciano Eche­ varría , 2. D. Calixto López , 2. D. Gaspar de Castilla , 6. D. José Arana , 2. D. Benito La…</t>
  </si>
  <si>
    <t>Figueroa, Publo</t>
  </si>
  <si>
    <t>Publo Figueroa</t>
  </si>
  <si>
    <t>poder, y D. Manuel Ubaldo Aguirre, capellán que fae de los sugetos á quienes pertenezcan. del Buen-Suceso. 4.0 Los maestros armeros que obtuvieren la D. Publo Figueroa, oficial retirado de marina, expresada licencia estarán obfgldos á llevar un natural de Villacañas. libro numerado y foliado, cuya primera y última haber conoc…</t>
  </si>
  <si>
    <t>Figuerss, Francisco de Paula</t>
  </si>
  <si>
    <t>Francisco de Paula Figuerss</t>
  </si>
  <si>
    <t>r de Goieoechea , al'.teniente coronel D. Santiago Bañueics y al coronel D. Ildefonso Diez de Ribera : em­ pleos de ayudantes primeros á los segundos D. Francisco de Paula Figuerss , D. Juan Cini, D. Ventura Escalio , D. Agostía de Salazar 9.,D. Joaquín Escario, D Jaecho Escario y D. Luis Cepeda; y empleos tle ayudantes segun…</t>
  </si>
  <si>
    <t>Figur, José Vázquez</t>
  </si>
  <si>
    <t>José Vázquez Figur</t>
  </si>
  <si>
    <t>iendo durante su respectiva ausencia, D. Ignacio de.la Pezuela el destino que está á su cargo de secretario interino del despacho de es­ tado ; vos , D. José Vázquez Figur?roa, el de secretario interino del despacho de hacienda, y D. José María Carbajal el de secretario in­ terino del despacho de guerra: así como confiere el …</t>
  </si>
  <si>
    <t>Fiiden</t>
  </si>
  <si>
    <t>treet 16 de diciembre. la fue'za pública ; pero hasta ahora nada de esto ha bastado. Los rebeldes tienen formada una aso­ ,,Esta mañana ha llegado el capitán Fiiden á la ciación misteriosa que inutiliza todas las providen­ secretaría del lord Liverpool con cartas del lord cias ordinarias. Los perturbadores se presentan Mioto …</t>
  </si>
  <si>
    <t>Filipon</t>
  </si>
  <si>
    <t>71</t>
  </si>
  <si>
    <t>enganchado para servir en la legión italiana. — A muir án que el Vesubio arrojaba mucho humo j cenizas, j que todo anunciaba una erupción próxima. El general Filipon, gobernador que filé de Badajoz , j que se hallaba en Oswestry baxo su palabra de honor, acaba de mular el exemplo del general Lef ihvre, j se ha desaparecido en…</t>
  </si>
  <si>
    <t>s severo. {Correo de Inglaterra.) Entre los prisioneros que se lian -logado se cuentan olida les de todas gra­ duaciones, cuyo ejemplo lia imitado el general Filipon , que fue hecho pri­ sionero e-n la plaza de Badajoz '(i). Hoy tenemos que ofrecer á nuestros lectores uno de aquellos atroces ul­ trajes hechos á la naturaleza …</t>
  </si>
  <si>
    <t>Fingal</t>
  </si>
  <si>
    <t>emejantes males, ¿merece acato pur esto A Las cinco y media se principió á servir la co­ solo que le deis las gracias? Mi padre no lia hecho mida. El conde Fingal entró en la Rotunda á la mas que obedecer las órdenes que tenia , y seguir cabeza de la nobleza protestante y católica , de la el gran principio, que creo ser el fo…</t>
  </si>
  <si>
    <t>Finley</t>
  </si>
  <si>
    <t>EL GOBIERNO DE LA REGENCIA DE LAS ESPANAS. GRAN BRETAÑA* Londres 2j de julio. El sábado último ha llegado á Portsmouth el buque de S. M. el Rover, sa capitán Finley, con despachos de sir Home Popham, en que da cuenta de sus ulteriores operaciones en la costa N. de España. El Rover salió el domin­ go del puerto de Castro (al O…</t>
  </si>
  <si>
    <t>Finn</t>
  </si>
  <si>
    <t>Gaceta de Madrid n.º 94</t>
  </si>
  <si>
    <t>idelidad y de nuestro respeto á las le­ ke , el mayor Brian, Mr. Sutlyvan , el consejero Oyes de nuestro país, nos dan derecho para contar conell, el consejero Finn, Mr. Vyse, lord Glentcon la conlLnza de! trono y del parlamento. A pe­ worth , el consejero Hallen, Mr. Shelly, el con­ sar de esto subsisten todavía las leyes pe…</t>
  </si>
  <si>
    <t>Fio</t>
  </si>
  <si>
    <t>fort *o de mayo. Al momento se trabó él combate , y á no haberse retirado precipitadamente ¿I enemigo, mol hubié­ Anoche llegó á esta ciudad S. A. el duque Fio ramos apoderado de seis peniches. La marea , que deB i viera. ! * nos era contraria , nos impidió seguir el alcance. Según todas las apariencias este año serán mas Un …</t>
  </si>
  <si>
    <t>Fio, Antonio</t>
  </si>
  <si>
    <t>Antonio Fio</t>
  </si>
  <si>
    <t>ularidad del coman­ dante de cazadoras D. Benaidmo Pana, el que elogia mucho el porte de sn segundo D. Antonio Camps, que quedó muerto, y al teniente D. Antonio Fio!, herido. V. E. se servirá observar que la mayor pér­ dida de los enemigos fué ocasionada por la valerosa conducta de ice cuerpos de caballería : efectivamente no…</t>
  </si>
  <si>
    <t>Fita, Ertaaislao</t>
  </si>
  <si>
    <t>Ertaaislao Fita</t>
  </si>
  <si>
    <t>peridad paralo venidero; se ha servido nom­ bra? á. D. Lorenzo Luis de Robles, D Ramón Masía de Lleopart, D. Antonio José Gallado, D. Tomas Pelegrin, D. Ertaaislao Fita, D. José Manuel de loa Senderos y D. Manuel Antonio Rodrigo por jueces de primera instancia interines de Xerez, Puerto de Sta. María, Medina, Ssniucar, Puerto…</t>
  </si>
  <si>
    <t>Fita, Pascual</t>
  </si>
  <si>
    <t>Pascual Fita</t>
  </si>
  <si>
    <t>udieran qui­ Firmado=El conde Darú.” zá venir aun de lejos á soplar el fuego de la dis­ Este decreto dexaba subsistentes algunos es­ cordia, el señor D. Pascual Fita cree un deber torbos j que han sido removido* segon oficio de 33 luyo prereoit aa tu discutió á los habitantes de</t>
  </si>
  <si>
    <t>Fita, Vicente</t>
  </si>
  <si>
    <t>Vicente Fita</t>
  </si>
  <si>
    <t>dei Castillo Negrete , D. Francisco Ibañez de Ley va , D. Ma­ nuel'Antonio de la Bodega y Moliinedo, O. Francisco Diez, D. Jayme Alvaroz de Mendieta, D. Vicente Fita, D. Andrés Oder y Don Diego María Badilios. El teniente general D. Francisco Ballesteros, general en gefe del cuarto exército, dirige al gefe del estado mayor ge…</t>
  </si>
  <si>
    <t>Fito, Alanuel Rodrigues</t>
  </si>
  <si>
    <t>Alanuel Rodrigues Fito</t>
  </si>
  <si>
    <t>grado en medio de las mayores priva dones; así como también el valen' y serenidad que con&amp;í antera en te han acreditado el coronel. ayudante general, D. Alanuel Rodrigues Fito, el capitán del segundo batallón do voluntarios de Aragón I). Manuel Latee, el sargecio segundo del regimiento in­ fantería de la Prinoesa. Francisco R…</t>
  </si>
  <si>
    <t>Fito, Manuel Rodríguez</t>
  </si>
  <si>
    <t>Manuel Rodríguez Fito</t>
  </si>
  <si>
    <t>mino mismo que este debia traer. Inmediatamente pasé á reconocer la posición mas conveniente para la empresa, acompañado del gefe del esta­ do. mayor D. Manuel Rodríguez Fito: el terreno no era el mas favorable para una emboscada, ni en aquella inmediación había otro, ni tiempo para buscarle distante: unas viñas fueron el úni…</t>
  </si>
  <si>
    <t>Fíuaciseo</t>
  </si>
  <si>
    <t>)200 f&gt;. Amonio A'umjuj..,....................... . 5040 zt P, Francisco Ramos................ . 10000 D. Huschio de Higuera.......................( -D. Fíuaciseo yP.ADuuci R,moí. 347oí ti D, Josef María Guirior..,.................. 35099 33 D. Juan de OSiver............... ........... . 12775 Doña María Ventura de Guirior..,…</t>
  </si>
  <si>
    <t>Fiuivando</t>
  </si>
  <si>
    <t>cios de todas clases, que tos habitantes de aquellas vastas regio­ nes lian hecho, y continúan haciendo en favor de la justa causa de la nación y del rey Fiuivando vi i son la prueba mas re'erante y decisiva de la leudad y fidelidad que los distinguen , dicret iri ; L^ Queda abolido desde ahora ei paseo del estandarte real, q…</t>
  </si>
  <si>
    <t>Flahaut</t>
  </si>
  <si>
    <t>a nuestra caballería del frentp: en esto vura que ha mostrado en este dia, y el general Gevino la división Delzon, y ya no tenia que hacer rardin, el coronel Flahaut y el capitán Leconteux, la caballería. los tres ayudantes de campo dehpríncipc NeufchaEl virei dio sus disposiciones, y cruzando el tel, como también el ayudante…</t>
  </si>
  <si>
    <t>Flamingham</t>
  </si>
  <si>
    <t>ieros xualeso,,Ei mayor Dickson dirigió los pormenores del servicio de ía ar­ tillería durante ei sitio como en otras ocasiones, baxo las órdenes del coronel Flamingham, que desde la ausencia del mayor general Bothwick ha mandado la artillería de este exército. „No puedo alabar bastantemente á los oficiales y soldados de la a…</t>
  </si>
  <si>
    <t>Fleming</t>
  </si>
  <si>
    <t>fidelidad. — Soy con el mayor respeto &amp;c. Lima 7 de octubre de 1SI1. — Excmo. Sr. — Fleming. — Excmo. Sr. D. José Fernan­ do de Abascal.” Oficio del brigadier Fleming al gobernador de Chile. „Excíno. Sr.: Tengo el honor de anunciar á Y. E. mi arribo á este puerto en el navio de guerra Estandarte de S. M. B., comisiona­ do por…</t>
  </si>
  <si>
    <t>513</t>
  </si>
  <si>
    <t>513 g© y julio 30 de 1811.— Martin Calvo Encalada.— Sr. D. Cárks Elfinstone Fleming, comandante del navio de S. M. B. Estandarte.55 O Iro oficio del brigadier Fleming al misino gobierno. „Excmo. Sr.: Impuesto en el contexto del obsequioso oficio de Y. E., 30 del pasado, debo contestar que me ha sido muy sensible el que no se …</t>
  </si>
  <si>
    <t>519</t>
  </si>
  <si>
    <t>IA DE LAS ESPAÑAS DEL JUEVES 21 DE MAYO DE 1812. ESPAÑA Lima 15 de octubre de 181L (Continuación del artículo del número anterior.) Ultimo oficio del brigadier Fleming al gobierno de Chile. jjExcrao. Sr.: A mi ambo á este puerto en desempeño de ios en­ cargos del Gobierno español, tuvo el honor de dirigir á esa capital dos of…</t>
  </si>
  <si>
    <t>uas de Santiago, residencia del expresado Gobierno. Allí permaneció 14 dias sin recibir contestación, y volvió sin ella al Callao. En consecuencia el brigadier Fleming al re­ gresar á España, para donde salió en 17 de diciembre de 1811, tuvo por inútil tocar en Valparaíso. Naturalmente injlairian en esto los acon­ tecimientos…</t>
  </si>
  <si>
    <t>Fleming, Cárks Elfinstone</t>
  </si>
  <si>
    <t>Cárks Elfinstone Fleming</t>
  </si>
  <si>
    <t>513 g© y julio 30 de 1811.— Martin Calvo Encalada.— Sr. D. Cárks Elfinstone Fleming, comandante del navio de S. M. B. Estandarte.55 O Iro oficio del brigadier Fleming al misino gobierno. „Excmo. Sr.: Impuesto en el contexto del obsequioso oficio de Y. E., 30 del pasado, de</t>
  </si>
  <si>
    <t>Fletcher</t>
  </si>
  <si>
    <t>rticularmente en esto la brigada de guardias al mando del mayor general H. Campbell. Ruego igualmente á V. E. se sirva tener presente la conducta del teniente coronel Fletcher, ingeniero en gefedel mayor de brigada Jones, y de los oficiales y tropas del real de ingenieros. El talento con que se han conducido estas operaciones…</t>
  </si>
  <si>
    <t>Fleteher</t>
  </si>
  <si>
    <t>esta ocasión perdimos al capitán Cuthbert, ayudante de campo del teniente general Picton , oñcial que daba grandes esperanzas, y quedó muerto ; y el teniente coronel Fleteher fué levemente herido , bien que espero que pronto estará en disposición de continuar el servicio. No tengo aun los estados de muertos y heridos ; pero c…</t>
  </si>
  <si>
    <t>Flich, Joaquín</t>
  </si>
  <si>
    <t>Joaquín Flich</t>
  </si>
  <si>
    <t>E. para con el regimiento de húsares, que entra hombres y caballos muertos y heridos, ha sufrido'la baxa de 10&amp; plazas, particularizando al teniente D. Joaquín Flich, prusiano, que recibió dos balazos, y perdió el caballo. Recomiendo á V. fí. todos</t>
  </si>
  <si>
    <t>Flo</t>
  </si>
  <si>
    <t>oaga , de granaderos , 1&gt;. Jo­ sé de ¡as Cuevas, B José María Vergara, D. Francisco Xavier VaUariuo, D. Vicente Cortés, O. Minml Monti, de cazadores, D. Flo­ rencio Cerutti, D. Antonio del Valle, D. Manuel María Rodríguez Rubio y D. Luis María Montero, ele cazadores ; al conde de Torre* jon, D. Ramón de Orozco, D. Tomas Hered…</t>
  </si>
  <si>
    <t>Floraiski</t>
  </si>
  <si>
    <t>ito' estaba en el camino de Colurgena hácia Toula, Kalouga, Orely.iy una fuerte par^l tid.a én.ei camino de Mojáisk. i , v í b . cr ^ „El 19 envió qI general Floraiski con la undécima.división de eosaCés-y los húsares de Polski á observar al enemigo: descubrieron quatro regimientos de caballería en Snamenska, é hicieron prisi…</t>
  </si>
  <si>
    <t>Florencia, José</t>
  </si>
  <si>
    <t>José Florencia</t>
  </si>
  <si>
    <t>ian Puga, 50. El comendador de la Merced , 50. D. Dio-, go Granados , 20. D. Luis Noli, 10. Teodoro Garóes , 4. Tomas Duarte , 4. D. Manuel Bravo, 5. D. José Florencia, 6. D. Ventura Bustamante, G. Don Pedro Ríos , 10. D. Juan María Morillo , 10. D. Mariano Arcia y Tello, 20. D. José Camilo Morillo, 10. D. Juan..... .. 50. D.…</t>
  </si>
  <si>
    <t>Florentino</t>
  </si>
  <si>
    <t>stantius quam ¿eges redé positae. ( Eurip. in Supplicib.) Continúan los donativos mensuales dé la isla de Cuba. I). José Annenteros, por sí y su hijo D. Florentino, por 5 soldados , du­ rante la guerra, 45 ps. fs. mensuales. I). Santiago Malagamba , por 4 , idern, 36. D. José Carrera, por 4,36. D. Juan Reynols por 4 , 36. El …</t>
  </si>
  <si>
    <t>Flores, Antonio</t>
  </si>
  <si>
    <t>Antonio Flores</t>
  </si>
  <si>
    <t>sco Ameta f oficial mayor jubi­ lado, 25. D. Marcelo Laclara, contador de moneda, 10. El portero Don Domingo Chene, 10. D, José Risco , receptor, 12. D. Antonio Flores . 40. —Contaduría de tribíitos. El oficial mayor, 83 y 2 y medio. El segundo D. José Gutiérrez , 50. El tercero D. José Bravo de Rueda, 20. El cuarto D. Baltas…</t>
  </si>
  <si>
    <t>Flores, Capistrano</t>
  </si>
  <si>
    <t>Capistrano Flores</t>
  </si>
  <si>
    <t>Contadores ordindrios. D. Pedro Grillo , 87 y 7. J). Manuel Dufoo , 87 y 7. D. Lino de la Barrera, 83 y 2 y medio. D. Ja­ sé Muelle , 83 y 2 y medio. D. Capistrano Flores, 83 y 2 y medio. Oficia­ les de libros. D, Domingo Moreno , 50. D. José de Eslava , 50. Amanuenses. D. Justo Díaz , 41 y 5. D. José Mariano Arris , 41 y 5. …</t>
  </si>
  <si>
    <t>Flores, Francisco</t>
  </si>
  <si>
    <t>Francisco Flores</t>
  </si>
  <si>
    <t>Continúan los donativos del Perú. D. Francisco Flores, maestro de la escuela de Bellavista , 10 pesos fuer­ tes. I&gt;. Domiqg* Villaverde , oficial reformado , 25. D. José Leandro Alvarez, id., 9 y o. D. Juan Bautista Aldayturriaga , 9 y 3. El m</t>
  </si>
  <si>
    <t>Flores, JosefcD</t>
  </si>
  <si>
    <t>JosefcD Flores</t>
  </si>
  <si>
    <t>.subdiácono , id......... 2 2 00 D Josef Cantarero , id.................................... 2200 D. R-lícl Apo!inario Fernandez , id........... 2 200 D JosefcD Flores , id................... ................. 2200 D. F rancisco García , diácono, id................. 2200 D. I tdjro Rubio, id....................................…</t>
  </si>
  <si>
    <t>Flores, Juan de la Cruz</t>
  </si>
  <si>
    <t>Juan de la Cruz Flores</t>
  </si>
  <si>
    <t>istán segundo ios que ván llegmdo sucesivamente un exemplo de la misma iglesia. de tu amor al Soberano ¿y de su ardiente deseo de Para esta resulta á D. Juan de la Cruz Flores, sacrificarse en servicio royo. ex-minimo , sacristán de Vólanuevamesí i. Para esta sacristía de Vi l muevamesía :á Don ESPAÑA. Francisco Balboa , ex c…</t>
  </si>
  <si>
    <t>Flores, Manneí</t>
  </si>
  <si>
    <t>Manneí Flores</t>
  </si>
  <si>
    <t>, id. en Andújar.................. 2200 D. Manuel de Heredia, id. en Bedmar...... 2200 Ex-capuchinos. D. Miguel Villanueva , lego, id. en Baeza. 1100 D. Manneí Flores, residente en Madrid.... 2200 D. Domingo Muñoz, id. en Bedmar...... 2200 D. Benito Guillen y Cerdan, id................ 2aoo D. Marrin Palomares , id. en Jaén..…</t>
  </si>
  <si>
    <t>Flores, Pedro Cornelio</t>
  </si>
  <si>
    <t>Pedro Cornelio Flores</t>
  </si>
  <si>
    <t>, vacante ella es una pura vaciedad ¿ que ni hace dorar,1 ni por muerte dé D. Francisco Valdivieso. reir, segal de que ya la leyó, y cante ó rabie! A D. Pedro Cornelio Flores, cura de Alcolea llore 9 ría, en el cuerpo se tiene ya las verdades de Tajo, para el de Azután .vacante por muerte dulces ó amargas, sabrosas ó desabrid…</t>
  </si>
  <si>
    <t>Florín, Rafael Fausto</t>
  </si>
  <si>
    <t>Rafael Fausto Florín</t>
  </si>
  <si>
    <t>el López................................... 3*5* f de 1812. D. Antonio Perez..........i.......... . 649 2t Don JoseF Napoleón por la gracia de Dios y D. Rafael Fausto Florín....................... 1840 6 por la constitución del estado, REI de las Espa- D. Ramón López Paez........................ 1565 19 ñas y de las Indias. D…</t>
  </si>
  <si>
    <t>Fmi</t>
  </si>
  <si>
    <t>O. Joaquín Nuñ.-z. Del presidio: ...O. - J dan-Jacinto‘Jztueta, IX Ciémeote Brítaoaj&amp;s, D.-An­ tonio Guarnan, O. F^u4ino Rubio, D. José García Peña, D. Fmi* cisco Ármendi, D/M^íchor. de S^m&amp;mvas ,• IX Antonio Baquero, e! cabo de brigada D. José Ruta y D Francisco Sánchez. T^dos losdemas qus seL-iaaüsnron.en el-cistiiio hada s…</t>
  </si>
  <si>
    <t>Fo, Martin</t>
  </si>
  <si>
    <t>Martin Fo</t>
  </si>
  <si>
    <t>a para poder osar Tomas O-Scanian . D. Pedro Maií i Morales Portoarmas , na podrán venderlas por sí á ninguna otra carrero , D Josef M..rtinez Campo, D. Martin Fo­ persoga, sino que la venta ha de hacerse por me­ ronda y D. Diego Carnicero; quienes contesiaroo dio de un maestro armero, con mucho tino, inteligencia y despejo á…</t>
  </si>
  <si>
    <t>Fonr, Salvador</t>
  </si>
  <si>
    <t>Salvador Fonr</t>
  </si>
  <si>
    <t>o secretario de Estado =3 Firmado = Mariano D- Mateo de Ozcariz......... 1565 12 Luis de Utquijo." D. JosefC añedo........................... 1065 19 D. Salvador Fonr.......................... 1087 26 Doña María Petra de Lanz , hija heredera de D. Vicente de EL ESPEJO DE LA TIA JUSTA, anz....... *.............................…</t>
  </si>
  <si>
    <t>Fonseca, Josef</t>
  </si>
  <si>
    <t>Josef Fonseca</t>
  </si>
  <si>
    <t>Gaceta de Madrid n.º 182</t>
  </si>
  <si>
    <t>materia verde y la subs­ por D. Pedro Lezcano y Salvador, profesor de arqui­ tancia amarilla; y de este modo se manifiestan el tectura, y grabado por D. Josef Fonseca, reúne á lo añil y las dos substancias, y después lavándolas el cómodo del tamaño, que es de un pliego de marca im­ 2gna se lleva conmigo las sales calcáreas , …</t>
  </si>
  <si>
    <t>Font, Joan</t>
  </si>
  <si>
    <t>Joan Font</t>
  </si>
  <si>
    <t>to­ lebre cuerpo , que preside y sanciona , por decirlo nio abad: para diputado secular de este último aii, todos los grandes descubrimientos. barrio D. Joan Font: para segundo y tercero del Una de las obras mas notables qne se han pu­ de Jesús D. Agustín Población y D. Francisco blicado en el discurso del año pasado es la se…</t>
  </si>
  <si>
    <t>Fontaniüas, Joaquín</t>
  </si>
  <si>
    <t>Joaquín Fontaniüas</t>
  </si>
  <si>
    <t>Félix Cuevas y D. Pedro Baza , sostuvieron su alta re­ putación : se distinguieron también el subteniente de la primera de cazadores de Fernando Vil D. Joaquín Fontaniüas ; el capitán de la tercera de cazadores de Ausona Santamaría y su subteniente Cervera. Nuestra pérdida consiste en 17 muertos, incluso el subteniente de Bas…</t>
  </si>
  <si>
    <t>Fonteilas, Custodio</t>
  </si>
  <si>
    <t>Custodio Fonteilas</t>
  </si>
  <si>
    <t>valor y tranquilidad con que sostuvo el fuego á la cabeza del puente el subteniente D. Felipe Navascué*. Ni debo olvidar los 3 oficiales de húsares, D. Custodio Fonteilas, O Pe­ dro Francés y D. Pedro Villaroya , quienes me siguieron los 2 dias haciendo servicio de soldados, y quedando de avanzada los 3 solos ía noche del 14 …</t>
  </si>
  <si>
    <t>Fontellas, Custodio</t>
  </si>
  <si>
    <t>Custodio Fontellas</t>
  </si>
  <si>
    <t>dis­ tantes solos 3 cuartos de legua, sin poder obrar la caballería por la aspereza del terreno, aunque acometió dos veces á las órdenes dei teniente D. Custodio Fontellas y degolló algunos enemigos, de­ cidida en sola una hora con un éxito tan ventajoso, es motivo para que esta división reciba las mayores atenciones de V. E.…</t>
  </si>
  <si>
    <t>Foodra, Alexandro</t>
  </si>
  <si>
    <t>Alexandro Foodra</t>
  </si>
  <si>
    <t>. Mensualmente,. cipalidad no se arredra por las dificultades , ni por Ks. de vn. s-- ----- ^__ r la eicasez de recursos, y que mirando solo el bie i D. Alexandro Foodra’.................... 141.. 6 general , procede con la energía y la confianza D. Frutos Alvaro Benito................. 600 propias del zelo que la anima , y d…</t>
  </si>
  <si>
    <t>Forestier, Esteban</t>
  </si>
  <si>
    <t>Esteban Forestier</t>
  </si>
  <si>
    <t>niente en reemplazo de D. Ado lio LáS ’ablo de Ubeda, diócesis de Jaén, vacante por fa­ llecimiento de D. Miguel de Aguayo, y por re­ zaro Couturier; D. Esteban Forestier , subtenien­ nuncia que hizo de él el ex-agonizante D. Josef te , á teniente cu reemplazo de D. Luis Molí; Don Pando y Bracha. 1 Renato Meiito, subteniente …</t>
  </si>
  <si>
    <t>Forja, M-guel Pereyra</t>
  </si>
  <si>
    <t>M-guel Pereyra Forja</t>
  </si>
  <si>
    <t>elli se hallaban en Yitcra , y que el enemigo for­ maba almacenes en Vergara, Hurango y Vdoria. Extracto de un oficio del lord coate dj JVt lín?ton á D. M-guel Pereyra Forja«.—Cuartel general de F^y'ieda á 4 de ma*%o' de iS12?. Ea este oficio se habla de 1.a acción de Cá tama de 16 le febrero por el general Ballestero.?, de l…</t>
  </si>
  <si>
    <t>Forja, Miguel Pereyra</t>
  </si>
  <si>
    <t>Miguel Pereyra Forja</t>
  </si>
  <si>
    <t>PORTUGAL. Lisboa 31 de mamo. Extracto de un oficio del mariscal general conde JVeHmgton y dé Vimeiro, á D. Miguel Pereyra Forja*, de su cuartel general del campo de Badajoz á 20 de marzo de 1812. „A consecuencia de lo que anuncié á V. E. en mi oficio de 13 del corriente, mandé salir al exército de sus acantonamientos</t>
  </si>
  <si>
    <t>Forjas, Miguel Pereyra</t>
  </si>
  <si>
    <t>Miguel Pereyra Forjas</t>
  </si>
  <si>
    <t>casarle con la princesa Augusta de Saxonia. PORTUGAL, Lisboa 6 de junio. Oficio del mariscal general marques de Torres Vedras (lord fí e* llingion) 4 D. Miguel Pereyra Forjas, de su cuartel general de Fuente- Guinaldo á 28 de mayo de 1812. „Cuando liar é que el enemigo se había retirado el 21 de abril de esta parte de la fron…</t>
  </si>
  <si>
    <t>906</t>
  </si>
  <si>
    <t>de Rusia para residir cerca nuestro gobierno. PORTUGAL. Lisboa 8 de agosto. Extracto de un oficio del mariscal general, marques de Torres* cedras, á D. Miguel Pereyra Forjas, de su cuartel general de OImedio á 28 de julio de 1812. „ Después qae dirigí á Y. E. mi último oficio de 24 del cor* fíente, el exército ha continuado p…</t>
  </si>
  <si>
    <t>164</t>
  </si>
  <si>
    <t>BADO 12 DE DICIEMBRE DE 1812. PORTUGAL. Lisboa 28 de Noviembre. Extracto de un ofició del Fxcmo. Sr. marques de Torres- Yedras dirigido al Excmo. Sr. D. Miguel Pereyra Forjas, desde su cuartel general d* Ciudad-Rodrigo con fecha 19 de Noviembre. ,,E1 8 del corriente pasaron el Tormes en Alba las tropas del te­ niente general …</t>
  </si>
  <si>
    <t>Forjaz, Miguel Pcreyra</t>
  </si>
  <si>
    <t>Miguel Pcreyra Forjaz</t>
  </si>
  <si>
    <t>eral. Oficio de Jam Pablo Becerra , enviado extraordinario , y mi­ nistro- plenipotenciario de Portugal en la corte de Petrrsfjurgo , al -Ex. mo. Sr. D. Miguel Pcreyra Forjaz s fecho el 29 de mayo (10 de junio) tíe 1812. ,,Tengo el honor de remitir á V. E. copia del acto de proroga* eion de nue tro tratado de comercio c:n Ru»…</t>
  </si>
  <si>
    <t>Forjaz, Miguel Pereyra</t>
  </si>
  <si>
    <t>Miguel Pereyra Forjaz</t>
  </si>
  <si>
    <t>y que se prendieren en lo sucesivo. (Diario de Malta.) PORTUGAL. Lisboa 22 de febrero. El mariscal conde de Vimeyro (lord fVellinglon) ha dirigido fi D. Miguel Pereyra Forjaz el ofieio siguiente, desde su cuartel gene­ ral de Fremeda con fecha de 12 de febrero : ,,No he recibido los detalles del movimiento que hizo desde Ga­ …</t>
  </si>
  <si>
    <t>blicó la promoción hecha últimamente por S. A. R. el príncipe-re­ gente nuestro señor. Han ascendido á tenientes generales los maríscale» ele Gampo, D. Miguel Pereyra Forjaz , inspector general de milicias, el conde «ác Amarante, gobernador délas armas en la provincia de Tras-Ios-montes, y Juan Marmitón, inspector general de …</t>
  </si>
  <si>
    <t>504</t>
  </si>
  <si>
    <t>miento, que es el asunto de todas las con­ versaciones. PORTUGAL. Lisboa 7 de mayo. Oficio del lord conde de Wellington, marques de Torres- Vedras, a D. Miguel Pereyra Forjaz , de su cuartel general de Alfayates á £4 de abril de 1812. „Despues que dirigí á V. E. mi oficio anterior, continuó el exército marchando en esta direc…</t>
  </si>
  <si>
    <t>s acontecimientos de que habla este oficio. Extracto de un oficio de S. E. el mariscal general marques de TorresVedras dirigido al limo, y Excmo. Sr. D. Miguel Pereyra Forjaz desde su quart el general de Flores de Avila, fecha 25 de julio de 1812. limo, y Excmo. Sr.: tengo la satisfacción de anunciar á V. E. que el exército a…</t>
  </si>
  <si>
    <t>aun sin este motivo, es considerable. Extracto de dos oficios de S. E. el mariscal general marques de TorresYedras 5 dirigidos al limo. y Exento. Sr. D. Miguel Pereyra Forjaz. Quartel general de Madrid 13 de agosto de 1812. „ Conociendo que el exército del general Marmont continuaba su retirada sobre Burgos en tal estado que …</t>
  </si>
  <si>
    <t>Forot</t>
  </si>
  <si>
    <t>ra escarmentarla, envió Rato al alférez de cazadores D. Fran­ cisco García Presno, quien á pesar de que el enemigo recibió un refueizo mandado por el comandante Forot, le hizo retirarse preci­ pitadamente can pérdida de 7 muertos y 18 heridos ; sin tener otra por su parte que la de 2 prisioneros, que avanzando á la bayo­ neta…</t>
  </si>
  <si>
    <t>Forras, Antonio</t>
  </si>
  <si>
    <t>Antonio Forras</t>
  </si>
  <si>
    <t>argar, y si no lo han verificado, es porque los franceses han prohibido que se les proporcione bagages. Sin embargo la mtiger del corregidor renegado D. Antonio Forras, residente en Manzanares, salió como de paseo hasta cierto sitio en donde tenia prevenidos ios necesarios, y tomó el camino de Madrid. Todas los tropas enemiga…</t>
  </si>
  <si>
    <t>Forreras, Juan</t>
  </si>
  <si>
    <t>Juan Forreras</t>
  </si>
  <si>
    <t>armas y vestuarios, y cargados en carros peroía* necen en la puerta del convento de S. Agustín. Ayer prendieron en Utrera al marques de Casaulloa , á D. Juan Forreras, á D. Alonso Riasoia, á D. José Escovar y á dos párro­ cos , que todos son conducidos hoy á Carmona, para incorporarse con ios presos aquí. Se asegura que en to…</t>
  </si>
  <si>
    <t>Forres, Cayetano</t>
  </si>
  <si>
    <t>Cayetano Forres</t>
  </si>
  <si>
    <t>de Almoguera , capellán del monasterio de Descalzas , 4. Di Nar­ ciso Cosío , 1. D. José [pinza, 2. D. Miguel de Oyague , 1. D. Mariano de León , G. D. Cayetano 'Forres , capellán del monasterio de Sta. Catalina , G. D. J uíian Valdivia , 3. D. Tomas Palacios, 1. D. Fernando Bao Calderón , 1. 1). José Antonio Martínez, 1. D. …</t>
  </si>
  <si>
    <t>Fort, Pedro</t>
  </si>
  <si>
    <t>Pedro Fort</t>
  </si>
  <si>
    <t>5592 raciones en favor de los indigentes ro, marzo y abril..................i....,...... ari 28 de esta capital tas 7892 de á 12 onzas de pan ca­ Sr. D. Pedro Fort................. 200 da una , y las 7700 de cinco quarterones de pota- Sr. D. JnSian Bartolomé Lope®., por ge en la forma siguiente : 11455 á los pobres de uoa vez…</t>
  </si>
  <si>
    <t>Fot, Juan</t>
  </si>
  <si>
    <t>Juan Fot</t>
  </si>
  <si>
    <t>Exorno. Si*. — francisco Espoz y Mina. — Exorno. S.r. D. Gabriel de Menüizábal.” ARTICULO DE OFICIO. E‘ brigadier, eyulante general de cutido mayor , D. Juan Fot cus y Muxica, ge fe interino del estado moyo* de! stgtmdo y tercer ejér­ cito , dice ai fmñor ge fe dri estado mayor gen era i desde el ensiísl g&amp;uurral de Orihnela …</t>
  </si>
  <si>
    <t>Foucher</t>
  </si>
  <si>
    <t>elentes cerros, corona­ gen marcha contra el centro del enemigo. protegi­ dos de reductos y baterías. Esta posición nos pare­ do de 60 piezas, que el general Foucher habL ases­ ció mui fuerte; pe&gt;o no tanto que nos obligase á tado el día antes contia este punto. Mil cañones maniobrar para forzarle á dexarla, y oi'erir de es­ …</t>
  </si>
  <si>
    <t>Fourni</t>
  </si>
  <si>
    <t>tt.iu la elaboración del azúcar y movimientos de cabezada del buque atacado , que del añil indígenos, se puede recular en unos 300 *e vio obligado el capitán Fourni á salvarse con la millones la pérdida del comercio ingles en estos tripulación eo el buque apresado. El corsario se artículos. fue á fondo inmediatamente. El mini…</t>
  </si>
  <si>
    <t>Foxá, D Ramón</t>
  </si>
  <si>
    <t>D Ramón Foxá</t>
  </si>
  <si>
    <t>1226</t>
  </si>
  <si>
    <t>Berga 2&amp;de Setiembres , * - * _____ Extracto de dos partes det E terno. Sr» general en gefé D. Luis Mae# á ta junta superic r de Ce tala fía. , L° El coronel D Ramón Foxá ? comandante dé armas en Ara­ gón ,. me dice, desde. Monfalco con fecha de, 19 del'corriente lo que sigue : „Excmo Sr.: Después de 15 dias de la mas bárhara…</t>
  </si>
  <si>
    <t>Foy</t>
  </si>
  <si>
    <t>206</t>
  </si>
  <si>
    <t>Marmont. Quedaron muertos 30 enemigos, y heridos cerca de 60, incluso el edecán que lo está gra veniente , y otros 2 oficiales. Del 2 de febrero. El general Foy salió ayer por ei camino de Ta­ layera con alguna infantería y caballería. Todos dicen que van á Cas­ tilla. Llevaban una porción de galleta, pero hoy la han vuelto. …</t>
  </si>
  <si>
    <t>t desde llena vente sobre Mombuey y Puebla de Sanabria, desde el 11 ai 19 del corriente; y un movimiento de igual naturaleza hecho por las tropas del general Foy, salientiOi-de los contornos de Talayera con dirección á Guadalupe y atravesando el puerto de S. Vicente. Estas 2 divisiones se han vuel­ to á sus posiciones. ,, Las…</t>
  </si>
  <si>
    <t>502</t>
  </si>
  <si>
    <t>un camino carretero para Avila por el pueito del Pico, y esta manana han vuelto sin li^ber llegado al sitio en donde debia empezc.rse á trabajar. £1 general Foy, que quedó aquí después de la salida de Montbrun , y que tardo ase­ guraron días pasados que iba á Toledo, se ha dirigido á Tiuxino, y ahora afirman, unos qvie se que…</t>
  </si>
  <si>
    <t>304</t>
  </si>
  <si>
    <t>íveres empiezan á no escasear. Reyna la mayor armo­ nía entre nuestras trqpas y las aliadas , y buscan á competencia oca­ sionas ele manifestaría. Eí general Foy ha salido ya de Guadalupe; y Dronet tiene su cuart.d general en la Serena, ocupando á Mórula con una guarnición de SOÜ hombres. Cádiz 18 de marzo. En la sesión públi…</t>
  </si>
  <si>
    <t>n el campo de batalla unos 150 fusiles. Madrid 21 de febrero. Dia 18. Dicen los franceses que el general Arispe va á poner sitio á Alicante, y que el general Foy tiene orden de dirigirse á Valencia á comprimir á aquellos habitantes que se hallan inquietos con motivo de las exácciones que hace el enemigo para mantener sus exér…</t>
  </si>
  <si>
    <t>e si vuelve á suceder, cortarán todos los olivos de estas inmediaciones. Marcha, segun dicen, para Valladolki la división de .Brenier, y viene la del general Foy. Se añade que va á hacer movimiento el exército de Marmont, sin decirse hacia donde. Dei 15. La división de Brenier se puso en marcha el día 9 con todos los enfermos…</t>
  </si>
  <si>
    <t>0 rs. de gratificación que ha recibido cada uno por su armamento completo. Escriben de las inmediaciones de Castilblanco que la división francesa del general Foy ocupaba aquel pueblo y otros del contorno, donde exigían enormes contribuciones. En Castilblanco habían pe­ dido 300 fanegas de trigo ó su valor en dinero á razón de…</t>
  </si>
  <si>
    <t>n del general Hill , se pusieron en movimiento las tropas enemigas que ocupaban ambas Castillas, nueva y vieja. La primera división á las órdenes del general Foy, y una división del exército del centro, mandada por el general Darmagnac, pasaron el Tajo el dia 2 i por el Puente ¿el Ar­ zobispo, y marcharon por Deleitosa con el…</t>
  </si>
  <si>
    <t>1043</t>
  </si>
  <si>
    <t>según dixe en mi paite de 30 de agosto. ,,Marchamos de Arévalo el 4, y el 6 pasamos el Duero por los vados de Herrera y el Abrojo. ,, Dispue* que el general Foy vio que la guarnición de Astorga se hubia rendido por capitulación , se volvió al Ezla, y marchó so­ bre Carvajales con la mira de sorprehender y cortar el cuerpo de …</t>
  </si>
  <si>
    <t>Duero. ,,Ei enemigo movió un cuerpo de trepas de las inmediaciones de Vall&amp;dolid, que se corapoaia de unos 6000 infante? y 200 caballos al mando del general Foy : con estas fuerzas sacó el dia 17 la guar­ nición de Toro: después se 1« reunió na cuerpo de infantería de ia misma fuerza, que también habia marchado de Rioseco: to…</t>
  </si>
  <si>
    <t>n de Moskow con adornos de valor de medio millón Salamanca, este oficial fue presentado por el señor de rublos; aqui no hallareis masque cenizas. Vo- general Foy, quien solicitó á so favor la condeco­ ronow 29 de setiembre. = Conde Teodoro Ros­ ración de la Orden Real de España, premio á que topchin.” se habia hecho acreedor …</t>
  </si>
  <si>
    <t>Fra, Juan</t>
  </si>
  <si>
    <t>Juan Fra</t>
  </si>
  <si>
    <t>............................. 1310 12 !&gt;■ J uan Sauz y Barrnte, deposita­ D. J uan Vicente Perez , como pa­ rio del fondo de presas del minis­ dre de D. Juan Fra ncisco,..,........ 924 terio de Mirina............................... 23465 D. Francisco García del Riego, y D. Antonio Cáceres, por medio ds en su nombre el mismo D…</t>
  </si>
  <si>
    <t>Framingham</t>
  </si>
  <si>
    <t>ial ni cuerpo empleado en esta acción que dexase de cumplir con sus deberes para con sus patrias y Soberanos. La real artillería alemana al mando del coronel Framingham se distinguió por el acierto de su fuego donde quiera que podía emplearlo , y avanzando para el ataque de la posición del enemigo con la misma gallardía con q…</t>
  </si>
  <si>
    <t>Fran</t>
  </si>
  <si>
    <t>s del Perú. Oficiales segundos. D. Juan Inocente Casas , 66 pesos y 5 reales. Don. Fr ancisco González Calvez , 66 y 5. D. Santiago Sánchez , 66 y 5. D. Fran­ cisco Iriondo , 66 y 5. D. Bartolomé Grillo , 66 y 5. D. José Julián de Sologuren, 66 y 5. D. Eustaquio Ortiz, 66 y 5. D. Juan Sanz, 66 y 5. Don José Iramain , 66 y 5. …</t>
  </si>
  <si>
    <t>do rechazado^ los enemigos por ser fuerza mayor que la mia. — Dios guarde á V. S. muchos año». Cabredo 5 de agosto de ÍSIi.—Sebastian Fernandez.— Sr. D. Fran­ cisco Espoz y Mina. — Lo traslado ó V. E. para su noticia y efectos que tenga á bien.—Nuestro Señor guarde á V. E. muchos años. San­ güesa 12 de octubre de 1811. — Fran…</t>
  </si>
  <si>
    <t>aciones Para la primera sacristía de la iglesia mayor de de júbilo en los paseos y calles de la ciudad. Los la ciudad de Laxa , vacante por muerte de D. Fran­ primeros que marcfiarou de aquí para sus respec­ cisco de Paula Ortega, ex-míni.no, á D. Gabriel tivos destinos ilegaban’á 5 20 , y han dexado para Ritiz , ex-írancísca…</t>
  </si>
  <si>
    <t>4 rs. Manuel Villanueva, 4 rs. Manuel Torres, 1. Andrés Villanueva , 4 rs. Gregorio Ro­ dríguez, 1. José Manuel Pojuela, 4 rs. Doña Andrea Huerta, 1, Doña Fran­ cisca Pineda, 1. D. Juan Villanueva, 1. Doña Manuela Pelaez , 1. Varios individuos, 3 y 7 reales. — Pueblo de Sayán. El capitán Don Anselmo Manuel Salinas, 100 pesos,…</t>
  </si>
  <si>
    <t>Rubi­ nes , 50. D José Gabriel Gómez , por sí y su hijo D. José María, 100. Don José Donaires , G. D. Francisco Boladeras, 12. D. José González , G. D. Fran­ cisco Hurtado , 6. D. Antonio Le goma , por sí y su padre D. Juan , 50. Don Ignacio Odria , 6. D. Manuel Arana y Campomanes , 5. Doña María Soto, 2. D. .Mariano Vicuña, …</t>
  </si>
  <si>
    <t>de los antiguos oidores de la misma, D. Francisco Toribio de Ugf*rte, D Ji.sé López Cozar y I), Francisco Cándido de Paz. Con est* motivo, ei decano D. Fran­ cisco Toribio de ligarte pronunció un discni£o, de que copiaremos algunas expresiones : ^Señores, dixo: Desde qne la real audiencia de este reyno, en cuyo nombre tengo e…</t>
  </si>
  <si>
    <t>tr* Memoria sbbre la influencia de la instrucción pú­ ellos el llamado Cortés, cabeza de la insurrección» blica en la prosperidad de los estados, por D. Fran­ y rr uih s fraile». Nosotros tuvimos un muerto / cisco de Paula González de Candamo. Se hallará en quairn lloridos. El Capitán Vigneron, comandante la librería de Quiro…</t>
  </si>
  <si>
    <t>uerrero navarro, el coronel Cruchaga, que conmigo mandó en gefe la acción ; del sargento ma­ yor D. Ramón Uizurrun, encargado del primer batallón; de D. Fran­ cisco Ignacio Asura, y D. Sebastian Fernandez, comandantes del cuarto y quinto. Cinco caballeros oficiales y 400 soldados del señor Ballesteros publicarán en toda la na…</t>
  </si>
  <si>
    <t>mino de Truxillo, pero se vieron precisados á clavarlo y abandonarlo, porque la división de Mármol y la caballería iba en sus alcances. Mis ayudantes D. Fran­ cisco Oberto, D. José Yañez y el cadete D. Luis Urganeta han ma­ nifestado la mayor serenidad y bizarría en todas las comisiones que tuvieron, comunicando órdenes á tod…</t>
  </si>
  <si>
    <t>646 las ocurrencias que se ofreciesen en la acción. L os cadetes D. Fran­ cisco Monserrate, D. Pedro Roso, y el particular D. Tomas Heres, que baxaron conmigo á las fortalezas , se embarcaren á solicitud suya , y se encargaron de atender á las señales, cuyo encargo des­ empeñaron</t>
  </si>
  <si>
    <t>stra independencia. — Dios gusrde á Y. E. muchos años. Cuartel general de Haérmeces y mayo 7 de 1812.—Excmo. Sr. — Gabriel de MendizabaL— Exorno. Sr. D. Fran­ cisco Xavier Castaños/* ARTICULO DE OFICIO. La Regencia del reyno se ha servido expedir el decreto qne sigue: D. Fernando vii, por la gracia de Úios y por la constituci…</t>
  </si>
  <si>
    <t>l Loza• 110,26. Ei guarda 1). José Ramón V cnña, 10 D Francisco Barrera, estanque­ ro, 6. D Toribio Herrera! 4. El colegio de abogados de Lima, 1000. D. Fran­ cisco de la Guarda , cura de Pararin , 50. El sub lelegado de Santa , de lo co­ lectado er» su partido , 212. D. Agustín de los Ríos, cura de la parroquia de Sta. Ana, …</t>
  </si>
  <si>
    <t>e los 27 jurados , enemi­ go? verdaderos de la patrie. Dios-guarde á V*. S. cinchos años. Aois¡ 12 de jusio de 1812. — Francisco Ignacio Asura. — Sr. D. Fran­ cisco E;p'z y M na.” Lo trasto lo á V. E. paTa su conocimiento y satisfacción. Nues­ tro Seño? guarde á V. E. muchos anos. Lencho 14 de junio de 1812.— Francisco Espoz …</t>
  </si>
  <si>
    <t>SUPLEMENTO A LA GACETA DE LA REGENCIA DEL MARTES 18 DE AGOSTO BE 1812. ARTICULO DE OFICIO. Parte del general en gcfe del cuarto exército , D. Fran­ cisco Ballesteros y al seuor'gefe del estado mayor general. «Exorno. Sr.: Convencido el general Leval de" qué no pe­ dia alcanzarme en mi operación sobre Málaga, se propuso envolv…</t>
  </si>
  <si>
    <t>eseco y julio 14 de 1812, — Eeemo. Sr. — Benita Marquwex. — Excm&gt;. Si. Don Gab iel de Mendz ifeM. II. Exorno Sr.: Ei sargenta mayor de mi e?cuadron, D. Fran­ cisco de Paula Cañieer, que pas&amp;ba al cuartel general dei exército aliado con pliegos , me dice lo sigukr te r , N ticiOoO de que los en*m'gos habían abaldonado el punto…</t>
  </si>
  <si>
    <t>1031</t>
  </si>
  <si>
    <t>os, cogiendo en todos estes reencuentros 6 fu­ siles , una caxa de guerra y otros despojos. ,jLss otras partidas, á las órdenes de Ies de igual clase D. Fran­ cisco Barrio y D, Manuel Lauda, han presentado 12 prisioneros, y han muerto á mucho mayor numere de enemigos. „Viendo en una parte que con estos repetidos exemplares, n…</t>
  </si>
  <si>
    <t>é Vi­ gilancia y Apelaciones los señores D. Hermenegildo de Ribera y D. Manuel de Estrada, ministros de la real chancillería de \ralladolid, y el Sr. D. Fran­ cisco Assin, abogado del colegio de esta villa, juez interino de primera ins­ tancia de la misma, ha nombrado en su lugar el limo. Sr. Gefé político inte­ rinamente, y …</t>
  </si>
  <si>
    <t>, D. Faustino Ru­ bio, D. Josef García Peña, D. Francisco Armendi, D. Melchor de Somarrivas, D. Antonio Saquero , ei cabo de brigada D. Josef Ruiz, y D. Fran­ cisco Sánchez. Todos Los demas que se hallaron en el castillo hasta su entre­ ga al señor general ea gefe se portaron con la mayor bizarría y fidelidad. ( Se concluirá.…</t>
  </si>
  <si>
    <t>rgo, dos ho­ s nal de esta corte D. Manuel Perez Camino , Don ras después de medio dia el general enemigo , que Domingo Agüero ,■ D. Manuel Silvela , D. Fran­ pudo ya&gt; rezelarse que habia proyeetqs bien serios cisco Iturribarría, D. Francisco de León Bcijilichu, contra la ciudad, hizo pasar dos divisiones y dos y D. Antonio P…</t>
  </si>
  <si>
    <t>Franca, Antonio</t>
  </si>
  <si>
    <t>Antonio Franca</t>
  </si>
  <si>
    <t>ino , 125. — Oficiales primeros. D. Juan de la Daga, 83 y 2 y medio. D. Francisco María Charum , 83 y 2 y me­ dio. D. Diego Antonio Posada , 166 y 5. D. Antonio Franca, 83 y 2 y me­ dio. D. Manuel Ferreiros , 83 y 2 y medio. D. Manuel Duran , 83y 3 y medio. ( Se continuarán.) a m. CADIZ ; EN L1 IMPRENTA REAL.</t>
  </si>
  <si>
    <t>Francani</t>
  </si>
  <si>
    <t>batalla, y amenazando hacer un desembarco. Pero re el partido que abrace la ciodad de Valencia, en­ el capitán Francani , inmediatamente que avistó á cargo á V- S. como un deber el inas sagrado el lo? enemigos., acudió al par.,ge amenazado con un que haga quanro pueda por conservar la tranquili­ destacamento</t>
  </si>
  <si>
    <t>FRANCES, IMPERIO</t>
  </si>
  <si>
    <t>IMPERIO FRANCES</t>
  </si>
  <si>
    <t>erdad ó no , lo cierto es que los insurgentes tie­ (Idem. ) nen tuerzas respetables en aquella paite. Al mis­ mo tiempo una división del exército del general IMPERIO FRANCES. Villagran derrotó en Yamighiipan un cuerpo pe­ queño de tropas del vircí. Miranda , haCt*nd..do de Parts 18 de diciembre. Piedras-Nrgras, y el tenieute …</t>
  </si>
  <si>
    <t>FRANCES, Regen IMPERIO</t>
  </si>
  <si>
    <t>Regen IMPERIO FRANCES</t>
  </si>
  <si>
    <t>Gaceta de Madrid n.º 34</t>
  </si>
  <si>
    <t>elaciones exteriores. diatamente en ei protocolo del consejo privado. Han llegado á Lóndres mochos de los miembros principales de las dos cámaras. El Príncipe Regen­ IMPERIO FRANCES. te continúa tratando á los Foexistas con ia mayor distinción; pero no es probable qne haya novedad Parts sí de enero. en la administración mient…</t>
  </si>
  <si>
    <t>Franci</t>
  </si>
  <si>
    <t>e Ximeno y D. Cario* h&lt; de haber por precisión un Reí á gusto de la Marian i. Francia , parque , ti no es á su gusto , no lo han do En la escultura : D Franci co Aí'arrih.i. dex ir parar un dia siquiera; todos lo dicen, y lo D. Francisco Eu..s, D. Carlos Gar í y D. Josef saben sin ser abogados, que toda la vida en Espa­ P-* r…</t>
  </si>
  <si>
    <t>lle de Catnargq......................................... 2 2oq D. Tomas L bo, id. eo Gómez Sarracín.... 2200 D. Amonio de S. Miguel, id. del lugar de D. Franci co Barrio, id. en Segovia............. 2200 Revilla........... .................................................. 2 200 F&gt;. Juan Zurro, id. en id......................…</t>
  </si>
  <si>
    <t>Francí</t>
  </si>
  <si>
    <t>exémito. „ Hxc .10. Sí. : En cumpl.mííi.tü* de las órdenes que con arreglo á otras de S. E., el «abitan general del quimo, s^xto y séptimo exercito, D. Francí c j Xavier Cvtañm, me tenia co¿mmic»aas el conm&gt;dírodela escuadra ds S. M. B. sóbrela costa de Cantabria Sír Thon Popham, consultadas también con V. E., me dirigí despu…</t>
  </si>
  <si>
    <t>Franciico</t>
  </si>
  <si>
    <t>, capitaa de tiradores de de.S.M. la guardia real. ÍÍOcés (D. Antonio)', capitán de artillería. Charricu (D. Juan Bautista), granadero de la Inganni (D. Franciico), subteniente del regimienv guardia real. ' "tó Real Extraugiro; Chauved (D. Pedro), soldado de tiradores de la Irazabal (D. Rafael), comisario de guerra dt4 guardi…</t>
  </si>
  <si>
    <t>Francis</t>
  </si>
  <si>
    <t>pitanes á D. José Pórtela . Dolí Jaciuto Alvarez del Pazo, D. Ramón Miguel de Soto, D. Pedro Roullosa, D. José García Verdugo, D. Pedro José Pórtela, D Francis­ co Rodríguez, D. Rosendo Lagoa, D* Xavier Perez Címbrelo y D. Manuel Fernandez; los de ayudantes mayores á D Francisco Ca­ rayaca y D. Juan Bautista Cabaleri; los de …</t>
  </si>
  <si>
    <t>llo, 12. D. Toribio Alarco , 7 y 7 rs. D. Anselmo Peña , 8. I). Isidoro Caraved» , 8. t&gt;. Luis Obregoso , 8 D. Martin Garro , 8. D. Juan Vázquez , 8. D. Francis­ co Casas,-8. D. Hipólito Carrillo , o Ü Manuel Pinillos, 8. D. Juan José Pi­ nillos , 8. I). Santiago Pinillos , 8 1). Luis Menacho , 8. D. Vicente Navar•rete , 3. D…</t>
  </si>
  <si>
    <t>l-sistema que de ios voluntarios de la Patria; D. Francisco Dohan adoptado se parece al de las guerrillas de .tregart, capita l de guardias Wa’onas ; D. Francis­ la España europea, con la diferencia que lo prac­ co Ustavir, idem; el marques d-e la Roca, gefe tican con mejor éxito. Dicen estas mismas carras de! estado mayor de…</t>
  </si>
  <si>
    <t>abía otro medio de escarmentar­ los, sino el de empeñarlos al combate, lo cual nunca se verileaba sino cuando eran en gran número; no pensó el captan D. Francis­ co de las Piedras dir g' rse contra ellos, hasta que á media-dos de setiem­ bre supo que había ya un grueso de consideración,: entonces envió contra ellos al capitán…</t>
  </si>
  <si>
    <t>ra mantener un soldado de España. D. Tadeo Luis de Meneses , guarda almacén de arti­ llería de Piura , en todo como el antecedente , 100. El teniente D. Francis­ co Ignacio Ximeno , 30. El capitán D. José Muñoz , guarda almacén de ar­ tillería de Arequipa, 25. El maestro mayor del taller de armería, 2 cabos y 25 artilleros, 4…</t>
  </si>
  <si>
    <t>la de paisage; pero conociendo al mismo tiem­ mo padre y legítimo administra­ po el gobierno la necesidad que hai de formar dis­ dor de los bienes de D. Francis­ cípulos capaces de ¡legar á ser un día pintores de co Xavier de Aranzazu.................. *59357 24 historia , ha establecido una academia de dibuxo, D. Rafael de R…</t>
  </si>
  <si>
    <t>iende la perdida de los enemigos. „La acción la mandó de parte de los enemigos Diez Velez, que hácia 3 dias habia llegado con este fin: le acompañaba D. Francis­ co Ribero, quien al principio de ella se retiró, y Velez viéndose der­ rotado , la misma noche fugó por el camino de Chuquisaca con al­ gunos de sus allegados. „A la…</t>
  </si>
  <si>
    <t>euaion quisieron estorbar los ingleses quando fidos españoles. nn nieto de Luis xrv vino á nuestro trono: esta quie- Mocho sentimiento nos cansa, Sr. D. Francis­ r n estorbar ahora , que ven sobre é¡ á un herma­ co , dixo el cura , el oir lo que vm.i. nos dice, aun­ no del Emperador de los franceses. Bien saben ello* que tant…</t>
  </si>
  <si>
    <t>osef Mafia XimenezDon Domingo Draper, D. Manuel Guio, D. Juan Utrero, D. Benigno Merchan, D. Víctor Casasola, D. Pascual del Rey, D. Miguel Parrales, D. Francis­ co Ayuso, D. Miguel González, D. Antonio González, D. Angel Llave, D. Josef Ulloa, D. Francisco Acosta, D. Justo Clemente, D. Josef Sánchez, D. Eustaquio Hidalgo, D.…</t>
  </si>
  <si>
    <t>Francis, Juan</t>
  </si>
  <si>
    <t>Juan Francis</t>
  </si>
  <si>
    <t>cudo ha ccc cedido !&amp; Regen­ cia &amp;1 oficial real de esas reales caxr-s D. Jesús Me. íe. F:rncu; y gracias en nombre de S. A. ai vicario ec:e¿ idílica D. Juan Francis­ co Yarda, recomendándolo á la real cámara, como ai cu-a deca­ no D. Pedro Perez de Guzman, según lo hr»go con ceta ficha, efil propio modo que al comisario gene…</t>
  </si>
  <si>
    <t>Francisco</t>
  </si>
  <si>
    <t>. En París-mo se dante Oe batallón agregado á dicho cuerpo ;á Don vio hasta el día 5 de diciembre por motivo de las Luis Rogg, teniente, á capitan; á D. Francisco nieblas que reinaron por entonces. Aquel dia, á las Ingani, sub entente, á teniente, y á D. Miguel 11 y un minuto (tiempo medio), sn ascensión rec­ Martin , sargent…</t>
  </si>
  <si>
    <t>providencia pedicionaria ídem; D. Josef Miranda , ídem de la es obligar á los labradores de la Jamaica á que cnl- primera división del 2.a exército; D. Francisco tiven los frutos de primera necesidad, y dexea de Marcó del Pont, subinspector de infantería de la emplear á los negros en el cultivo del café, que en segunda ídem; …</t>
  </si>
  <si>
    <t>elona, mandó á Mr. Laugier, rio, al supernumerario D. Pedro Irigoyen : para teniente de navio, que se hiciese á la vela al si­ la de supernumerario á D. Francisco Di^z Montes; guiente dia con dos barcos armados y 20 marine­ y para la de examinador de farmacia á D. Ancolia ros escogidos, y que marchase á Mataró. Al mis­ Herran…</t>
  </si>
  <si>
    <t>f; ■ hutía. “'ííázadbres á.'cabijló. .. B^mn ( D. Joscl'), hú¿i( de u euartf iViea!.'1 ; Ezpélera ("D. Jacinto) , capitán de fusileros dé-’U *►Beche (D. Francisco), tsa-gít.t.v segur.,in de gra-, guardi* ., naderes dtl rtqímienfo Real í xíi .ií¿cVó.:;:' 1 1 Ezsérri'p.» ( D. Nicolás Vicente de), limosnero de Belefia ( D. Josef…</t>
  </si>
  <si>
    <t>ago), sargento segundo del re­ guardia real. gimiento 4.0 de cazadores á c-,bailo. Patullo (D. Luis), cabo del regimieato cóm. 4.* Verdejo GaDzalez ( D. Francisco) , catedrático de de cazadores í caballo. matemáticas de S.Tsldro el R ai de esta corte. Pelejero (D. Luis) , capitán de tiradores del regi- Víctor (D. Enrique), te…</t>
  </si>
  <si>
    <t>fran­ 2 su real patronato , á los sugetos siguientes: ciscano descalzo. Para L primera 'jcinth de la iglesia parroquial Para la de Beznar y Elchite á D. Francisco de la ciudad de Aih&lt;ma, vacante por ascenso de Martínez Valdivia , ex-franciscano descalzo. D. Juan García de Lara , ex *gerónimo, á D. Jo- Y para la de la Peza, en…</t>
  </si>
  <si>
    <t>............. 18370 28 resa Losada........................ 11061 27 Lo* herederos de D. Josef Maído- D. Antonio Gil, actual conde de nado, D. Jos.;fy D. Francisco sos Berberana......................................... 65386 24 hijos............... ................... .......... . 3479 7 El convento de Santa Clara de Vi- Total…</t>
  </si>
  <si>
    <t>cado extraor­ se quedó malo'en. el .lugar quando la retirada de dinariamente los grandes consejos de los cantone;: Castaños.__ ¡Cómo! dixo el cura: ¿ D. Francisco ef nuestro*y el de Berna han ratificado ya Ja ca­ está en él lugar ? ¡ quinto me alegro ! Sí, señor, con­ pitulación unánimemente. tinuó Periquillo, aquel capitán q…</t>
  </si>
  <si>
    <t>de no haber contribuido á cinar, se llevarán 'uons'go á aquellos á quienes causársela. . ■ » Yihora sacan d!e lY paz de sus hogares para ir á de­ Sr. D. Francisco, dixo el cura , vmd. debe de fender la patria ,• y los irán enviando de quando estar cansado, y nosotros estamos abusando de su '«rt quandó a-hacer correrías en las…</t>
  </si>
  <si>
    <t>r á la'bayoneta su primera línea de iofan- compañía franca de húsares de Gu.dalaxara. terít; la batió y cargó con sq poca caballería , lo Gutiérrez ( D. Francisco), soldado de la compa­ que hubiera decidido completamente la acción á no ñía franca de húsares de Guáda'axara. haber tenido que reunir otra vez su destacamento Guti…</t>
  </si>
  <si>
    <t>e ceremonias, y pre­ clase de la plaza de Madrid, para ayudante de sentado por el Excmo. Sr. gran maestre de las primera clase de la mi mía plaza; .1 D. Francisco mismas. Morales , sargento retirado con gr.,do de subte­ Fueron presentados á S. M. en esta audiencia: niente , á subteniente d- caballería , y ayudante Por el Excm…</t>
  </si>
  <si>
    <t>el objeto era ajustar un tratado entre las tres naciones. Se asegura haberse hecho un tratado de alianza ofensiva y defen­ siva entre Bcmaparte y el emperador Francisco: y aun según escri­ ben de Gotemburg© con fecha de 8 de abril, se decía que el Austria recibiría la Silesia y la Iliria en compensación de un cuerpo de 10C00G…</t>
  </si>
  <si>
    <t>y de Berthier. El 13 estaba en Wurtzburgo; de aquí salió .el 14 , según unos para Berlín , y según otros para Dresde, donde debía tener vistas con el emperador Francisco. Malta 22 de abril. El 4 del corriente ¿legó á ésta isla con su familia el lord Gui­ llermo Bántinclt, comandante en gefe de las fuerzas inglesas en Si­ cili…</t>
  </si>
  <si>
    <t>ncia de Burgos......................... 2200, D. Antonio Sánchez, id.....................................2200 D. Francisco Alvarez de Villanueva, id. D. Francisco ds la Cruz, id......................... 2200 en Madrid.......................... ........................ 2200 D. Joan Colosno, id..................................…</t>
  </si>
  <si>
    <t>00 tos y noticias sobre el estado de la civilización y D. Roque Sacristán, por medio de las luces en la Grecia, en la época que medió de su apoderado D. Francisco desde la mina del imperio de Oriente hasta nues­ Normella..................................... 4200 tros dias, ha propuesto con este ño las siguientes D. Jacinto Ló…</t>
  </si>
  <si>
    <t>... . 752» 2 na de manchas, y todo él perdido de polvo y mal­ Doña María Manuela Salcedo, tratado, como que habia andado siempre en ma­ como viuda de D. Francisco nos de monaguillos y sacristanes. Mas con todos Machado,........................... ....... 34073 11 sus peros y sus tachas la buena Justa queríalo pa­ ra sí, porqu…</t>
  </si>
  <si>
    <t>crimen de la real X&gt;. Pedro. ¿Quién? ¿ yo? ¿cuidados? A la audiencia de Valencia. verdad qne á nadie faltan en estos tiempos. Lo Castillo y Almunia (D. Francisco), caballero que es ocupaciones, he tenido las de siempre; maestrante del real cuerpo de Valencia. pero amigo , este calor es inaguantable, y no sabe Casasus ( D. Fra…</t>
  </si>
  <si>
    <t>anes saxones el empréstito que habían resuelto D. Francisco Torre Marin , por me­ abrir para el pago de los impuestos. Los comer­ dio de su apoderado D Francisco ciantes y las demás personas acaudaladas han acu­ Carrion................. ............. .............. M3°« dido inmediatamente á interesarse en é!; por ma­ D. ü us…</t>
  </si>
  <si>
    <t>aría de totora de sus hijo;....... ........... 2000 Estado. D. M .ri»no Herr.mz..................... 596 j En nuestro palacio de Madrid á 21 de julio D. Francisco ú: L» v n........ ...... JOO de 1812. El hospital y congregación de D &gt;n Josef Napoleón por la gracia de Dios y Presbíteros naturales de esta por la constitución de…</t>
  </si>
  <si>
    <t>Francisco, Alonso</t>
  </si>
  <si>
    <t>Alonso Francisco</t>
  </si>
  <si>
    <t>a. Ana, 100. — Real cara de Pasco. D. Juan Agustín Morales, ministro contador, 159 con 2 y medio. D. José Cevallos , ministro tesorero interino, 100. D. Alonso Francisco de España, oficial segundo , 41 con 5. Id. tercero D Joaquín Roxas , 20. Milicias de Piura, 105 con 7. Colectado en Truxdlo liasta 22 de marzo de 1809,2903. …</t>
  </si>
  <si>
    <t>Francisco, José</t>
  </si>
  <si>
    <t>José Francisco</t>
  </si>
  <si>
    <t>de decreto de 3 del corriente del real tribunal del con­ sulado de Cádiz, se emplaza á cuantos se consideren con derecho al concurso de acreedores de D. José Francisco de llevilta , para que acudan á formalizarlo en el término de 18 meses contados desde la fecha; y en su defecto se verificarán Los repartos, parándoles todo pe…</t>
  </si>
  <si>
    <t>Francisco, Juan</t>
  </si>
  <si>
    <t>Juan Francisco</t>
  </si>
  <si>
    <t>se en caso que ia Gran Bretaña persista en r¡o que­ muerte de D. Francisco Duran Villatoro. rer céiier ; pero tendrá la mala política de irlas pu­ A D. Juan Francisco (Castellano , ex—írsncisca— blicando sucesivamente para aprovechar las ocasio­ no; D. Pedro Marcelino de Lago, ex-franciscano nes imprevistas que se ofrezcan ,y…</t>
  </si>
  <si>
    <t>Francisco, Lorenzo</t>
  </si>
  <si>
    <t>Lorenzo Francisco</t>
  </si>
  <si>
    <t>......................... 1100 eti el principado, de Asninas..................... 2200 D. Manuel García, natural'de Fresnedo.... 2200 Ex - dominicos. D. Lorenzo Francisco, id. del lugar de N. en la provincia de Burgos.......................... 2209 D. Francisco Gil, residente en Valseca.... 2200 D. Pedro Ruiz, i.d- de Villarc…</t>
  </si>
  <si>
    <t>Francisco, Pedro</t>
  </si>
  <si>
    <t>Pedro Francisco</t>
  </si>
  <si>
    <t>e. Perctin (O. Josef), primer artillero de á pie de Xímeoo Navas ( D. Francisco), ministro del trila guardia real. bnnal de contaduría mayor. Petit ( D. Pedro Francisco), capitán de tiradores Zamácola (D. Juan Antonio), comisario de Poli­ de la guardia real. cía de Madrid. ‘ Piedra (D, Manuel de la), secretario geoeral de AR.…</t>
  </si>
  <si>
    <t>Francisco-Amoros</t>
  </si>
  <si>
    <t>s-y palabras , cotí' ánimo de­ presan, á’ los individuos siguientes t 1 ‘ ' liberado de contrariarlp en rodas sus leyes y de­ Al co.isejcro de Estado D. Francisco-Amoros cretos , y de conspirar á su disolución. ¿.Y quin­ para la de Avila; al duque de Sofoinayór,• gentil-' tos son los qué hai en Espiarla'de esta clase 2 Ana­ h…</t>
  </si>
  <si>
    <t>FranciscoAguileras</t>
  </si>
  <si>
    <t>nte de la Barquera................................... 2200 D. Ramón de Cunes........................... 2200 D. Antonio Gordo Arce , id. del valle de D. FranciscoAguileras, id. de Solares.......... 2200 Toraozó......¡.2::..;...:..............................*•••• 2200 D. Ramón Calado l^orrilia, id. de Ca- D. Manuel Lienzo ¿ i…</t>
  </si>
  <si>
    <t>Franco, Antonio</t>
  </si>
  <si>
    <t>Antonio Franco</t>
  </si>
  <si>
    <t>. Presentes el conmódoro Stephen D. Agustin Cruzado. D'catui , presidente; los capitanes Carlos Stuart Maques de Alcántara. é Lase Chancey , vocales. D. Antonio Franco, En la sesión de ayer se leyeron y aprobaron D. Juau Bautista Armesto. hs actas del tribunal; con que quedó prologado D. Antonio Bermudo Ayora.</t>
  </si>
  <si>
    <t>Franco, Josef</t>
  </si>
  <si>
    <t>Josef Franco</t>
  </si>
  <si>
    <t>ernandez Petite , id. en id.,... 2200 ,C # , \i D- Juan Mingnez , id. en id........................ 2200 D, Santiago, de. Conjrt, natural del imperio D. Josef Franco, id. en Carbonero Agusin. 2200 -fruncesres¡de,nteJen Santander............. .2209, D. J uan Veujon , id. eo Sao-García............ 2200 É). Feraandorde Palacio ,…</t>
  </si>
  <si>
    <t>Franco, Manuel</t>
  </si>
  <si>
    <t>Manuel Franco</t>
  </si>
  <si>
    <t>D. Santiago Víctores , .500. D. José María Luzeaudo , auditor de guerra, 200. D. Martin de Icasa, 1000 Doña Jacin­ ta Olave, 50. D. José Crespo, 25. D. Manuel Franco , 60. D- Juan Carcioli , 25. D Ignacio Hidalgo, 50. D Gregorio Mascóte, 10. D. Francisco Carbajai , 30. Vicente Pacheco, 10. D. Ramón Calvo, 100. D. Miguel Isusi…</t>
  </si>
  <si>
    <t>Franco, Pablo</t>
  </si>
  <si>
    <t>Pablo Franco</t>
  </si>
  <si>
    <t>onativos del Perú, Los pueblos de Machan i, Pana y Naranjal , por mano de T&gt;. Julián de Campo, lul4 ps. fs. y 6 rs. D Juan Manuel de Larrainzar , 50. D. Pablo Franco, 50. D. Jo 11 Antonio Oyarisde , 100. £1 pueblo Je Balao , 47 y 7, E! administrador y empleados en Ja renta de correos, 55. El administrador contador y empleados…</t>
  </si>
  <si>
    <t>Franningham</t>
  </si>
  <si>
    <t>a avanzada en el ataque del 27. „ Así mismo recomienda con particularidad al teniente coronel May , que mandaba la artillería , baxo la dirección del coronel Franningham, y los cficiaies y soldados de la artillería reai y portuguesa de su mando, y al teniente coronel Burgcyne, al teniente Raed, y á loa cficiaies de ingenieros…</t>
  </si>
  <si>
    <t>Frar, Juan</t>
  </si>
  <si>
    <t>Juan Frar</t>
  </si>
  <si>
    <t>de barrio~ Alcalde de barrio D,.. Josef Castro. •• - ! 1 D. Ambrosio Ximenez. Diputado eclesiástica - ’ ! : Diputado eclesiástico D. Joaquín Pascual. D. Juan Frar cisco Molina. Diputados seculares Diputados seculares D. Diego Romere. ; D. Ignacio García. • ;D. Simón Sainz de Baranda. rD. Francisco ¿Villegas..'- ' Dí Jacinto G…</t>
  </si>
  <si>
    <t>Frcyre</t>
  </si>
  <si>
    <t>nte dispersos hasta Jarancoa y pueblos ría del plan que ei genera! HLke hi adoptado pa­ inmediatos ra frustrar la empresa de Sucliet. Lo que ahora El general Frcyre , que ocupaba á Chinchilla, puede infundimos algún cuidado es el considera­ ha sido derrotado por el general Montbrun. ble refuerzo que , según se asegura , se ha…</t>
  </si>
  <si>
    <t>Frederischs</t>
  </si>
  <si>
    <t>que Achard había hecho El 22 mandó tomar posición al 85.° de infante­ ndonero; y herido este coronel de una bala en el ría de línea , mandado por el general Frederischs. Bagration había llegado a Navoi-Biick.cw, y desea­ E razo, no pudo mantener las alturas que ocupaba. El enemigo se adelantó en coluna cerrada , con ba dar un…</t>
  </si>
  <si>
    <t>Freiré</t>
  </si>
  <si>
    <t>fieltro, se podrá conse­ cete , encontró el 6 en este pueblo la vanguardia guir lo mismo con las otras sin necesidad de recur­ del cuerpo enemigo dd general Freiré, que se re­ rir á las sales mercuriales. plegó sin batirse sobre Chinchilla, donde se le re­ Por otra parte Róland de la Platiers dice qne unió otro general con 13…</t>
  </si>
  <si>
    <t>Frelich</t>
  </si>
  <si>
    <t>una batería de 30 cañones, y destacó su infantería gieron muchos prisioneros. á la laguna para apoderarse del dique, que defen- Poco después llegó el general Frelich á reforzar dia la vanguardia. la derecha con dos regimientos de húsares austría­ El cuerpo del exercito marcha á sostenerla; lle­ cos. Por la tarde manda Regnier…</t>
  </si>
  <si>
    <t>French, Demingo</t>
  </si>
  <si>
    <t>Demingo French</t>
  </si>
  <si>
    <t>tantes : entre los primeros se cuentan D. Miguel Villanueva, Bermudez y otros oficiales, y entre los he­ ridos D. Agustín Herrera, el oficial Amaya y D. Demingo French, coronel de la Estrella. Pereyra finé preso , é igualmente lo están los que, dicen, fomentaron la revolución délos Patricios. ,,Dexe Y. correr su imaginación h…</t>
  </si>
  <si>
    <t>Frevre, Francisco</t>
  </si>
  <si>
    <t>Francisco Frevre</t>
  </si>
  <si>
    <t>Domingo Palacios, 10. D. Ramón Saiazar, 12. D. José Antonio Vidasolo, 25. D. Pe iro Au ionio de Casas, campanero de minas , 400. D. José Moreno , 10. D. Francisco Frevre, 100. D. losé Torres , 50. D. Espíritu Arrieta , 50. Doña Do ninga Lacuriaga, 20. Doña Faus’tina Gutiérrez, 4. Dona Inés Barrera , 10. Doña Manuela Ampudia, …</t>
  </si>
  <si>
    <t>Freyrc</t>
  </si>
  <si>
    <t>ían evacuarlo á .15 -za , dexaudo en Callar 200 caba­ llos. El número de sus tropas se ha disminuido notablemente en los reynos de Jaén y Granada. Ei general Freyrc con la caballería, del segundo exército y alguna infantería ha hecho movimiento hácia Baza. Cádiz 27 de marzo. Se ha recibido una carta de Berga, su fecha 23 de f…</t>
  </si>
  <si>
    <t>Freyre</t>
  </si>
  <si>
    <t>ballos. Nuestra división se retiró hacia Cullar. La caballería, que había retrocedido hasta Velez-rubio, ha vuelto á avanzar con dirección á Orce. El general Freyre estaba en Huesear con la in­ fantería , á que se había unido la columna volante del brigadier Mi­ chelena. El coronel D. Francisco Ibarra, comandante de las tropa…</t>
  </si>
  <si>
    <t>D. Cário3 Adams, me han facilitado todos los auxilios po­ sibles y alguna galleta , sin la cual nada pudiera haberse hecho. „Ea el dia 11 se ocupó el general Freyre en reconocer las posi­ ciones de Baza y Zújar, en las cuales se habían reunido todas las fuerzas enemigas, inclusas las de Guadix, y en el mismo dia se hizo el de…</t>
  </si>
  <si>
    <t>x las guarniciones de Al­ mería , Níjar, Gérgal, Nacimiento y Fifí ana, con lo cual juntaban k&gt;s enemigos una fuerza muy superior á la suya, avisó el general Freyre de sus intenciones á Almería, y dispuso su retirada para aquella noche hasta Velez-Rubio, en donde supongo que podrá de­ tenerse y hacerse firme con arreglo á mis…</t>
  </si>
  <si>
    <t>en varios buques, baxo las órdenes d ] cF-pit n Alam, y se presentaron, delante de Almería al mismo tiempo que las topas españo'as, conducidas por el general Freyre, atacando á los franceses que ocupaban á Bsza,los dccaloj-ron de ella ei 13 de majo. La guarnición enemiga, de Almería se retiró ei 14 á reunirse con las de Mo'ri…</t>
  </si>
  <si>
    <t>res de graduación han aguardado al momento en que la patria ya no los necesita, son conducidos á Mallorca en clase de soldados. En el mismo dia 28 el general Freyre se hallaba en Albacete con 1200 ca­ ballos extendiéndose hasta Bonete, y el general Bascourt en Adora. Este general es al que se pasa mayor número de desertores d…</t>
  </si>
  <si>
    <t>ión mallorquína permanecen en Alicante, en donde están haciendo una segunda línea de defensa (1): guarnecen los puntos de Agoste, Eída y Castalia. El general Freyre sé adelanta hacia las inmediacio­ nes de Almansa, cuyo pueblo ocupa la división del general francés Arispe. El general Bascourt ha marchado con las tropas sobre C…</t>
  </si>
  <si>
    <t>ército. Los franceses estaban en Alcira,y sus avanzadas llegaban á S. Felipe. Al flanco derecho de estos habia 500 caballos del tercer exército, y el general Freyre estaba en Albacete con el resto de la caballería. Se espera que tanto las tropas españolas como las inglesas ofrecerán en aquella parte ae la península otra escen…</t>
  </si>
  <si>
    <t>Gazeta de la Regencia de las Españas n.º 126 (suplemento)</t>
  </si>
  <si>
    <t>1036</t>
  </si>
  <si>
    <t>sión mallorquína permanecen en Alicante, en •donde están haciendo -una segündalneá de- defensa : guarnecen los puntos de Agoste , Elda y Castalia. El general Freyre se adelanta há^cía las inmediaciones de^Áltilíínsá^ jéuyo pueblo í ocupa la división del general francés A rispe. ' . ‘ . ; El" general' Basecourt ha jnarchado co…</t>
  </si>
  <si>
    <t>en. Esta operación, en la que hemos perdido algunos hombres, ha*costado muy cara al enemigo. El dia 23 una guerrilla dependiente ae la caballería del general Freyre se batió también con bizarría con una descubierta enemiga entre el Quintariar y la Mota. Los enemigos ocupaban á Belmonte el dia 24, aparentando cubrir con érta p…</t>
  </si>
  <si>
    <t>Freyre, José</t>
  </si>
  <si>
    <t>José Freyre</t>
  </si>
  <si>
    <t>esos en cada -tir: año de ios que dure la guerra, y ha entregado 200. D. Juan de Dios Ola■ciiea , vice-rector , 25. D. Leocadio Santallana , id., 25. D. José Freyre , id. 0 -25. D. José Ostolaza, regente y vice-rector honorario , 25. D. Francisco Pas­ tor , capellán y maestro , 12. D. Pedro Amezaga, id., 12. D. José Beltran, …</t>
  </si>
  <si>
    <t>Friant</t>
  </si>
  <si>
    <t>Pomerania sueca dubia ser pronto ocupada por (as tropas francesas ; pero habiéndose esparcido la voz por ios oficiales y soldados de la división del general Friant, creí que era ardid pv.ra encubrir otro designio, mayormente cuati ío estiba pcr-m&amp;d;do dá que sí las tropas de un alíalo de V. VI. hubiesen le entrar en ia pro­ v…</t>
  </si>
  <si>
    <t>396</t>
  </si>
  <si>
    <t>biera exigido una fuerza igual, ó quizá superior á la de los ag esores, que pueden elegir el punto de ataque. El 27, cuando ya no pudo dudarse que el general Friant estaba en plena marcha sobre, Stralsund en va­ rias columnas, envié las órdenes convelientes al comandante de los puestos avanzados, y me proponía trasladar mi cu…</t>
  </si>
  <si>
    <t>ndome privado de mi libertad , creí qu* debía erdr gnr el man­ do al oficial del grado mas inmediato al mío, que .era el coronel Normann: y aunque el general Friant me ofreció un pase po: te para Estokolmo, juzgué que debia aguardar las órdenes de Y. M. pora mi conducta ulterior. Contribuyó á ello la persuaden de que mis cons…</t>
  </si>
  <si>
    <t>es en Gripswald ei 28 por la tarde, me ha enviado una certificación de estar en­ fermo , firmada de 2 mé licos. En la visita que hice por la noche al general Friant le rogué que me i* formase, si la relación que bahía remitido ai príncipe de Eckmühl, concerniente á la ocupación de la Pomerania, estaba conforme can la que yo d…</t>
  </si>
  <si>
    <t>s quales estaba defen­ enemigo. dido por 7 ú 8© hombres de infantería, y artillería El combate de Smolensko, que pudiera justa­ de grueso calibre. Al general Friant se le mandó mente llamarse batalla , pues que han tomado par­ terminar el ataque, apoyando su derecha al cuerpo te en él por uno y otro lado xoo© hombres, ha de! …</t>
  </si>
  <si>
    <t>enemigo á evacuar su posición. La di­ fusil, que lo hirió hacia el lia de la acción. Tam­ visión vigésimaquinta no ha áexado de combatir to­ bién al general Friant le, alcanzó una bala fría. Nuesdo el dia. fra pérdida fia sido poco considerable, comparada Se ha observado que poco después de empezar con la del enemigo. Los gen…</t>
  </si>
  <si>
    <t>Frías, Francisco de Paula</t>
  </si>
  <si>
    <t>Francisco de Paula Frías</t>
  </si>
  <si>
    <t>la misma arma; 4 D. Josef Negiete y Arteagi, me.ice de Cabía................................ I2J2LO guardia de Corps que fue, á subteniente del regi­ D. Francisco de Paula Frías, coma miento 3.0 de cazadores á caballo; y á D. Félix: administrador, judicial de todas Falcon , sargento 1 0 de la compañía de cazadores las reoras …</t>
  </si>
  <si>
    <t>Fris, Jote</t>
  </si>
  <si>
    <t>Jote Fris</t>
  </si>
  <si>
    <t>, y luego se incorporó la guerri­ lla del Cantarero, al mando de D. Manuel Aiegre. E;to3 gefes, seguir he everguado, se han conducido con honor; pero D. Jote Fris me­ rece todo elogio por su honradez, pericia y valor. Empecé á difun­ dir el enture asmo, y veo con satisfacción una buena porción de jóver es reunidos, y que segú…</t>
  </si>
  <si>
    <t>Frm</t>
  </si>
  <si>
    <t>nio María Moxó y ? *on Francisco de Paula Mamnon , el primero y los dos ú.timos gra­ duados de coroneles ; primera ayudantía mayoral segundo ayudante D. Frm i cisco de Sn'e", Mon ; primeras tenencias de fusileros á los se­ gundos tenientes D. José Pcrez de Tufada, de granaderos f&gt;. Cris-</t>
  </si>
  <si>
    <t>Froelich</t>
  </si>
  <si>
    <t>ía y fusilería, durante el cual el enévmigo hizo desfilar úna cólumha con objeto de tomar la izquierda de la posiúion. Antes de anochecer, el géneral barón Froelich mandó al coronel rPoparich que atacase con el regimiento Duya de infante­ ría, el cuál arrojo al enemigo á la bayoneta de la aldea que ocu­ paba , y así se termin…</t>
  </si>
  <si>
    <t>Froiow</t>
  </si>
  <si>
    <t>1295</t>
  </si>
  <si>
    <t>la del enemigo : los mayores generales Berg y' Gamón han salido contusos ; el mayor general Kosatschkowsky se halla herido de una bala de fusil, y el coronel Froiow de una de cañón. El 5 (17), el mariscal Oudinot fué herido en el hombro: el 6 (18), tomó el mando el general francés Gouvion San Cyr, que mandaba en segundo lugar…</t>
  </si>
  <si>
    <t>Fruí</t>
  </si>
  <si>
    <t>47$ mo cuerpo D. Fruí siseo González, y el c&amp;pitaa de cazadores de Monterey D. José González Ogea.—La pérdida de ios franceses pasa sin duda de 70 hombres, entre los que dexaron muertos un capitán, un o final subalterno y much</t>
  </si>
  <si>
    <t>Ftereik</t>
  </si>
  <si>
    <t>Koticias de la Suiza fe línea; Mr. Chabert, coronel del 5.0 regimientodo haa publicado estas objeciones contra la relación, caballos ligeros; Mr. «1 barón Ftereik, coronel de del viage de los hermanos Meyer; pero á pesar de artillería. lo especioso de ellas, parece no puede dudarse de Después tavieron el honor de ser presenta…</t>
  </si>
  <si>
    <t>Fu, Earique</t>
  </si>
  <si>
    <t>Earique Fu</t>
  </si>
  <si>
    <t>D. José Díaz Ace vedo v D. J nan Cádos nez ; el mismo ele caballería, á D José M dalles, D. Podro Luís Icteupi, D. Miguel Primero, D. Antonio Urblna, D. Earique Fu­ rias, D. Juan Dionisio Arcaya, D. Pablo Hernández, D. José Ma­ ría Telíería, D. Juan Agustín Oberfco, D. Esteban Pe tí, D. Manuel Osteycochea y D. Manuel E ysaga;…</t>
  </si>
  <si>
    <t>FUB</t>
  </si>
  <si>
    <t>s Ríos, el célebre vaso sacad0 de los jardi­ IB. US HS. yi. Ñ. POPULO VIRITIM. HS. UII. DEDIT. nes de Salustio, y una multitud de restos preciosos L. D. FUB. D. D. de escultura antigua. Los aficionados y amantes de las bellas artes no se cansan.de 'veeda^ puertas de Mons. Romaneiii la lee y snple asi; bronce que están debaxr»…</t>
  </si>
  <si>
    <t>Fuente, José Antonio</t>
  </si>
  <si>
    <t>José Antonio Fuente</t>
  </si>
  <si>
    <t>. Nicolás Rueda, capellán del hospital de S. Lázaro, 12. D. Carlos Marin , 12. D. Félix Egusquiza , 12. D. Juan Prada, 25. D. Fer­ nando Quirós , 25. D. José Antonio Fuente, 4. D. Francisco Cavero , 2. Don Silvestre Peñaranda, 2. D. Sebastian Guerrero , 2. Y D. Matías y D. Clemen­ te Maestro , 100. — Provincia de llunrochiri.…</t>
  </si>
  <si>
    <t>Fuente, Juan</t>
  </si>
  <si>
    <t>Juan Fuente</t>
  </si>
  <si>
    <t>rs. Individuos de mar. La tripu­ lación de la fragata Sacramento ,10 y 4. D. Francisco Carbonel, capitán de la fragata Dos Amigos , 20. Su escribano D. Juan Fuente, 8. El contramaes­ tre y tripulación de dicho buque , 20. El capitán de la fragata Cibeles, Don Juan Benito de la Llosa, 10. Su maestre D. Juan Aramburu, 10. El te…</t>
  </si>
  <si>
    <t>Fuente, Manuel</t>
  </si>
  <si>
    <t>Manuel Fuente</t>
  </si>
  <si>
    <t>, 4 y 2- rs?. D. Miguel Mascare, S. I). Manuel Tejada, '8. D. Antonio Amezaga , 35. D. José Peña, 13. D. José Dámaso Árgueda, 8. D. Matías pastor, 8. D. Manuel Fuente, 8. D. Isidro Guillen, 8. í). Santiago León , 6. D. Jacinto Ríos , 8. D. Miguel Rodríguez , 8. Don Fernando Urtiaga, 8. D. José Antonio Enriquez , 13. D. Carlos…</t>
  </si>
  <si>
    <t>Fuentes</t>
  </si>
  <si>
    <t>- la cantidad de 50© que debe la Princesa, y do cito, tn Ixtia , tur cuerpo mandado por cí teniente que el Principe se ha hecho cargo poco tiempo ha­ coronel Fuentes, quien perdió too hombres. ce. Tenemos la mayor satisfacción en poder asegu­ Un cuerpo considerable de rebeldes atacó la rar que á pesar de quanto se lia dicho s…</t>
  </si>
  <si>
    <t>Fuentes, Antonio</t>
  </si>
  <si>
    <t>Antonio Fuentes</t>
  </si>
  <si>
    <t>J** El 27 de este mes saldrán de Caen para sus D. Antonio Fuentes.............................. 782 26 respectivos destinos las rres cohortes de ¡3 divi­ D. Mariano García de la Cruz........... 1565 19 sión 14.* def primer tercio de la guardia nacional. D</t>
  </si>
  <si>
    <t>Fuentes, Rafael</t>
  </si>
  <si>
    <t>Rafael Fuentes</t>
  </si>
  <si>
    <t>ia Nuñez , 7. Doña Victoria Jáurigui , 2. Basilia Orduñez , 1. Juan Hel güera. , 4. Gregorio López , 4 rs, Carlos López , 4 rs. Manuela López , 4 rs. D. Rafael Fuentes , 4 rs, Faustino Becerra , 2. Toribio N. , 4 rs. 1), Antonio Tena, 1. José López, 1. D. Pedro Aranda, 6. Va» r i os individuos , 13 v 7 rs. Juan Delgado , 4 rs…</t>
  </si>
  <si>
    <t>Fuertes, Blas</t>
  </si>
  <si>
    <t>Blas Fuertes</t>
  </si>
  <si>
    <t>ncisco y D, Ensebio Al­ vares , por un soldado durante la guerra, 9. D. Antonio Evora , id., 9. Don Evaristo de. Aguirre y D. Pedro Morales , id., 9. D. Blas Fuertes , id. , 9. Don Juan Madrazo, por 2,18. I). Hermenegildo Gaíeano, por uno ,9. D. JuaRuiz, por 2; i8 D Francisco Menacho, por uno-, 9. D. Tiburcio ZuUieta, por ano…</t>
  </si>
  <si>
    <t>Fuster, Francisco</t>
  </si>
  <si>
    <t>Francisco Fuster</t>
  </si>
  <si>
    <t>Los operarios de la hacienda mineral de D. Miguel García, 70. Los vecinos del pueblo de Sunicancha. 10 y 2. — Caras y clerecía del partido de Pasco. D. Francisco Fuster, 50. D. Antonio de la Serna, 12. D. Lorenzo Sánchez Ribera, 12. I). Manuel Alvarez , 12. D. Alexandro Odiantes Cevallos, 50. D. Espíritu Zamudio, 12. IX Fermí…</t>
  </si>
  <si>
    <t>Fuster, José Antonio</t>
  </si>
  <si>
    <t>José Antonio Fuster</t>
  </si>
  <si>
    <t>. Domingo de Abeytua , JO. D. Jo;é Anonio de Arrieta, 50. D. Mariano Mesa, por sí y su madre , 50. I). .Manuel Varela, 25. D. Dá­ maso Huidobro , 50. D. José Antonio Fuster, 15. ]), Antonio Pcrez , 10. I). Julián de Herrera, 100. D. Juan Calderón , 50. D. Domingo Miranda,’ 25. D. Francisco Antonio de Taegui , 50. D. Ramón Cab…</t>
  </si>
  <si>
    <t>Fuster, Ticente</t>
  </si>
  <si>
    <t>Ticente Fuster</t>
  </si>
  <si>
    <t>do y decretamos lo si­ guiente : Art. I. ,,Los Sres. D. Manuel Mahamut, D. José Tallejo, Don José Elola, D. Ramón Calvo de Rozas , D. Manuel Morales, D. Ticente Fuster, D. Vicente Lisa, D. Tomas de los Cobos y D. Juan Alvarez Posadilla, jueces presentes en esta ciudad de Valencia, se reunirán el dia 21 de marzo en la sala aco…</t>
  </si>
  <si>
    <t>Fuster, Vicente</t>
  </si>
  <si>
    <t>Vicente Fuster</t>
  </si>
  <si>
    <t>a á 30© hombres. Se han dado las órdenes art. 111. Nombramos para presidente de Iz correspondientes para qoe salgan de Moravia seis expresada junta á D. Vicente Fuster, oidor de la regimientos de infantería, y Vayan á Hongría ; al misma .audiencia; para fiscal al del crimen D. Juan nirme tiempo se ha mandado reunir no gran cu…</t>
  </si>
  <si>
    <t>Fuurner</t>
  </si>
  <si>
    <t>La clase de ciencias físicas y matemáticas dd París a de enero. instituto dió el lunes pasado en su sesíon'pufjlica el premio de matemáticas á Mr. el barón Fuurner, Escriben de Géoova qne la Transfiguración de el premio de astronomía, fundado por Mr. LaUu-</t>
  </si>
  <si>
    <t>G'iJonell</t>
  </si>
  <si>
    <t>emasiado, de 'esta ador, \- esperamos que seguirá dando pruebas de asamblea; pero hemos visto que si la España tenia fi.vr¡p.t semejantes á esta, til general G'iJonell ha virtudes que la Europa no conocía, tenia también sido nombrado t&gt;ara suceder á Ballesteros. vicios ocultos, que han hecho que las providencias lil paqtieboi…</t>
  </si>
  <si>
    <t>G, Antonio</t>
  </si>
  <si>
    <t>Antonio G</t>
  </si>
  <si>
    <t>icolás Muñoz. D. Jnan Manuel Nobal. D. Manuel de Cárdenas. D. Ramón Escudero. D. Francisco Vasco. D. Francisco Xavier Gandanillo*. D. Juan MonSalve.' D. Antonio G..rcíj de la Pedrosa, D. Josef L chambre. D. Ignacio G irmcndia. D. M:ga.l Crok. D. Sar.ti ,go Polidura. D. Timoteo Magnamara.' D. Ignacio' Hermosa. D. Lu ¡s Caballe…</t>
  </si>
  <si>
    <t>G, Cirilo</t>
  </si>
  <si>
    <t>Cirilo G</t>
  </si>
  <si>
    <t>os efectos, y no hagais caso de las perso­ D. Melchor Alvarez , id. en Segovia........... 2 zoo nas , sino de las cosas , sin que dirija vuestra plu­ D. Cirilo G arcín &gt; id-, en id............................. 2200 ma amor ú odio, respetos personales, ni otra con­ sideración que la santa verdad. Sobre todo, te­ Ex- trinitario…</t>
  </si>
  <si>
    <t>G, Domingo Antonio</t>
  </si>
  <si>
    <t>Domingo Antonio G</t>
  </si>
  <si>
    <t>12.4 Subtenientes. y gomo tales , juzgados por Ies consejos de guerra D. Domingo Antonio G.ui. , de granaderos. pcrí&gt;.!.*í.cntes que se hallen establecidos. D. Francisco Xavier Mantilla, de tiradores. j.° Las justicias darán á los individuos disperD. Josef López. SOi , que se pre</t>
  </si>
  <si>
    <t>G, Fermín</t>
  </si>
  <si>
    <t>Fermín G</t>
  </si>
  <si>
    <t>, gi:nr« nicion de Denia tuvo aviso de lo que pasaba, salió en busca ele So­ ler; pero este se había ya retirado. Valencia de Alcántara 2 ' de junte. D. Fermín G nzakz , alfar z de ía cuarta compañía del cuer­ po de D. Juan Palad a se presentó-el 25 de mayo entre Paria y G°tafe, camino real de TVedo á Madr d. Pasaba á la sazó…</t>
  </si>
  <si>
    <t>G, Fernando</t>
  </si>
  <si>
    <t>Fernando G</t>
  </si>
  <si>
    <t>lcalde de barrio I). Manuel de la Cámara. i D. Felipe Várela y Suarez. Diputados seculares Diputado eclesiástico D. Francisco Moreno. D. Tomas Conde. D. Fernando G.ilan. Diputados seculares D. Eugenio Diai. D. Manuel Lázaro. Secretario D. Antonio Neyra. D. Rafael Antonio Mazon. D. Pedro Ezquerra. Secretario BARRIO DE SANTA CR…</t>
  </si>
  <si>
    <t>G, FNteban</t>
  </si>
  <si>
    <t>FNteban G</t>
  </si>
  <si>
    <t>de Arequipa. Administrador dfc Chincha í). José Céspedes, 25. Id. de Pisco D. Luis Mi­ randa , 17. Id. de lea D. Antonio Gómez , 25. Teniente de id. D. FNteban G#imdo, 6. Administrador de Palpa D. Baltasar de Polo, 17. Id, de ÍVa-ca 15 Tomas de Ribera , 50. Id. de Acari D. Juan Navarro , 25. Id. de Chala 73. José Harona , 20.…</t>
  </si>
  <si>
    <t>G, Ignacio</t>
  </si>
  <si>
    <t>Ignacio G</t>
  </si>
  <si>
    <t>nas. D. Ramón Escudero. D. Francisco Vasco. D. Francisco Xavier Gandanillo*. D. Juan MonSalve.' D. Antonio G..rcíj de la Pedrosa, D. Josef L chambre. D. Ignacio G irmcndia. D. M:ga.l Crok. D. Sar.ti ,go Polidura. D. Timoteo Magnamara.' D. Ignacio' Hermosa. D. Lu ¡s Caballero. D. Joan de Camuo. D. Juan Ahumada.D. Juan de la To…</t>
  </si>
  <si>
    <t>G, Jacinto</t>
  </si>
  <si>
    <t>Jacinto G</t>
  </si>
  <si>
    <t>solamente para con una substituto del mismo; á D. Julián Muñoz diputa­ clase respetab’e de sus compatriotas, siuo también do del citado barrio , y á D. Jacinto G mez secre­ para coo Dios, persuadido de que no puede es­ tario de la diputación del referido barrio de San perar de su Salvador la salvación, sino obedecien­ Cayetan…</t>
  </si>
  <si>
    <t>G, Josef</t>
  </si>
  <si>
    <t>Josef G</t>
  </si>
  <si>
    <t>todas las yerbas, árboles, y aun raices de aquella D. Josef Chamorro , subteniente , á teniente. tierra , arri-bttadas por un viento fuerte y repen­ D. Josef G -.lindo, abanderado, á teniente. tino, y vagando por los aires durante algunos dias, Y para subtenientes D. Gabriel JosefVazquez, perecieron al fia ahogadas ea el mar;…</t>
  </si>
  <si>
    <t>iones dispuestas para el uso de señales, tu­ El mismo Castilla................................ 495n vo ocasión dt completar aquella profunda instruc­ D. Josef G.rcía Abella............... 6} 57 27 ción que manifestó quando en 1780 fue nombrado D. G.-ránímo de Aoguita............ 596 y mayor general del Sr. Córdoba. D‘&gt;ña Nico…</t>
  </si>
  <si>
    <t>G, Martin</t>
  </si>
  <si>
    <t>Martin G</t>
  </si>
  <si>
    <t>co o vo­ cales los tenientes generales, v'zconda de Gante , D. J ,ñé G -l azo, D. Francisco de Tdas y O. Fnlix J &gt;n«s ; y loa m irÍ3oaíes de cam­ po D. Martin’G urnía y L£Msr-'.»rri, D. Migas! Vaicarcel, D. Pere­ grino Jacorné y D. Tomas O-DjügjÚ. Continúan los donativos del Perú, Los pueblos de Machan i, Pana y Naranjal , po…</t>
  </si>
  <si>
    <t>G, Pedio</t>
  </si>
  <si>
    <t>Pedio G</t>
  </si>
  <si>
    <t>as , del á capitán de infantería de linea , y al teniente que que n &gt; participr en manera alguna ei aceite que se fue de las tropas del teioo del Pnú D. Pedio G-.-t* s-tCa de &gt;us granos ó simiente. lier y Rolando á teniente de infantería de lío- a. 3«c Diseando sobie todo ia sociedjd acabar con Por decreto del mismo dia se ha…</t>
  </si>
  <si>
    <t>G, Pedro</t>
  </si>
  <si>
    <t>Pedro G</t>
  </si>
  <si>
    <t>perteneciente á instrucción pública. S. M. el D. D'iminfo .Je Arargoif................... , 18900 Rei de Saxonia , satisfecho de los buenos servicios D. Pedro G reía......................................... 5624 24 de los miembros de la cámara de educación , los ha D"ña Mari 4 Juana RnU; g .ez............ 14400 nombrado a tod…</t>
  </si>
  <si>
    <t>• • 1 0 ^Ofcro .... D. José Fernandez...... • • 1 ¡ C Primer cap. D. Luis Huerga........ 1 • • ■\ | ídem. . . . D. Francisco Lacón*.... Idem 2.a . . D. Pedro G jrae* de la Pena D. Anselmo May té...... '-"•¡.'Sr:: D. Gerónimo Media?......... &gt;• 7 • 8 abteniente D. Angel Calbelo.............. Otro . . . . D. G maro Vinaeía.....…</t>
  </si>
  <si>
    <t>..... 2200 D. Ramón Perez Roldan, id. de Cartes... 2200 D. Santiago Anaya , diácono, id. en id...... 2200 D-Josef Al varez , id. de Hinojosa , pro- ’ D. Pedro G reí» González,.id. en id.......... 2200 vincÍ3 de Ciudad-Rodrigo......................... 2209 D. Juan Gonu-z, id. en id............................ 2200 D. Alonso An…</t>
  </si>
  <si>
    <t>G, Rafael</t>
  </si>
  <si>
    <t>Rafael G</t>
  </si>
  <si>
    <t>¿ Diputado eclesiástico Alcalde de barrio\ D. Jnan B.cs.. D. J □an Hermoso Daza. ......■ } Diputados seculares Diputado eclesiástico D Andrés Grande. D. Rafael G - reía. ..... ::;v:Vi¡ í Xi D Agustín Michel. Diputados seculares j .q D. Juan. Antonio de Sujse. D. Luis Gi¡ N,r.apjo.. Secretario interino D. Pedro Acevedo»; ,■=&gt; …</t>
  </si>
  <si>
    <t>G, Rafivl</t>
  </si>
  <si>
    <t>Rafivl G</t>
  </si>
  <si>
    <t>2 200 D. B as Xirr.enez , residente en Ecija.......... 2 200 D. Josef Muñoz, residente en Córdoba.... 2200 D. Francisco Pradana y Lara , id. en Mon- D. Rafivl G un \z, id........................... ............. 2200 toro....... ................................................ ............ 2200 D. Manuei Gircía, id...........…</t>
  </si>
  <si>
    <t>G, Tadeo</t>
  </si>
  <si>
    <t>Tadeo G</t>
  </si>
  <si>
    <t>or........ ..... .......................... . 10822 !$'•' D. Isi r;&gt; H.j .-naposaJa...,........... 15778 Las últimas cartas de Belgrado anuncian que D. Tadeo G mzalez Mateo...... . -I5 000 las tropas servias se h in pne&lt;to en movimiento ea D. Pedro Vi lart........................... 3j° todos los puntos ¡nmediaros á las front…</t>
  </si>
  <si>
    <t>G-avert</t>
  </si>
  <si>
    <t>sto sa réis lo po ¡ble por adquirir todas las noticias que quaitel general en Thorn. os permita tam.r vueitra corta mansión en el país, Cré se que el general G-avert marchará á esta la qual podréis prolongar si creeis que de este última plaz. p.ra estar al lado del principe de mr-do se logrará adquirir noticias de alguna im- …</t>
  </si>
  <si>
    <t>Ga, José</t>
  </si>
  <si>
    <t>José Ga</t>
  </si>
  <si>
    <t>El regidor Don Tomas Muñoz, 500. — Curas y clerecía del partido de Santo,. D. Miguel Li­ no Montes , 25. El cura de Repeña D. Manuel Castrillon , 17. D. José Ga­ lludo , G. El cura de Moro D. José María fluidobro , 25. D. Tomas Milá, 6. D. Hilaido Diaz , 6. El cura de Casraa D. Manuel José Voto, 25. D. Tomas Maguido ,4. — El …</t>
  </si>
  <si>
    <t>Gabejo, Esteban</t>
  </si>
  <si>
    <t>Esteban Gabejo</t>
  </si>
  <si>
    <t>rta, D. Francisco Manzano, D. J .sé Lorenzo López y D. J é Mumei Listem; y de alférez de las de cabsterí*, á D. M'murí Ferrar, Q Antonio Gutiér­ rez, D. Esteban Gabejo, D. Manuel A ¿dama, D. Joié Ignacio Eca­ saba!, D. Juan Pablo Morales, ÍX J &gt;sé Ignacio Arcaya, D. José de la Cruz Arcava y D J &gt;¿é Dámaso M irabes; habiendo c…</t>
  </si>
  <si>
    <t>Gabriel</t>
  </si>
  <si>
    <t>tedral de Falencia , vacante por muerte i ó D. Antonio Gil Zapata,-hijo ¿ehconde de Ber- de D. Manuel Baroja. . ' berana, gentilhombre de cámara, y á'D. Gabriel Y para obtener en encomienda á. los ex-regu­ de "Vial y Asenjo, hijo del difunto coronel Vial. lares siguientes: D. Juan Alzaybar, presbítero, ex-mercenario Por decre…</t>
  </si>
  <si>
    <t>ciudad. Los la ciudad de Laxa , vacante por muerte de D. Fran­ primeros que marcfiarou de aquí para sus respec­ cisco de Paula Ortega, ex-míni.no, á D. Gabriel tivos destinos ilegaban’á 5 20 , y han dexado para Ritiz , ex-írancíscauo descalzo, sacristán segundo ios que ván llegmdo sucesivamente un exemplo de la misma iglesia.…</t>
  </si>
  <si>
    <t>uzgo dignos de un eterno reconocimiento. Dios guarde á V. E. muchos años. Puente la Rey na y Octubre 13 de 1812.— Francisco Espo% y Mina.— Excmo. Sr. D. Gabriel d» Mendizabal.” pSs continuará.) Madrid 83 de Noviembre. El 12 del corriente permanecían los enemigos en Valencia demo­ liendo fortificaciones , exigiendo impuestos, …</t>
  </si>
  <si>
    <t>Gadea, Jorge</t>
  </si>
  <si>
    <t>Jorge Gadea</t>
  </si>
  <si>
    <t>as, 2. D. Domingo Sánchez , 6. D. Feliciano Eche­ varría , 2. D. Calixto López , 2. D. Gaspar de Castilla , 6. D. José Arana , 2. D. Benito Lacea, 2. D. Jorge Gadea, 6. D. Manuel Bergara, 2. — Regi~ miento de milicias de Ferreñafe. El coronel D. Juan Romualdo de Vidaurre y de la Parra, 100. Ei comandante D. José Andrés Delgad…</t>
  </si>
  <si>
    <t>Gafan, Ramón</t>
  </si>
  <si>
    <t>Ramón Gafan</t>
  </si>
  <si>
    <t>8cc&gt; Ex-agustinos,. D. Ramón Gafan , ¡d.,de Snances....,........ . 2200 D. Amonio de Lallata, i,d. de S. Rogian...... 2200 D. Manuel Antonio Martínez, residente en Segovia..........................„...........................</t>
  </si>
  <si>
    <t>Gaian</t>
  </si>
  <si>
    <t>iario-Redactor de Sevilla.) Madrid 2 de octubre, El dia 26 del mes pasado salió el general Duran de Soria para Calatayucf con artillería de batir. Ei coronel Gaian hace tiempo que se halla bloquean­ do aquella ciudad, y se espera ver rendida su guarnición al arribo de dicha artillería. lll coronel del regimiento de Cariñena, …</t>
  </si>
  <si>
    <t>Gaicano, Antonio</t>
  </si>
  <si>
    <t>Antonio Gaicano</t>
  </si>
  <si>
    <t>cro , oficial de la tesorería, 25. •£). Antonio' Prieto, id. ,25. D. Mariano Cruceta, id., 12. D. Manuel. Carasás , guardavista de la fundición , 83. D. Antonio Gaicano , 83. I). Ignacio Aillori Sala-, zar , escribano, 83. D. Antonio Baeza , teniente de juez de balanza, 66. Don Esteban Cabrera-, beneficiador de tierras, 83. D…</t>
  </si>
  <si>
    <t>Gaiecio, Pedro</t>
  </si>
  <si>
    <t>Pedro Gaiecio</t>
  </si>
  <si>
    <t>o Salado . 12. D Ignacio Aviles, 100. D. José de.Silva , 6. D. Juan Ferrusola, 50. D. Atanasio l.arios , 10. D José Ponce , 2. D Jcsé de la Vera , 4. D. Pedro Gaiecio , 2. D. Pedro Gamez , 3. D. Gregorio Astyte , 4- La cuadri­ lla de negros trabajadores de aguardientes, 8. D. Manuel Morillo, 20. D. José Baloña, 30. D. Pedro G…</t>
  </si>
  <si>
    <t>Gaiiano, José Alcalá</t>
  </si>
  <si>
    <t>José Alcalá Gaiiano</t>
  </si>
  <si>
    <t>; al alférez do fragata de la misma D. Antonio Diaz de Herrera, y á los cadetes del mismo regimiento de guardias españolas D. Car­ los de Serítmanat, D. José Alcalá Gaiiano, D Manuel de Arrióla, D. José Miró , D. José Antonio de Armenteros , D. José dé Acosta, D. Cárlos Armenteros, D. Lorenzo Fernandez de Somera y D. Juan, Jo…</t>
  </si>
  <si>
    <t>Gaiindo, Francisco Isidoro</t>
  </si>
  <si>
    <t>Francisco Isidoro Gaiindo</t>
  </si>
  <si>
    <t>gua én tres actos titulada'el Perro del hortelano, y el ba de Tormes , vacante por muerte de O. Francis­ sainete el Hablador indiscretbco Catalan, á D. Francisco Isidoro Gaiindo, ex­ franciscano, cop la pensión de zoo ducados anua-, En el de la Cruz, á lis quatro y media de la tarde, les á favor de I&gt;. Agustín Yanguas, ex-dom…</t>
  </si>
  <si>
    <t>Galabert, Pedro</t>
  </si>
  <si>
    <t>Pedro Galabert</t>
  </si>
  <si>
    <t>n de la mistng. . actual. Veinte y qoatro horas, después de la ca­ D. Antonio Pellicer, hacendado. pitulación se entregará la isla á los Estados-Uni­ D. Pedro Galabert , hacendado.v dos de América, con condición de que el puerto de D. Francisco de Paula Cásásús , caballero Ferriandina no estará sujeto á ninguna de las res­ ma…</t>
  </si>
  <si>
    <t>Galan, Mauuel</t>
  </si>
  <si>
    <t>Mauuel Galan</t>
  </si>
  <si>
    <t>ando Ordoñez te­ barcación. niente da t¡¡ía• it.■«¡ 1 de li.t.n ; al ot&gt;o.ei.ie«íte 9. “ Nirgun barco de .transporte podrá llevar á fue de caballería D. Mauuel Galan subteniente de bordo grauos, algodones hilados, géneros colonia­ caballería de línea; al subteniente de Caballeril de les, ni iexidos de lana y algodoo , sin una…</t>
  </si>
  <si>
    <t>Galarza, Andrés</t>
  </si>
  <si>
    <t>Andrés Galarza</t>
  </si>
  <si>
    <t>a año , 25. La archicofradía de la pura y limpia c&lt;&gt;¡&gt;n ce sa­ ca on , fundada en el convento de S. Francisco de esta ciudad , en cada un año , 1000. D. Andrés Galarza, 6. D. Gregorio Muñoz, teniente del piquete ele infantería de Paita, 25. Dicho piquete, 127. El do dragones del mismo Paita, 91. La cofradía de S. Crispir» , 2…</t>
  </si>
  <si>
    <t>Galarza, Eugenio</t>
  </si>
  <si>
    <t>Eugenio Galarza</t>
  </si>
  <si>
    <t>tes. Don José María Ortega , quinto , 68. D. An­ drés Riquero , sexto, 50. D. Manuel de Vega Bazan , séptimo, 4-1. Don Santiago Carrasco, octavo, 41. D. Eugenio Galarza, portero , D. Ig« O tiacio Ayllon , escribano, 12 Conductores del número. D. José Marín, 40. D. G regorio Teran , 40. D Bernardo Abregu , 4l&gt;. D. Juan Luis Pe…</t>
  </si>
  <si>
    <t>Galarza, Manuel</t>
  </si>
  <si>
    <t>Manuel Galarza</t>
  </si>
  <si>
    <t>830 encargado de la execucion del presente decreto. = p. Juan Antonio Amandarro.......... 1444 Firmad»=YO EL RRI.erPor S. M., el ministro í). Josef y D Manuel Galarza...... 12274 secretario de Estado = Firmado = Mariano Luis D. Gerónimo de Bringas................ 5595 »7 de Urquijo.’’ D. Juan Dages Menor..................... …</t>
  </si>
  <si>
    <t>Gálbulo, Antonio</t>
  </si>
  <si>
    <t>Antonio Gálbulo</t>
  </si>
  <si>
    <t>haciendo costasen caras al enemigo sus heridas, al capitán en comisión D. Francisco Fernandez, al ayudante D. Pe­ dro Nolasco Llordella, al teniente D. Antonio Gálbulo , á los cade­ tes D. Francisco López y D. Francisco Barranco, y al sargento pri­ mero Juan González, y de Almansa al comandante de escuadrón D. Epifariio Comva…</t>
  </si>
  <si>
    <t>Galdames, Estéban Manuel</t>
  </si>
  <si>
    <t>Estéban Manuel Galdames</t>
  </si>
  <si>
    <t>........ 1219 encargado de la execncion del presente decreto. == D. Francisco Miguel de Aguirre. 28 jo 9 Firmados: YO EL REI. =sPor S. M., el minis­ D. Estéban Manuel Galdames.... 1420 26 tro secretario de Estado =3 Firmado = Mariano D- Mateo de Ozcariz......... 1565 12 Luis de Utquijo." D. JosefC añedo.......................…</t>
  </si>
  <si>
    <t>Galeano, Mateo de Neira</t>
  </si>
  <si>
    <t>Mateo de Neira Galeano</t>
  </si>
  <si>
    <t>, creyó que se le había incor­ porado un exército, y hallándose en medio de Robinson , del co­ mandante de la tropa Wilson y del maestre de raciones D. Mateo de Neira Galeano ; después de colocada su gente en los puntos Convenientes, dió la señal, y gritó riva España, vira el Rty y xtna el general Viste de t; y al mismo tiemp…</t>
  </si>
  <si>
    <t>Galewa</t>
  </si>
  <si>
    <t>wudt, Tutschkow y Schuwalow se han unido en Widzy: el cuerpo del general Doktorow se halla en Budna; y la reserva en Zamosz. » El 18 (30) de junio el capitán Galewa, del regimiento de huíanos po­ lacos , salió á un reconocimiento con un esquadron que se le confió de orden del mayor general Korf. En la tarde del 20 recibió ord…</t>
  </si>
  <si>
    <t>Galiano, Antonio</t>
  </si>
  <si>
    <t>Antonio Galiano</t>
  </si>
  <si>
    <t>juez y acusador, entró á entender en la ñol : felizmente no puede ya hacer gemir la hum.mid.id. (3) Este se encargó de sosegar las AsIÍimjs, en causa D. Antonio Galiano. Tílli .fue arrestado en ^donde se manifestaron las primeras chispas de la inuirel castillo de S. Sebastian, y de allí fue trasladado Xeccion. Admitió con muc…</t>
  </si>
  <si>
    <t>Galindo, Francisco</t>
  </si>
  <si>
    <t>Francisco Galindo</t>
  </si>
  <si>
    <t>inieras. Alcalde de barrio 'i r t Dipuiados seculares D. Francisco del A royo. D. Tomas Do mingo Kunenez. Diputado eclesiástico D. Francisco'Cabanas. D. Francisco Galindo. ; ,. D. Nicolás Iuiesta. Diputados seculares Secretario D. Marcos Labia. D. Estiban Felipe Moría. D. Alfonso Perez. . Secretario BARRIO DE SAN ISIDRO. D. T…</t>
  </si>
  <si>
    <t>Galindo, José María</t>
  </si>
  <si>
    <t>José María Galindo</t>
  </si>
  <si>
    <t>a , 25. D. José Puente , 25 D, Manuel Sequin , 25. D. Pedro Echeverría , ti. D José María Palqoij , 17. D. Pedro José Colmenares , pres­ bítero , 12. D. José María Galindo, 12. D. Juan Contreras , 12 D. Félix Devo’.i ? 10. D. Manuel Moreno , 10. D. Vicente Pastrana , 10. — Estudiantes de medicina. D. Mariano Campero, 17. D. M…</t>
  </si>
  <si>
    <t>Gall</t>
  </si>
  <si>
    <t>a eo estado de pelear , pues Del 23. de este ataque hubiera resultado el que el enemigo dexase de perseguir á la Renomée, si todavía no se El célebre doctor Gall comenzará aquí su nue­ había rendido, ó que eu caso de haberlo ya veriñ- vo curso de craneologia el dia 30 de este mes , y dado, ao pudiese llegar á apoderarse de el…</t>
  </si>
  <si>
    <t>Gallado, Antonio José</t>
  </si>
  <si>
    <t>Antonio José Gallado</t>
  </si>
  <si>
    <t>orden público, y á asegurar su biea y pr jsperidad paralo venidero; se ha servido nom­ bra? á. D. Lorenzo Luis de Robles, D Ramón Masía de Lleopart, D. Antonio José Gallado, D. Tomas Pelegrin, D. Ertaaislao Fita, D. José Manuel de loa Senderos y D. Manuel Antonio Rodrigo por jueces de primera instancia interines de Xerez, Pue…</t>
  </si>
  <si>
    <t>Gallar, Manuel</t>
  </si>
  <si>
    <t>Manuel Gallar</t>
  </si>
  <si>
    <t>ella se pasó á los nuestros un italiano. — El dia 13, entre el término de Xérica y el Toro, 5 guer­ rilleros de la décima quinta partida al cargo de D. Manuel Gallar, con 3 paisanos armados que se les unieron , atacaron á 15 franceses que escoltaban un carro, mataron 2, hicieron 6 prisioneros, entre ellos al oficial, y se apo…</t>
  </si>
  <si>
    <t>Gallarati, Carlos Escoti</t>
  </si>
  <si>
    <t>Carlos Escoti Gallarati</t>
  </si>
  <si>
    <t>D. Ma­ yo le mudaré el marco, que es mui feo, y está ya nuel de la Garma....,................ 12231 33 carcomido, y le mandaré poner otro dorado y de D. Carlos Escoti Gallarati, du­ moda ¡ entre vmd. y yo lo xabonaremos y le quique de S. Pedro, por medio t»r?(B9S las magch.s, que qo habrá mas que ver.</t>
  </si>
  <si>
    <t>Gallardo, Martin</t>
  </si>
  <si>
    <t>Martin Gallardo</t>
  </si>
  <si>
    <t>de la mu rite del el i antro Os orí o. t , . Los franceses han mostrado sentir extraordinariamente la prisión del corregidor renegado de Jarandina ? D. Martin Gallardo, que fué</t>
  </si>
  <si>
    <t>Gallardo, Matías</t>
  </si>
  <si>
    <t>Matías Gallardo</t>
  </si>
  <si>
    <t>tercero D. Cários Ortiz , 100. El cuarto D. Mariano Almiron , 100. El quinto D Juan Ensebio Punentel, 83. El sexto D. Miguel de Jaras, 83. El séptimo D. Matías Gallardo , 83. El octavo D. Pedro José Carrillo , 66. El noveno D. Marcos Palma, 66. El décimo D. Francisco Chacón , 60. El un­ décimo D. Tomas Doblado, 50. El duodéci…</t>
  </si>
  <si>
    <t>Gallardo, Mjriano</t>
  </si>
  <si>
    <t>Mjriano Gallardo</t>
  </si>
  <si>
    <t>as, en Balstall, en las fronteras mo dia , se ha servido nombrar al capitán que era de los dos cantones de Basilea y de Soleurc , adon­ de infantería D. Mjriano Gallardo capitán agrega­ de irá el señor Grimm , de Wurdemfels, lauda- do al regimiento de infantería Josef Napoleón. mann actual ¿ acompañado del señor Mousson , can…</t>
  </si>
  <si>
    <t>Gallego, Esteban Rodriguez</t>
  </si>
  <si>
    <t>Esteban Rodriguez Gallego</t>
  </si>
  <si>
    <t>e las personas mas respetables de esta corte, y del mas acre­ ditado patriotismo, he nombrado por presidente de dicha comisión interina de Hacienda á D. Esteban Rodriguez Gallego, vice-presidente de la junta superior de la provincia de Avila, é intendente en comisión en la misma por nombramiento del gobierno; y por vocales al…</t>
  </si>
  <si>
    <t>Gallego, Esteban Rodríguez</t>
  </si>
  <si>
    <t>Esteban Rodríguez Gallego</t>
  </si>
  <si>
    <t>de campo, y comandante general interino de Castilla la Nueva. El limo. Sr. D. Atanasio Puyal y Poveda, obispo de Caristo y auxiliar de Madrid. El Sr. D. Esteban Rodríguez Gallego, intendente en comisión de la pro­ vincia de Avila, y presidente de la junta interina de real hacienda de esta eorte. El Sr. marques de Iturbieta, a…</t>
  </si>
  <si>
    <t>Gallego, Juan Nicasio</t>
  </si>
  <si>
    <t>Juan Nicasio Gallego</t>
  </si>
  <si>
    <t>iudad de Tiaxeala en Nueva-Empaña; para vice-presidente ei Sr. D. José Aznarez, diputado suniente por el reyno de A agón ; y para secreta­ rio el Sr. D. Juan Nicasio Gallego, diputado tupiente per la provin­ cia de Zamora. Continúan los donativos del Perú. D. Diego Merlo de Portugal, gobernador de Quijos, 200 ps. fs. D. Ma­ n…</t>
  </si>
  <si>
    <t>Gallego, Manuel</t>
  </si>
  <si>
    <t>Manuel Gallego</t>
  </si>
  <si>
    <t>nchez, id...................................... 2200 varo.......................... 2200 D. Juan de Ortega, id.................................. 2200 D. Manuel Gallego , id. en Madrid............ 2200 D. Antonio Mirtinez Conde, id.................. 2 2co D. Francisco Alvarez de Villanueva, id. D. Joan Josef Raíz , id. en Viüa…</t>
  </si>
  <si>
    <t>Gallego, Vicíor</t>
  </si>
  <si>
    <t>Vicíor Gallego</t>
  </si>
  <si>
    <t>omendando el notable iníluxo que han tenido en tan deci­ sivos resultados los conocimientos y pericia militar del segundo ayu­ dante del estado mayor D. Vicíor Gallego, destinado á aquel cuerpo volante. „Por noticias posteriores se sabe , que los enemigos sufrieron mueho mas de lo que manifiesta en su parte el gefe de la colu…</t>
  </si>
  <si>
    <t>Gallegos, Ignacio</t>
  </si>
  <si>
    <t>Ignacio Gallegos</t>
  </si>
  <si>
    <t>zar. Para la de Itrabo, vacante por no h.berse pre­ sentado á servirla D. Carlos Elias, ex franciscano, Igualmente se ha servido S. M., por decreto á D. Ignacio Gallegos, ex-carmelita descalzo. de) mismo dia , nombrar para servir las sacristías, Para la de Pifiar, su último poseedor D. Fran­ vacantes en el propio arzobispado,…</t>
  </si>
  <si>
    <t>Gallegos, Manuel</t>
  </si>
  <si>
    <t>Manuel Gallegos</t>
  </si>
  <si>
    <t>hacavan , 100. El real tribunal del consulado por lo colectado de varios individuos del comercio, 15.570 y 1. — Oficiales de la secretaría de cámara. D. Manuel Gallegos, 143 y 2. D. Andrés Ámezaga, 95 y 4. D. Francisco Montoya, 79 y 5. D. Dionisio Parían,, 71 y 5. D. Manuel Vera, 63 y 7. D. José Ureta, 55 y 5. D. José Castill…</t>
  </si>
  <si>
    <t>. 2200 D. Francisco Medel, id. id.^en Morara..... % 1100 Ex-bernardos. Ex-hospitalario de S. Juan de Dios. D. Mariano clel Amo , residente en S. Mar­ D. Manuel Gallegos, resideute eoXerez... 2200 tin de Valdeiglesias.......................... 2200 Ex-agustinas recoletas. Ex-premostratense. Doña María Xaviera de Vinuesa, resid…</t>
  </si>
  <si>
    <t>Gallegos, Pedia</t>
  </si>
  <si>
    <t>Pedia Gallegos</t>
  </si>
  <si>
    <t>teniente del tercero D. Felipe Retiña, herido», y á lo* capitanes, de nacionales B. Tontas de Lira y D. Beni­ to García dei Barrio, y ai deí primero D. Pedia Gallegos , contuso*</t>
  </si>
  <si>
    <t>Gallo, Andrés</t>
  </si>
  <si>
    <t>Andrés Gallo</t>
  </si>
  <si>
    <t>20. El cuarto D. Baltasar Maza, 15. El quinto D. Francisco Barron, 15. El amanuense D. Bernardino Albornoz , 8. El escribano D. Santiago Martel, 17. D. Andrés Gallo, comandante de resguardo del Callao, 500. El intendente de esta provincia D. Juan María Galvez, 500. D. Juan de Aguilar, por sí y su esposa, 100. El marques de Ca…</t>
  </si>
  <si>
    <t>Gallo, Josef</t>
  </si>
  <si>
    <t>Josef Gallo</t>
  </si>
  <si>
    <t>estadales, y su valor á 550 rs. fanega. Otra en el niente en la vacante de D. Miguel Gómez. sitio de la Barranca, que al oriente linda con tierra de D. Josef Gallo, sargento, á abanderado. D. Josef Teodoro Santos, al mediodía con el retamar de D. Josef de Sor ¡a y con el mayorazgo de Luzon, y art. v. Nuestros ministros de lo …</t>
  </si>
  <si>
    <t>Galvan, Cristóbal</t>
  </si>
  <si>
    <t>Cristóbal Galvan</t>
  </si>
  <si>
    <t>ros al c.ipiran del buque deS. M. el Pequeño Belt ayudante á D. Josef de Torres, y para abandera­ en la madrugada del dia siguiente á la acción. do á D. Cristóbal Galvan. 17. Que de resultas del fuego del Pequeño Asimismo quedan nombrados para capitanes y Belt fue herido nn grumete á bordo de la fragata oficiales de las ocho …</t>
  </si>
  <si>
    <t>Galvez, Cipriano</t>
  </si>
  <si>
    <t>Cipriano Galvez</t>
  </si>
  <si>
    <t>io Aznar; los de la misma clase D. Plácido Domínguez, que recibió la herida de pasar un brazo, y el de ca­ zadores D. Josef Bernaz , los subtenientes D. Cipriano Galvez, D. Manuel Hurtado, D. Vitorino Tabuenca, mi ayudante D. Pedro Pedrosa, el sar­ gento 2.0 Agustín Jargue , que salió herido, y el distinguido D. Timo­ teo Rui…</t>
  </si>
  <si>
    <t>Galvez, Diego</t>
  </si>
  <si>
    <t>Diego Galvez</t>
  </si>
  <si>
    <t>alumnos de la academia mili­ tar de la isla de León ; D. Miguel A fouso Villagomez, cadete de Or­ denes Militares y alumno de la referida academia ; D. Diego Galvez cadete y alumno de la misma ; D Francisco Luque, cadete del regimiento infantería del infante D. Carlos; D. José Segundo Carbnjal cailete del de Cantabria: D. Jos…</t>
  </si>
  <si>
    <t>Galvez, Miguel Nicasio</t>
  </si>
  <si>
    <t>Miguel Nicasio Galvez</t>
  </si>
  <si>
    <t>n del general. Esto hemos visto, y hemos visto D. Adrián Lozano, id. en Segovia............... 2200 una relación mui diferente en un periódico de esa D. Miguel Nicasio Galvez , id.............. í...... 2200 ciudad.___Piensen los periodistas quánto mal ha­ D. Francisco Abaxo, diácono, id.............. 2200 cen en engañar al pu…</t>
  </si>
  <si>
    <t>Gamarra, José</t>
  </si>
  <si>
    <t>José Gamarra</t>
  </si>
  <si>
    <t>Vega, 6. Cabo primen» Pedro Vega Ley va , 5. Id. segundo Pedro Pagan y Arango,5. Di stinguido I). Gaspar Bastamante, 4. Id. D. Carlos Moreno, 4. Id. D José Gamarra, 4. Id. D. Carlos Mareno, 4. Antonio Feé , 4. Ignacio Vicuña, 4. Alexamlro Eclaves , 4. José López Vega, 4. Mariano Carreño, 4. Francis­ co Machuca, 4. Santos Gall…</t>
  </si>
  <si>
    <t>Gamarra, Josef</t>
  </si>
  <si>
    <t>Josef Gamarra</t>
  </si>
  <si>
    <t>- teniente de la primera compañía. no." Pero bien pronto se vió que no seria fácil Segundo batallón. deslumbrar ni embaucar ¿ría gran masa de los ha­ D. Josef Gamarra , teniente , á capitán de la bitantes , los quaies resueltos á imitar el exemplo segunda compañía. patriótico de los ciudadanos de Lóndres, manifes­ Tercer bata…</t>
  </si>
  <si>
    <t>Gamboa, Francisco</t>
  </si>
  <si>
    <t>Francisco Gamboa</t>
  </si>
  <si>
    <t>Cerutti, alférez de reales guardias esp~;ño­ las ; D. Carlos Victoria, de caballería del Infante; D. Antonio Ta­ hona , del batallón de la Victoria ; D. Francisco Gamboa, del regi­ miento de Sigilenza, graduado de teniente coronel; D José Alva­ res Guerra , del extinguido de cazadores de Zafra ; D. Manuel Bau­ sa , del de la …</t>
  </si>
  <si>
    <t>Gamboa, Gregorio</t>
  </si>
  <si>
    <t>Gregorio Gamboa</t>
  </si>
  <si>
    <t>Vega el Pozo á capítan de la solidar el crédito público y la confianza en las ope­ noveua compañía. raciones de rentas del estado, me han determina­ D. Gregorio Gamboa á teniente de la quarta do i confiar á la administración superior y á la vi­ compañía. gilancia del consejero de Estado íntimo H.gemt-.nn, D. Tomar García Domi…</t>
  </si>
  <si>
    <t>Gamboa, Manuel</t>
  </si>
  <si>
    <t>Manuel Gamboa</t>
  </si>
  <si>
    <t>edición, ha juzgado el limo. Sr. Gefe político aumentar el numero de sus ministros, que había quedado reducido á solo dos por el nombramiento del Sr. D. Manuel Gamboa para juez de primera instancia, y ha nombrado interinamente, y con subordinación á lo que la Regencia del reyno determine, á los señores D. Juan Andrés de Segov…</t>
  </si>
  <si>
    <t>Gamez, Pedro</t>
  </si>
  <si>
    <t>Pedro Gamez</t>
  </si>
  <si>
    <t>io Aviles, 100. D. José de.Silva , 6. D. Juan Ferrusola, 50. D. Atanasio l.arios , 10. D José Ponce , 2. D Jcsé de la Vera , 4. D. Pedro Gaiecio , 2. D. Pedro Gamez , 3. D. Gregorio Astyte , 4- La cuadri­ lla de negros trabajadores de aguardientes, 8. D. Manuel Morillo, 20. D. José Baloña, 30. D. Pedro García, 50. Doña Josefa…</t>
  </si>
  <si>
    <t>Gamio, Luis</t>
  </si>
  <si>
    <t>Luis Gamio</t>
  </si>
  <si>
    <t>. Juan Garro, 8 D. Joaquín Jordán , 8. D. Cosme Martínez , 8. D. Manuel Muelle, 8. D. José María Murga , 8. D. Antonio Urrutia , 8. D. Manuel Rio, 8. D. Luis Gamio , 8, JD. Mariano Albiuri, 8. D. Blas Cabrera, 8.1). Francisco Delgado, 8. Don Manuel Herrera , 6. D. José Amezaga , 35. D. Francisco León , 5. D. Ma­ nuel León, D.…</t>
  </si>
  <si>
    <t>Gamuza, Francisco López</t>
  </si>
  <si>
    <t>Francisco López Gamuza</t>
  </si>
  <si>
    <t>Cárdenas, por 3, 27. D. Claudio Ma­ teo , por uno, 9. D. Francisco Gómez, mientras pueda , id, 9. D. Antonio Bustamante, por 2 durante la guerra, 18. D. Francisco López Gamuza, por «no , 9. D. Pió Miliar, id., 9. D. Martin Domínguez, id. 9. D* Joaquín de Cárdenas, id., 9. I), José Mrgiu Tarrafa , id., 9. D. Manuel de los Ríos…</t>
  </si>
  <si>
    <t>Gandanillo, Francisco Xavier</t>
  </si>
  <si>
    <t>Francisco Xavier Gandanillo</t>
  </si>
  <si>
    <t>dores, D. Josef de Eduberri/ D. Pedro Daripe. ’ D. Nicolás Muñoz. D. Jnan Manuel Nobal. D. Manuel de Cárdenas. D. Ramón Escudero. D. Francisco Vasco. D. Francisco Xavier Gandanillo*. D. Juan MonSalve.' D. Antonio G..rcíj de la Pedrosa, D. Josef L chambre. D. Ignacio G irmcndia. D. M:ga.l Crok. D. Sar.ti ,go Polidura. D. Timot…</t>
  </si>
  <si>
    <t>Gándara, José</t>
  </si>
  <si>
    <t>José Gándara</t>
  </si>
  <si>
    <t>794 de r 'Tj operación**, recomienda particularmente á los capitanes Don Manual. Blanco Rielera, D. Ramón Araos, D. José Gándara, Don Antonio Herrara, D. Antonio Fernandez, D. José Xímenez y Don Francisco M alano; á I03 tenientes D. Domingo Pallete, y D. Ro­ que B rrasie y D. Juan Rutista Roche; al subteniente D. Tad</t>
  </si>
  <si>
    <t>Gangutia, Domingo</t>
  </si>
  <si>
    <t>Domingo Gangutia</t>
  </si>
  <si>
    <t>El noveno D. Marcos Palma, 66. El décimo D. Francisco Chacón , 60. El un­ décimo D. Tomas Doblado, 50. El duodécimo D. Lorenzo Amat, 50. El agregado D. Domingo Gangutia , 66. El escribiente primero D. Luis Calvo, 41. El segundo 3). Francisco Calderón , 41. El tercero D. Francisco Menentlez Camina, 41. Provisional D. Gregorio …</t>
  </si>
  <si>
    <t>Gaplitz</t>
  </si>
  <si>
    <t>tedral de Smnlensko es de las iglesias grie­ y bastante bien-servida. gas mas famosas de la Rusia', y el palacio episcopal En Kobtin he sabido que el general Gaplitz, parece una ciudad separada. f con quien yo me batí en Seniewitzec , llegó con un F.l calor es extremado: el termómetro sube á cuerpo de 7® hombres y 24 piezas d…</t>
  </si>
  <si>
    <t>Gar, Carlos</t>
  </si>
  <si>
    <t>Carlos Gar</t>
  </si>
  <si>
    <t>, ti no es á su gusto , no lo han do En la escultura : D Franci co Aí'arrih.i. dex ir parar un dia siquiera; todos lo dicen, y lo D. Francisco Eu..s, D. Carlos Gar í y D. Josef saben sin ser abogados, que toda la vida en Espa­ P-* riiucci. ña ha sido menesrer estar bien con Ftancia . por­ En la arquitectura : D. Antonio M.ciz…</t>
  </si>
  <si>
    <t>Gar, Cenon</t>
  </si>
  <si>
    <t>Cenon Gar</t>
  </si>
  <si>
    <t>a , me ha proporcionado esta ven­ taja. Recomiendo á V. S. el Valor y suma inteligencia, con que se han portado en esta pequeña escaramuza mi segundo D. Cenon Gar­ cía , y demas oficiales y tropas de mi mando, que no solo se han batido como valientes, sino que se han portado con todo el honor militar , sufriendo los rigores d…</t>
  </si>
  <si>
    <t>Gar, Juan</t>
  </si>
  <si>
    <t>Juan Gar</t>
  </si>
  <si>
    <t>es. Gordon, Murfiy compañía, 105. D. José Moreno de Mora, ¿0. Un patriota español, 100 y 120 cami­ sa?. D. Jorge Sacdcman, 100. D. Antonio Gower, 20. D. Juan Gar­ cía, 100. D. Juan Bautista Arnaza, 10. D Manuel T aranera, ¿0. D. Enrique Dowel, 100. Un amigo de D. Enrique Dowei, 50. M. y 8., 100. D. Juan de Agreda, 21. Un astu…</t>
  </si>
  <si>
    <t>Gar, Juan Antonio</t>
  </si>
  <si>
    <t>Juan Antonio Gar</t>
  </si>
  <si>
    <t>ca, y de los españoles, y al propio tiempo se Muñoz Canteras, cura de Griñón. sirven de un fantasma de gobierno que han orga­ Para el de Rivatejida í D. Juan Antonio Gar­ nizado en nombre de aquel príncipe, y que ha de­ cía Pertierra, prebendado de la iglesia catedral da clarado traidor á todo el que ¡e obedezca , ti vuel­ To…</t>
  </si>
  <si>
    <t>Garagorri, Santiago</t>
  </si>
  <si>
    <t>Santiago Garagorri</t>
  </si>
  <si>
    <t>cisco Vergara, capitán de la fragata Mercedes, 80. La tripulación de dicho buque, 21 y 6. Ei capitán y tripulación de la fragata Joven María, 25 y 2. D. Santiago Garagorri , capi­ tán de la fragata CArmen, 40. La tripulación del mismo buque, 31 y 0. El capitán y dotación del bergantín Mameluco, 7 y 4 rs. Id. del místico , 5/L…</t>
  </si>
  <si>
    <t>Garcau</t>
  </si>
  <si>
    <t>div sion que los kan visitado después de aquellos sucesos, cogiérdales SOCO cabezas de ganado,'70000 duros, y algunos ..otros -artículos, de.que e3 -general Garcau podrá dar razón mas menuda. Mas l hubiera val do á Mr. Cárlos Decaen ccupar el tiempo que gastó en escribir tanta patraña , en ver como podía coger el gran convoy …</t>
  </si>
  <si>
    <t>Garce, Diego</t>
  </si>
  <si>
    <t>Diego Garce</t>
  </si>
  <si>
    <t>Otro .,. .. D. Juan Muntsiroso.. . . • » 1 Rey. . .. Cadete.. .. 0. Fernando Chencha.. . • * Otro ... .. D. Pedro Pasqnal. 1 l tercera. O tro •»»• o D. Diego Garce* • • •.. . A .•« CastrcpoL Capitán. .. D. Fernando, YiUaamü. . p •. '] /nr ( Oapitd.n • •« D. Ceiareo García., • *,. i Cangas. . 1 c ¿l. . . ° ( buot^’mente D. Man…</t>
  </si>
  <si>
    <t>Garcés, Jacobo</t>
  </si>
  <si>
    <t>Jacobo Garcés</t>
  </si>
  <si>
    <t>l mismo cuerpo D. Ignacio Calan ; de espitan de milicias disciplinadas de infantería á 6. Francir.cn Garcés * D. Francisco Manzano, D. Basilio López, D. Jacobo Garcés, D. R-amon Roa, D. Xavier Morios, D. Pedro Astarloa, D. Juan Esteban Cueto, Don Manuel Carrera, D. José María Medina, D. Podro Jo mi Alcina, D. Manuel U&amp;bina, D…</t>
  </si>
  <si>
    <t>García</t>
  </si>
  <si>
    <t>Gaceta de Madrid n.º 54</t>
  </si>
  <si>
    <t>van muertas mas de 20© per­ surgentes. También se iba acercando al mismo punto sonas en estas turbulencias. Tampoco es ya tiempo da la división del ‘general García, el qual ha usado del hahüír de pacificación : se ha apelado á la fuerza, y es­ mayor rigor y severidad en Lagos, donde el 10 de oc­ ta Dad* puede en el dia. ( The…</t>
  </si>
  <si>
    <t>García, Anastasio</t>
  </si>
  <si>
    <t>Anastasio García</t>
  </si>
  <si>
    <t>s Puertoias. D. Eustaquio del Poyo. D. Francisco Mateo Saenz. Diputados seculares Secretario D. Josef Mana Fourdicer. D. Rafael González del Valle. . D. Anastasio García. D. Joaquín Hevia. QUARTEL DE MARAVILLAS. Secretario BARRIO DE SAN BASILIO. D. Pedro Gil y Muro. Alcalde de barrio BARRIO DE SAN MARCOS. D. Fernando Aguado. …</t>
  </si>
  <si>
    <t>García, Andrés</t>
  </si>
  <si>
    <t>Andrés García</t>
  </si>
  <si>
    <t>1352</t>
  </si>
  <si>
    <t>ándome aviso de lo que fuere adelantando en negocio de tanta importancia, y cuidando de remitir letras por casas de co­ mercio acreditadas á favor de D. Andrés García, depositario ge­ neral de estos ramos , y por mano del Sr. secretario del mismo tri­ bunal D. Jacinto Nicolás de Alonso, según se practicaba ántes de ahora. Dio…</t>
  </si>
  <si>
    <t>García, Antonio</t>
  </si>
  <si>
    <t>Antonio García</t>
  </si>
  <si>
    <t>-franciscano descalzo. melita calzado D. Juan Gómez. Para la de Vayacas y Carataunas, sn último Para el de IsW.r y Tablate , vacante por re­ poseedor D. Antonio García , á D. Rafael de la nuncia de D. Josef Mt-xía, al ex-caorn-üia calza­ Chica, ex-franciscano descalzo. do D. Dionisio Bueno. Para la de Campotejar, su ú'tiino p…</t>
  </si>
  <si>
    <t>, id................................ ... 2 2co D. Andrés Barrero, id...................................... 2203 se logrará aclimatarla completamente. D. Antonio García , id....................................... 2200 ESPAÑA. D. Irsef de Feria , id.......................................... 2 2co D. Josef Portal, id............…</t>
  </si>
  <si>
    <t>García, Bartolomé</t>
  </si>
  <si>
    <t>Bartolomé García</t>
  </si>
  <si>
    <t>..... ................ a 200 blancor,.................... .....i................. 2200. r&gt;. Manuel de Galindo, id............................... jico D. Bartolomé García, id................................ 2200 D.-M uiuel de lir Gruz j id.,..:................ . 2 200 D.Juan Josef Garrido , residente en MonD. Iuan'Munoz-, resi…</t>
  </si>
  <si>
    <t>García, Bernardo</t>
  </si>
  <si>
    <t>Bernardo García</t>
  </si>
  <si>
    <t>o Diputado eclesiástico D. Josef llar! Fernandez. D. Gerónimo Martines. Diputados seculares Diputados seculares D. Fermín Zéldót. D. Estiban Corones. D. Bernardo García. D. Francisco Antonio Martínez. D. Joan Bautista Lasa. D. Miguel Wranderoih. • Secretario Secretario D. Pedro Grigoén y Almousa. D, Felipe Gutierre*. BARRIO D…</t>
  </si>
  <si>
    <t>Garcia, Bernardo</t>
  </si>
  <si>
    <t>Bernardo Garcia</t>
  </si>
  <si>
    <t>e Luna , id. en Jaén.................... 2200 D. Juan Ramón López Bermejo, id. en V¡llarubia de Jos Ojos.......................... 2200 &gt; Ex-mínimos. D. Bernardo Garcia, residente en Arjona.. 2200 Ex-franciscanos. D. Juan .Estrella, id. en Torreximeno..... . 2200 D. Mannei Alcocer, residente en CovarB- D. Manuel MontíjaDC....…</t>
  </si>
  <si>
    <t>yor dei batallón de Lena D. Froylan Vige, que con las 4 compañías de cazadores de estos batallones, sus auxiliares D. Vi­ cente Sánchez, de Cataluña, D. Bernardo García , de Lena , D. Jo­ sé Duran de Sigiienza , D. Cecilio Ayllon , de Ciudad-Real, y de­ mas subalternos , traspasaron la esfera de la bizarría y constancia tan c…</t>
  </si>
  <si>
    <t>García, Blas</t>
  </si>
  <si>
    <t>Blas García</t>
  </si>
  <si>
    <t>tefrio, vacante por ascenso lo que se decía en aquella isla hasta 2; de abril) de D. Andrés Morales. algunos pormenores del horrible terremoto de Ve­ D. Blas García , presbítero y ex-tr¡r»itario cal­ nezuela. Casi 2® personas perecieron en la Guaira, zado, y D. Josef Salas, presbítero y ex-carmelica quedando inutilizadas las …</t>
  </si>
  <si>
    <t>García, Carlos</t>
  </si>
  <si>
    <t>Carlos García</t>
  </si>
  <si>
    <t>Gaceta de Madrid n.º 166</t>
  </si>
  <si>
    <t>e la Francia á academia de S. Fernando , entre los de la clase de expensas de las otras potencias continentales, tanto escultura se puso el nombre de D. Carlos García^ mas la interesa ver medrar la nación que la guarda debiendo ser el de D, Cirilo García. fielmente so límite meridional, y no puede per­ mitir poder ninguno, qu…</t>
  </si>
  <si>
    <t>García, Casimiro</t>
  </si>
  <si>
    <t>Casimiro García</t>
  </si>
  <si>
    <t>tín Oberfco, D. Esteban Pe tí, D. Manuel Osteycochea y D. Manuel E ysaga; de teniente de las mismas milicia» de infantería, á D. Torlbio Bsttüaeourt, D. Casimiro García, D. C &gt;sme Armera, D. José Torres, D. Teles foro Montero, D. Ignacio de Medina, D. Vicente Zavala, D. José María ViUavicsncio, D. Félix María Farias y D. Juan…</t>
  </si>
  <si>
    <t>e setiembre de 1809 , y facizo........ i........... ......................................... lioa si de marzo último, relativos á las pensione.*.que D. Casimiro García , ¡d. del lugar de Cueto. 3200 han de gozar los ex-regulares; vista la exposición D. Josef Perez, id. de MaarcOeras.^.......... 3200 dé huestto ministro inter…</t>
  </si>
  <si>
    <t>García, Ceiareo</t>
  </si>
  <si>
    <t>Ceiareo García</t>
  </si>
  <si>
    <t>D. Pedro Pasqnal. 1 l tercera. O tro •»»• o D. Diego Garce* • • •.. . A .•« CastrcpoL Capitán. .. D. Fernando, YiUaamü. . p •. '] /nr ( Oapitd.n • •« D. Ceiareo García., • *,. i Cangas. . 1 c ¿l. . . ° ( buot^’mente D. Manuel Abadejo • ••-». • « _ • C Teniente . . D. ToribioPela^z. *.,. .. o 1 5 ídem.......... D. Valentín Gar…</t>
  </si>
  <si>
    <t>García, Esteban</t>
  </si>
  <si>
    <t>Esteban García</t>
  </si>
  <si>
    <t>3. D. Joaquín Ronceros , 6. D. Manuel Mansilla , 4. D. Mariano Ronceros , 4. D, Fermín Dávila, 1. D. José Reyes Lobaton y su hermano D. Calixto , 25. D. Esteban García , 6. María Torres, 4 rs. D. Ber­ nardo Bahamonde , 2. .Teresa Montoro , 2'. Fermín García, 1. D. Vidal García , 1. D. Juan de Avila, 1. Eustaquio Montoro , 2. …</t>
  </si>
  <si>
    <t>García, Eugenia</t>
  </si>
  <si>
    <t>Eugenia García</t>
  </si>
  <si>
    <t>es juzgar por. e.los del mé­ Santa Cruz...... ................................................. 2200 rito de las personas. Es mui pequeño mérito para D. Eugenia García, id. en Muño-Pedí o.... 2200 caudillo el valor : el valor es de todos los españo­ D. Vicente de Torres, id. en Martin-Mi les , y aun el deseo del acierto. Tale…</t>
  </si>
  <si>
    <t>García, Felipe</t>
  </si>
  <si>
    <t>Felipe García</t>
  </si>
  <si>
    <t>bandidos de las qoadrillas de Du­ no del orden tercero , sicristan de la de Pitres. ran, de Amor, de Vasura, del Empecinado y de Para esta resulta á D. Felipe García , ex-merMontijo intentaron el día 13 de enero tomar á vi­ cenario descalzo. va fuerza por dos "pontos la plaza de Soria. Des­ Para l , de Almocita y Beyres, sn ú…</t>
  </si>
  <si>
    <t>García, Francisco</t>
  </si>
  <si>
    <t>Francisco García</t>
  </si>
  <si>
    <t>as y en beneficio de la corona, Por otro decreto dé la misma fethd se ha dig­ úna fábriea dé sxúear de remolachas, en la que se nado S. M. promover á D. Francisco García j re* puedan fabricar 20© kilógrairws de azúcar terciada niente que ha sido de la brigada de Carabineros ¿eu el producto de la cosecha de 1812 á 1813. Reales…</t>
  </si>
  <si>
    <t>Gregorio Martínez Mollinedo. Diputados seculares D. Francisco Bermejo. D. Ramón Prieto y Onega. Secretario D. Manuel Ramos de Zafra. £X Juan Efeuriz. D. Francisco García. Secretario 5 BARRIO DE SAN JUSTO. t Lo exerce el diputado D. Ramón Prieto, Alcalde de barrio BARRIO DE LAS NlSAS DE LE GANES. D. Pablo II idrr-i. Diputado e…</t>
  </si>
  <si>
    <t>os que obedezcan el gobierno compañía de cazadores de montana de caballería que tienen. Pero, señor, ¡de qué sirve el destruir »in de Gu.«dalaxara; á D. Francisco García., subte­ provecho de nadie! niente de la compañía de cazadores dé montaña de Camin. Y esos soldados y generales que tú dices, ¡qué caballería de Cuenca , ten…</t>
  </si>
  <si>
    <t>200 S. M. se dignó hablar eri seguida con cada uno D. Luis Fernandez Breña, id. en Posada». 2 2co de los diputados , y todos salieron tan pe ictiados D. Francisco García, id. eu Ecija......... . 2100 de reconocimiento por las bondades del Soberano, como lisonjeados de la dtcha de poseerle, y con­ Ex -gtrónimoí. vencidos de qu…</t>
  </si>
  <si>
    <t>........................ ............ 2200 D. Manuei Gircía, id...................................... 2200 D. Manuel Martínez , lego , id. en Guadal- D. Francisco García, id................................... 2100 cazar............................... ,•*.......................... ItOO D. Manuel Xitnenez Madroñ.-ro , id.......…</t>
  </si>
  <si>
    <t>; y ofrece igual cantidad anualmente durante la guerra. D. Bartolo­ mé Avenio, cura de Macate , 50. D. Bernardino Torres, 12. D. Antonio Ro­ mero, 4. D. Francisco García, 6. D. Santiago Valencia, 4. D. Casimiro Palma, 2. D. Antonio Ramírez, 2. D. José Mexia, 2. D. Hilario Olivera, 10. D. Ma­ nuel de Torres, 10. D. Carlos Vill…</t>
  </si>
  <si>
    <t>García, Francisco Antonio</t>
  </si>
  <si>
    <t>Francisco Antonio García</t>
  </si>
  <si>
    <t>2 y i. El pueblo de Yahuache , por mano de Don Juan Bautista Elizalde, 86 y 4. Las milicias de infantería y su plana mayor dieron por enero, 210 y 1. D. Francisco Antonio García, 500. Los pueblos de Palenque y Babahoyo , por mano de D. Manuel Ignacio Moreno, 1494 y 4 y medio. D. Jaime Isern, 25. D. Pedro Camacho, 50. D. Juan …</t>
  </si>
  <si>
    <t>García, Hipólito</t>
  </si>
  <si>
    <t>Hipólito García</t>
  </si>
  <si>
    <t>200 Hemos decretado y decretamos! lo siguiente: D. Josef Ruiz , id. de Garrido...................... 2200 articulo 1. „Se reconocen acreedores al te­ D. Hipólito García, id. del logar de Somo. 2200 soro público los ex-regnlares que se expresan á D. Josef de Cuerno, id. de Cueto.............. 2209 continuación, por las cantida…</t>
  </si>
  <si>
    <t>García, Ignacio</t>
  </si>
  <si>
    <t>Ignacio García</t>
  </si>
  <si>
    <t>eclesiástica - ’ ! : Diputado eclesiástico D. Joaquín Pascual. D. Juan Frar cisco Molina. Diputados seculares Diputados seculares D. Diego Romere. ; D. Ignacio García. • ;D. Simón Sainz de Baranda. rD. Francisco ¿Villegas..'- ' Dí Jacinto García de la Parra. D. Manuel Ramos. : ■ Secretario Secretario D. Migoel Perez. " D. Ped…</t>
  </si>
  <si>
    <t>García, Joaquín</t>
  </si>
  <si>
    <t>Joaquín García</t>
  </si>
  <si>
    <t>o los daños que por esto se les subteniente del regimiento de Sevilla, 3.0 de in­ han originado: firmeza y ánimo para oponerse á fantería de líoea; á D. Joaquín García, sabt«-</t>
  </si>
  <si>
    <t>García, Josef</t>
  </si>
  <si>
    <t>Josef García</t>
  </si>
  <si>
    <t>oiicía que se observa con ello?; agregado al regimiento de Granada , 4.0 de infan­ pero todos los demas géneros se podrán expedir sia tería de línea, D. Josef García sabreuiente del re­ guia y sin sello. gimiento 4.0 de cazadores á caballo; al capitán de 11. Todos los barcas que pasen &lt;5 no lleguen á cabullería de línea D. Di…</t>
  </si>
  <si>
    <t>laxara quedan promovidos los indivióuos «Peñíscola 4 de febrero de 1812.s= El general siguientes: k de división, barón del imperio, couiaudaute de la D. Josef García, teniente, á capitán de la seattilletía del exército =Valée.” nuDda compañía, en ia vacante de D. Vicente verdura. ESPAÑA f. D.Jul iao González Viejo, subtenient…</t>
  </si>
  <si>
    <t>a. D. Luis López de Castro. BARRIO DE LAS BARONESAS. BARRIO DE LAS NINAS DB LA PAl. Alcalde de barrio Alcalde de barrté ' ' D. Gregorio M'gnel Muñoz. D. Josef García.</t>
  </si>
  <si>
    <t>............. 2200 P. Juan de Espejo, id....................................... 2200 D. Josef Miría León , id................................... 2200 D. Josef García , id.......... ............................. 2200 D. Fernando de León, residente en Lu- P. Juan de Zafra , id....................... 2200 .......................…</t>
  </si>
  <si>
    <t>García, Josef Antonio</t>
  </si>
  <si>
    <t>Josef Antonio García</t>
  </si>
  <si>
    <t>Ex-rñercenarios calzados. D. Luis Delgado, lego, id. en Porcuna.... 1100 D. Josef Antonio García, residente eo Ja - D. Andrés de Quesada, id. id. en Jaén...... 1100 balquina............... ........................................ 2109 D. Juan González* id. en Jaén................... 22</t>
  </si>
  <si>
    <t>García, Juan</t>
  </si>
  <si>
    <t>Juan García</t>
  </si>
  <si>
    <t>l. art. 11. En la villa de Arganda se formará uca El depósito del regimiento 41.° va también á compañía de milicia cívica. embarcarse para el Canadá. D. Juan García Madrid queda nombrado es­ El general Maitland , que habla venido hace po­ pitan de ella; D. Mariano Aranguren teniente, y co tiempo de Ceilan, donde ha estado de …</t>
  </si>
  <si>
    <t>García, Juan Antonio</t>
  </si>
  <si>
    <t>Juan Antonio García</t>
  </si>
  <si>
    <t>o Roger. D........................... Diputado eclesiástico . Diputados seculares D. Juan Mauuul Domínguez. D. Ventura Alcalde. -.Diputados seculares D. Juan Antonio García. D. Mariano López. D. Josef Rico Pablo. D. Juan P.trdo. D. Josef Prado. D. Manuel de Venayas. Secretario Secretario D. Josef Mendez. D. Antonio Regino Lóp…</t>
  </si>
  <si>
    <t>ro Alarcon, id..................... neo D. Juaii Herrero, residente en Rute.......... 2200 D. Blas López Cordobés, id........ .................. 2200 D. Juan Antonio García, id........................... 2200 D. F rancisco Gallardo» id................ .............. 2200 D. Juan de Arjona, id..................................…</t>
  </si>
  <si>
    <t>García, Juan Manuel</t>
  </si>
  <si>
    <t>Juan Manuel García</t>
  </si>
  <si>
    <t>r la compañía española la comedia anti­ D. Ingrans Bins..... ................. ......... 2000 gua en tres actos titulada Abre el ojo, y Ja opereta la D. Juan Manuel García................... 2306 Casa en venta. Actores en la comedia. Señoras María García, Rosario García, Maqueda, Torres y Cabo. Se­ D. J Dan Aeuuin Zean Bermud…</t>
  </si>
  <si>
    <t>García, Juana</t>
  </si>
  <si>
    <t>Juana García</t>
  </si>
  <si>
    <t>id. en Chañe.......... 2200 D. Josef Ribero, natural'de San Felice*, valle de Bnelua....,,..................................... 2200 Ex franciscanos. Doña Juana García ,• id. del lugar de Sonto. 2200 Doña Ramona Obregqo.............. v-vír.......... 2200 D. Joaquín Araujo, residente en Segovia... 2200 D. Antonio Nuñez, id. en…</t>
  </si>
  <si>
    <t>García, Luis Angel</t>
  </si>
  <si>
    <t>Luis Angel García</t>
  </si>
  <si>
    <t>ancisco Alameda, D. Pedro Panla­ gua, D. Luis Muñoz?, D. Vicente Ortiz, D. Manuel Benito, D. Pe­ dro Latorre, D. Melchor Buba, D. Francisco Alvarez , D. Luis Angel García, O. Pedio Toruno, D Antonio Rosado, D. Ildefon­ so Sierra, D Vicente Herrera, D. José C.uóps, D. Manuel L no, D. Pedro Rueda, D. Santiago B-dhmia , O. José …</t>
  </si>
  <si>
    <t>García, Manuel</t>
  </si>
  <si>
    <t>Manuel García</t>
  </si>
  <si>
    <t>de Melarde, lego....................................................................... 1100 eti el principado, de Asninas..................... 2200 D. Manuel García, natural'de Fresnedo.... 2200 Ex - dominicos. D. Lorenzo Francisco, id. del lugar de N. en la provincia de Burgos.......................... 2209 D. Francisco Gil…</t>
  </si>
  <si>
    <t>García, Mariano</t>
  </si>
  <si>
    <t>Mariano García</t>
  </si>
  <si>
    <t>con la misma comitiva y recibimiento que la tarde anterior, asistió á la misa de difuntos, que ■se cantó con la mayor pompa y aparato. Ofició el Dr. D. Mariano García de amora, arcediano de Viilena, y pronunció ia oración fúnebre el Dr. 1). Juan Gómez Duran, canónigo magistral. Concluidas las ceremonias religiosas , el genera…</t>
  </si>
  <si>
    <t>l Toraozo , id. de Vlllaíufre....... 2200 D. Pablo Al varee , id..................................... 2200 D; Antonio de Torre , id. del lugar de Ma- D. Mariano García , id................................... 2200 tienzo............................ .............................. 2400 D. Diego de Lara , id......................…</t>
  </si>
  <si>
    <t>García, Maxíiuino</t>
  </si>
  <si>
    <t>Maxíiuino García</t>
  </si>
  <si>
    <t>en el cántaro, el mal es siempre, para el Manuel Gadea , b. Estéban Perez, D. Pedro Cor­ cántaro, y otras cosas por este estilo; ya se ve, la rales , D. Maxíiuino García , D. Luií Ribero y Don pobre cuitada se espiritaba y consumía; yá tal Antonio de Toro, á subtenientes. punto se fue rematando y consumiendo, que dió art. v. …</t>
  </si>
  <si>
    <t>García, Miguel</t>
  </si>
  <si>
    <t>Miguel García</t>
  </si>
  <si>
    <t>ñaranda, 2. D. Sebastian Guerrero , 2. Y D. Matías y D. Clemen­ te Maestro , 100. — Provincia de llunrochiri. Los operarios de la hacienda mineral de D. Miguel García, 70. Los vecinos del pueblo de Sunicancha. 10 y 2. — Caras y clerecía del partido de Pasco. D. Francisco Fuster, 50. D. Antonio de la Serna, 12. D. Lorenzo Sánc…</t>
  </si>
  <si>
    <t>García, Nicolás Rúiz</t>
  </si>
  <si>
    <t>Nicolás Rúiz García</t>
  </si>
  <si>
    <t>de la día real. compañía franca de Cuenca, Brnnet (D, Luis) , gendarme,de la gaardia Teal. t. García.'Gómez (P! Antonio), corregidor de laCaballero ( D. Nicolás Rúiz' García), consejero dé cícrdád de Cuéncá,y presidente déla dipotala prefectura de Madrid. r . cion preseiitadí. últimamente. Caballero (D. Mánuei ) , sargento se…</t>
  </si>
  <si>
    <t>García, Pedro</t>
  </si>
  <si>
    <t>Pedro García</t>
  </si>
  <si>
    <t>illas patrióticas, compuestas de- naturales del reyno, trabajan con zelo por incomodar al enemigo. Ui) destacamento de ellas, mandado por el ayudante D. Pedro García, ahuyentó al amanecer deí día 9 á unos 50 franceses que en­ traron en el pueblo de Campanar, y les hizo correr hasta Benimamti . cogiéndoles un caballo é hiriénd…</t>
  </si>
  <si>
    <t>Lima para Guayaquil, y dió la vela de este último puerto el 12 de octubre para Europa. Ha conducido á su bordo á los dos señores diputados de Cortes, D. Pedro García, por Truxilio, y D. José Bcrmudez., por Tarma. Por el mismo buque se ha recibido el núm. 100 de la gaceta del Gobierno de Lima de 17 de setiem­ bre del año pasad…</t>
  </si>
  <si>
    <t>, 2. D. Pedro Gamez , 3. D. Gregorio Astyte , 4- La cuadri­ lla de negros trabajadores de aguardientes, 8. D. Manuel Morillo, 20. D. José Baloña, 30. D. Pedro García, 50. Doña Josefa Vejarano y D. Jacinto Vejarano, coronel de milicias , 500. La plana mayor de milicias veteranas y los soldados voluntarios y oficiales, que ofre…</t>
  </si>
  <si>
    <t>García, Pedro Anacleto</t>
  </si>
  <si>
    <t>Pedro Anacleto García</t>
  </si>
  <si>
    <t>Melchor Izquierdo, residente en CucnD. Bernardo Perez, residente en Madrid... 2200 bil................. 22CO D. Isidro Redondo Caballero, id. en Al- D. Pedro Anacleto García , id. en Arqui­ modovar del Campo................... 2200 llos de Sierra-Morena.................. 2200 Bx-trinitarios descalzos. Ex-dominicos. D. Vicente…</t>
  </si>
  <si>
    <t>García, Pedro Perez</t>
  </si>
  <si>
    <t>Pedro Perez García</t>
  </si>
  <si>
    <t>xo. &gt;. Diputado eclesiástico BARRIO DE LA PUERTA DE SEGQVLA.-- . D;1 Joan Balboa. Alcalde de Harria' . a ' Dipittados seculares D. Cár!os:Bosch. &gt; -i D. Pedro Perez García. Diputados seculares D. Francisco Agustin, Crespo. D. Tomas Peña. - D. Francisco Santíüsté. D. Tomas Zapalena. Secretario D. Manuel Medina. D. Josef Ibarra…</t>
  </si>
  <si>
    <t>García, Próspero Amador</t>
  </si>
  <si>
    <t>Próspero Amador García</t>
  </si>
  <si>
    <t>fs. mensuales. I). Santiago Malagamba , por 4 , idern, 36. D. José Carrera, por 4,36. D. Juan Reynols por 4 , 36. El comisario or­ denador honorario D. Próspero Amador García, por 4,36. El tesorero de exército honorario T). Bernabé de Corres, por 2 , 18. Ei comandante de ingenieros D. Fermín Monta ño , por sí y su hijo , por …</t>
  </si>
  <si>
    <t>García, Rafael</t>
  </si>
  <si>
    <t>Rafael García</t>
  </si>
  <si>
    <t>de llegar á las canteras de yeso, que al mediodía mado =Mariano Luis de Urquijo.” linda con el retamar de Máximo del Pozo, al poniente con tierra de D. Rafael García, y al norte con el ci­ tado camino del Prado salobrar, de caber dos fanecas, once celemines y ocho estadales, y su valor á 600 rs. AVISO. cada fanega. Quien quis…</t>
  </si>
  <si>
    <t>García, Ruñno</t>
  </si>
  <si>
    <t>Ruñno García</t>
  </si>
  <si>
    <t>rnandez Campiñas , id. de de Nieva......................................................... 2200 Quintana, provincia de Alava................... 2200 D. Ruñno García', id. de Reinoaa................ 2200 Ex capuchinos. D. Antonio de Yanguas, id. de Tudela de Navarra............................................................ …</t>
  </si>
  <si>
    <t>García, Valentín</t>
  </si>
  <si>
    <t>Valentín García</t>
  </si>
  <si>
    <t>arcía., • *,. i Cangas. . 1 c ¿l. . . ° ( buot^’mente D. Manuel Abadejo • ••-». • « _ • C Teniente . . D. ToribioPela^z. *.,. .. o 1 5 ídem.......... D. Valentín García .. .f. • « 1 ' \ * abielden te D. José VilIaviuoY; . • ... * * &lt; 1 \ ídem... .. D. Manuel Alonso. • o1 Coronel, el brigadier. D. Manuel uatDpn.... '* • , 1 Ca…</t>
  </si>
  <si>
    <t>García, Vidal</t>
  </si>
  <si>
    <t>Vidal García</t>
  </si>
  <si>
    <t>Lobaton y su hermano D. Calixto , 25. D. Esteban García , 6. María Torres, 4 rs. D. Ber­ nardo Bahamonde , 2. .Teresa Montoro , 2'. Fermín García, 1. D. Vidal García , 1. D. Juan de Avila, 1. Eustaquio Montoro , 2. Mariano Roxas , 4 rs. Alberto Roxas, 1. Julián Rea, 4 rs. D. Francisco Reyes, 2. Mariano Avi­ la, 1. Joaquín de …</t>
  </si>
  <si>
    <t>Garde, Cipriano</t>
  </si>
  <si>
    <t>Cipriano Garde</t>
  </si>
  <si>
    <t>znar, los de la misma clase D. Plácido Domínguez, que recibió una herida que le 'pasó un brazo , y el de cazadores D. José Remad , los subtenien­ tes D. Cipriano Garde, D. Manuel Hurtado y D. Victorino Tnbuei'r ca, mi ayudante D. Pedro Pedrosa , el sargento segundo Agustín Jarque . que salió herido, y el distinguido D. Timote…</t>
  </si>
  <si>
    <t>Garde, Domingo</t>
  </si>
  <si>
    <t>Domingo Garde</t>
  </si>
  <si>
    <t>le nuestra pérdida , que consiste únicamente en 50 heridos y 5 muertos, mereciendo un lugar distinguido el subteniente abanderado del primer batallón D. Domingo Garde, joven tan ama­ ble como valiente, quien después de habeirse saciado de embasar po­ lacos con la lanza de la bandera, recibió tres balazos , y espiró al dia sig…</t>
  </si>
  <si>
    <t>Gardiner</t>
  </si>
  <si>
    <t>de la revocación de las órdenes del consejo británico. Ayer mañana se reunió el consejo de gabinete para deliberar sobre los despachos traídos por el capitán Gardiner, que exigen medidas prontas y de­ cisivas. v El mensage del presidente , que ha dado lugar á las sesiones secretas de donde ha procedido la declaración de guerr…</t>
  </si>
  <si>
    <t>Gareau</t>
  </si>
  <si>
    <t>unque el movi­ miento deí enemigo se dirija á oponerse á Sarsfield, no llegará á tiempo de impedir la visita que este me dice quedaba en practicar al general Gareau , ínterin aguardaba mis ulteriores órdenes. „Todo lo que comunico á V. E. para su satisfacción , asegurán­ dote que no es corta la mía en poder fundar en la exact…</t>
  </si>
  <si>
    <t>Gari</t>
  </si>
  <si>
    <t>cogidos por un regimiento de cosa­ cos ) : los muertos han sido 2000 , y el campo de batalla estaba sem­ brado de. insígalas de órdenes militares. Ei general Gari, capitán de las guardias del rey, se cuenta entre los muertos, y Muraí en­ vió á pedir su cadáver. „La intrepidez de las tropas es superior á todo elogio. He reci­ …</t>
  </si>
  <si>
    <t>Garigv'rt, Mariano</t>
  </si>
  <si>
    <t>Mariano Garigv'rt</t>
  </si>
  <si>
    <t>ilda y principáis;*, según su costumbre, me valí de tal^distracción y violencias .destacando. 60 , o¿?abiueros9 á las órdenes del teniente de húsares D. Mariano Garigv'rt* y al subteniente D. Francisco Biionss, que con su arte é in­ trepidez, y las fuerzas que yo aparenté-en las einménclas del. pus.bte como que trataba d*5 co…</t>
  </si>
  <si>
    <t>Garnacha, Pedro Perez</t>
  </si>
  <si>
    <t>Pedro Perez Garnacha</t>
  </si>
  <si>
    <t>z y Alguacil. D. Pedro Atiza. D. Juan Pioeda. D. Josef Vexijar. Subtenientes. D. Josef de Osuna y Quadra. D. Andrés Padillo. D. Félix María Carrillo. D. Pedro Perez Garnacha. Subtenientes. art. vi. En la villa de Valenzaela se forma­ D. Agustin Cubero, de granaderos. rá una compañía. D. Francisco de Ribas, de tiradores. D. Jo…</t>
  </si>
  <si>
    <t>Garrea</t>
  </si>
  <si>
    <t>1331 dé al capitán Garrea, que con ht caballería se bailaba en Bolea , sa­ liese á la carretera. Al obscurecer alcancé al enemigo entre Sasa y. Ayerbe, y sin perder un instante en acometer, mandé á mi tropa que tira</t>
  </si>
  <si>
    <t>Garrid, Juan</t>
  </si>
  <si>
    <t>Juan Garrid</t>
  </si>
  <si>
    <t>pruebas al pueblo de quisiere hacer postura á ellas acuda ante dicho señor y Maddd de que nada desea tanto como coadyuvar escribanía de provincia de D. Juan Garrid?, que so á la felicidad general. Mucho hat que trabajar si admitirán las que se hicieren, siendo arregladas. han de legrarse tan honradas ideas; pero enseñada la m…</t>
  </si>
  <si>
    <t>Chaparro, subdiácono, id.............. 2200 D. J uan Quiroga, id...................................... . 220a D. Antonio Navajas, residente en Caitro D. Juan Garrid», id................. . ................. 2200 del Rio..................................................... 2200 D. Andrés López Toiibio, id......................…</t>
  </si>
  <si>
    <t>Garrido, Bernardo</t>
  </si>
  <si>
    <t>Bernardo Garrido</t>
  </si>
  <si>
    <t>consiguió est.,b ecer sobre el trono de Es­ D. Miguel Gonzilez, id............................... 2200 paña su dinastía Q iando esta decayó basta ei D Bernardo Garrido, id.............................. 2200 extremo, la casa dr B irbou , que se habí. e evado D Manuel González Vellido...................... 2 2co Sobre sus ruioa…</t>
  </si>
  <si>
    <t>Garrido, Juan</t>
  </si>
  <si>
    <t>Juan Garrido</t>
  </si>
  <si>
    <t>136</t>
  </si>
  <si>
    <t>de S. S. gada de diámetro. Quivn quisiere mejorarla acuda ante dicho señor y es­ 3.0 Bisagras y charnelas de puertas y ven­ cribanía de provincia de D. Juan Garrido, que se ad­ tanas. mitirán las que se hicieren. 4.0, Clavos de diferentes formas y de diferen­ tes longitudes. El hierro fundido debe acercarse lo posible THAItO.…</t>
  </si>
  <si>
    <t>........ 2200 las .Tor&gt;es........................................................... 22co D. Francisco Fernandez, id.............. ............. 2200 D. Juan Garrido, id. en Baena..... ................ 2200 D. Josef Colorado y Delgado, id...,.......... 220O D. Jacinto Gómez, id. en Benamexí........... 2200 D. Josef López , id…</t>
  </si>
  <si>
    <t>án­ chez Parga: y por escribanos principales, con facultad de que nombren los de diligencías^que sean de su confianza , baxo de su responsabilidad, á D. Juan Garrido, que lo es de provincia, y D. Clemente de Cavia; y en ausencias y enfermedades dél primero á D. Pedro Tordesillas. En todos los quales sub­ alternos se reúnen ta…</t>
  </si>
  <si>
    <t>Garrido, Pió</t>
  </si>
  <si>
    <t>Pió Garrido</t>
  </si>
  <si>
    <t>0. 30. Joaquín de Elguero y Aloo , 250. D. Tomas Cavieses , del cuerpo de pilotos del comercio , 50. 15. Bernardo Martínez , 6. D. Manuel Villar, 25. D. Pió Garrido, 12. Don Pedro Tr el les , 12. D. Pedro Ruesta , 1. D. Gregorio Palacios, 25. D. José Antonio Miehilon , 1. D. Ramón Manzanares , 2. I). Gaspar Silva , 2. Don Fra…</t>
  </si>
  <si>
    <t>Garrido, Rafael</t>
  </si>
  <si>
    <t>Rafael Garrido</t>
  </si>
  <si>
    <t>118 y Herrera y D. Rafael Garrido, y el Sr. D. Julián de Ortegafiscal, para que se ocupase exclusivamente en la substanciación y determinación de las expresadas causas. La gravedad de estas, y la madurez y detenido examen c</t>
  </si>
  <si>
    <t>Garro, Juan</t>
  </si>
  <si>
    <t>Juan Garro</t>
  </si>
  <si>
    <t>Juan de la Peña , 8. D. José Pasíjuel , 8. D. José María Torres, 8. D. Ignacio Icaza, 8. D. Manuel Icaza, 8. D. Carlos Icaza, 8. D. Manuel Solar, 8. D. Juan Garro, 8 D. Joaquín Jordán , 8. D. Cosme Martínez , 8. D. Manuel Muelle, 8. D. José María Murga , 8. D. Antonio Urrutia , 8. D. Manuel Rio, 8. D. Luis Gamio , 8, JD. Mari…</t>
  </si>
  <si>
    <t>Garro, Martin</t>
  </si>
  <si>
    <t>Martin Garro</t>
  </si>
  <si>
    <t>uiju, 8. D. Manuel Crias, 8 D. Pedro Truxillo, 12. D. Toribio Alarco , 7 y 7 rs. D. Anselmo Peña , 8. I). Isidoro Caraved» , 8. t&gt;. Luis Obregoso , 8 D. Martin Garro , 8. D. Juan Vázquez , 8. D. Francis­ co Casas,-8. D. Hipólito Carrillo , o Ü Manuel Pinillos, 8. D. Juan José Pi­ nillos , 8. I). Santiago Pinillos , 8 1). Luis…</t>
  </si>
  <si>
    <t>Garso, Francisco</t>
  </si>
  <si>
    <t>Francisco Garso</t>
  </si>
  <si>
    <t>n de D. Juan Fer­ declaración de guerra, lo que miro todavía corno nandez de Alonso y Gándara. mui distante. Las voces que hablan esparcido nues­ , A D. Francisco Garso , ex franciscano, para la tras gazetas de que adelantaba mucho la negocia­ c nongi.i de Tudela , que dexa vacante el anterior ción entre Mr. Monroe y Mr. Pors…</t>
  </si>
  <si>
    <t>Gasas, Nicolás</t>
  </si>
  <si>
    <t>Nicolás Gasas</t>
  </si>
  <si>
    <t>en el regi­ miento de infantería de México á capitán de granaderos á D. Bru­ no de Elias y Larrazabal; á ayudante á D. Pío Mar.a Ruiz ; á teniente á D. Nicolás Gasas ; á subtenientes de granaderos á D. Juan de Castro Palomino y D. José Pinera ; á subteniente de fusileros á D. Ventura de Mora ; y á subtenientes de bandera á D.…</t>
  </si>
  <si>
    <t>Gascoigne</t>
  </si>
  <si>
    <t>es que ellos la tranquilidad. entraban y salían de la cámara; pero ninguno sos­ La comisión de los magistrados acabó su inter­ pechó tuda en esto. El general Gascoigne, repre­ rogatorio á las nueve y media de la noche, y se sentante de Liverpool, lia declarado ante Mr. Wat- envió aviso á Mr. Newmai», alcaide de Ncwgate, t^rj …</t>
  </si>
  <si>
    <t>Gascoine</t>
  </si>
  <si>
    <t>Gaceta de Madrid n.º 196</t>
  </si>
  <si>
    <t>de la camara de los comunes, cuyos miembros se hallaban en la ma­ Asesinato de Mr. Perceval. yor consternación. Luego que se sosegó el tumul­ to, el general Gascoine dixn en alta voz: Me pa­ El asesinato de Mr. Spencer. Perceval, deque rece que conozco á este' malvado; y habiéndose tenemos hoí que hbl *r á nuestros lectores ,…</t>
  </si>
  <si>
    <t>Gascoyne</t>
  </si>
  <si>
    <t>799</t>
  </si>
  <si>
    <t>sona le quitaba otra pistolá chenbach y compañía de Leipsick es la que está compañera de la que había disparado, mientras el encargada de negociarle. general Gascoyne le sacaba de la faltriquera un le­ El cuerpo de exército del señor mariscal du­ gajo de papeles." que de Treviso se halla actualmente acantonada Leída esta decl…</t>
  </si>
  <si>
    <t>cke- ceval, y que al oir un tiro, disparado en el vestí­ low en el parlamento, declaró lo mismo que el bulo, fue corriendo y vió á Mt. Perceval caer. general Gascoyne , añadiendo qóé lóegó qne tomó Que viendo alguoas personas acudir á socorrerle, los papeles que este le entregó , los señaló cada uno él puso su atención eo el …</t>
  </si>
  <si>
    <t>Gascoyne-le</t>
  </si>
  <si>
    <t>endo que envidiaba la suerte de Mr. Perceval, últimas declaraciones, y añadió solamente que. y que se sujetaba á las leyes y á la justicia. quando ei general Gascoyne-le * tenia sujeto, era Vickery , oficial de policía , presentó envuel­ tanto lo que le apretaba que temia que iba á rom­ tos eo un pañuelo los papeles que se ha…</t>
  </si>
  <si>
    <t>Gaseoipn</t>
  </si>
  <si>
    <t>eo francés ron al moribundo al quarto del secretario , donde Boüchsad , que iba de Paris á Viena. murió en los brazos de sn hermano el lord Arden. El general Gaseoipn;.* fue quien quitó la pistola de CONFEDERACION DEL RIN. las manos al asesino, el qual llevaba otra cargada con bala en ana de 1 as faltriqueras de los calzo­ Lu…</t>
  </si>
  <si>
    <t>Gaspar</t>
  </si>
  <si>
    <t>ado de la un hombre de bien, y á nadie ha hecho daño. Que parroquia de S. Juan de la misma. está vmd. empleado por este gobierno , ; y qué ? Morera ( D. Gaspar), comerciante. también hai aqui muchos que lo han estado por el Morera y Caaer ( D. T&lt; mas) , comerciante. otro, y nadie se ha metido con ellos. Que se va­ Naudin ( D.…</t>
  </si>
  <si>
    <t>Gaspentierre</t>
  </si>
  <si>
    <t>te, toda nuestra tro­ pa entró en dicha obra. „La guarnición enemiga de la Picuriña consistía en 250 hombres con 7 piezas de artillería, al mando del coronel Gaspentierre, perte­ neciente al estado mayor del exército del sur. Pocos ó ninguno esca-</t>
  </si>
  <si>
    <t>Gastes, Alfonso</t>
  </si>
  <si>
    <t>Alfonso Gastes</t>
  </si>
  <si>
    <t>isiástito D. Antonio Rodrigne*. Tpsél'Ramirez.5 Diputados seculares ^pñúiádos seculares D. Joan Rodríguez. -i ígbáció.Muñoz. Jgpado'Xopez Corona* . . D. Alfonso Gastes!. D. Manuel Gayoso. D. Joaquín' Sojo. ¡ A^attáup Valladares,, 7 rr. . . Secretario Secretario D. Manuel dé la Torre. D. Joaquín Doto'González. BARRIO DB LA CRU…</t>
  </si>
  <si>
    <t>Gastón</t>
  </si>
  <si>
    <t>..................... 180 17 En 1779 se le confirió la mayoría general da D. Jngrans Brins........................... 10451 la esqaadra del mando del general Gastón, don­ D. Juan Antonio Arechaga é hi­ de poniendo en práctica los rudimentos de táctica jos...... •;............... :..................... a72í5 *7 que había escri…</t>
  </si>
  <si>
    <t>Gasue, Manuel</t>
  </si>
  <si>
    <t>Manuel Gasue</t>
  </si>
  <si>
    <t>úe Córdoba. Continúan los donativos mensuales de la isla de Cuba. D. Joaquín del Pozo, por un soldado, 9 ps. fs. mensuales. D.Erancisco Goly, id., 9. D. Manuel Gasue , id., 9. D. Pedro Valenzuela , per 6 meses . 9. D, Manuel Puebla, id., 9. D. BeJen Ramírez, id., 9. D. Ramón Hano v Ve­ ga y su hermano D. Ignacio, por 4, 36. D…</t>
  </si>
  <si>
    <t>Gauíier</t>
  </si>
  <si>
    <t>lumna volante incomodó al enemigo sobre la carretera de Pajales: la compañía de voluntarios de León atacó el ¿8 á ías avan­ zadas del regí miento del coronel Gauíier, y las hizo huir, cogién­ doles 3 caballos de gendarraas, una ínula y un prisionero. Valencia de Alcántara 3 de marzo. El 28 del pasado llegaron escoltados por u…</t>
  </si>
  <si>
    <t>Gautier</t>
  </si>
  <si>
    <t>pieron el fuego por Cezoso, y creí que esto nos facilita­ ría reconocer las fuerzas enemigas que se conservaron ocult s y em­ boscadas. En efecto, el general Gautier cargó con fuerzas su per lores la columna volante, y esta sostuvo el campo con tesón : entonces el batallón de tiradores se adelantó por él pueblo de Pleñta, y c…</t>
  </si>
  <si>
    <t>hestó, y la otra por el que va á lo largo de la costa al oriente de Oviedo. «Ambas columnas han sufrido pérdidas de consecuencia en su retirada; y el general Gautier, segundo en el mando, oficial que dirigió principalmente las operaciones en dicha provin­ cia, ha sido muerto. „ Las divisiones segunda y tercera del exército de…</t>
  </si>
  <si>
    <t>Gautsh, Carlos</t>
  </si>
  <si>
    <t>Carlos Gautsh</t>
  </si>
  <si>
    <t>00 á 1000 hombres. La nuestra se manifiesta, en el adjunto estado con expresión de clases y cuerpos. A excepción del comandante de lanceros alemanes, D. Carlos Gautsh, y de al­ guna desunión en el batallón de voluntarios de Tarragona, todos los demás ge fes, oficiales y soldados en general se han comportado con el honor debid…</t>
  </si>
  <si>
    <t>Gavina, Manuel</t>
  </si>
  <si>
    <t>Manuel Gavina</t>
  </si>
  <si>
    <t>a oficialidad de caballos ligeros.de .la IRs.yn. Mrs- 1250 guardia real.....;............. ................. Excmo. Se. limosnero mayor en nom-! • ■* D. Manuel Gavina.............. .................. 3* EN LA IMPRENTA REAL;</t>
  </si>
  <si>
    <t>Gaxan</t>
  </si>
  <si>
    <t>presión que puedan producir contraía con­ ducta de aquel gefe, las especies esparcidas por los rebeldes de aque­ llos paites. CARTA INTERCEPTADA. Del conde Gaxan al general Brayer. Exército imperial del medio dia en España. — Cuartel general de Sevilla 14 de agosto de 1812. — „Señor general; el general en gefe ha visto con sa…</t>
  </si>
  <si>
    <t>Gay</t>
  </si>
  <si>
    <t>de Buenos-.Ay res con cerca de un millón de pesos ■fuertes pertenecientes al R y : que les naturales iban en su alcance para recobrarles ? y que. el general Gay^eneche había ocupado á Po­ tosí y Chwquisaca, donde entró el 12 de setiembre. No es inverosí­ mil que estos sucesos hayan tenido influencia en la pac ideación que seg…</t>
  </si>
  <si>
    <t>e destruido ó dispersado de la partida , era solo de 5 hombres. Asimismo hoy han publicado en la gaceta que 700 infantes y 400 caballos, al mando del general Gay , marques de Rio-Milano y gobernador de la provincia de Gmtdalaxara, habían destruido to­ das las partidas que ocupaban aquel país, al mando da! E npecinado , que as…</t>
  </si>
  <si>
    <t>años. Cuar­ tel general de Cochabamba 18 de agosto de 1811. — Excrno. Sr. — José Manuel de Goyeneche. — Excrno. Sr. virey del Perú.” Oficio del mismo general Gay eneche, dando parte al Sr. virey de la rendición de la ciudad de la Plata y Potosí. “Excrno. Sr.: Tan plausibles y saludables efectos ha producido la memorable batal…</t>
  </si>
  <si>
    <t>Gay, Anselmo</t>
  </si>
  <si>
    <t>Anselmo Gay</t>
  </si>
  <si>
    <t>miento en la vacante de D. Anselmo Gay; y al aut. xv. Las pruebas é informaciones c» ma­ capitán D. Ignacio Calvo á comandante de es­ teria civil, de qualquiera clase que sean. cuadrón en reemplazo de D. Antonio Telltchea. art.</t>
  </si>
  <si>
    <t>istian!, Suarrz, Casanova y Fabi mi, S. M. nombrar ayudantes de palacio al coronel hn el de !a Cruz, á las seis y media de la farde, se de caballería D. Anselmo Gay y al comandante «xecutará la comedia nuera en quatro actos titulada el de bitallon D. Pedro R-tit. Impostor; se bailará ei bolero, y se dará ítn con el Por decret…</t>
  </si>
  <si>
    <t>Gay, Aoselmo</t>
  </si>
  <si>
    <t>Aoselmo Gay</t>
  </si>
  <si>
    <t>ríncipe Regente' en calidad de primer nombrar al mayer del regimiento de húsares de la secretario de Estado de Relaciones exteriores. El guardia real D. Aoselmo Gay á coronel de caballe­ jnéves pasado tuvieron una audiencia del Príncipe ría: al comandante de esquadron de dicho cuerpo Regente los duque-s de Norfolk y de Redfor…</t>
  </si>
  <si>
    <t>Gayan, Ramón</t>
  </si>
  <si>
    <t>Ramón Gayan</t>
  </si>
  <si>
    <t>todas graduaciones. ESPAÑA. Provincia de Aragón 25 de julio. La junta superior detesta provincia ha recibíco el parte figuicníe q *ie le ha dirigido D. Ramón Gayan, coronel del regimiento de Gaáñena. „Exímo. Sr.: Con el objeta de proporcionar stbnVencías á la tropa y llamar al mismo tiempo la atención al generas P-. lis, que …</t>
  </si>
  <si>
    <t>Gaye, Pedro</t>
  </si>
  <si>
    <t>Pedro Gaye</t>
  </si>
  <si>
    <t>................... ............... ........... x Wenceslao Burgos 3 fanegas de cebada......... 3 Francisco Galeote'2 celemines de id.............. 2 D. Pedro Gaye 2 fanegas de trigo, 6 de ce­ bada y 100 arroba^ de paja................... ...... 2 6 100 C1 emente Alonso 4 celemines de cebada....... 4 Manuel López Mangana 2 fa…</t>
  </si>
  <si>
    <t>Gayoso, Manuel</t>
  </si>
  <si>
    <t>Manuel Gayoso</t>
  </si>
  <si>
    <t>Rodrigne*. Tpsél'Ramirez.5 Diputados seculares ^pñúiádos seculares D. Joan Rodríguez. -i ígbáció.Muñoz. Jgpado'Xopez Corona* . . D. Alfonso Gastes!. D. Manuel Gayoso. D. Joaquín' Sojo. ¡ A^attáup Valladares,, 7 rr. . . Secretario Secretario D. Manuel dé la Torre. D. Joaquín Doto'González. BARRIO DB LA CRUZ. BARRIO DE SAN CAYE…</t>
  </si>
  <si>
    <t>Gaz, Luis</t>
  </si>
  <si>
    <t>Luis Gaz</t>
  </si>
  <si>
    <t>ciudad. Este respetable magistra­ 2;° de infantería ligera ; al subteniente de caballe­ do había sido aotes de nuestra revolución burgo­ ría de linea D. Luis Gaz.iñiol subteniente del regi­ maestre, y ha vuelto á ser elegido á pluralidad de miento 2.° de caladores á caballo; y al subtenien­ votos en estas circunstancias tan h…</t>
  </si>
  <si>
    <t>Gaz, Manual</t>
  </si>
  <si>
    <t>Manual Gaz</t>
  </si>
  <si>
    <t>ia catedral da clarado traidor á todo el que ¡e obedezca , ti vuel­ Toledo. ve , mientras haya bayonetas francesas en Espa­ Parad de Fuente del Saz á D. Manual Gaz­ ña , mientras no esté en medio de las fortes, y otan del Campo. mientras no jure ia constitución que han forma­ Para el de Villanueva de la Cañada al ex-fran­ do …</t>
  </si>
  <si>
    <t>Gderke</t>
  </si>
  <si>
    <t>tes puntos de la Inglaterra, y de esta corte, dos sortijas de mocho valor para 300 nuevos condestables han sido 'oramentados que las entregae« nna al doctor Gderke, y otra para mantener la paz, inas sin embargo todo esto al cirnjaoo mayor Schack, en atención al cuidado es inútil, visto qne continúan en quemar molinos qoe han …</t>
  </si>
  <si>
    <t>Géh</t>
  </si>
  <si>
    <t>Gar'nboa (P. Domingo), sargefitó de cazadores do vica de Madrid. . e .montaña,de Madrid. ; Bonani (D. Jü*n), sargento de granaderos, del re-» G3miz'( D. Géh^ro María ), contador de la ptoginner.ro Real 'Irlandei. . , , vincia de Apira'.' , Broux (D. Juan), zapador de tiradores dé la guar-» Gafcía! { D. Lóíiír.zó) , sargento s…</t>
  </si>
  <si>
    <t>Georgiewna</t>
  </si>
  <si>
    <t>Gaceta de Madrid n.º 41</t>
  </si>
  <si>
    <t>io se los gastos del exército y marina no se hubieran componía de 3 5 © hombres. ................. reguiado mas que en la cantidad que se gastó en La princesa Georgiewna , regenta de la Mingréestos departamentos en el año que concluyó el dia lia , su hijo, y el hijo menor del príncipe regente 30 de setiembre de t8n, esto es, …</t>
  </si>
  <si>
    <t>Ger, Manuel</t>
  </si>
  <si>
    <t>Manuel Ger</t>
  </si>
  <si>
    <t>se servirá V. 8. instruirse de haberse rendido la ciudad de Truxillo sin resistencia alguna el 2 del propio mes á la división del teniente de fragata D. Manuel Ger&amp;ldino por fuga de los rttoldes y de lo demas que expresa la ci­ tada copia acerca de sus operaciones en aquel dia, habiéndole pro­ porcionado esta vent.--.yi la bu…</t>
  </si>
  <si>
    <t>Gerald, Fitz</t>
  </si>
  <si>
    <t>Fitz Gerald</t>
  </si>
  <si>
    <t>lliams del 60 , y del teniente coronel Ridge del quinto, muerto desgraciadamente en el asalto del castillo, del teniente coro­ nel Fóibes del 45, del teniente coronel Fitz Gerald del 60, del te­ niente coronel ei honorable R. L. P. Freneh, el teniente Manners del 74, del mayor Carr del h3, y del honorable mayor Palienhara, ay…</t>
  </si>
  <si>
    <t>Geraldino, Guillermo</t>
  </si>
  <si>
    <t>Guillermo Geraldino</t>
  </si>
  <si>
    <t>, 12. i). José Isidoro Alcedo, 12. D. Mariano Espino'a, 10. 1). Luis Sánchez Baharuonde, 10. D. Marcelino Velarde , 10. I&gt;. José María Frevre , íi). D. Guillermo Geraldino , 10. D. Lorenzo Barba , 10. Don Manuel Palacios , 10. D. Pedro Tijaite , 10. D. José Amador, 6. D. Julián Fi res , 4 l&gt;. José Capotillo, 4. — Sangradores …</t>
  </si>
  <si>
    <t>Geraldino, Manuel</t>
  </si>
  <si>
    <t>Manuel Geraldino</t>
  </si>
  <si>
    <t>ral tie Valencia 4 de mayo da 1812. — Domingo de Mantenerde. Sr. gobernador comandante general de la provincia de Coro.” t&gt;.° Del teniente de fragata D. Manuel Geraldino al gobernador de la provincia de Maracaybo, D Pedro Ruiz de Porras. „£1 día 2 del corriente, á las dos de su mañana, entré en esta ciudad de Truxilio con las…</t>
  </si>
  <si>
    <t>Gerard</t>
  </si>
  <si>
    <t>l punto hice formar la infantería. El general Grouchy fue herido lige­ á su derecha y un poco adelantada la división del ramente de un casco de obús. general Gerard, y á su izquierda al 7 ó de infante­ Debería citar con elogio todos los regimientos ría ligera , colocando la división Bvoussier para sos­ que han peleado; pero e…</t>
  </si>
  <si>
    <t>Gerardá</t>
  </si>
  <si>
    <t>«expresión del ardiente de eo que los anima por La división del general Morand á ia derecha, la «nuestro bien común. Ya veis qué sabias providen- del general Gerardá su espalda, mas hacia b derecha, *&gt; cías han tomado para la restauración de nuestra y también á ia espalda, la caballería del general «patria Nuestra seguridad y…</t>
  </si>
  <si>
    <t>Gerardino, Manuel</t>
  </si>
  <si>
    <t>Manuel Gerardino</t>
  </si>
  <si>
    <t>táneamente y con el mayor entusiasmo se 'sometiéronla la--obediencia* del Rey; habiendo dispuesto desde didlo Carora~enviar una división al mando de 'D. Manuel Gerardino para que se internase y pacificase el partido de Truxiilo y provincia de Mérida. • i ” ,, En Barquisimeto supe que los- enemigos-derrotados y dispersos dejCa…</t>
  </si>
  <si>
    <t>GerónimoNaverro</t>
  </si>
  <si>
    <t>minuida y deteriorada cual no podía figurarse el sanguinario Abbé He tenido 18 muertos y algu­ nos heridos : entTe los primeros cuento ai subteniente D. GerónimoNaverro y i.l cadete D. José Hidalgo; y entre los segundes al capi­ tán D Se verme Idarte. , Péí ité la misma noche del 23, en que se di ó la acción , marchar sol re …</t>
  </si>
  <si>
    <t>Gers</t>
  </si>
  <si>
    <t>regimien­ che última en esta ciudad. S. M. el Rei de Saxo- tos de infanteiía de línea , de un batallón de caza­ oia habia enviado aqui al Exento. Sr. general Gers- dores', de un regimiento de húsares y de un des­ dorf, gefe del estado mayor, y al Excmo. Sr. ba­ tacamento d« artillería. rón de Friesen., para recibir á los augu…</t>
  </si>
  <si>
    <t>Gevino</t>
  </si>
  <si>
    <t>que lar mención por sus brillantes acciones, y por la bra­ ya arrollaba nuestra caballería del frentp: en esto vura que ha mostrado en este dia, y el general Gevino la división Delzon, y ya no tenia que hacer rardin, el coronel Flahaut y el capitán Leconteux, la caballería. los tres ayudantes de campo dehpríncipc NeufchaEl vi…</t>
  </si>
  <si>
    <t>Ghariier, Próspero</t>
  </si>
  <si>
    <t>Próspero Ghariier</t>
  </si>
  <si>
    <t>vocal, era forzoso resols- Al capitán ayudante mayor del regimiento de verse 4 evacuar la plaza, baxo las condiciones pro­ húsares de la guardia real D. Próspero Ghariier puestas por el señor general en gefe , y qne si no capitán de,la segunda compañía, en -reemplazo de podía cons- guirse qne el enemigo las admitiese, era D. …</t>
  </si>
  <si>
    <t>Ghipoll, Francisco</t>
  </si>
  <si>
    <t>Francisco Ghipoll</t>
  </si>
  <si>
    <t>tán general de Andalucía • y los 15616 rs. restantes para que sírvan pera vestir la división de la caballería del general Penne , con intervención de D. Francisco Ghipoll su comisionado, habiendo mandado S. A. tri­ butarles las mas expresivas gracias , y que se publique inmediatamente en la gaceta una generosidad tan patrióti…</t>
  </si>
  <si>
    <t>Ghrard</t>
  </si>
  <si>
    <t>lien­ tes, flor, que aquel día quedó segada y marchita, desando toda su artille!ía y equipajes en poder de los aliados., y escapando á duras penas su general Ghrard mal herido con ü» puñado de hombres. Sevilla 5 de diciembre. Ayer entró una porción de heridos de la parte de Extremadura. Con motivo de haber vuelto á avisar los…</t>
  </si>
  <si>
    <t>Gibasier, Sebastian</t>
  </si>
  <si>
    <t>Sebastian Gibasier</t>
  </si>
  <si>
    <t>do erigido en academia con el título de á comandante; á D. Francisco Miqueau, teniente, Academia de la orden de los Jesuítas, y tendrá á á capitán; á D. Sebastian Gibasier, subteniente, á su cargo la enseñanza de todas las ciencias, excep- í teniente; y al sargento primero D. Pedro Monto la de medicina y la de las leyes penal…</t>
  </si>
  <si>
    <t>Gibbs</t>
  </si>
  <si>
    <t>refuerzos : pero como fuesen pasados 2 dias sin que estos hubiesen llegado, resolvió acometerlo con solo 1100 que tenia* encarga do esta operación al coronel Gibbs, que habiéndose puesto er marcha la mañana dei ¡6 y colocándose en unas alturas inmedia­ tas , logró desahijarlo, y aunque sin caballería alcanzarlo en el lugar de…</t>
  </si>
  <si>
    <t>. M. un oficial que era la honra de su profesión, y capaz de hacer á su patria los servicios mas importantes. „Son acreedores á que se les nombre, ei teniente coronel Gibbs del 52, que fué herido, y el mayor O-liare del 95, muerto desgra­ ciadamente en la brecha, el teniente corone! del 8 , y el imyor Alges de cazadores. El t…</t>
  </si>
  <si>
    <t>Gil, Alonso</t>
  </si>
  <si>
    <t>Alonso Gil</t>
  </si>
  <si>
    <t>Arcaya, D. Miguel MLUaco, D. Juan de Lugo, D Juan José Perez, D. José Antonio G'uirola y D. Joaquín Segarte ; de subteniente de las de infantería, á D. Alonso Gil, D Leopoldo Tolleria , D. Jo:é Antonio Zamuripa, D. Rafael Tejerla, D. -Fernando GB , D. Anastasio Nava, D. Luis Ramírez, D. José Trinidad Guardia, D Pedro María O …</t>
  </si>
  <si>
    <t>Gil, Francisco</t>
  </si>
  <si>
    <t>Francisco Gil</t>
  </si>
  <si>
    <t>rcía, natural'de Fresnedo.... 2200 Ex - dominicos. D. Lorenzo Francisco, id. del lugar de N. en la provincia de Burgos.......................... 2209 D. Francisco Gil, residente en Valseca.... 2200 D. Pedro Ruiz, i.d- de Villarcayo............. . 2200 D. Tomas González , id. en Santa María D. Angel Fernandez Campiñas , id. de…</t>
  </si>
  <si>
    <t>Gil, Gerónimo</t>
  </si>
  <si>
    <t>Gerónimo Gil</t>
  </si>
  <si>
    <t>r fallecimiento de D. Nicolás Ambrosio tes de Cádiz, y hacer ver que la libertad de la de la Plaza. imprenta es una de las machas engañifas con que A D. Gerónimo Gil para el de Arcediano, va­ han querido alucinar á los incautos. cante por muerre de D. Jnlian Antonio Prieto. Los-que quieren mover una revolución en uti A D. Ant…</t>
  </si>
  <si>
    <t>Gil, José</t>
  </si>
  <si>
    <t>José Gil</t>
  </si>
  <si>
    <t>ncisco Tafur por sí y por la botica de la congregación de S. Felipe Neri , 25. 1). Domingo Pimentei , por sí y por la botica de la Bueña-muerte , 25. D. José Gil , 25. D, Fran­ cia o 5 lo mes , 25. D. Mariano Egoaguirre , IG. D. Luis Q, ni ros , 12. D. Ale* x andró Boh urques , 12. i). José Isidoro Alcedo, 12. D. Mariano Espi…</t>
  </si>
  <si>
    <t>Gil, Josef</t>
  </si>
  <si>
    <t>Josef Gil</t>
  </si>
  <si>
    <t>del presente, úna casa sita en esta coste, calle de Toledo, junto;', la D. Juan Francés del Olmo. puerta del mismo nombre , seííaladi c'm.el núm. 37, D. Josef Gil. mana. 109., la qual tiene de' sitó- .izqSíJ pies cuadra­ D- Isidro de Lara._ dos superficiales , tasada'én la cantidad de 118457 «. D. Francisco Conejo. Quien quis…</t>
  </si>
  <si>
    <t>Gil, Juan</t>
  </si>
  <si>
    <t>Juan Gil</t>
  </si>
  <si>
    <t>dantías á D. Francisco Antonio Goy tá­ salo, O- Dámaso Ar as y D. Fernando Dueñas; subtenencias de ban­ dera á D. Ramón deErrea, D. Manuel del Valle, D. Juan Gil, D. Juan Ignacio Mendizabal, D. Rafael Palomeque y D. Juan Pa­ nero; compañías de granaderos, al marques de la Celada déla Fuen­ te , al marques de Valdcliiios y á D…</t>
  </si>
  <si>
    <t>Gil, Manuel</t>
  </si>
  <si>
    <t>Manuel Gil</t>
  </si>
  <si>
    <t>de Maracaybo, dos blancos de Coro, otro de Par­ dos y otro del Pedregal. /¿as fuerzas del enemigo eran de 50® infantes y 50 cabaltes á las órdenes de D. Manuel Gil: las nuestras en Algodones eran de 300 hombres, y aquí de 400, pero siempre muy superiores por su calidad á los contrarios, que debieron mucho ;í la circunstancia …</t>
  </si>
  <si>
    <t>Gil, Marcelino</t>
  </si>
  <si>
    <t>Marcelino Gil</t>
  </si>
  <si>
    <t>Reigadas, id. del la­ D. Ju sto Gil, ex-mínimo............................. 2200 gar de Arce.;.............. .................................. 2200 D. Marcelino Gil, id..................................... 2200 D. Pedro Herrera, id. de Herrera............... 2200 D. Benito Francisco Martínez, ex carme­ D. Francisco Boi, id. …</t>
  </si>
  <si>
    <t>Gil, Pedro</t>
  </si>
  <si>
    <t>Pedro Gil</t>
  </si>
  <si>
    <t>primero y tesorero interino D. Joaquín Jordán , 100. D. Juan de Irigoyen , segundo , 50. D. Roque Vaca, contador de moneda primero , 66. Id. segando D. Pedro Gil , 50. — Almacenes. Admi­ nistrador D. Mariano del Solar, 100. Oficial interventor D. Juan José Guzman , 66.—, Administración del casca. Administrador v tercenista D.…</t>
  </si>
  <si>
    <t>Gilabcrt, Andrés</t>
  </si>
  <si>
    <t>Andrés Gilabcrt</t>
  </si>
  <si>
    <t>..... 2131 5 decretado y decretamos lo siguiente: D. Julián Diaz de Yecla...................... 4937 2* articulo 1. ,,Se declara acreedora del estado D. Andrés Gilabcrt............................... 2089 14 á la iglesia parroquial del real Sitio de S. Ildefon­ D. Rafael de Yarza............ 372; 27 so , en conformidad al art…</t>
  </si>
  <si>
    <t>Gilabert, Andrés</t>
  </si>
  <si>
    <t>Andrés Gilabert</t>
  </si>
  <si>
    <t>uma importan novecientos ochen­ ............................... ;........................ 5 4i 17 ta y seis mil trescientos y cinco reales y diez ma­ D. Andrés Gilabert............................... 3429 17 ravedís de vellón. D. Juan Caillard.................................... 2346 17 art, ir. Se entregarán i esto* interesa…</t>
  </si>
  <si>
    <t>Gileazo, Luis María</t>
  </si>
  <si>
    <t>Luis María Gileazo</t>
  </si>
  <si>
    <t>ia cívica de Alcalá de Gua- btiidad principalmente en estos frutos. Después de daira quedan promovidos: muertos han sido también c-usa de calamidades D. Luis María Gileazo á ayudante primero. espantosas, como sucedió en Af'ica el año 629 de D. Manuel de Flores á ayudante segando. la fundación de Roma, en el qual innumerables …</t>
  </si>
  <si>
    <t>Gillespie</t>
  </si>
  <si>
    <t>gó el 6; y habiendo visto desde allí señales que indicaban que el enemigo pensaba abandonar á Batavia , hizo que se adelantase con un destacamento el coronel Gillespie , al cual, habiéndose alojado en la mañana del 8 en los arra­ bales, una diputación de los regidores de Ritavia vino á pedirle la protección de! gobierno britá…</t>
  </si>
  <si>
    <t>Gineti, Luis</t>
  </si>
  <si>
    <t>Luis Gineti</t>
  </si>
  <si>
    <t>636</t>
  </si>
  <si>
    <t>anece? del 20 sa?í le la expresada villa con una división de 240 hombres de todas armas , y me dirigí por el ca­ mino de Udche, ordenando al teniente D. Luis Gineti y ai capitán Reyes Vargas , que se hallaban en Corovore , que se adelantasen por mi izquierda hasta Maidonado, y que allí esperasen mis órdenes. A las 11 ds la no…</t>
  </si>
  <si>
    <t>Ginf, Luis</t>
  </si>
  <si>
    <t>Luis Ginf</t>
  </si>
  <si>
    <t>ánuéva. D. Matías Elias López. Secretario D. Pedro NoLsco Escribano. BARRIO SSL EtOSUfrAL GÍWlRAL, BARRIO I)E SAN ANTONIO ABA». v . Alcaide de barrio D. Luis Ginf.s Fernandez. Alcalde de barrio Diputado eclesiástico D. Josef Gurícirez. D. Antonio Herrera. Diputado eclesiástico Diputados seculares D..................... vacant…</t>
  </si>
  <si>
    <t>Giran, Manuel Avendaño y Doña María Encarnación</t>
  </si>
  <si>
    <t>Manuel Avendaño y Doña María Encarnación Giran</t>
  </si>
  <si>
    <t>ente el donativo de 300 reales vellón para igual loable objeto , á nombre de su muger Doña María de Je­ sús Avendaño y Giran, y de sus finados padres D. Manuel Avendaño y Doña María Encarnación Giran, habiendo merecido el justo aprecio de la Regencia del reyno, y que haya mandado se le den gracias, anunciándose en la gaceta. …</t>
  </si>
  <si>
    <t>Girard</t>
  </si>
  <si>
    <t>l general conde de Erlon, comandante del quinto cuerpo, en sus oficios de 28,29 y 30 de oct ubre , es tan vergonzoso , que no sé como calificarlo. El general Girard, después de haber dispersado el cuerpo espa­ ñol del general Castaños, se había adelantado hasta Cáceres, donde estaba desde el 13. Tenia orden de. ir el 22 á Mér…</t>
  </si>
  <si>
    <t>cipio de la acción, y con repetidas cargas proporcionó que se desembarazasen las tropas ; pero habiéndole muerto su caballo, fue hecho prisionero. El general Girard mandaba tropas escogidas , y se ha dexado» vergonzosamente sorprehender por exceso de presunción, y de con­ fianza. Mientras estuvo cu el pueblo, no se puso guard…</t>
  </si>
  <si>
    <t>Girard, Alfonso</t>
  </si>
  <si>
    <t>Alfonso Girard</t>
  </si>
  <si>
    <t>gundo de 10 carroñadas de k Por otro decreto de igual fecha se ha servido 12. El combate ha durado tres horas, y no ha ce­ igualmente S. M. nombrar á D. Alfonso Girard, sado hasta después de haber sido heridos los dos comisario de Guerra de primera clase , que lo era capitanes ingleses, y de haber muerto muchos de segunda. ho…</t>
  </si>
  <si>
    <t>Girardin</t>
  </si>
  <si>
    <t>men­ me hace el general Gravert, del choque que acae­ te marchan á paso de ataque todos los batallones ció el 19 en Eckau. quadi ados de V. M. ; y el general Girardin , que los Acababa de llegar á Bauske, quando sucedió en inandaba, cambiando de izquierda á derecha , reci­ el mando á Ricard ; y mientras íü infantería pasaba b…</t>
  </si>
  <si>
    <t>Girare</t>
  </si>
  <si>
    <t>as del ¡Monitor. I. Cu artel general de -Sevilla 26 de octubre de 1811. — Mon­ señor: He ten icio el honor de-participar á Y. A. el movimiento que el general Girare! hizo sobre Cáceres, y el objeto que se habia pro­ puesto , y consiguió cumplidamente. Su presencia ha ocasionado la dispersión del cuerpo que estaba organizando …</t>
  </si>
  <si>
    <t>Giraud</t>
  </si>
  <si>
    <t>543</t>
  </si>
  <si>
    <t>aproximado á aque­ llos puntos. Esta noche á las 9 ha entrado de Valencia , adonde había mar­ chado hace tiempo con una comisión del rey intruso, el general Giraud, caballerizo mayor de palacio. Venia con él un gran convoy con 2030 hombres de escolta: inmediatamente después se han despa­ chado órdenes á todos los exércitos, y…</t>
  </si>
  <si>
    <t>Gircía, Manuei</t>
  </si>
  <si>
    <t>Manuei Gircía</t>
  </si>
  <si>
    <t>n- D. Rafivl G un \z, id........................... ............. 2200 toro....... ................................................ ............ 2200 D. Manuei Gircía, id...................................... 2200 D. Manuel Martínez , lego , id. en Guadal- D. Francisco García, id................................... 2100 cazar.…</t>
  </si>
  <si>
    <t>Girón, Pedro Agustín</t>
  </si>
  <si>
    <t>Pedro Agustín Girón</t>
  </si>
  <si>
    <t>óximo pasa­ do salió de esta plaza para Castilla el Excrao. Sr. general en gefe D. Francisco Xavier de Castaños, llevando en su compañía al ge­ neral D. Pedro Agustín Girón y todo su estado mayor. A su paso por Portalegre cumplimentó al Excmo. Sr. general Hill, de quien recibió las mayores pruebas de atención y obsequio, teni…</t>
  </si>
  <si>
    <t>e al gefe del estado mayor general desde el cuartel general de Villafranca con fecha 20 de agosto último, lo que sigue: „Poí el gc-fe de estado mayor D. Pedro Agustín Girón se enterará S. A. de la rendición de la plaza de Astorga en circunstancias tan críticas , que un solo dia de atraso nos hubiera puesto en la vergonzosa pr…</t>
  </si>
  <si>
    <t>costa de Cantsbíia manos Santoña está libre de enemigos. Coruña 24 de agosto. El general gefs del estado mayor del quinto, sexto y séptimo exército, D. Pedro Agustín Girón, en oficio de 22 del corriente, por posta desde Víllaffaaca del Vierzo, dice lo que sigue: ,,Un cuerpo de exército enemigo, compuesto de 12 á 14000 hom­ br…</t>
  </si>
  <si>
    <t>Girs</t>
  </si>
  <si>
    <t>también á esta guerra el príncipe virey de Italia Eu­ genio R suharnaia y Gerónimo Bonaparte. — Ei 8 de junio pasó por Francfort para el exército el general Girs rd , el mismo que fué serprehendido per e! general Hiü en Extremadura. Massena no ha sido empleado : los. diarios franceses cuentan que ha ido á tomar b..ñoj á los P…</t>
  </si>
  <si>
    <t>Giulai</t>
  </si>
  <si>
    <t>Gaceta de Madrid n.º 211</t>
  </si>
  <si>
    <t>847</t>
  </si>
  <si>
    <t>Eccies y Cnrlisle, Prezburgo 12 de mayó. originados todos de la miseria espantosa á que se bailan reducidos los operarios de las fabricas por El feld-mariscal Giulai ha sido nombrado co­ falta de trabajo , y de consiguiente por falta de mea mandante general de la provincia de Waratdin, y dios para subsistir. Todo el mundo est…</t>
  </si>
  <si>
    <t>Giulay</t>
  </si>
  <si>
    <t>entre la Inglaterra y la América. Díaese que S. M. saldrá pronto para Dresde en compañía de la Emperatriz. Petersburgo 2 1 de abril. El teniente feld-mariscal Giulay ha sido nom­ El general feld- mari'Cal conde Saltiknw ha si­ brado comandante del distrito de Warasdin, y do nombrado presidente del consejo de Estado du­ el ten…</t>
  </si>
  <si>
    <t>Gjrcía, Manuel</t>
  </si>
  <si>
    <t>Manuel Gjrcía</t>
  </si>
  <si>
    <t>z , á las ocho de la noche , se eje­ D. Francisco Toüarate , id........... ................. 2200 cutará la comedia titulada la inas Constante muger, D. Manuel Gjrcía, residente en Pozo- con tonadilla y sainete. EN LA IMPRENTA REAL,</t>
  </si>
  <si>
    <t>Gjtnez, Agostin</t>
  </si>
  <si>
    <t>Agostin Gjtnez</t>
  </si>
  <si>
    <t>al Hdi algunas gentes que suponen saber exacta­ teniente del regimiento r.° de Cazadores á caballo mente á lo que asciende esta quiebra, pero esto es D. Agostin Gjtnez capitán del mismo cuerpo; a[ imposible; lo cierto y positivo es que será de mu­ capitán que fue del regimiento de Farnciio D. Jo­ chísima consideración. Sin em…</t>
  </si>
  <si>
    <t>Glaboteau, Próspero</t>
  </si>
  <si>
    <t>Próspero Glaboteau</t>
  </si>
  <si>
    <t>embarcaciones. re, á abanderado. El convoi siguió su rumbo aquel día sin que Tercer batallona volvieran á molestarle los enemigos: al día siguien­ • D. Próspero Glaboteau, sargento' primero, á te se presentaron otra vez á la vista; pero se con­ subteniente de la tercera compañía. tentaron con disparar algunos cañonazos, á que…</t>
  </si>
  <si>
    <t>Glbbs, Antonio</t>
  </si>
  <si>
    <t>Antonio Glbbs</t>
  </si>
  <si>
    <t>732 Triaiblí’y, 5 y 5. D. Jayrae Tnrab^ey, 20. D. Antonio Glbbs y bu fcíjo, 52 y 10. 13. H :go Bortón , 10. D. Juan Antonio Liaguno *20. JD. R vfceitü Remnuti, 5 y 5. D. R. BiiTchs.ll, 21. Les señores Balkelty, OxenfhrcJ y Al!co¿.k, 3í y 10. Lo* señores H. Hiuckle</t>
  </si>
  <si>
    <t>Glegg</t>
  </si>
  <si>
    <t>atado con mucha humanidad 4 los prisioneros ; de manera que el enemigo no ha recibido mas daño en sus personas que el que les causó la artillería. El capitán Glegg ha sido comisio­ nado para traer las banderas del fuerte del Estrecho y del regi­ miento cuarto de los Estados-Unidos. • tEl cuerpo del coronel M’Arthur, y las mil…</t>
  </si>
  <si>
    <t>Glutz, Victor</t>
  </si>
  <si>
    <t>Victor Glutz</t>
  </si>
  <si>
    <t>anca alegría. ballería de linea. Igualmente por decreto de ia mis­ ma Techa han quedado-;protnovidos eq el regimien­ to de infantería Real Bxtrangero'D. Victor Glutz, Por decreto de 18 del cortiente S. M. se ha teniente , á capitán ;, D. Lamber*. Dupoot, subte-, setvído promover al comandante de batallón dé in­ niente , á ten…</t>
  </si>
  <si>
    <t>Gnzman, Juan López</t>
  </si>
  <si>
    <t>Juan López Gnzman</t>
  </si>
  <si>
    <t>4 D. Tomas Rodríguez Buron........... 1978 84 P. Pedro García Piailtos................. 100322 84 La real academia de S. Fernando... 237235 3* ItlK*. D. Juan López Gnzman................. 872 P. Tomas Colon.............................. 6547 17 Exercicio diario d«! cristiano: contiene un pron­ D. Josef Perünes Redondo........…</t>
  </si>
  <si>
    <t>Gó, Manuel</t>
  </si>
  <si>
    <t>Manuel Gó</t>
  </si>
  <si>
    <t>e fusileros á D. Antonio Mari?; Aivarez y I). Pedro Andrade ; tenencias de fusileros á D. Francisco Xavier Vargas y D. Jacinto Toro, y subtenencias á D. Manuel Gó­ mez y D. Fermín Perez ; tenencia veterana en el -batallón de milicias disciplinadas de Campeche á D. José Arbizua; el empleo d@ capi­ tán de la compañía de caballe…</t>
  </si>
  <si>
    <t>Godin</t>
  </si>
  <si>
    <t>atisfacer com­ llera 6© hombres de tropas : el viento contrario le pletamente e! orgullo nacional, y quantos aaravios impidió realizar su intento. El general Godin ha se quieran alegar ó suponer? Ño convendré con observado con gran vigilancia y (añilado todos los vmd. en que ha sido prudenre dar lugar á prue­ movimientos de e…</t>
  </si>
  <si>
    <t>Godinez, Carlos María</t>
  </si>
  <si>
    <t>Carlos María Godinez</t>
  </si>
  <si>
    <t>­ ría Portaz, D. Antonio Moreno, D. Andrés Rodríguez, D. Josef Martínez, D. Josef Muñoz Silleros, D. Agustín Molina, D. Asensio Cabrera y Gonzá­ lez, D. Carlos María Godinez, D. Rafael Piñuela, y á los subtenientes gra­ duados D. Juan Díaz Pino, D. Josef María Angulo, D. Diego Padilla, Don Pedro la Llave, y D. Juan Gil de Mon…</t>
  </si>
  <si>
    <t>Godinot</t>
  </si>
  <si>
    <t>ervidor— Mariscal duque de JDalmacia. III. Sevilla 27 de octubre de 1811. — Monseñor: Tengo el ho­ nor de dar cuenta á Y. A . del fin desgraciado de! general Godinot. Éste general llegó ayer tárde á Sevilla con las tropas que hice venir délas montañas tic Ronda: estaba sumamente fatigado , y le aque­ jaba un mal envejecido de…</t>
  </si>
  <si>
    <t>Godoi, Ramón</t>
  </si>
  <si>
    <t>Ramón Godoi</t>
  </si>
  <si>
    <t>Señoras art. iv. Eo ía milicia cívica de b villa de Es- Rosario García y Torres. Señores Ponce, Caprara, tepa Cristian!, Suare?, Avecilla y Casanova. D. Ramón Godoi queda nombrado abanderado, En el de la Cruz, á las quatro y media de la tarde, en la vacante de D. Agustín Manzano. 3» exectitará la comedia de magia Nadie es mas…</t>
  </si>
  <si>
    <t>Godoy, Manuel</t>
  </si>
  <si>
    <t>Manuel Godoy</t>
  </si>
  <si>
    <t>de S. Francisco de Sales y Sta. Juana Fremiot: en el altar mayor de la parroquia de S. Gines la estatua de S, Ildefonso: en la escalera de la casa de D. Manuel Godoy la medalla que representa un triunfo , admirada de los embaxadores y ministros naturales y extrangeros: en ei Prado el Tritón y la Nereyda de la fuente que mira …</t>
  </si>
  <si>
    <t>Goichi, Mariano</t>
  </si>
  <si>
    <t>Mariano Goichi</t>
  </si>
  <si>
    <t>rino D. Juan Bernardo Valdivieso, 25. El coronel de milicias D. Lorenzo Antonio de Cárdenas, 100. El capitán de milicias D. Atanasio de la Canal, 12. D. Mariano Goichi, 17. D. Antonio Senadel, G. D. Pablo Rubi­ nes , 50. D José Gabriel Gómez , por sí y su hijo D. José María, 100. Don José Donaires , G. D. Francisco Boladeras,…</t>
  </si>
  <si>
    <t>Goicochea, Ramón</t>
  </si>
  <si>
    <t>Ramón Goicochea</t>
  </si>
  <si>
    <t>xo Martinez de Piaillos , subdelegado de marina de Huanchaco , en cada año, 91 y 2. i). Manuel Quadros, f la tripulación del bergantín Nieve, 15 y 2. D. Ramón Goicochea , capitán de la fragata Nueva Castor, 20. Su tripulación, 21 y 4. La de la fragata Veloz , 16 y 2. D. Bartolomé Larreta, capitán de la fragata Júpiter , y su …</t>
  </si>
  <si>
    <t>GoiQue, Juan</t>
  </si>
  <si>
    <t>Juan GoiQue</t>
  </si>
  <si>
    <t>intereses de vales reales. D. Antonio Nicolás de Achntegui..... 33934 986305 10 D. Luis Ximenez del Corral, por me­ . ).•• ,, -— dio de su apoderado D. Juan GoiQue i nna suma importan novecientos ochen­ ............................... ;........................ 5 4i 17 ta y seis mil trescientos y cinco reales y diez ma­ D. And…</t>
  </si>
  <si>
    <t>Goíxsct</t>
  </si>
  <si>
    <t>s países á que perteasciau lo* venia de Junquera, confiada en la superioridad de tres nuevos.departamentos. »□ número, atacó la villa de Alhaurin: el capitán Goíxsct, del 12.* de dragonea, que manda esta po~ ESPAÑA. b acion, ha rechazado vivamente los ataques reite­ rados de los insurgentes, que han huido vergonzo­ Sevilla 20…</t>
  </si>
  <si>
    <t>Gollowin</t>
  </si>
  <si>
    <t>e este mes salió para Breslau el conde sido nombrado consejero de Estado , y el conseje­ de Kalkreuth , general feld-mariscal y gobernador, ro íntimo conde Gollowin ha sido nombrado co­ de esta capital. lero mayor. Durante ¡a ausencia del ministro Bar­ También salió ayer para Breslau S. A. el prín­ cia! de Tolly queda encarga…</t>
  </si>
  <si>
    <t>Golysin</t>
  </si>
  <si>
    <t>Mecklemburgo-Strelitz , coronel y negocios de la guerra el teniente general príncipe brigadier. G ,ittchakow. HUNGRIA. Han llegado á esta capital el príncipe Golysin; el conde Orlow- Denisow , edecán del Emperador; V re¡burgo 72 de abril. t-1 general Dcrnidotv y el teniente general Ridielien , gobernador militar de Odessa. El…</t>
  </si>
  <si>
    <t>Gome, Melchor</t>
  </si>
  <si>
    <t>Melchor Gome</t>
  </si>
  <si>
    <t>1085 «o de su empleo D. Melchor Gome* , que lia dado pruebas de mucho valor en la misma; é igualmente recomienda al teniente D. Macuel Peres, que estaba de su ayudante interino en aquel día, y al sargen­ to primero Gerónimo Ramí</t>
  </si>
  <si>
    <t>Gómez</t>
  </si>
  <si>
    <t>rubias, la villa de T&lt;&gt;lox, Valdefuentes, Torre de Sta. María, Losar, Abadía, Granada , Serrejon , Torrejoa el Rubio , Garganta de la Olla, Casas de D. Gómez, Malpartida, Viandar,. Monte-hermoso, Burguillos, Zafra, Fuente de Cantos, La­ te rre , Oliva, Val verde de Leganes, Torreiuayor, D. Alvaro, Puer­ to dé Sta.. Cruz Encin…</t>
  </si>
  <si>
    <t>Gómez, Andrés</t>
  </si>
  <si>
    <t>Andrés Gómez</t>
  </si>
  <si>
    <t>D. José Carmona , 50. D. Domingo Bgoaguirre , 25. D. Manuel Rubia, 25 D. José Manuel Valdés , 25. D.'Lo­ renzo niñones , 25. D. Juan de la Roca , 25. D. Andrés Gómez , 25. D. José Fiaría Dávila , 25. D. José Puente , 25 D, Manuel Sequin , 25. D. Pedro Echeverría , ti. D José María Palqoij , 17. D. Pedro José Colmenares , pres…</t>
  </si>
  <si>
    <t>Gómez, Andrés González</t>
  </si>
  <si>
    <t>Andrés González Gómez</t>
  </si>
  <si>
    <t>resuman tener derecho á los bie­ Extracto de una carta del general Blake al ge­ nes que han quedado por fallecimiento del. licenciado neral O-Donell. D. Andrés González Gómez , abogado que fue de ios reales consejos y del colegio de esta corte, natural de ,,En coosecnencia de maduras reflexiones acerca la villa de Gata, obisp…</t>
  </si>
  <si>
    <t>Gómez, Antonio</t>
  </si>
  <si>
    <t>Antonio Gómez</t>
  </si>
  <si>
    <t>es de Conohucos á lloaras , 2. Cw- rene de Arequipa. Administrador dfc Chincha í). José Céspedes, 25. Id. de Pisco D. Luis Mi­ randa , 17. Id. de lea D. Antonio Gómez , 25. Teniente de id. D. FNteban G#imdo, 6. Administrador de Palpa D. Baltasar de Polo, 17. Id, de ÍVa-ca 15 Tomas de Ribera , 50. Id. de Acari D. Juan Navarro …</t>
  </si>
  <si>
    <t>Gómez, Cristóbal</t>
  </si>
  <si>
    <t>Cristóbal Gómez</t>
  </si>
  <si>
    <t>síndico general primera de ella. El Sr. D. Pantaleon Beramen-^ Como hombres buenos, vecinos de la di. \ provincia, elegidos por la junta mis— El Sr. D. Cristóbal Gómez y { ma, según dicho decreto de las CocGüemes................................. ............ ..j tes de 25 de mayo último. Y secretario el Sr. D. Miguel de Gordo…</t>
  </si>
  <si>
    <t>Gómez, Francisco</t>
  </si>
  <si>
    <t>Francisco Gómez</t>
  </si>
  <si>
    <t>a Hada, id......2aoó D. Josef Ortiz , id....................................... . 2200 D. Nicolás Tinaones, id.................................. 2200 D. Francisco Gómez, residente en HinoJosa. 220® L&gt;. Francisco Tinaones, id.............................. 2200 D. Joaquín de Pineda, id. en Espejo.......... 2200 D. Bartolomé de …</t>
  </si>
  <si>
    <t>Manuel Diaz de Castro, id., 9. D. Pedro Boyer y su es­ posa , id., 9. El teniente D. Agustin de Cárdenas, por 3, 27. D. Claudio Ma­ teo , por uno, 9. D. Francisco Gómez, mientras pueda , id, 9. D. Antonio Bustamante, por 2 durante la guerra, 18. D. Francisco López Gamuza, por «no , 9. D. Pió Miliar, id., 9. D. Martin Domíngue…</t>
  </si>
  <si>
    <t>Gómez, Gabriel García</t>
  </si>
  <si>
    <t>Gabriel García Gómez</t>
  </si>
  <si>
    <t>no de O Ignacio Casanova, 933. D. Domingo Espantoso , 100. Él pueblo de S. Barón don , 96 y 3. El de Daule , 505 y 1. El de Balsar , 61 y ti y medio. D. Gabriel García Gómez, 7*2. El adminis­ trador, contador y empleados en la renta de tabacos, 178. D. José Gabriel A-tete ,11 y 2. D. Manuel Aviles , 9t&gt;. La provincia de Porto…</t>
  </si>
  <si>
    <t>Gómez, Gregorio</t>
  </si>
  <si>
    <t>Gregorio Gómez</t>
  </si>
  <si>
    <t>768</t>
  </si>
  <si>
    <t>onera. El fuerte fué incendiado y destruido, no quedan lo ni dra sobre piedra. Ei placer de esta vent&amp;ji se aguó por la muerte del teniente coro­ nel D. Gregorio Gómez, comuadante de! segundo escuadrón, t ficial tan estimado de los soldados como de los p íeblos. Murieron tam bien otros 5 soldados. Cádh 22 de jubo. Está hecha …</t>
  </si>
  <si>
    <t>Gómez, Jacinto</t>
  </si>
  <si>
    <t>Jacinto Gómez</t>
  </si>
  <si>
    <t>ndez, id.............. ............. 2200 D. Juan Garrido, id. en Baena..... ................ 2200 D. Josef Colorado y Delgado, id...,.......... 220O D. Jacinto Gómez, id. en Benamexí........... 2200 D. Josef López , id............................... ;............. 2200 D. Josef Castellón, id. en Ecija................... 2200…</t>
  </si>
  <si>
    <t>Gómez, Jaiba</t>
  </si>
  <si>
    <t>Jaiba Gómez</t>
  </si>
  <si>
    <t>tian Gütietrez.- "'y; A D. Francisco Cascon para el de Si Pedro de Al presbítero ex-cistercieníe D. Manuel LedO Ledesma, vacante por fallecimiento de D. Jaiba Gómez para otro beneficio en encomiéndá-dé’Tá García. parroquia de Villatobas, én el ¿arzobispado".^To­ A D. Alonso Roldan para el de la villa de Vi- ledo, vacante por …</t>
  </si>
  <si>
    <t>Gómez, José Gabriel</t>
  </si>
  <si>
    <t>José Gabriel Gómez</t>
  </si>
  <si>
    <t>Antonio de Cárdenas, 100. El capitán de milicias D. Atanasio de la Canal, 12. D. Mariano Goichi, 17. D. Antonio Senadel, G. D. Pablo Rubi­ nes , 50. D José Gabriel Gómez , por sí y su hijo D. José María, 100. Don José Donaires , G. D. Francisco Boladeras, 12. D. José González , G. D. Fran­ cisco Hurtado , 6. D. Antonio Le gom…</t>
  </si>
  <si>
    <t>Gómez, José Manuel</t>
  </si>
  <si>
    <t>José Manuel Gómez</t>
  </si>
  <si>
    <t>INI oran , teniente coronel de id., 2000. D. Mariano Rodríguez y Subiate, subdelegado interino de Chachapoyas, 2000. D. José Nunez , presbítero, 50. D. José Manuel Gómez , capitán del bergantín Europa, 20. Su tripulación , 20. IX Diego Escanden , capitán de la fragata Limeña , 10. Su tripulación , 18 y 4. La de i a fragata Bá…</t>
  </si>
  <si>
    <t>Gómez, Josef</t>
  </si>
  <si>
    <t>Josef Gómez</t>
  </si>
  <si>
    <t>e en M -nD. Benito García y Pradas, id..................... 2200 t.ilía......................................................................... 22CO D. Josef Gómez, id,.......................................... 2200 D. F rancheo de Paula Ruinirez, id pn Lu­ D. .Ambrosio López, id..................................... 2200 cen…</t>
  </si>
  <si>
    <t>Gómez, Juan</t>
  </si>
  <si>
    <t>Juan Gómez</t>
  </si>
  <si>
    <t>muerte de D. Fernando García de S. Pedro, á D. Manuel D. Antonio Perez Barquero, al presbítero ex-car­ Ramos, ex-franciscano descalzo. melita calzado D. Juan Gómez. Para la de Vayacas y Carataunas, sn último Para el de IsW.r y Tablate , vacante por re­ poseedor D. Antonio García , á D. Rafael de la nuncia de D. Josef Mt-xía, …</t>
  </si>
  <si>
    <t>Gómez, Juan de Jesús</t>
  </si>
  <si>
    <t>Juan de Jesús Gómez</t>
  </si>
  <si>
    <t>, 18. D. Bonifacio Duarte, id., 18. El canónigo D. Julián José del Barrio , id., 18. D. Julián Delgado, por uno , 9 D. José Melchor Vaídes , id. , 9. D. Juan de Jesús Gómez , por 2, 18. D. Lojye Morales, por 4., 30. el presbítero D. Manuel Echevarría, id. 36. D. Manuel Díaz, por 10,90. D. Francisco Ferrer Salomer y sus hijos,…</t>
  </si>
  <si>
    <t>Gómez, Manuel</t>
  </si>
  <si>
    <t>Manuel Gómez</t>
  </si>
  <si>
    <t>rmelita calza­ minico. do D. Juan de Prados. Para la deHuecijt,su último poseedor D. Ma­ Para el u.ain de Alcázar, vacante por moer- riano Bcltran, á D. Manuel Gómez, ex-franciscano te de D. Bartolomé Mario, al presbítero D. Fran­ del orden tercero. cisco Pv/ez Armijo. Para la de Hnadaortuna, sn último poseedor Para el de Por…</t>
  </si>
  <si>
    <t>Gómez, Matías</t>
  </si>
  <si>
    <t>Matías Gómez</t>
  </si>
  <si>
    <t>eo en aquel sitio, entraron en es­ Ex-gerotiimos. ta ciudad con 1200 prisioneros de la división del brigadier Martin, en la que ios moertos llegarían D. Matías Gómez, residente en Sari-Gar­ á 30. Un solo muerto tuvieron los enemigos, ede­ cía.......................... ....................................... . 2 200 cán del ge…</t>
  </si>
  <si>
    <t>Gómez, Miguel</t>
  </si>
  <si>
    <t>Miguel Gómez</t>
  </si>
  <si>
    <t>fanegas, nueve celemines y D. Santiago Yepes, sargento primero, ¿subte­ 20 estadales, y su valor á 550 rs. fanega. Otra en el niente en la vacante de D. Miguel Gómez. sitio de la Barranca, que al oriente linda con tierra de D. Josef Gallo, sargento, á abanderado. D. Josef Teodoro Santos, al mediodía con el retamar de D. Josef…</t>
  </si>
  <si>
    <t>Gómez, Pedro</t>
  </si>
  <si>
    <t>Pedro Gómez</t>
  </si>
  <si>
    <t>icta­ men de la seczion del mismo ramo de nuestro con­ D. Martin B' Urriet, por medio de sejo de E-tado, hemos decretado y decretamos lo su apoderado D. Pedro Gómez siguiente : de Rozas......................................... . 1382 i articulo I, ,, Reconocemos acreedores del es­ D. Francisco de Paula Frias, corno tado á los…</t>
  </si>
  <si>
    <t>Gómez, Ramón</t>
  </si>
  <si>
    <t>Ramón Gómez</t>
  </si>
  <si>
    <t>y por lo mismo muy sensible su pérdida; 22 heridos, 3 de algu«a consideración , aunque curables , incluso el sub­ teniente del bata!km de Numantinos D. Ramón Gómez , 4 caballos muertos-y lo heridos. Séame lícito decir, señor Excmo., que Ia&gt; tro­ pas que componen esta división que tengo el honor de mandar, pue­ den competir co…</t>
  </si>
  <si>
    <t>Gómez, Tadeo Segundo</t>
  </si>
  <si>
    <t>Tadeo Segundo Gómez</t>
  </si>
  <si>
    <t>nio Cartavarrh , D. Antonio López Quintaba, D. Francisco López Lisperguer, D. Gerónimo Diez, D. Ciríaco González Carva­ jal , D. Antonio Cano Manuel, D. Tadeo Segundo Gómez, D. Ma­ nuel dei Castillo Negrete , D. Francisco Ibañez de Ley va , D. Ma­ nuel'Antonio de la Bodega y Moliinedo, O. Francisco Diez, D. Jayme Alvaroz de M…</t>
  </si>
  <si>
    <t>Gómez, Valerio</t>
  </si>
  <si>
    <t>Valerio Gómez</t>
  </si>
  <si>
    <t>383</t>
  </si>
  <si>
    <t>eber, d istinguí endose por la ma­ yor velocidad de sas cnbvhss el sargento mayor de húsares de Can­ tabria O Francisco María Fernán \ez, el teniente D. Valerio Gómez, ci su 'genio segundo Agustín González , el húsar .Benito González Ccl mismo cuerpo, el alférez de candores de Castilla O. Aqixib.no Gon­ zález , el capellán de…</t>
  </si>
  <si>
    <t>Gon, Pedro</t>
  </si>
  <si>
    <t>Pedro Gon</t>
  </si>
  <si>
    <t>aderos á D. Femando Sánchez, y de fusileros á O. Ramón Muniz. En el batallón de milicias discipli­ nadas de Chiquimula, la sargentía mayor veterana á D. Pedro Gon­ zález , capitán del mencionado batallón íixo de Guatemala. En el ba­ tallón de Castilla, íixo de Campeche, tenencia de fusileros á D. An­ tonio Cuatreras ; subtene…</t>
  </si>
  <si>
    <t>Gondich</t>
  </si>
  <si>
    <t>262</t>
  </si>
  <si>
    <t>os ánimos de lq$ naturales, ir El Príocipe Real ha comenzado á estudiar el .sOntjgqa adhesión y afectar.! la Érancia, y lo derecho i sn maestro es el doctor Gondich. .que-es-raas la memoria del modo con que les ha Nada se ha publicado aun de oñcio acerca di -tratado la Inglaterra , j no serán otros tantos obs­ las resolucione…</t>
  </si>
  <si>
    <t>Góngora, Francisco Antonio</t>
  </si>
  <si>
    <t>Francisco Antonio Góngora</t>
  </si>
  <si>
    <t>n. = D. Mateo de Norzagaray. = D. Ignacio Campesino. Madrid 20 de octubre de 1812. = Juan Garrido. = Clemente de Cavia y Diez. Por resolución del Sr. D. Francisco Antonio Góngora, intendente general en comisión da esta provincia, se manda sacar á pública subasta, por el término de p días contados desde 22 del presente, todas …</t>
  </si>
  <si>
    <t>Gonser, Francisco</t>
  </si>
  <si>
    <t>Francisco Gonser</t>
  </si>
  <si>
    <t>o sus tentativas contra ei puente del Francolí que ocupaba el ba? tallón de Tarragona mandado por sit comandante D. José Muro y eí teniente del mismo D. Francisco Gonser , que se adelantó hasta el pie de la muralla. Verificado ya nuestro objeto hice la señal de reti­ rada cuando empezaba á amanecer, habiendo sido el resultado…</t>
  </si>
  <si>
    <t>Gonu-z, Juan</t>
  </si>
  <si>
    <t>Juan Gonu-z</t>
  </si>
  <si>
    <t>D-Josef Al varez , id. de Hinojosa , pro- ’ D. Pedro G reí» González,.id. en id.......... 2200 vincÍ3 de Ciudad-Rodrigo......................... 2209 D. Juan Gonu-z, id. en id............................ 2200 D. Alonso Antofi del Rio, id. de Fuente D. Miguel de P.ibios , diácono, id. en San Cespe..............................…</t>
  </si>
  <si>
    <t>Gonzá, Manuel</t>
  </si>
  <si>
    <t>Manuel Gonzá</t>
  </si>
  <si>
    <t>a ; del de Leales Manresanos á D. Pa­ blo Miró ; y del de Barcelona á D. Jasé Mambrilla. Comandancias de tercer batallón : del regimiento de Gerona á D. Manuel Gonzá­ lez : del de IvX iteró á D. Manuel Liauder; del de Ausona á D, José Mañ-'Z de la Torre; del de S. Femando á D. José de Calva; y del tle Barcelona á D. José Cost…</t>
  </si>
  <si>
    <t>González, Agnstin</t>
  </si>
  <si>
    <t>Agnstin González</t>
  </si>
  <si>
    <t>‘ tigudino, vacante por xnuerte de D. Lorenzo Y al: ex-gerónimo D. Josél- Burtlfo para^óffo Sacchez. beneficio'en encomienda de SrBtas dé ÁlbotñozV A D. Agnstin González para el de Pelabravo,’ en el obispado' de Cúenc3’, vacamé' por faliecivacante por fallecimiento de D. Andrés León Polo.- miento de D. Lorenzo Ramírez. ......…</t>
  </si>
  <si>
    <t>González, Agustín</t>
  </si>
  <si>
    <t>Agustín González</t>
  </si>
  <si>
    <t>de Cezana, atacado-por 200 enemigos que, tu vieron 5 heridos, entre ellos un oficial, sin otra pérdida por nuestra parte que un caballo herido-. JJe D Agustín González, comandante de las compañías del regimiento de Móntete*/, destinadas á incomodar al enemigo sobre la carretera, de Castilla.— Veinte yt uno de diciembre de 181…</t>
  </si>
  <si>
    <t>González, Andrés</t>
  </si>
  <si>
    <t>Andrés González</t>
  </si>
  <si>
    <t>459</t>
  </si>
  <si>
    <t>paite de 3 soldados mueiíos , y del segundo ci;pitan ¿el se­ gundo batallón de voluntarios de Aragón D. Je té Aure, el subteniente agregado al mismo D. Andrés González, y Ifc sargentea. cabo3 y solda­ dos heridos; hice marchar á Checa los prisionero:* con la correspon­ diente escolta , y que el teniente coronel D. Rafail Pare…</t>
  </si>
  <si>
    <t>González, Antonio</t>
  </si>
  <si>
    <t>Antonio González</t>
  </si>
  <si>
    <t>Continúan los donativos del Perú D. Clemente Ortiz, S ps. fs. D. Mariano Arias , 8. D. Antonio Cos, 10. Y D. Antonio González , 25. — Intendencia de Tarma. El gobernador é inten­ dente I). llamón de Urrotia y las Casas , ofrece dar en España , 1200 pesos, 500 por sí , 500 por su esposa Doña Agueda Arnao, y 200 por</t>
  </si>
  <si>
    <t>anuel Guio, D. Juan Utrero, D. Benigno Merchan, D. Víctor Casasola, D. Pascual del Rey, D. Miguel Parrales, D. Francis­ co Ayuso, D. Miguel González, D. Antonio González, D. Angel Llave, D. Josef Ulloa, D. Francisco Acosta, D. Justo Clemente, D. Josef Sánchez, D. Eustaquio Hidalgo, D. Basilio Aguado, D. Tomas Aparicio, D, Fer…</t>
  </si>
  <si>
    <t>González, Buenaventura</t>
  </si>
  <si>
    <t>Buenaventura González</t>
  </si>
  <si>
    <t>id. de Angaaciana de D. E1Í3S García, id. en Segovia.................. 2200 la Rioja............................................................ 2200 D. Buenaventura González , id. en id. , D.;Tomas de-Pomarada , id. de Melarde, lego....................................................................... 1100 eti el principado…</t>
  </si>
  <si>
    <t>González, Domingo</t>
  </si>
  <si>
    <t>Domingo González</t>
  </si>
  <si>
    <t>rio va y Aviles , 12. D Vi­ cente Aviles , 20. í&gt;. Manuel Andrade , 25. D, Antonio Gonza'ez , 100. Don Isidro Domínguez, 20. D. Francisco Ortiz , 20. D. Domingo González, 20. D. Manuel Rodríguez Quesada, 4. D. Manuel Ramos , 25. D. Vicente de la Mata, 10. D. Jacinto de la Mata, 10 D Francisco Paredes, 200. D. Mi­ guel Navarre…</t>
  </si>
  <si>
    <t>González, Esteban</t>
  </si>
  <si>
    <t>Esteban González</t>
  </si>
  <si>
    <t>z. D. José Martínez, D. Juan Matalobos, D. Bernardo Mari ño, Id. Manuel Iglesias y Vázquez, D. Manuel Perez, í&gt;. Ma­ teo Pi con , D. «luán de Neyra y D. Esteban González ; y los de subtenica íes á D. Joaquín San Marrtin , D. Juan Perez y Barros, D. Ma­ nuel Fifgueyra , O. Bartolomé Gómez, D Simón Antonio Martínez, D. Juan San…</t>
  </si>
  <si>
    <t>González, Francisco</t>
  </si>
  <si>
    <t>Francisco González</t>
  </si>
  <si>
    <t>seguro correspondiente, precedido el txámeo de D. D .go E u¡&gt;. las circunstancias que previene el citado decreto de D. Joaquín P-ayon. 14 de enero. -D. Francisco González. 8.° Tanto estas justicias como las de los pue­ ü. íldtfoaso Mancilía. blos en que 'tuvieren su domicilio los dispersos que se hayan retirado ó se retiren á…</t>
  </si>
  <si>
    <t>acercarse á Alhaurin, y el aprisionó é mismo ai secretario del general B .[es­ ataque que dieron los valerosos del 2i.° de drago­ teros. Ei teniente D. Francisco González, encar­ nes, bastaron para arrojar de,allí 500 tiradores que gado de organizar la conapañí 1 de cazadores de ocupaban.la plaza y las calles principales. Dor…</t>
  </si>
  <si>
    <t>pul ados seculares , y el último secretario Secretario interino, D. Pedro Irig^üen. D. Josef Villar. . &gt; D. Juan de S. Miguel. BARRIO DE LA TRINIDAD. D. Francisco González. Alcalde de barrio D. Joan Antonio Balledor. BARRIO DE GUARDIAS ESPAÑOLAS. Diputado eclesiástico Alcalde 'de barrio. D. Fraucisco Silverio Vázquez. D. Pedr…</t>
  </si>
  <si>
    <t>50. D. Domingo Miranda,’ 25. D. Francisco Antonio de Taegui , 50. D. Ramón Caballero , 25. D. José do ílercsa , 50. D. Silvestre Pon ce de León , 25. D. Francisco González, 50. D. Simón Muñoz, 25. D. Manuel Miranda, 12. D. José María Viso, 25. D. Francisco de Otero , 40. D. Francisco Merino, 25. D. Ce&gt;areo Sanor, 50. D. Juan …</t>
  </si>
  <si>
    <t>..... 2200 D. Francisco Angelina ", id...’......................... 22C0 D. Josef Angelina, id.......'............................ 2200 Ex-bernardoi. D. Francisco González , id........................... 320a De Alberico Hortet, residente en Plañóles D. Antonio Serrano , residente en Cabra... 2200 en Cataluña.................…</t>
  </si>
  <si>
    <t>González, Isidoro Perez</t>
  </si>
  <si>
    <t>Isidoro Perez González</t>
  </si>
  <si>
    <t>, Nicolás “DíazMiranda del Castañal, vacante por fallecimiento de Tuesta. • f de D. Baltasar Cerezo. Al presbítero ex franciscano D. Iqocérieió' dé A D. Isidoro Perez González para el de-Moni- Cubas para el beneficio en encomienda de Ti vi Ha tejo de Salvatierra, vacante por muerte de D. Mi­ de Baños, en la diócesis de'Jlen",…</t>
  </si>
  <si>
    <t>González, Joief</t>
  </si>
  <si>
    <t>Joief González</t>
  </si>
  <si>
    <t>residente en Bacna. 2200 D. Josef López, id............. .......................... 2200 D. Pedro Rodríguez , id............................... 2200 D. Joief González, id.................................. 2200 D. Andrés de Villacueva , residente cu AlD. Miguel del Rincón,.id............................ 2200 caracejos.........…</t>
  </si>
  <si>
    <t>González, José</t>
  </si>
  <si>
    <t>José González</t>
  </si>
  <si>
    <t>tcniéidor D. Gesaro Martin , son acreedores á la protección de V. E. : los ayudantes del .batallón 'de cazadores de Castilla, D- Vicénte Gonzá­ lez y D. José González., y el teniente del mismo cuerpo ÍD. Nicolás Sánchez, se han hecho reparables por su celo y deseos de gloria; y el coronel D. Ventura Mena, ge fe del estado may…</t>
  </si>
  <si>
    <t>le , id. de Jauja , 50. Don Faustino Perez , id. de Concepción , 50. D. Manuel llamos, 30.* 1). Francisco Benito Suarez , 12. Fr. Carlos Sánchez ,1?. D. José González , G. D. Luis del ( "arpio y (i. t) José Herrera , (&gt;. Fr. Antonio Buvungaiay , G. D. José So!is , G. D. Martin Tadeo Lope-. 4. 1). 'ÍV.deo Miranda, 4. D. Lucas …</t>
  </si>
  <si>
    <t>o Senadel, G. D. Pablo Rubi­ nes , 50. D José Gabriel Gómez , por sí y su hijo D. José María, 100. Don José Donaires , G. D. Francisco Boladeras, 12. D. José González , G. D. Fran­ cisco Hurtado , 6. D. Antonio Le goma , por sí y su padre D. Juan , 50. Don Ignacio Odria , 6. D. Manuel Arana y Campomanes , 5. Doña María Soto, …</t>
  </si>
  <si>
    <t>1141</t>
  </si>
  <si>
    <t>una persona ele conocido valor, talento y presencia de ánimo para adquirir las noticias que tanto nos interesaban. Felizmente se hallaba'con nosotros D. José González, acreditado por sus antiguos buenos servicios , y por los que había hecho á las órdenes de los desgraciados gefes de Córdoba ai empezar la revolución de Buenos-…</t>
  </si>
  <si>
    <t>González, Juan</t>
  </si>
  <si>
    <t>Juan González</t>
  </si>
  <si>
    <t>ez, 50. D. Simón Muñoz, 25. D. Manuel Miranda, 12. D. José María Viso, 25. D. Francisco de Otero , 40. D. Francisco Merino, 25. D. Ce&gt;areo Sanor, 50. D. Juan González , 35. D, Patricio Bermudez, 12. D. Ignacio Monteros, l. D. Francisco Lavado, 12. D. Manuel * ’astro monte, G. 15. Fermín Ace ved o, 12. D. Bernardo Soto, 10. D.…</t>
  </si>
  <si>
    <t>onio García, residente eo Ja - D. Andrés de Quesada, id. id. en Jaén...... 1100 balquina............... ........................................ 2109 D. Juan González* id. en Jaén................... 2200 272800 Ex-agustinos descalzos. Cnyas pensiones reducidas, á una suma im­ portan doscientas setenta y dos mil ochocientos D.…</t>
  </si>
  <si>
    <t>González, Juan Manuel</t>
  </si>
  <si>
    <t>Juan Manuel González</t>
  </si>
  <si>
    <t>EL REI. = Por S. M., el ministro secretario de Estado = Firmado se Mariano Luis de Urquijo.” ESPAÑA. El REI se ha dignado nombrar al ex-cistercíense D. Juan Manuel González , presbítero, pa­ Madrid 16 de junio. ra qae sirva en encomienda una capellanía , vacan­ te en la villa de Morara, diócesis de Toledo, por Extracto de las…</t>
  </si>
  <si>
    <t>González, Manuel</t>
  </si>
  <si>
    <t>Manuel González</t>
  </si>
  <si>
    <t>l de Landa y Go'tt'u.......... 1722 4 ai arríenlo 3.0 de nuestro real decreto de 9 de ju­ D. Josef Montes y Rícarte.............. , 3°co lio de 1809. D. Manuel González............... . 3495 22 art. ni. Naestro ministro de Hacienda que­ D. Josef Dionisio de Agoilar.......... 3834 da encargado de la execucion del presente de­ …</t>
  </si>
  <si>
    <t>pitulando á consecuencia los que había dentro ; el de! segundo capi­ tán de voluntarios de Aragón D. José Aure, y del subteniente agre­ gado al mismo D. Manuel González, que al hacer rendir á los que se hallaban en la casa fueron gravemente heridos; el del soldado del propio batallón Pascual Larrea, que por 3 veces en Pozohqu…</t>
  </si>
  <si>
    <t>González, Mariano</t>
  </si>
  <si>
    <t>Mariano González</t>
  </si>
  <si>
    <t>on, id................................ arco D. Juan Prieto, id................... 2200 D. Antonio de Navas, id................................. 22.00 D. Mariano González, id................................ 2200 D. Pablo Vega , id................................. ........... 2 2QO D. Juan Rodríguez, id.........................…</t>
  </si>
  <si>
    <t>González, Mateo</t>
  </si>
  <si>
    <t>Mateo González</t>
  </si>
  <si>
    <t>de la diputación presen­ como un ahorcado por espacio de tres minutos, y tada últimamente. después se le soltó. Y» soi el amigo del pobre, del Arias (D. Mateo González) , fiscal del tribunal desvalido y desgraciado, y el enemigo del trono criminal de Birlos. de los opresores. = Firmado ~ El gcueral Ludd.” Arriada ( D. Juan), …</t>
  </si>
  <si>
    <t>González, Matías</t>
  </si>
  <si>
    <t>Matías González</t>
  </si>
  <si>
    <t>1261</t>
  </si>
  <si>
    <t>mente han desem­ peñado sus deberes. . . „E1 fuego del enemigo fuá tan acertado,' que al tercer -cañonazo. Yne mataron el caballo , el de mi ayudante D. Matías González y el de un dragón de mi guardia ; pero la mugestad Divina, que tan vi­ siblemente nos protege, hizo que no tuviesen mas efecto sus fue­ gos , logrando tan dis…</t>
  </si>
  <si>
    <t>González, Miguel</t>
  </si>
  <si>
    <t>Miguel González</t>
  </si>
  <si>
    <t>tes; D. Josef Mari— ner , teniente de carabineros del regimiento de REINO DE ÑAPOLES. Castilla, i.® de infantería ligera, á capitán del mismo cuerpo; D. Miguel González , subteniente Ñapóles ao de abril. del regimiento de Granada , 4.° de infantería de línea , á subteniente del de Castilla , i.° de infan­ S. M. ha nombrado mi…</t>
  </si>
  <si>
    <t>go Draper , D. Ma­ nuel Guio, D. Juan Utrero , D. Benigno Merchau, D. Víctor Casasola , D. Pascual del Rey , D. Miguel Parrales, D. Francisco Ay uso, D. Miguel González, D. Antonio (González, D. Angel Liare, D. José Uiloa,D Francisco Acosta, D. Justo Clemente, D. José Sánchez, D. Eustaquio Hidalgo, D. Basilio Aguado, D. Tomas…</t>
  </si>
  <si>
    <t>Domingo Draper, D. Manuel Guio, D. Juan Utrero, D. Benigno Merchan, D. Víctor Casasola, D. Pascual del Rey, D. Miguel Parrales, D. Francis­ co Ayuso, D. Miguel González, D. Antonio González, D. Angel Llave, D. Josef Ulloa, D. Francisco Acosta, D. Justo Clemente, D. Josef Sánchez, D. Eustaquio Hidalgo, D. Basilio Aguado, D. To…</t>
  </si>
  <si>
    <t>González, Pablo</t>
  </si>
  <si>
    <t>Pablo González</t>
  </si>
  <si>
    <t>, 23. La asamblea y oficiales milicianos del cuerpo ríe dragones, 4250. Curas y clerecía de Já {ja. D. Jo-é Ignacio ¡Moreno , cura de Huancayo , 100. D. Pablo González , id. de SicaFa , 50. D. Juan Evangelista Espejo, id. de Sapallanga, 50. D. Xavier Aguinacable , id. de Jauja , 50. Don Faustino Perez , id. de Concepción , 50…</t>
  </si>
  <si>
    <t>................ 22co D. Miguel Diaz, id. en Ecija......................... 2200 P. Rafael Serrano , id......................................... 2200 D. Pablo González , id...................................... 2200 P. Francisco Solano García, id....................... 2200 D. Francisco López , residente en Rambla. 2200 D. Cr…</t>
  </si>
  <si>
    <t>González, Pedro</t>
  </si>
  <si>
    <t>Pedro González</t>
  </si>
  <si>
    <t>te , 2. D. Manuel Vengocne.a , 2. D. José Marlategui, 2. D. 'Francisco Roxas, 2. D. Gerónimo Larriva, 2. D. Manuel Zarate, 1. D. Pedro ÍJuidrobo , 2. D. Pedro González, 2. D. José Pac hoco , 2. D. Antonio Córdoba , 2. D. Manuel Maza , 2. Don Mariano Hurtado, 1 y /i. D. José Perez, 1. I&gt;. Manuel Chacal tana, 2. Pon Francisco A…</t>
  </si>
  <si>
    <t>-ambiciosos :,‘ áV co­ Y á D. Joaquín Calvo para la vicaría de Na­ merciante alivio en los derechos , al labrador dis­ vales , vacante por ascenso de D. Pedro González minución de tributos y gabelas , baratura de co4 Padrón. ’ mestibles al artesano, y abundancia jrbólStfra' á todos. ■ En el obispado de Palenda. En el trato co…</t>
  </si>
  <si>
    <t>González, Ramón</t>
  </si>
  <si>
    <t>Ramón González</t>
  </si>
  <si>
    <t>, D. Francisco Amores, capitán del de Chinchilla, D. Jasé Masañes, capitán ccn grado de teniente coronel de las com­ pañías de zapadores de Cataluña, D. Ramón González, capitán del segundo del batallón de voluntarios de Santiago , D. José CienfuefgoB, capitán del batallón del General del sexto exército , D. Jsyme Fablegues, c…</t>
  </si>
  <si>
    <t>González, Tomas</t>
  </si>
  <si>
    <t>Tomas González</t>
  </si>
  <si>
    <t>vincia de Burgos.......................... 2209 D. Francisco Gil, residente en Valseca.... 2200 D. Pedro Ruiz, i.d- de Villarcayo............. . 2200 D. Tomas González , id. en Santa María D. Angel Fernandez Campiñas , id. de de Nieva......................................................... 2200 Quintana, provincia de Alava..…</t>
  </si>
  <si>
    <t>González, Valentín</t>
  </si>
  <si>
    <t>Valentín González</t>
  </si>
  <si>
    <t>guel de en punto de su tarde. Allier seguí do teniente del mismo cuerpo. Al subteniente del regimiento de Murcia, 2.* TEATROS* de infanteríj ligera , D. Valentín González teniertr te del mismo coetpo, con la antigüedad de 18 de En el del Príncipe, á las siete y media de la no­ dictembfe del ano próximo pasado. che , se repres…</t>
  </si>
  <si>
    <t>González, Vicente</t>
  </si>
  <si>
    <t>Vicente González</t>
  </si>
  <si>
    <t>Carriazo, id., 9. D. Juan Suavedra, id. , 4. D. Juan. José Hortelano , id., 2. D. Juan Cayetano de Miranda, id., 12. D. José Her­ nández , id. , uno. D. Vicente González, id., uno. I&gt;. Tomas Calvo , id., 2. D. Isidro José Cay mar i, id., 4. I). Fernando Alonso de Coya , id., uno. DoJ ña María Josefa Bachpni, por un soldado po…</t>
  </si>
  <si>
    <t>Gonzilez, Miguel</t>
  </si>
  <si>
    <t>Miguel Gonzilez</t>
  </si>
  <si>
    <t>Austria adquirió cierta preponderancia en D. Diego Díaz, diácono, id....................... 2200 Europa , consiguió est.,b ecer sobre el trono de Es­ D. Miguel Gonzilez, id............................... 2200 paña su dinastía Q iando esta decayó basta ei D Bernardo Garrido, id.............................. 2200 extremo, la ca…</t>
  </si>
  <si>
    <t>Gook</t>
  </si>
  <si>
    <t>banquete, en que reyuaron la franqueza militar, la cordialidad y la alegría. En ?a cabecera de la mesa deí estado mayor, se hallaba á la dere­ cha e; general Gook, comandante en geíe de las tropas brilánicas , y. á su lado el comandante gene: al del departamento da marina, D. Mi­ guel de Sousa: por la derecha seguían el Sr. c…</t>
  </si>
  <si>
    <t>Gordilio, José</t>
  </si>
  <si>
    <t>José Gordilio</t>
  </si>
  <si>
    <t>iano Campero, 17. D. Mariano Murga, 8. D. Norberto Ve­ ga , 4. D. Isidro Andrade , 4. D. Ramón Anderos, 4. D. José Pequeño , 4. D. Juan Fernandez, 2. D. José Gordilio , 2. D. José Cañizares, 2. D. Juan Melgar , 2. D. Lorenzo Vargas , 2. D. José Ramírez , 2. D. Juan Sta. María, 2. — Cirujanos, i). José Gay i no Chacaltana , 25…</t>
  </si>
  <si>
    <t>Gordillo, Francisco</t>
  </si>
  <si>
    <t>Francisco Gordillo</t>
  </si>
  <si>
    <t>............ . 220® las Torres......................................................... . 2200 D. Juan Antonio Serrano, id...................... 2200 D. Francisco Gordillo, id...*........................... 2200 D. JosefRafael Rodríguez, id...................... 2200 D. Manuel Fernandez , residente en Alón— D. Rafael Aledioa …</t>
  </si>
  <si>
    <t>Gordo, José Miguel</t>
  </si>
  <si>
    <t>José Miguel Gordo</t>
  </si>
  <si>
    <t>te y uno de sus secretarios; salieron electos, para presidente el Sr. D. Andrés Angel de la Vega, diputado per Asturias; para vice­ presidente el Sr. D. José Miguel Gordo», diputado perla provincia de Zacatecas; y para secretario el Sr. D. Joaquín de Olmedo, dipu­ tado por la ciudad de Santiago de Guayaquil. Circular del mini…</t>
  </si>
  <si>
    <t>Gordo, León</t>
  </si>
  <si>
    <t>León Gordo</t>
  </si>
  <si>
    <t>ubtenientes de infantería, con destino á los cuerpos del segundo y tercer exército, á D. Juan Vela, D. Juan Mozas, D. Josef Carrasco, D. Diego Perez, D. León Gordo, Don Josef González Yuste, D. Juan Manuel Calero, D. Calixto Rodríguez, Don Ildefonso Ruiz, D. Agustín Lázaro, D. Juan Burguillos, D. Santiago López Ruiz, D. Pedro…</t>
  </si>
  <si>
    <t>Gordo, Pedro</t>
  </si>
  <si>
    <t>Pedro Gordo</t>
  </si>
  <si>
    <t>és Bobre Cervera por ha­ ber acudido fuerzas enemigas muy superiores. En Soria cometieron los franceses la atrocidad de asesinar el 2 del corriente á D. Pedro Gordo, cura de Santibañez, vice-presidente de la junta superior de Burgos, D. Eulogio Muro, vocal de la misma, D. José Ortiz Covarrubias , intendente de la provincia , …</t>
  </si>
  <si>
    <t>Gordon</t>
  </si>
  <si>
    <t>812. GRAN-BRETAÑA. hóndres IB de diciembre de 1811. Con fecha de 16 del último mes ha publicado la secretaría del almirantazgo la carta siguiente del capitán Gordon, de ía fragata de S. M. la Activa, fecha á bordo del mismo buque, al ancla delante de Ragosniza, á 27 de julio de 1811, y dirigida al capitán Murruy Maxwell, del …</t>
  </si>
  <si>
    <t>Gorf</t>
  </si>
  <si>
    <t>taschi, y el sexto en Novagiodi. El enemigo, há multiplicado sus movimientos, y de sus resultas-se han «empeñado algunas acciones parciales. El mayor general Gorf, qué-mamha «la retaguardia de los cuerpos tercero y quarto, ha rechizado todos los ata«qaes del enemigo, y por medio de prudentes maniobras ha sabido conté-</t>
  </si>
  <si>
    <t>Gortázar, Miguel María</t>
  </si>
  <si>
    <t>Miguel María Gortázar</t>
  </si>
  <si>
    <t>ra poder escapar de manos de su asesino, y para D. Tomas López Antón...................... 2131 5 pedir socorro á los vecinos , quienes acudieron in­ D. Miguel María Gortázar................... *99° 2 mediatamente á sus voces. D. Juan Nepomuceno de Arauda....... 2087 16 D. Julián de Otarte.............................. 1148 4…</t>
  </si>
  <si>
    <t>Gortscbakoff</t>
  </si>
  <si>
    <t>ido de un balazo en un pie , con gran sentimiento nuestro, el príncipe Bagration: también han síclo heridos los tenien­ tes generales Toutschkoff, el príncipe Gortscbakoff, los mayoresgenerales Bachmstieff, los condes Woronzoff y KretofF, Hemos co­ gido al enemigo varios cañones , y hecho algunos prisioneros, en­ tre ellos un…</t>
  </si>
  <si>
    <t>Gorveaj, Andrés</t>
  </si>
  <si>
    <t>Andrés Gorveaj</t>
  </si>
  <si>
    <t>zo. incurrido en pena alguna de ordenanza per moti­ vo grave ni leve, los caballeros seminarista mayor La diputación civil y eclesiástica de la villa D. Andrés Gorveaj gefes de sala D. Pedro Josef de Requena ha tenido lo honra de presentarse hoi Tagola y D. Felipe de Cíorraga; gefes de trozo al REI nuestro Señor; ye! corregid…</t>
  </si>
  <si>
    <t>Gosdejuela, Joaquín</t>
  </si>
  <si>
    <t>Joaquín Gosdejuela</t>
  </si>
  <si>
    <t>s de lo Interior y D. Alfonso Carrillo. de la Guerra quedan encargados de la execneion D. Manuel Romero. de este decreto.s: Firmado = YO EL RtT = Por D. Joaquín Gosdejuela. S. M., el ministro secretario de Estado = Firma­ D. Juan Crespo de Leoa, do = Mariano Luis de Urqoijo.” EN LA IMPRENTA REAL.</t>
  </si>
  <si>
    <t>Gotaredona, Lorenzo</t>
  </si>
  <si>
    <t>Lorenzo Gotaredona</t>
  </si>
  <si>
    <t>á los Sres. D. Hermenegildo Rodríguez de Ribera, oidor de la chancillería de Valladolid; D. Manuel de Estrada, juez mayor de Viz­ caya, de la misma; D. Lorenzo Gotaredona, D. Francisco Assin y D. Juan de Quesada, abogados en esta corte. Por fiscal al Sr. D. Josef Hernández Martínez, igualmente abogado. Por agentes fiscales á …</t>
  </si>
  <si>
    <t>al autor. Madrid 20 de octubre de 1812.=: D. Pe­ dro de Castro, Presidente. = D. Juan de, Dios Alonso y Herrera. = D. Ra­ fael Garrido y Rodríguez. = D. Lorenzo Gotaredona. = D. Gerónimo de Zemborain. = D. Mateo de Norzagaray. = D. Ignacio Campesino. Madrid 20 de octubre de 1812. = Juan Garrido. = Clemente de Cavia y Diez. Po…</t>
  </si>
  <si>
    <t>Gouni</t>
  </si>
  <si>
    <t>cargará sobre la Inglaterra sola, y que vivirá ago- sos muertos. yiada con tan enorme carga , sin sacar ningún fruto, El 20, habiendo tenido aviso el mariscal Gouni obtener resultado ninguno favorable. (The Times.) vion-Saint-Cyr que el mariscal duque de Bellune marchaba con el noveno cuerpo para reforzarle , re­ IMPERIO FRAN…</t>
  </si>
  <si>
    <t>Goureplicaremos</t>
  </si>
  <si>
    <t>en que no siones rusas de la Finlandia y muchas tropas de pueden conseguirlo, lo creeremos; pero también les. las milicias, atacó el tS de-octubre al mariscal Goureplicaremos que otros lo hubieran hecho. En fin, vion-Saint-Cyr; pero toe rechazado por este ma­ nosotros estamos íntimamente convencidos que has­ riscal y por el g…</t>
  </si>
  <si>
    <t>Gourrchacorremos</t>
  </si>
  <si>
    <t>s el paso franco; .Witepsk y Mohilow. El ininistfo de Policía añade nadie os molesta por los flancos, quando nosotros que igual copia lia dirigido al príncipe Gourrchacorremos acosados y casi envueltos por Davoust, kow, ministro de la Guerra, y A los gobiernos ci­ siguiéndonos de cerca el exército de Géróninacr, cu­ viles de …</t>
  </si>
  <si>
    <t>Govostiza, Ignacio</t>
  </si>
  <si>
    <t>Ignacio Govostiza</t>
  </si>
  <si>
    <t>n María Morillo , 10. D. Mariano Arcia y Tello, 20. D. José Camilo Morillo, 10. D. Juan..... .. 50. D. Guillermo Gutiérrez, 4. D. Ignacio de Vera, 6. D. Ignacio Govostiza, por algunos vecinos de la ciu­ dad Vieja , 22. D. Mariano Allende , 10. D. Antonio Vallejo por el pueblo d« Balao, 1G. D. Carlos Lagomasin, 200. D. Luis Mo…</t>
  </si>
  <si>
    <t>Gower, Antonio</t>
  </si>
  <si>
    <t>Antonio Gower</t>
  </si>
  <si>
    <t>s Loughnan, 50. Los Sres. Gordon, Murfiy compañía, 105. D. José Moreno de Mora, ¿0. Un patriota español, 100 y 120 cami­ sa?. D. Jorge Sacdcman, 100. D. Antonio Gower, 20. D. Juan Gar­ cía, 100. D. Juan Bautista Arnaza, 10. D Manuel T aranera, ¿0. D. Enrique Dowel, 100. Un amigo de D. Enrique Dowei, 50. M. y 8., 100. D. Juan …</t>
  </si>
  <si>
    <t>Goy, Francisco Antonio</t>
  </si>
  <si>
    <t>Francisco Antonio Goy</t>
  </si>
  <si>
    <t>Arias de Saavedra; comandancias á D. Matías de Larreta y D. Antonio Alvarez d;i Villar; la sargentía mayor, al marques de Torre-Tagls ; ayudantías á D. Francisco Antonio Goy tá­ salo, O- Dámaso Ar as y D. Fernando Dueñas; subtenencias de ban­ dera á D. Ramón deErrea, D. Manuel del Valle, D. Juan Gil, D. Juan Ignacio Mendizaba…</t>
  </si>
  <si>
    <t>Goycneche</t>
  </si>
  <si>
    <t>223</t>
  </si>
  <si>
    <t>rnf* i r\ n Atri nr»i o V V 1J.ÍC-1U ^ fe* / _ ___ ___ ____ _ » . .............. WVIVliiÍ11U.UUXU UCA 1 r» i T\ ¿\ aV Ribero. El parte de oficio del general Goycneche al Excmo. Sr. virey, que debía venir en derechura, ó no ha podido pasar por algunos pueblos de indios de la provincia, de la Paz, ó ha caído en sus manos,</t>
  </si>
  <si>
    <t>Goycourva, Joaquín</t>
  </si>
  <si>
    <t>Joaquín Goycourva</t>
  </si>
  <si>
    <t>nifacio Tariego, id., 9. D. Andrés Lesama, por 2, 18. D. José Marcial &lt; e Echarri, id., 18. D. Manuel Mas, por uno, 9. D. Do* mingo Cabrera , id., 9, D. Joaquín Goycourva, id,, 9. D. Juan Hernande* Acosta, id., 9. (Se continuará.) CADIZ: EN LA IMPRENTA REAL.</t>
  </si>
  <si>
    <t>Goyene</t>
  </si>
  <si>
    <t>iendo después de este desagradable suceso las noticias de la derrota de Giiaqui y de los progresos del exército de loa lea­ les peruanos al nvmdo del general Goyene che, el crédito* ya vaci­ lante de la junta no pudo, resistir al conjunto de tantas desgracias y reveses. Sacó, la cabeza el antiguo partido contrario á la junta …</t>
  </si>
  <si>
    <t>Goyeneche</t>
  </si>
  <si>
    <t>general de todas las casas de los europeos del Perú , y que sus tierras y posesiones se reparjivian entre los soldados que nía» se distinguiesen. EL brigadier Goyeneche después de.haber persegui­ do ú los .rebeldes, puso su cuartel general en O rufo, de donde sa­ lió el 2 del mes pasado para pacificar á Cocliabamba , en cuya …</t>
  </si>
  <si>
    <t>ue desde luego cese toda hostili­ dad y bloqueo en los ríos y costas de estas provincias. 13 Igualmente S. E. oficiará al Sr. virey del Perú y ai Sr. general Goyeneche, participándole el presente acomodamiento. 14 Todo vecino de la banda oriental se restituirá, si gusta , á sus hogares , y podrán pasarse mutuamente de uno á o…</t>
  </si>
  <si>
    <t>s años. Cuartel general de Oruro 3 de agos­ to de 1811. — Exorno. Sr. — José Jfanuel de Goy eneche. — Exctno. Sr. v iré y del Perú.” Oficio del mismo general Goyeneche con igual fecha al ilustre re­ gimiento de Con coi dio. „Conio es dispensadle la guerra para establecer la paz desde el mo­ mento que se rompe el v neulo suave…</t>
  </si>
  <si>
    <t>es por su parte tan injusta como temeraria, y que lo lleva lápidimedo á su destrucción y ruina. Amenazado de un lado per el c xércifo vence­ dor del general Goyeneche, que ya ha llegado á avanzar sus- pues­ tos hasta mas acá de Tupiza; casi sin otras tropas que las reliquias de las que pelearon en Guaquiy en Sipesipe, y e*as …</t>
  </si>
  <si>
    <t>1574</t>
  </si>
  <si>
    <t>icial de la real marina portuguesa. Idem 30 de Setiembre. Según todas las noticias que se han recibido aquí de Buenos-Ayres, las tropas del dignísimo general Goyeneche estaban ya al frente del Tucumkn; noticia que el gobierno de aquella ciudad tenia aun antes de dar el parte de la acción del rio de las Piedras. La división de…</t>
  </si>
  <si>
    <t>Goyeutche</t>
  </si>
  <si>
    <t>as de plantaciones que se han hecho y se piensa hacer Montevideo. Se 'Aperaba de un momento á Otro;al servirán.para adorno de estos monumentos, y pa­ general Goyeutche, que venía cao tropas delEetu. ra hacerlos aun mas diguo* de ad.uuaciou.</t>
  </si>
  <si>
    <t>Goyoneta, Joaquín</t>
  </si>
  <si>
    <t>Joaquín Goyoneta</t>
  </si>
  <si>
    <t>Gutiérrez, campanero de la mis­ ma ; el doctoral de la catedral de Toledo ; un arcediano de la cate­ dral de Salamanca; el corregidor de esta ciudad D. Joaquín Goyoneta; los regidores, marques de la Granja y D. Francisco Cavaleri; el regente de esta real audiencia D. Fernando Calvia, y los oidores D. Teótimo Escudero, D. Pedr…</t>
  </si>
  <si>
    <t>Gozaran, Josef</t>
  </si>
  <si>
    <t>Josef Gozaran</t>
  </si>
  <si>
    <t>representará por la compañía española la co­ D. Gerónimo Castellano i teniente, en b va- media en dos actos titulada el Café , y el sainete la «mu de D. Josef Gozaran. tragedia de Manolo. Actores en la comedia : Señoras art. iv. Eo ía milicia cívica de b villa de Es- Rosario García y Torres. Señores Ponce, Caprara, tepa Crist…</t>
  </si>
  <si>
    <t>Gra</t>
  </si>
  <si>
    <t>404</t>
  </si>
  <si>
    <t>ígido igualmente un destacamento hacía Guareña, y se proponía marchar en persona esta mañana so­ bre Mcdrllin , para obrar de acuerdo con el teniente general Gra­ bana.— No tengo noticia alguna autorizada de que se hayan puesto en movimiento todavía las tropas enemigas del mediodía: pero se dice que las de Sevilla han marchad…</t>
  </si>
  <si>
    <t>Grabam</t>
  </si>
  <si>
    <t>brigadier general Pack, que ha mandado el sitio, se distinguieron tiu ra¿ i te las últimas operaciones. jv EL íeníente general Grabam me asistió en la dirección y orden de ios detalles del sitio, ademas de desempeñar las obligaciones de general comandante de la primera división , y le soy realmente muy deudor por sus consejos…</t>
  </si>
  <si>
    <t>Grafeam</t>
  </si>
  <si>
    <t>, que ha construido y colocado en el Agueda un puente, sin el qUe no pudiera haberse efectuado la empresa y ha hecho después importantes servicios al general Grafeam y á mí en el reconocimiento de la plaza , para la formación del plan de ataque, y que por último ha mandado el segundo batallón del quinto regimiento y el segund…</t>
  </si>
  <si>
    <t>Grah, Sir Tomas</t>
  </si>
  <si>
    <t>Sir Tomas Grah</t>
  </si>
  <si>
    <t>ener abierta la comunicación entre el exército del mediodía y las divisio­ nes del exército de Portugal apostadas en la línea del Tajo. Ei te­ niente general Sir Tomas Grah&amp;m hizo movimiento sobre Lierena en la noche del 25: pero las tropas enemigas que se hallaban allí, y eran 3 batallones de infantería y 2 regimientos de ca…</t>
  </si>
  <si>
    <t>Graham</t>
  </si>
  <si>
    <t>Gazeta de la Regencia de las Españas n.º 87 (suplemento de extraordinaria)</t>
  </si>
  <si>
    <t>1813</t>
  </si>
  <si>
    <t>o aque­ lla noche en Guadapeo. El exército marchaba en tres divi­ siones: la de la derecha compuesta dé la primera, sexta y séptima , mandadas por el general Graham, caminaba por el camino de Tamames ; la del centro, compuesta déla van­ guardia, cuarta y quinta, con el general en ge fe, p&lt; r el ca­ mino de S. Muñoz ; y la de …</t>
  </si>
  <si>
    <t>Graham, Sir Tomas</t>
  </si>
  <si>
    <t>Sir Tomas Graham</t>
  </si>
  <si>
    <t>del corriente, y habiendo allí sabido la toma de Badajoz, se retiró el 9 ántes de amanecer con dirección á tas fron­ teras de Andalucía. El teniente general Sir Tomas Graham ordenó, al teniente general Sir Stapletoa Cotton que siguiese á su retaguar- . dia con la caballería: este general atacó y derrotó la caballería francesa…</t>
  </si>
  <si>
    <t>743</t>
  </si>
  <si>
    <t>esto á nuestro flanco derecho, por cuyo me­ dio nos privó de una ventaja que eventuaimente podía ser de impor­ tancia. Por lo tanto regué ai teniente general Sir Tomas Graham. lo atacase en aquel puesto e! 22 con las trepas de la derecha, lo que executó con las de la séptima división , que eran la reserva de la de­ recha , b&amp;…</t>
  </si>
  <si>
    <t>Graliam, Sir Thomas</t>
  </si>
  <si>
    <t>Sir Thomas Graliam</t>
  </si>
  <si>
    <t>ex­ portación, se ha tomado la determinación de negar licencia*? para la importación de los productos americanos en los puertos de ia GranBretfía. El general Sir Thomas Graliam, ya enteramente restablecido, so prepara para salir inmediatamente á ocupar su puesto en el exército de lord Weilington. Mr. de Langdorff, cónsul gene…</t>
  </si>
  <si>
    <t>Granados, Fernando</t>
  </si>
  <si>
    <t>Fernando Granados</t>
  </si>
  <si>
    <t>Navero , ex-carmelita calzado. dix , vacante por ascenso de D. Antonio Cano, Para la de Mec;n. de Buen-bafon, vacante por ex-franciscano dtscalzo, á D. Fernando Granados, ascenso de D. Josef Guerrero , ex-domiuico , á Don ex-agustíno descalzo. EN LA IMPRENTA REAL.</t>
  </si>
  <si>
    <t>Granados, Hipólito</t>
  </si>
  <si>
    <t>Hipólito Granados</t>
  </si>
  <si>
    <t>d................................ 2200 D. Pedro Ximenez , id etl Luqüe........... . 2200 D. Josef de Vega, id.................. ................ aiod D. Hipólito Granados, id. en Pezuelo de D. josef Santa Cruz, id............................. • 2200 Calat ra*a'........ ...................................... . 22CO D. JoscfLop…</t>
  </si>
  <si>
    <t>Grande, Antonio Felipe</t>
  </si>
  <si>
    <t>Antonio Felipe Grande</t>
  </si>
  <si>
    <t>el de Arcediano, va­ han querido alucinar á los incautos. cante por muerre de D. Jnlian Antonio Prieto. Los-que quieren mover una revolución en uti A D. Antonio Felipe Grande para el del Vi­ pueblo es necesario que le: presenten venta jas, y llar de Gallimazo, vacante por fallecimiento de le ofrezcan mejoras capaces de sacar …</t>
  </si>
  <si>
    <t>Grande, Bernardo</t>
  </si>
  <si>
    <t>Bernardo Grande</t>
  </si>
  <si>
    <t>y cond.é; -iv.d A de Bu ivi rúan i, que han venido'en .comisión? ...... á cuenta de sfis sueldos............. .................... ú... 3900. Idem a D. Bernardo Grande*, secretario de;, -la- o • comandancia general de Castilla la, Nueva,-; . para gastoá de escritorio depila....... ............ . , 1.3.73. Idem á D. Cristóbal …</t>
  </si>
  <si>
    <t>Granger, Antonio</t>
  </si>
  <si>
    <t>Antonio Granger</t>
  </si>
  <si>
    <t>esta , administrador gene­ ral , 266 y '5.' D.' Manuel Palomera, contador general, 31 y 2. D. Agustín Sauz , oficial mayor de la administración &gt; 53. D. Antonio Granger , id. de la contaduría , 22 y 1. D. Manuel Castellanos , segundo de la administración , 12 V 4. D Esteban Fernandez (’olunga, segundo de la contaduría, 50. D.…</t>
  </si>
  <si>
    <t>Grant</t>
  </si>
  <si>
    <t>una declaración del Regente, co dadas por el coronel Ravcnserost. También llegó la qual no solo no hace á los católicos ia promesa aquí ayer tarde el coronel Grant, de; 15.* de hú­ de que se trata, sino que da á entender que no sares , que viene á tomar el mando de este regi­ pensaba en hacerla. Ved si no la respuesta que dió…</t>
  </si>
  <si>
    <t>Grasset</t>
  </si>
  <si>
    <t>Gaceta de Madrid n.º 148</t>
  </si>
  <si>
    <t>abitantes de Sevilla , las partidas de insnrgertlos ingleses, y les hizo renunciar á su proyecto. tes que se han presentido-estos timos dias en lasEl capitán Grasset se hizo á la vela al dia si­ alturas de Aljarafe no'traian otro objeto que el de guiente para Ñapóles, donde entró eo la tarde del sumergiros en un abismo de de …</t>
  </si>
  <si>
    <t>Grasvert</t>
  </si>
  <si>
    <t>nes de la dieta de Hungría continua­ rán todo el mes de abril. Del s 4. Se dice que el gobierno va á abtir nq emprés*. tito en numerario. El teniente general Grasvert salió anteayer de Todos los oficiales retirados con sueldo esta­ esta capital p-ra Srettin. El mismo día salió para ban citados para presentarse anteayer á una …</t>
  </si>
  <si>
    <t>Gravert</t>
  </si>
  <si>
    <t>Gaceta de Madrid n.º 113</t>
  </si>
  <si>
    <t>417</t>
  </si>
  <si>
    <t>tados del.exército .prlti*&gt; aquí de vuelta de Petersburgo. También han veni­ cipal los cuerpos que había destacados entre Rudído á Berlín el teniente general Gravert , goberna­ qbuck-y W’iddin , y quedar asi expuestas,á ios ata­ dor de Silesia , y el general mayor Kleisr. ques, de los turcos. Estos han puesto á R-u.dschuclc L…</t>
  </si>
  <si>
    <t>un fusil, y está eu nuestro poder, como todas ciéndoles 2©o prisioneros, y inatándoles mucha las demas obras del enemigo, y hasta el campo gente. El general Gravert elogia al mayor Stiern, atrincherado de Drissa. él qual con el regimiento i.° de dragones prusia­ En consecuencia de la toma de Dunaburgo ha nos tuvo gran parte e…</t>
  </si>
  <si>
    <t>vida; no hai prisioneros ; has­ que son las citjco de la tarde, recibo la relación qué ta en los bosques siguen ,1a matanza. Inmediatamen­ me hace el general Gravert, del choque que acae­ te marchan á paso de ataque todos los batallones ció el 19 en Eckau. quadi ados de V. M. ; y el general Girardin , que los Acababa de llega…</t>
  </si>
  <si>
    <t>GraVouski</t>
  </si>
  <si>
    <t>neo, siguiéndo­ Relación de un oficial que fue en la expedición le con sable en mano el sub-oficial Pomereit y contra tos almacenes de Ponetouz. , el brigadier GraVouski. El húsar Staüke , que había perdido su sable al Bote de una ¡atiza, se asió de un Señor coronel: recibida la orden de vind., sali­ cosaco con las manos, gfi…</t>
  </si>
  <si>
    <t>Grawert</t>
  </si>
  <si>
    <t>duque de Reggio y muchos genereligión griega asciende ¿1.374926. ’rales de división franceses. Nuestro cambio sobre Paris está á m centé­ El teniente general Grawert volvió el 28 á es­ simas; sobre Amsterdam á 11 stovers, y sobre ta capital desde Stettin. Hamborgo á 10 schelines. El señor Baptiste, correo de gabinete francés,…</t>
  </si>
  <si>
    <t>o e! mariscal duque de Elohingen (Nej ). Murat manda la caba­ llería , y el príncipe Poni&amp;tomki el cuerpo polaco. El cu tipo pru­ siano del cargo del general Grawert está á las órdenes de Maodo« nald. Asisten también á esta guerra el príncipe virey de Italia Eu­ genio R suharnaia y Gerónimo Bonaparte. — Ei 8 de junio pasó por…</t>
  </si>
  <si>
    <t>Gre</t>
  </si>
  <si>
    <t>y así veamos sí A D. Manuel Nuñez Román para-el curato de el prometedor puede cumplir lo que ofrece }‘pero la Mudarra, vacante por fallecimiento' de D. Gre­ en las revoluciones se nos escapan hasta lás'Veflegorio García. xiones mas obvias. Los qne ¡as promueven prome­ "i ten mucho á los otros porque se prometen íriachíPara ot…</t>
  </si>
  <si>
    <t>Grego</t>
  </si>
  <si>
    <t>ecesario el director de pintura ele la ¡v &lt;1 academia d- .Van movimiento exeemado por mar. Los dos barcos se Fernando , vacante por fallecimiento «te D. Grego­ apoderaron á inedia noche y al abordage de la bom­ rio Ferro , al profesor D. Fraueis . ■ /C oro.'.; y pa­ barda la Sacra Familia, y echaron á pique ei ra la tenencia …</t>
  </si>
  <si>
    <t>Maestro de postas de íiuancabelica D. Mariano Almo ñau , 12. Id. de Cotay D Marcos Jara , 4. Id. de Parcos I). Juan Antonio Uavila , 5. Id. de Marcas D. Grego­ rio Dávila , 5. Carrera de Pitaco. Administrador de Ya,n!¡ D. Fernando Egoavil j 8. Id de Tarma I). Pedro Pagan,JO Id. de Jauja D. Juan de Landa, 25. Id. de Huancayo D…</t>
  </si>
  <si>
    <t>Gregori</t>
  </si>
  <si>
    <t>489</t>
  </si>
  <si>
    <t>primer predicador del Rei, ha También fia llegado de Moscon el primer gen­ publicado una memoria sobre la reunión de las dos tilhombre Narisckín; el arzobispo Gregori t de comuniones protestantes de la monarquía prusiana. Jassy, y el genera) Lambert, de Kaaiiniek, Las últimas gjzetas ministeriales contienen nna HUNGRIA. larga…</t>
  </si>
  <si>
    <t>Gregorio</t>
  </si>
  <si>
    <t>Car­ rasco n y D. Francisco Martínez. Los soldados D. Tadeo Safosa, dis­ tinguido, fíauion Miguel y Blas Martínez. Ligero de Soria. El sub­ teniente D. Gregorio lleras. Rioja. El capitán D. Pedro Solcg&amp;istca. Lo¿ teaíe nten D. J uíé Bernad y D. Juan Bueno. Los subtenientes D. Je sé Ximenez y D. Gaspar Clavo!. El cadete D, Vic…</t>
  </si>
  <si>
    <t>7.i6 'curial, por.................................................. 2200 go, id. en Madrid....................................... itoo D. Gregorio flores, id.............. 2200 D. Francisco Medel, id. id.^en Morara..... % 1100 Ex-bernardos. Ex-hospitalario de S. Juan de Dios. D. Mariano clel Amo , residente en S. Mar­ D. Manu…</t>
  </si>
  <si>
    <t>Gregorio, María del Pilar y Doña Te</t>
  </si>
  <si>
    <t>María del Pilar y Doña Te Gregorio</t>
  </si>
  <si>
    <t>apoderado D. Joan D. Manuel 3slsue.............. . ............ 474 3* Francisco Fernandez Hato......... . 10971 21 El teniente general D. Carlos de Doña María del Pilar y Doña Te­ Gregorio......................................... 18370 28 resa Losada........................ 11061 27 Lo* herederos de D. Josef Maído- D. Antoni…</t>
  </si>
  <si>
    <t>Grelet</t>
  </si>
  <si>
    <t>ue se anuncie la publicación del zas; pero esto no basta para determinar si la me­ extracto que cstoi formando, depositaré en casa joría es real. del secretario Grelet los documentos originales que El doctor Roberto Darlittg WillisEl esta­ demovtrarán hasta la evidencia que el autor de los do actual de la salud corporal de S.…</t>
  </si>
  <si>
    <t>Grenville</t>
  </si>
  <si>
    <t>en­ to 23.que mandaba la brigada del mayor general Pakenham en la quarta división durante su ausencia, en que mando íá división tercera: el honorable coronel Grenville del regimiento 38A, &lt;|ue mandaba la brigada del mayor ge­ neral Hay en ía quinta división durante la ausencia de este general con licen­ cia : los brigadieres …</t>
  </si>
  <si>
    <t>Grey</t>
  </si>
  <si>
    <t>ejor que !ó hicieron estos oficiales. .También merecen elogio el teniente Gdronel Brooke del 4, el ho­ nor abe tejiente coronel Carleton del 44, y el teniente coronel Grey dd 30, el cual por desgracia fué muerto. El segundo batallón del regimiento 38, á las órdenes del teniente coronel Nugent, y el regi­ miento portugués mand…</t>
  </si>
  <si>
    <t>Gaceta de Madrid n.º 171</t>
  </si>
  <si>
    <t>ativas solamente porque la persoúa qne le había favore­ que disfratan los demás súbditos de S. M. cido con sn recomendación, había firmado- la pe­ El conde Grey presentó una petición de igual tición de ios católicos. También se ha amenazado naturaleza de parte de los católicos de Inglaterra indirectamente á mochas personas, q…</t>
  </si>
  <si>
    <t>su sentir sobre cusión do este, asunto no era conveniente, ni se ha­ una proposición anunciada. llaba en sazón. El mismo apunto se ha sometido. ¿ El conde Grey se; justificó, diciendo que en upa vuestras señorías separadamentepero la cántara no Cuestión de esta importancia es tal .yes licito apar­ trataba de él,de una manera …</t>
  </si>
  <si>
    <t>Grifón, Juan María</t>
  </si>
  <si>
    <t>Juan María Grifón</t>
  </si>
  <si>
    <t>D. José Urcullo, D. Pedro de Vegas, D. Martin Palmo, D. Juan Itobayna, D. Bernardo Domínguez, D. Jacobo Dubreuü, 1). Luis Pana, Don 3JabIo de Ltrin, D. Juan María Grifón, D. Francisco Martínez, D. J osé de Vegas, D. Antonio de Vegas, D. Mariano Lktadi y Don Marcee Morejon ; y á subtenientes de bandera á D. Buenaventura Dubreu…</t>
  </si>
  <si>
    <t>Grillo, Bartolomé</t>
  </si>
  <si>
    <t>Bartolomé Grillo</t>
  </si>
  <si>
    <t>. Juan Inocente Casas , 66 pesos y 5 reales. Don. Fr ancisco González Calvez , 66 y 5. D. Santiago Sánchez , 66 y 5. D. Fran­ cisco Iriondo , 66 y 5. D. Bartolomé Grillo , 66 y 5. D. José Julián de Sologuren, 66 y 5. D. Eustaquio Ortiz, 66 y 5. D. Juan Sanz, 66 y 5. Don José Iramain , 66 y 5. — Id. terceros. D. José Gervasio …</t>
  </si>
  <si>
    <t>Grillo, Pedro</t>
  </si>
  <si>
    <t>Pedro Grillo</t>
  </si>
  <si>
    <t>120 y medio reai. D. Miguel Vega, 120 y medio real. D. Pedro Ruiz, 166 y 5. D. Juan Luque Marmol, jubilado , 95 y medio real. Contadores ordindrios. D. Pedro Grillo , 87 y 7. J). Manuel Dufoo , 87 y 7. D. Lino de la Barrera, 83 y 2 y medio. D. Ja­ sé Muelle , 83 y 2 y medio. D. Capistrano Flores, 83 y 2 y medio. Oficia­ les d…</t>
  </si>
  <si>
    <t>Grouchy</t>
  </si>
  <si>
    <t>al partió el 13 de Witepsk, y llegó á Rasasna el mismo dia. El príncipe Poniatowski salió de Mohiiow, y el 13 llegó á Romanzow. Al amanecer dél 14 el general Grouchy marchó sobre Leacbri, obligó a los regimientos de cosacos á retirarse, y se encontró con el cuerpo del gene­ ral conde Nansouty. E11 el mismo dia el Rey de Ñapól…</t>
  </si>
  <si>
    <t>na se puede tam­ bién llamar batalla, porque pelearon en ella mas de 80® hombres; por lo menos fue una acción del primer orden para la vanguardia. El general Grouchy, que fue mandado con su cuerpo por el camino de Donkovichina, encontró gran numero de muertos y heridos en los pueblos, y cogió 900 heridos. Los cosacos sorprend…</t>
  </si>
  <si>
    <t>el príncipe de biisterio de Inconsecuencia, creo todavía haber en­ Eckmiilh estaba en Golognino. contrado razones poderosas Con que libertarla de EL general Grouchy en Borison el 15. Una par­ tan indignas notas. Voi á explicarme, señor re­ tida que destacó sobre Star Lepel ha cogido alma­ dactor, a quien pido paciencia, porqu…</t>
  </si>
  <si>
    <t>I3.0 DEL EXERCITO GRANDE. El príncipe de Eckmülh reunió el 13 todo su cuerpo en Doubrowna. Smolensko * 1 de agosto. Según parece , ha si­ El genera! conde Grouchy el tercer cuerpo d* do de bastante consideración la pe'rdida que tuvo caballería en Rassasna el 12. el enemigo en el combate de Mohilow, que el prín­ El general con…</t>
  </si>
  <si>
    <t>o mandaba, fue herido y cogido den­ tados. A pesar de los obstáculos que presentaba ti tro. Por el pronto nuestros esfuerzos debian limi­ terreno, el general Grouchy hizo una hermosa car­ tarse á conservar la altura; cinco líneas de infante­ ga con la división de caballería del general Cliasría rusa avanzaban para recobrarla,…</t>
  </si>
  <si>
    <t>Groucliy</t>
  </si>
  <si>
    <t>ue una empresa de vanguardia de Verdier una brigada, la qual observaba la de­ primer orden• .,. , recha del enemigo, que estaba, en posición en el El general Groucliy, destacado con su cuerpo .camino de Gehmzelevcr. La división Merle. cubría al cántico de Donkowschina, halló los pueblos llenos el frente de la villa de Polotsk…</t>
  </si>
  <si>
    <t>Gruí</t>
  </si>
  <si>
    <t>Cádiz lo acaecido en el Rebollar de esta ciudad el 7 de febrero ^ Mil y cien infantes y 500 caba­ PREFECTURA X&gt;E SEGOVIA. llas enemigos, al mando del general Gruí, después de un corto tiroteo en aquel sitio, entraron en es­ Ex-gerotiimos. ta ciudad con 1200 prisioneros de la división del brigadier Martin, en la que ios moerto…</t>
  </si>
  <si>
    <t>Gt, Ramo</t>
  </si>
  <si>
    <t>Ramo Gt</t>
  </si>
  <si>
    <t>e ha fórraselo á las órdenes'del mariscal de cam­ po 0. Fias cisco Espos y Mina, ai cus! se hsn agregado ya las fuerzas de caballería del cc-mandante D. Ramo» Gt&gt;y&amp;n &gt; que tsm•hkn se aumentará» en breve, baria ccmpleíar uii escuadren. Csn esta fuerza ©i enemigo se verá pR&amp;?ú&gt;ado á mantenerse en su» guarnicio­ nes , y no derra…</t>
  </si>
  <si>
    <t>Gu, Manuel</t>
  </si>
  <si>
    <t>Manuel Gu</t>
  </si>
  <si>
    <t>cen entre otras cosas lo que sigue : j,Las Cortes generales y extraordinarias enteradas de la duda propuesta por el gefe político interino de Córdoba D. Manuel Gu­ tiérrez del Rustido, acerca de la elección del diputado que corres­ ponde á aquella ciudad para las presentes Cortes , la cual nos in­ sertó V. JE. en papel de 10 …</t>
  </si>
  <si>
    <t>Gua, José María</t>
  </si>
  <si>
    <t>José María Gua</t>
  </si>
  <si>
    <t>emplares en aquella pequeña porción del clero secular y regular , que ha promovido y sostiene la cruel insur­ rección &amp;c. , declaramos, dice, á dicho presbítero José María Gua­ dalupe Salto desaforado y privado del fuero clerical y privilegio del cánon , y lo damos por entregado, y á mayor abundamiento lo entre­ gamos lisa y …</t>
  </si>
  <si>
    <t>Guadix, Bernardo</t>
  </si>
  <si>
    <t>Bernardo Guadix</t>
  </si>
  <si>
    <t>.... &amp;2QO D, Miguel Cobos, residente en Pozoblanco; 22©o D. Manuel Aguijar y Leiva , id.......... aaejo D. Manuel Muñoz, id. en Torrecampo...... 2200 D. Bernardo Guadix, id.......................... ;.... 2200 D. Lúeas Romero¡ id...,................................... 2200 D. Josef Cabello y Ruiz, id........... ............. …</t>
  </si>
  <si>
    <t>Gualda, Manuel</t>
  </si>
  <si>
    <t>Manuel Gualda</t>
  </si>
  <si>
    <t>Juan Nepomuceno Diez, id., 54. D. Juan Antonio Cordero, id., 54. D. Do­ mingo Urquijo, id., 54. D. Pedro Benitez, id. , 54. D. Juan Nadin , id., 54. D. Manuel Gualda, id., 34. Doña María de la.Concepción González, en agosto de 1811 por una vez, 11. D,oña Teresa de ¿ayas, id., SCO. D. Pe­ dro Sotolongo, id., 17. El licenciado …</t>
  </si>
  <si>
    <t>Guardia, José Trinidad</t>
  </si>
  <si>
    <t>José Trinidad Guardia</t>
  </si>
  <si>
    <t>infantería, á D. Alonso Gil, D Leopoldo Tolleria , D. Jo:é Antonio Zamuripa, D. Rafael Tejerla, D. -Fernando GB , D. Anastasio Nava, D. Luis Ramírez, D. José Trinidad Guardia, D Pedro María O berta, D. Francisco Manzano, D. J .sé Lorenzo López y D. J é Mumei Listem; y de alférez de las de cabsterí*, á D. M'murí Ferrar, Q Anto…</t>
  </si>
  <si>
    <t>Guarini</t>
  </si>
  <si>
    <t>e si se adop­ Jas dos terceras partes de ;u valor nominal , debe tara este nombre. icr fundida, afinada y convertida en moneda cor­ Tememos perder al doctor Guarini , el Néstor riente con la mayor bree'.‘dad posible, para que de nuestros médicos, pues se halla gravemente en­ desaparezca enteramente de la circulación. fermo. 2…</t>
  </si>
  <si>
    <t>Guati, Francisco Antonio</t>
  </si>
  <si>
    <t>Francisco Antonio Guati</t>
  </si>
  <si>
    <t>arrete en la Polanco..-,.i..i...i..ü.............;...........i................................ 22CQ Rio ja...................................... 2200 D. Francisco Antonio Guati, id.de S. Víc­ D. Lorenzo Fernandez irontecha, id. de tores.......... .'.i............................................................................…</t>
  </si>
  <si>
    <t>Gudin</t>
  </si>
  <si>
    <t>camisa por los tejados ; los que de órden saya marchaba con la misma d - c- que estaban alojados en las casas aisladas lograran cion por Muchamiel el general Gudin con 10 com- también escapar aprovechándose de la ob»curidad tañías ¡del ió.° y del 117.® Este último llegó en de la noche, pero el grueso de la tropa cogido en ! d…</t>
  </si>
  <si>
    <t>1059</t>
  </si>
  <si>
    <t>gg o, el general Verdier y el general b?v&amp;ro D rey; y eo la segunda irgala su pérdida en bOO muertos y 2600 heridos, contándose entre los primaros el general Gudin. Se esperan les bole­ tines ruso; qu5 darán una idea clan y versa de estos importantes su­ cesos, cual no puede formarse por ía relación confuía, inexacta y aun .c…</t>
  </si>
  <si>
    <t>a posi­ ción/’ Agregúese á esto la necesidad que manifiesta tuvo de enviar refuerzos para sostener á los que habían empezado la acción; la muerte del general Gudin, acaecida at tiempo que llegaba con los refuerzos, el modo con que dice que Junot dexó de hacer el movimiento que debiera para interceptar el ca­ mino real de Mosc…</t>
  </si>
  <si>
    <t>érdida de consideración. Por seh ó siete, le llevó una pierna, y murió gloriosamente. veces embistieron durante el dia, y otras tantas La perdida del general Gudin es sensible, por fueron rechazados con una bravura mui superior al ser uno de los oficiales mas distinguidos del exérci— furor y encarnizamiento con que lo hiciero…</t>
  </si>
  <si>
    <t>Gueheneuc</t>
  </si>
  <si>
    <t>ón de la enorme que ha tenido el enemigo. El general Ligrandfha tenido dos contusiones, y muer­ to el caballo que." montaba; también1 Salió herido el coronel Gueheneuc , edecán de S. M. :Yo tengo el TSATlt». honor de prevenir á V. A. que tin balazo que re­ !n el del'Príncipe se representará la comedia d* cibí en el pie izquie…</t>
  </si>
  <si>
    <t>Guehepóles</t>
  </si>
  <si>
    <t>EL EXERCITO GRANDE. á nado. Los nadadores del 26° ligero salvaron á dos Kimono 2(5" de junio de 1812. El Rei de Ña­ hombres que iban á ahogarse; y a! coronel Guehepóles , que manda la caballería, situó su quartel ge­ neuc, que se expuso con poca reflexión por socor­ neral el 23 de junio á dos leguas del Niemen,sobre rerlos, y…</t>
  </si>
  <si>
    <t>Gueívcnzu, Frincecj Xivier</t>
  </si>
  <si>
    <t>Frincecj Xivier Gueívcnzu</t>
  </si>
  <si>
    <t>244 cfaos el l.° de agosto en el llano de la* Animas, junto á Acalco , por el capitán del fixo de Veracruz, D Frincecj Xivier Gueívcnzu. Fste había tenido óíden de Rebollo de tonar posición, para que si los rebeldes huían de la Barranca, cayesen en sus manos . y habien­ do llegado el l.°de agosto á S. Juan del li o, en dond</t>
  </si>
  <si>
    <t>Guerque</t>
  </si>
  <si>
    <t>lpable; por lo quat los riente al cuerpo llamado de voluntarios de Rioja, jurados habían recibido varias cartas anónimas , en mandado por el.teniente general Guerque. Estaba que les amenazaban que se les quitaría la vida compuesto de 160 hombres , y casi rodos oficiales, por haber pronunciado esta declaración. Los jura­ los q…</t>
  </si>
  <si>
    <t>Guerra, Dionisio Pérez</t>
  </si>
  <si>
    <t>Dionisio Pérez Guerra</t>
  </si>
  <si>
    <t>ricibho. D. Francisco Redondo. j Secretario BARRIO DE SANTA ISABEL. D. Francisco Jaracho. T ' Alcalde de barrio BARRIO DE CAPUCHINOS DE LA PACIENCIA. D. Dionisio Pérez Guerra. Diputado eclesiástico Alcalde de barrio D. J uan José: Moreno. D. Francisco Rubio. Diputados seculares Diputado eclesiástico D. Rafael Echartea. . D. C…</t>
  </si>
  <si>
    <t>Guerra, Juan Pedro</t>
  </si>
  <si>
    <t>Juan Pedro Guerra</t>
  </si>
  <si>
    <t>....... 2200 juna.................................................................... 2200 D. Juan Josef de Armda , id.......................... 2200 D. Juan Pedro Guerra, id.............................. 220® D. Josef Quiroga, ¡d—.,..,...................... ....... 2200 D. Juan Perez Villafranca, residente en D; Juan Josef d…</t>
  </si>
  <si>
    <t>Guerra, Márcos</t>
  </si>
  <si>
    <t>Márcos Guerra</t>
  </si>
  <si>
    <t>s. D. Josef de Torres , diácono , id............... 3200 D. Benito Alonso, residente en Madrid..... 2200 D. Juan Perez, id...................... 2200 D. Márcos Guerra, lego, id. en Alcalá.... non, D. Josef Lechuga , id............. 2200 D. Diego Guerrero, id. eo la Guardia...... 2200 Bx-dominicos. D. Antonio.Guerrero, id. en …</t>
  </si>
  <si>
    <t>Guerrero, Diego</t>
  </si>
  <si>
    <t>Diego Guerrero</t>
  </si>
  <si>
    <t>Madrid..... 2200 D. Juan Perez, id...................... 2200 D. Márcos Guerra, lego, id. en Alcalá.... non, D. Josef Lechuga , id............. 2200 D. Diego Guerrero, id. eo la Guardia...... 2200 Bx-dominicos. D. Antonio.Guerrero, id. en Cambil........ 2200 D. Isidro del Saz, residente en Madrid..... 2200 D. Josef de Luna , …</t>
  </si>
  <si>
    <t>Guerrero, Francisco</t>
  </si>
  <si>
    <t>Francisco Guerrero</t>
  </si>
  <si>
    <t>de la Luisíana, á sargento ma­ yor á D. L ids Piernas; á capitanes de granaderos á D. José Carrizosa y D. Carlos Devílie; á capitanes de fusileros á D. Francisco Guerrero, D. Juan Mier, D. Juan Blanco; D. Francisco Morales, I). Juan Bautista PeÜerín, D. Benigno García Cdderon, D. Pedro Roia, B. Juan Moreno, O. Francisco Hevia…</t>
  </si>
  <si>
    <t>Guerrero, Josef</t>
  </si>
  <si>
    <t>Josef Guerrero</t>
  </si>
  <si>
    <t>ix , vacante por ascenso de D. Antonio Cano, Para la de Mec;n. de Buen-bafon, vacante por ex-franciscano dtscalzo, á D. Fernando Granados, ascenso de D. Josef Guerrero , ex-domiuico , á Don ex-agustíno descalzo. EN LA IMPRENTA REAL.</t>
  </si>
  <si>
    <t>Guerrero, Miguel</t>
  </si>
  <si>
    <t>Miguel Guerrero</t>
  </si>
  <si>
    <t>dor D. Manuel de Aguirre,(i. D. José Correa, 30, D. Nicolás Angulo, 25. D. Juan Madriñan, 30. D. Manuel Ignacio Aguirre, 10 D. Francisco Ortias , 20. D. Miguel Guerrero , 10. D. Pedro Díaz, 25 D. Juan Bautista Sán­ chez, 6. Juan Al varado, 8. D. Vicente Sánchez, 6 D. Manuel Crespo , 6. El ilustre cabildo, 12J00. D. Francisco …</t>
  </si>
  <si>
    <t>Guerrero, Sebastian</t>
  </si>
  <si>
    <t>Sebastian Guerrero</t>
  </si>
  <si>
    <t>. Félix Egusquiza , 12. D. Juan Prada, 25. D. Fer­ nando Quirós , 25. D. José Antonio Fuente, 4. D. Francisco Cavero , 2. Don Silvestre Peñaranda, 2. D. Sebastian Guerrero , 2. Y D. Matías y D. Clemen­ te Maestro , 100. — Provincia de llunrochiri. Los operarios de la hacienda mineral de D. Miguel García, 70. Los vecinos del p…</t>
  </si>
  <si>
    <t>.................... 2200 D. Bartolomé de Córdoba , id........................ 2200 D. Juan de Villa, residente en Lucena...... 2200 Ex-franciscanos. D. Sebastian Guerrero, id.............. 2200 P. Luis de Anta , residente en Córdoba.... 22c© ü. Antonio del Rio, id.................................... 2200 P. Josef Piaz , subd…</t>
  </si>
  <si>
    <t>Gui</t>
  </si>
  <si>
    <t>o se manda ni puede estar sujeto á decretos ni reglamentos: y por consiguiente lo que indica con to­ da seguridad el estado de la opinión pública. El general Gui, alias marques de Rio-Milano, comandante de Guadalóxara, pide á toda prisa refuerzos por saber que en sus inme­ diaciones se han reunido de 6 á 8000 hombres de tropa…</t>
  </si>
  <si>
    <t>del cañón.) ¡Provincia de Guadafaxara SO de mayo. La desgraciada acción del Rebollar de Sigüenza del 7 de febre­ ro , en que la división francesa del general Gui hizo 1200 prisione­ ros á la del brigadier Martin, y los efectos de la pérdida de Valen­ cia en el mes anterior, hablan afligido considerablemente los ánimos de los …</t>
  </si>
  <si>
    <t>Roberto Wain'wright, 2 y 2. Los señores F. y compañía, 20. El lord Dsmtanviile (en FeUmouth) , 10. Los señores F-x y cctnp:*;.fíía ( Falmouih) , 20. D. Gui­ llermo Míiler, 5. D. Felipe Fernandez, 1. L. M., LO y 10 D. Manuel de Beigareche, 50. El teniente coronel Stonor, 10 y 10. El cap* tan Lftc-gtc:*?, 10- D. Gerór-imo HUI é…</t>
  </si>
  <si>
    <t>Gui, Sir</t>
  </si>
  <si>
    <t>Sir Gui</t>
  </si>
  <si>
    <t>articipar á V. E el reeultado de una acción muy bizarra de caballería, que tuvo en Extremadura el teniente Ster wbitz, ayudante de campo del teniente general Sir Gui­ llermo Erakine. ,,Habiendo sabido Sir R. Hill que el enemigo había dcxado en Maquilla mucha parte de los soldados ingleses hechos prisión eres el 11 del corrien…</t>
  </si>
  <si>
    <t>Guijarro, Mannel González</t>
  </si>
  <si>
    <t>Mannel González Guijarro</t>
  </si>
  <si>
    <t>................ 2200 Ex capuchinos. D. Antonio de Yanguas, id. de Tudela de Navarra............................................................ 2200 D. Mannel González Guijarro, residente D. Fernando del Campo, id. de Hscobedo. 2200 en SepúlveJa......... ................................ ....... 2200 Ex-earrnelit as descalzos…</t>
  </si>
  <si>
    <t>GuiJIeimo</t>
  </si>
  <si>
    <t>e la compa­ mefoA* de cazadores ¿'caballo, 0 ■ • J ñía 'dé alabarderos de ia guardia real. Bo’khi (D. Josef), cabo primero de tiradores'del Gaiabert (D. GuiJIeimo), sargento de caballos Ii-, regimiento Real Exrrange.ro. ■ ' geros de la g\tárdia real. . Bcnafón (D. Francisco), capitán de la guardia cí­ Gar'nboa (P. Domingo), s…</t>
  </si>
  <si>
    <t>Guillemard, Arnaido</t>
  </si>
  <si>
    <t>Arnaido Guillemard</t>
  </si>
  <si>
    <t>do Prieto, D. Cirilo Lessacier, í). Juan Galguare, Don Francisco Dalcourt, D. Francisco Devilliers y D. Juan José Bou; á subtenientes de granaderos á D. Arnaido Guillemard , D. Juan Fer­ nandez y D. Diego Barrado; á subtenientes de fudleros á D. José Urcullo, D. Pedro de Vegas, D. Martin Palmo, D. Juan Itobayna, D. Bernardo D…</t>
  </si>
  <si>
    <t>Guillemot</t>
  </si>
  <si>
    <t>do director de las En la noche del 4 I 5 de este mes llegó á esta 'aduanas del Sund por fallecimiento de S. lí. el se­ ciudad en calidad de correo el capitán Guillemot, ñor M umsen. Agregado á la embaxada dinamarquesa en París. AUSTRIA. Este año se establecerán en Kiel varias casas de baños de mar. Las hermosas inmediaciones …</t>
  </si>
  <si>
    <t>Guillen, Isidro</t>
  </si>
  <si>
    <t>Isidro Guillen</t>
  </si>
  <si>
    <t>el Mascare, S. I). Manuel Tejada, '8. D. Antonio Amezaga , 35. D. José Peña, 13. D. José Dámaso Árgueda, 8. D. Matías pastor, 8. D. Manuel Fuente, 8. D. Isidro Guillen, 8. í). Santiago León , 6. D. Jacinto Ríos , 8. D. Miguel Rodríguez , 8. Don Fernando Urtiaga, 8. D. José Antonio Enriquez , 13. D. Carlos Delgado , 8. B. Juan…</t>
  </si>
  <si>
    <t>Guillermo</t>
  </si>
  <si>
    <t>. Una de las co­ Berlín 14 de enero. sas que mas se han buscado ha sido los ducados de Holanda , por la buena salida que tienen en Rusia: S. A. R. el príncipe Guillermo no está aun en­ por cada uno se han pagado 3$ «sendos, siendo asi teramente restablecido, y ta teme que 00 podrá que hace pocos años que no valían sino 2¿ esc…</t>
  </si>
  <si>
    <t>or de varia* eocomiea- del regimiento oú n. 4.a de cazadores á caballo. dat de la Orden Real de España. Tilly (coadc de) , mayordomo de S. M.. Moner (D. Guillermo), granadero,de la guardia Toledano (D. Francisco Xavier), ayudante pri­ real. mero de ia guardia cívica de Madrid. Morln (D. Luis), ayudante mayor dd regimieu- Torr…</t>
  </si>
  <si>
    <t>los oficiales del Pequeilo-Belt sobre la ocurren­ ciado Chevalier y de su hijo menor. S. A. R. el cia del combate ; una relación del comisario de ma­ príncipe Guillermo, á cayo servicio estaba, dio rina de S. M. en Halifax sobre las averías y daños orden á la mayor parte de los criados de su ser­ que sufrió dicho buque; la co…</t>
  </si>
  <si>
    <t>su viage á Praga y á Dresde. d’Oetingen-Wailerstein. Los dos primer,os fueron Es preciso que haya habido ,alguna mutacioa presentados por S. A. R. el duque Guillermo, en las intenciones del gabinete de Petersburgo, Feld-mariscal y ministro de Guerra;.y el último, porque el general Kutusow, que debia ir á aque­ por el teniente…</t>
  </si>
  <si>
    <t>. el príncipe virei de Itaitn pasó anteayer pecies. por aqui para el exéreito grande. S. A. el príncipe .Neqfebstel se apeó en el palacio de S. A. ei duque Guillermo , su suegro, Del 14. donde se.detuvo cerca dt una hora. Ha pasado pór esta ciudad para el exército el SS. MM. harán noche ea Baireuth, y mañana Excmo. Sr. marisc…</t>
  </si>
  <si>
    <t>Guillermo, Sir</t>
  </si>
  <si>
    <t>Sir Guillermo</t>
  </si>
  <si>
    <t>iéndose frustrada el ataque del -brigadier general Pack contra la altura del Arapil , y habiendo sido herida,ei honorable'te­ niente general Colé. El mariscal Sir Guillermo.Beresford., que se,ha­ llaba casualmente en aquel punto, dispuso que la brigada, del briga­ dier general Spiy, de la quinta división, que estaba en la mis…</t>
  </si>
  <si>
    <t>Guimoner, Joaquín</t>
  </si>
  <si>
    <t>Joaquín Guimoner</t>
  </si>
  <si>
    <t>n debo sus comodidades, las quales redunden en beneficio íecdñiéhdar á V. E. al segundo capitau del bata­ inmediato de los mas pobres; llón de Molina D. Joaquín Guimoner. Visto el informe de nnestro ministro de io ,, Estos son los pormenores que paedo dar á Interior , V. E. sobré las operaciones del 25. Dios guardé á Hemos de…</t>
  </si>
  <si>
    <t>Guio, Manuel</t>
  </si>
  <si>
    <t>Manuel Guio</t>
  </si>
  <si>
    <t>so Ruiz, D. Agustín Lázaro, D. Juan Burguillos, D. Santiago López Ruiz, D. Pedro Fernandez, D. Josef Muela, D. Josef Mafia XimenezDon Domingo Draper, D. Manuel Guio, D. Juan Utrero, D. Benigno Merchan, D. Víctor Casasola, D. Pascual del Rey, D. Miguel Parrales, D. Francis­ co Ayuso, D. Miguel González, D. Antonio González, D.…</t>
  </si>
  <si>
    <t>Guiraldez, Alexo</t>
  </si>
  <si>
    <t>Alexo Guiraldez</t>
  </si>
  <si>
    <t>s. D. Nicolás Castro, 30 D. Loren­ zo Bodero, G. D. Santiago Serón, G. El ayudante de gobierno y varios i ndtviduos , 7$ y 4. Pedro José Vargas , 25. D. Alexo Guiraldez, 25. D. Gaspar Casanova , 25. D. Isidro Arauz, 6. D. José Bernal , 25. D. Ramón Menendez , 25. D. Sebastian Puga, 50. El comendador de la Merced , 50. D. Dio-…</t>
  </si>
  <si>
    <t>Guirtor, Josef María</t>
  </si>
  <si>
    <t>Josef María Guirtor</t>
  </si>
  <si>
    <t>i tos sesenta y ocho mil ciento noventa y seis rea­ P. Sebastian Mongelo...................... *3* a?4 les veinte y tres y medio maravedís de vellón. D. Josef María Guirtor................... 1173 84 art. II, Se entregarán á estos interesados las D. Antonio Saracbaga...................... 2075 *í4 cédulas hipotecarias corresp…</t>
  </si>
  <si>
    <t>Guitarf, Juan Bautista</t>
  </si>
  <si>
    <t>Juan Bautista Guitarf</t>
  </si>
  <si>
    <t>stros aplausos. ¡Vo­ sotros sois los lealesl ¡Vosotros sois los patriotas! AVISO. Anunciáis á vuestro Príncipe que no le cederéis el Por auto del Sr. D. Juan Bautista Guitarf, del trono, y mandáis á los pueblos que se hagan de­ consejo de S. M., juez de primera instancia, proveído gollar en su defensa. ¡ Y hai pueblos que esc…</t>
  </si>
  <si>
    <t>Guitart, JuaíyBautisSa</t>
  </si>
  <si>
    <t>JuaíyBautisSa Guitart</t>
  </si>
  <si>
    <t>buena parte de los muros. El soldado oye á la sazón pregonar el saqueo; la codicia le AVISO. infunde nuevo valor; pero quando ya se cree.due­ .El Sr. D. JuaíyBautisSa Guitart, del consejo de ño de las riquezas saguntinas ve aparecer tras el S. M., y juez de primera instancia, ha mandado en derribado muro otro ouevo, que uue a…</t>
  </si>
  <si>
    <t>Guitart, Juan BauMstu</t>
  </si>
  <si>
    <t>Juan BauMstu Guitart</t>
  </si>
  <si>
    <t>leen sus papeluchos ai no de 1 5 dias , contados desde 5 del corriente , compa­ las obedecen , mientras que ellas se llaman sobe­ rezcan ante el Sr. D. Juan BauMstu Guitart , del conse­ ranos, y claman por ahorcar á los nobles y gente jo de S, M. , juez de primera instancia en esta villa, y antigua, que aborrecidos, hambrient…</t>
  </si>
  <si>
    <t>Guitart, Juan Bautista</t>
  </si>
  <si>
    <t>Juan Bautista Guitart</t>
  </si>
  <si>
    <t>a por causa del clima, ó bien por­ Para pago de acreedores, y en junta que celebraron que no saben cuidar las abejas: y en Ies parages en ante el Sr. D. Juan Bautista Guitart en 17 del cor­ que hai mas colmenas es en donde la miel es peor. riente mes, se ha mandudo sacar á pública subasta una Seria pues mui importante hallar …</t>
  </si>
  <si>
    <t>de caber dos fanecas, once celemines y ocho estadales, y su valor á 600 rs. AVISO. cada fanega. Quien quisiere hacer mujora acuda ante el Ante el Sr. D. Juan Bautista Guitart, del consejo referido señor, y por dicha escribanía, que se le admi­ de S. M., juez de primera instancia , y por la escriba­ tirá, siendo arreglada. nía…</t>
  </si>
  <si>
    <t>al de enterrar fas en 123072. Quien quisiere hacer postura á las referidas langostas, ó ahogarlas en pozos, por la infección casas acuda ante el Sr. D. Juan Bautista Guitart, juez que despiden sus cadáveres quando sen en gran de primera instancia en esta villa , por la escribanía del Cantidad. número de D. Alexandro Gutiérrez…</t>
  </si>
  <si>
    <t>me al artículo 11 del pre­ AVISO. sente senadn-cnmolto de las clases de la conscrip­ ción de 1807 , 1808 , 1809,. 1810, 1811 y 1812. Por auto del Sr. D. Juan Bautista Guitart, del con 10. ,, Los ho nbres perten_-c¡e'ites i las clase* sejo de S. M., juez de primera instancia, proveído en de 1807 , 1808 , 1809, iS'O, i8&lt; i y 18…</t>
  </si>
  <si>
    <t>Guítart, Juan Bautista</t>
  </si>
  <si>
    <t>Juan Bautista Guítart</t>
  </si>
  <si>
    <t>fiaron Lecamus. podrá también jueg.r del honor y de los senti­ mientos que los han animado. AVISO. El 27 de ab.it llegó delante de Agnílar una El Sr. D. Juan Bautista Guítart, del consejo de partida española de iS) hombres, y el 28 unos S. M., y juez de primera instancia, se ha servido se­ 2300. En el mismo dia llegó Mendizab…</t>
  </si>
  <si>
    <t>a dentro, y se llevan á ia era para majarlas, aventarlas y poner­ AVISOlas en un parage seco á fin de que se conserven mejor. Por providencia del Sr. D. Juan Bautista Guitart, No se pnede valuar con exactitud la cantidad juez de primera instancia, de fecha de 15 del corrien­ de simiente qne da una determinada porción de te, r…</t>
  </si>
  <si>
    <t>to señalará dia y hora, nom­ brará peritos, y citará las partes. AVISOS. ¿-7. El juez en el dia y hora' aplazados , acompaña­ Por providencia de! Sr. D. Juan Bautista Guítart, do del escribano y un portero del juzgado, de las par­ juez de primera instancia en esta villa, refrendada de tes, si compareciesen, y de Jos peritos, …</t>
  </si>
  <si>
    <t>Guitiau, Alexamlro Álvarez</t>
  </si>
  <si>
    <t>Alexamlro Álvarez Guitiau</t>
  </si>
  <si>
    <t>contra ellos el comandante del destacamento de Tancoyol, el capí tan D. Alexamlro Álvarez Guitiau, y sabiendo este que la máyór parte de sus fuerzas la temían los facciosos en una altura, distante de allí 2 Leguas , ea donde se hub-m parapetado vigorosamente. fué contra ellos el 30 de a</t>
  </si>
  <si>
    <t>GumeZ, Bernardo</t>
  </si>
  <si>
    <t>Bernardo GumeZ</t>
  </si>
  <si>
    <t>oueT Qúiróz. mes. D. Juan del Viso. Han llegac^ á Gibraltar tres navios de guerra D. Josef Marouez. ingleses mui destrozados de resultas de un comba­ D. Bernardo GumeZ. te naval, ganado por ía esqnadra francesa deToloa D. Josef del Moral. sobre la esquadra inglesa en las alturas de las islas D. Joaquín Machuca; Baleares. (Gaz…</t>
  </si>
  <si>
    <t>Gutiérrez, AJexandro</t>
  </si>
  <si>
    <t>AJexandro Gutiérrez</t>
  </si>
  <si>
    <t>ma naturaleza, para que dentro del término de 30 dias, contados desde el 25 del pasado, comparezcan ante dicho señor juez, y escribanía del número de D. AJexandro Gutiérrez, donde penden les autos foimados en esta razón, á deducir su derecho, y se les administrará justi­ cia; baxo el apercibimiento de que no haciéndolo en dic…</t>
  </si>
  <si>
    <t>Gutiérrez, Alexandro</t>
  </si>
  <si>
    <t>Alexandro Gutiérrez</t>
  </si>
  <si>
    <t>s representantes, que esta por­ da casa labor acuda por el juzgado de di.lio señor y ción de hombres honrados, á quienes se confian tan escribanía de D. Alexandro Gutiérrez , que lo es del preciosas funciones, eran dignos de su confianza ; y número de esta villa, en donde se admitirán las qu« se hagan, siendo justas y arregla…</t>
  </si>
  <si>
    <t>n Bautista Guitart, juez que despiden sus cadáveres quando sen en gran de primera instancia en esta villa , por la escribanía del Cantidad. número de D. Alexandro Gutiérrez, que se le admiti­ Omitimos el hab’ar de otros métodos y pre­ rá siendo justa y arreglada. cauciones recomendadas por algunos escritores paTa destruir 6 a…</t>
  </si>
  <si>
    <t>el conforme á este método, 6 bien extraer de ellas ta dicho señor juez por la escribanía de número da el añil, según diremos, convivir en ambos casos D. Alexandro Gutiérrez, que *e le admitirán, siendo cogerlas mas pronto. Los expe■’monos comparati­ justar. vos hechos en Alby han dentó; i ■ que los paste­ les hechos con hojas…</t>
  </si>
  <si>
    <t>Gutiérrez, Antonio</t>
  </si>
  <si>
    <t>Antonio Gutiérrez</t>
  </si>
  <si>
    <t>retario I). Joaquín García, 100. El oficial primero de la contadu­ ría D. Joaquín Mispireta , 50. El segundo primero D. José Morote , 100. El segundo D. Antonio Gutiérrez , 25. El portero primero D. Joaquin Cosío , 25. El segundo D. José Cruzado, 10. — D. Juan del Valle, 50. El colegio dei Príncipe , rector , vice-rectores, m…</t>
  </si>
  <si>
    <t>Gutiérrez, Fermín</t>
  </si>
  <si>
    <t>Fermín Gutiérrez</t>
  </si>
  <si>
    <t>D. Luis del Río y del Barrio. D. J'taquín Rodrigo. Diputados seculares D1. Jusef Sebastian. D. Juan Amonio Perez. Secretario D. Pedro de las Muelas. D. Fermín Gutiérrez. D. Juan Ximenez. ¡ Secretario BARRIO DEL CARMEN CALZADO. D. Manuel Aotonio Echeverría. Alcalde de'barrio D. Antonio Aivarez. BARRIO DE LA PLAZUELA DB SAN JUA…</t>
  </si>
  <si>
    <t>Gutiérrez, Guillermo</t>
  </si>
  <si>
    <t>Guillermo Gutiérrez</t>
  </si>
  <si>
    <t>Ventura Bustamante, G. Don Pedro Ríos , 10. D. Juan María Morillo , 10. D. Mariano Arcia y Tello, 20. D. José Camilo Morillo, 10. D. Juan..... .. 50. D. Guillermo Gutiérrez, 4. D. Ignacio de Vera, 6. D. Ignacio Govostiza, por algunos vecinos de la ciu­ dad Vieja , 22. D. Mariano Allende , 10. D. Antonio Vallejo por el pueblo …</t>
  </si>
  <si>
    <t>Gutiérrez, Ildefonso</t>
  </si>
  <si>
    <t>Ildefonso Gutiérrez</t>
  </si>
  <si>
    <t>y Acayucan, atrayéndose con su sa­ bia política al partido de la buena causa los caudifios de insurgentes, como acaba de verificarse con el cabecilla D. Ildefonso Gutiérrez y 300 bandidos que rindieron ayer las armas al alférez de navio D. Ma­ nuel délos Ríos que manda en Casamaluapan, señalándose ademas de este digno oficial…</t>
  </si>
  <si>
    <t>Gutiérrez, José</t>
  </si>
  <si>
    <t>José Gutiérrez</t>
  </si>
  <si>
    <t>o Don Domingo Chene, 10. D, José Risco , receptor, 12. D. Antonio Flores . 40. —Contaduría de tribíitos. El oficial mayor, 83 y 2 y medio. El segundo D. José Gutiérrez , 50. El tercero D. José Bravo de Rueda, 20. El cuarto D. Baltasar Maza, 15. El quinto D. Francisco Barron, 15. El amanuense D. Bernardino Albornoz , 8. El esc…</t>
  </si>
  <si>
    <t>Gutiérrez, Juan Antonio</t>
  </si>
  <si>
    <t>Juan Antonio Gutiérrez</t>
  </si>
  <si>
    <t>Pablo Olivas teniente, y D. Juan Josef Gu­ D. Josef Buelga.*. ' tiérrez sobtenientel D. Pedro Espinosa. art. vii. -En la villa de Pedroche se formará D. Juan Antonio Gutiérrez. media compañía. D. Juan de Frías. Queda nombrado capitán de ella D. A-onsO D. Agustin Pádillo. Montero , y subteniente D. Ataoasio Misas. art. ni. En …</t>
  </si>
  <si>
    <t>Gutiérrez, Manuel</t>
  </si>
  <si>
    <t>Manuel Gutiérrez</t>
  </si>
  <si>
    <t>........ 72.-32 tancia para hacer el bien. Asi lo ha reconocido D. Juan Ventura Apestegui........ 20 S. M., y ha dado la señal mas evidente de su sa­ D. Manuel Gutiérrez.......................... 80 tisfacción , habiendo concedido á la municipalidad Por una vez. el famoso grupo de bronce que representa á Car­ los v sujetando …</t>
  </si>
  <si>
    <t>&gt;. Francisco Xavier Chatre , te­ quín Pecino y D. Lorenzo Sagasta, subtenientes, niente ■ i capitán en la vacante de O. Petit; á Don i tenientes; y á D. Manuel Gutiérrez, sargento Juan Bautista Piehard , «obteniente, i teniente en primero, á subteniente: al teniente de infantería reemplazo de D. Francisco Xavier Chaire, y á D…</t>
  </si>
  <si>
    <t>ídem á Juan Pariente y compañía, contratistas que fueron de carnes, por igual razón....... ................................... 8022$..1$ En 1 ídem á D. Manuel Gutiérrez, con­ tratista que fue de carbón para la ar­ tillería, ídem....#.................................. 1000 8462$..! y</t>
  </si>
  <si>
    <t>l Fermin Ctdon, encargado del secuestro del almacén de la corona , pa­ ra gastos............ ............................................ 1000 Idem á D. Manuel Gutiérrez, escribano de la i, sala, para atender al desempeño de un en­ cargo del tribunal de Vigilancia.................. 2000 Idem por el gasto del corte y quema del…</t>
  </si>
  <si>
    <t>Gutiérrez, Matías</t>
  </si>
  <si>
    <t>Matías Gutiérrez</t>
  </si>
  <si>
    <t>ón Prieto, Alcalde de barrio BARRIO DE LAS NlSAS DE LE GANES. D. Pablo II idrr-i. Diputado eclesiástico ■ Alcalde de barrio D. Saturnino bea¡ y Díaz. D. Matías Gutiérrez. Diputados seculares Diputado eclesiástico D. J uan Bautista Nieto. D. Joaquín María Martin.</t>
  </si>
  <si>
    <t>Gutiérrez, Miguel</t>
  </si>
  <si>
    <t>Miguel Gutiérrez</t>
  </si>
  <si>
    <t>con una escolta de 42 caballos les sugetos siguientes : D. Ni­ colás Maestre, D Agustín Moreno, y D. Manuel C^rasa, canónigos de esta santa iglesia; D. Miguel Gutiérrez, campanero de la mis­ ma ; el doctoral de la catedral de Toledo ; un arcediano de la cate­ dral de Salamanca; el corregidor de esta ciudad D. Joaquín Goyoneta…</t>
  </si>
  <si>
    <t>Gutiérrez, Vicente</t>
  </si>
  <si>
    <t>Vicente Gutiérrez</t>
  </si>
  <si>
    <t>García , id. en Arqui­ modovar del Campo................... 2200 llos de Sierra-Morena.................. 2200 Bx-trinitarios descalzos. Ex-dominicos. D. Vicente Gutiérrez, residente eD Cién- D. Antonio de Cárdenas, residente en Jaén. 2200 poznelos................. 2200 D. Juan Roldan, id...... ................................…</t>
  </si>
  <si>
    <t>Gütietrez, Jtian</t>
  </si>
  <si>
    <t>Jtian Gütietrez</t>
  </si>
  <si>
    <t>de Ti vi Ha tejo de Salvatierra, vacante por muerte de D. Mi­ de Baños, en la diócesis de'Jlen",’ vacante" pprfa¿ guel Martin García. lleclniiehto de D. Jtian Gütietrez.- "'y; A D. Francisco Cascon para el de Si Pedro de Al presbítero ex-cistercieníe D. Manuel LedO Ledesma, vacante por fallecimiento de D. Jaiba Gómez para otr…</t>
  </si>
  <si>
    <t>Guy</t>
  </si>
  <si>
    <t>opas de línea , al mando del general Bassecourt y de los brigadieres Montijo y Duran, y que se dirigen hácia CuenGa. Dia 15. Hoy ha salido de aquí el general Guy para Guadalaxa­ ra, llevando en su compañía al Manco. Antes de salir se presentó este al rey intruso, á quien dicen juró obediencia , y se ofreció á traer á su parti…</t>
  </si>
  <si>
    <t>te general de artillería; del genera! D&amp;rmags&amp;c. -ccrnaE ¿artife general de infantería ; 'del genéíál Mcr. in , capitán ge-resal de xe? vi­ cio ; del general Guy y del n •erque» de Palacio, ayudantes de Jceó* de D. Joan de Faria, inspector de ¡Vfí trepes es pañetes ; del general Luco* te, caballerizo de servicio ; del conde d…</t>
  </si>
  <si>
    <t>Guyardet</t>
  </si>
  <si>
    <t>el batallón del 108.0, que habia grande. rechazado á los rusos, hubo de ceder á la multi­ Parte del príncipe de JEckmtifh al príncipe mayor - tud. El general Guyardet, c;on dos batallones del general. 6.1-4°, reprimió el ímpetu del enemigo, y le obligó á repasar el barranco, que cruzara en seguimiento JDoubronmta 7 de agosto.…</t>
  </si>
  <si>
    <t>Guyon</t>
  </si>
  <si>
    <t>lecturj, el ceñor presidente continuó en es­ nerai Grouchy, al que reuní al otro dia la brigada,tos términos : ” Ilustres ciudadanos de Polonia: del general Guyon. A prima noche se pusieron las cacabais de oir la voz de nuest os hermanos, y la tropas en este orden. «expresión del ardiente de eo que los anima por La división d…</t>
  </si>
  <si>
    <t>Guzman, Antonio</t>
  </si>
  <si>
    <t>Antonio Guzman</t>
  </si>
  <si>
    <t>eda, ídem segundo Bernabé Miñano, cabo prime­ ro Manuel Alcántara y D. Joaquín Nuñez. Del presidio: D. Juan Jacinto Iztueta , D. Clemente Britapajas, D. Antonio Guzman, D. Faustino Ru­ bio, D. Josef García Peña, D. Francisco Armendi, D. Melchor de Somarrivas, D. Antonio Saquero , ei cabo de brigada D. Josef Ruiz, y D. Fran­ c…</t>
  </si>
  <si>
    <t>Guzman, Eulalio</t>
  </si>
  <si>
    <t>Eulalio Guzman</t>
  </si>
  <si>
    <t>ría, 17. El ayudante mayor D. Baltasar Muro , 12. El teniente D. Francisco Ren­ teros, G. Id. D. Santos Cabrejos, 12. Id. D. Bartolomé Dapelo r6. Id. D. Eulalio Guzman , 4. El alférez D. José Manuel Muro, 12. Id. D. José Ledesma, 2. Id. D. Jacinto Quesada, 6, Id. D. Francisco Barragan, 6. Id. D. Joté Villalobos, 12. El portag…</t>
  </si>
  <si>
    <t>Guzman, Juan José</t>
  </si>
  <si>
    <t>Juan José Guzman</t>
  </si>
  <si>
    <t>que Vaca, contador de moneda primero , 66. Id. segando D. Pedro Gil , 50. — Almacenes. Admi­ nistrador D. Mariano del Solar, 100. Oficial interventor D. Juan José Guzman , 66.—, Administración del casca. Administrador v tercenista D. Pedro Roque del Villar, 66. Tercenista primero D. Matías Zapater, 58. Id. segun­ do X). Juan …</t>
  </si>
  <si>
    <t>H, Jum</t>
  </si>
  <si>
    <t>Jum H</t>
  </si>
  <si>
    <t>potencia en la prnspeudaJ ba , por............................................................ 2200 de aquella, porque de eila debía resu tar que la D. Jum H dalgo , Í.l....................................... 2200 Inglaterra, que por su pnicion insular es esencial­ D. M tu.- de Toto , id................................. 2200 …</t>
  </si>
  <si>
    <t>H, Pedro</t>
  </si>
  <si>
    <t>Pedro H</t>
  </si>
  <si>
    <t>. ses. Quando están vivos talan los campos; no hai En Maracena D. Francisco Mirtinez teniente. yerba por donde pasen que no quede comida ó En Cuentar D. Pedro H rnandez teniente. seca ; planta ni árbol vestido de hoja que no que­ En Gavia la grande D. Franchón de Queiruga de desnudo, y todo abrasado y quemado; y ¡o capitán, y…</t>
  </si>
  <si>
    <t>Habert</t>
  </si>
  <si>
    <t>cación entre Valencia y americana llamada Aníbal, de pone de 800-tone­ Madrid por Requena y Cuenca. ladas, armada de 24 piezas de á 24, cargada de El general Habert ha encontrado en la plaza mercancías coloniales , procedente de Baltimore, de Denia 69 piezas de artillería entre cañones y con destino á Burdeos. Este buque ha s…</t>
  </si>
  <si>
    <t>Hacienda, Ja</t>
  </si>
  <si>
    <t>Ja Hacienda</t>
  </si>
  <si>
    <t>guio , naestro ministro Ja Hacienda, y D. Sebas­ tidnmbre de las observaciones hacían esta Opera­ tian Piñuela, nuestro consejero de Estado. ción mui penosa; pero; no obstante con esta pri­ El gran tesorero y gran canciller d</t>
  </si>
  <si>
    <t>Hacines, Francisco</t>
  </si>
  <si>
    <t>Francisco Hacines</t>
  </si>
  <si>
    <t>cada año que dure la guerra. D. Juan Bernardo Aliaras y su hermano, 100. D. .i uau Francisco Azpiroz y hermanos , 300. D. Andrés de Larra paga, 100. D. Francisco Hacines, 100. D. Juan Nicasio Sotomavor, -UKI. D. Juan Ergniaga, 100. D. Juan de Vivas, 400, D. Custodio Alvarez, 100. D. Pabl® Bj ingas, 200, (Se continuará.) CADIZ…</t>
  </si>
  <si>
    <t>Haedo, Manuel</t>
  </si>
  <si>
    <t>Manuel Haedo</t>
  </si>
  <si>
    <t>o. ílaée algunos dias que reina aquí un recio Por otro decrero de ia misma fecha hi sido temporal, y el mar está de leva. Las olas han arro­ nombrado D. Manuel Haedo, guardia de Corps jado á la costa cerca de Chambre-d'Amouv uua que fue de Ja compañía española, teniente de ca­ ballena de cerca de 20 varas de largo. ballería. …</t>
  </si>
  <si>
    <t>Haii</t>
  </si>
  <si>
    <t>s lo sintiesen los enemigos. El teniente Sourdis tropas en las montañas coa el mayor desórden. atravesó la villa á galope con el pelotón de van­ ,,El general Haii’pe marchó el 25 con la pri­ guardia , y acuchillando á quantos encontraba en mera brigada de c. bollería y las compañías escogí* las calles , intrnduxo el desórden …</t>
  </si>
  <si>
    <t>Haiwood</t>
  </si>
  <si>
    <t>fl argo de esto, habiéndose justificado orden por la qnal se prohíbe la exportación del «Su fraude tan grosero, y el abuso que ha hecho numerario. El capitán Haiwood, comandante del »de la confianza que habian puesto en él, se de­ había pedido permiso para extraer una .cier­ belara al dicho Beoja,oi¡n Walsh por indigno é inta…</t>
  </si>
  <si>
    <t>Halkett</t>
  </si>
  <si>
    <t>y que constantemente le rechazaron con firmeza, causándole mucha pér­ dida.— Ellos no la tuvieron, y no puedo alabar debidamente su conducía y la del coronel Halkett que los mandaba. Las operacio­ nes y conducta del teniente general Sir Stapeleton Cotton y de los oficiules de estado mayor que estaban con él, fueron , durante …</t>
  </si>
  <si>
    <t>1507</t>
  </si>
  <si>
    <t>o y á una milla de Cabezón. „El 18 extendió su derecha, y procuró forzar los puentes de Si­ mancas y Vallad olid : el primero estaba defendido por el teniente coronel Halkett con su brigada de la séptima división; y el segundo por el teniente general conde Dalousie con el resto de la misma di­ visión. Cargado fuertemente Halk…</t>
  </si>
  <si>
    <t>Hall</t>
  </si>
  <si>
    <t>los para Nápoíes después de ia publicación de la pro­ Estados Unidos la Constitución, mandada por el clama del presidente de 2 de noviembre de t8ió, capitán Hall, sea una de las mis favorables y sa­ dichos barcos y sos cargamentos han sido confisca­ tisfactorias. dos y vendidos en virtud de los decretos de Bar,Los pliegos que…</t>
  </si>
  <si>
    <t>l siguiente oficio del general lord Bentinck. „Palermo 31 de Agosto de 1812.— Milord : tengo la honra de re­ mitir la adjunta carta que me dirigió el brigadier Hall , coman­ dante de la escuadrilla de la armada, en que me da cuenta de un desembarco dirigido por él contra la costa enemiga para destruir varios artículos de que …</t>
  </si>
  <si>
    <t>Hallen</t>
  </si>
  <si>
    <t>nuestro país, nos dan derecho para contar conell, el consejero Finn, Mr. Vyse, lord Glentcon la conlLnza de! trono y del parlamento. A pe­ worth , el consejero Hallen, Mr. Shelly, el con­ sar de esto subsisten todavía las leyes penales con­ sejero M’Nally, Mr. Bennet y Carlos French, tra nosotros, y se sos tiaits cerrada la p…</t>
  </si>
  <si>
    <t>Hamiiton</t>
  </si>
  <si>
    <t>ente general Hill que ocupase la villa y castillo de Alba con la brigada del mayor general Ilorrardes, de­ ntando la división portuguesa del teniente general Hamiiton á la iz­ quierda del Tormes para proteger aquellas tropas, estando la segun­ da división apostada en las inmediaciones de los vados de Encina y Hu erta; y la te…</t>
  </si>
  <si>
    <t>Hamilton</t>
  </si>
  <si>
    <t>por la izquierda del rio Guadiana con las divisiones tercera y cuarta, y la ligera de infantería, y por la derecha con la brigada de la división del general Hamilton: estas tropas están á las órdenes del mariscal conde de Troacoso y del teniente general Picton. Abri­ mos la trinchera el siguiente dia y establecimos una parale…</t>
  </si>
  <si>
    <t>ría del teniente eneral Sir Guillermo Erekine. Este general habla quedado en la f Extremadura baxa con parte ds la segunda división y la del teniente general Hamilton, ambas de infantería. Asimismo Soult marchó ¿esde el bloqueo de Cádiz sobre Córdoba; y por el mismo tiempo, po­ co mas. ó menos., las tropas que habían marchado…</t>
  </si>
  <si>
    <t>dadas por el marques de Welllngton, y especialmente por la última victoria conseguida en los campos de Salamanca el 22 de julio último. Ha llegado el coronel Hamilton en un buque parlamentario de América,. Se dice trae despachos que manifiestan las disposiciones pacíficas de aquel go­ bierno; pero nosotros no salimos garantes…</t>
  </si>
  <si>
    <t>ugal tenia 100 piezas- de artillería, es. proba­ ble que entre todas no baxen de S00. Extracte d? un eficio del general Ilamiltbn ál general HUI. „Ei general Hamilton da cuenta de las disposiciones que tomó para la defensa de Alba de Tormes , las que obligaron, al enemigo á retirar la mayor parte de la fuerza que, tenia allí^…</t>
  </si>
  <si>
    <t>; pero á vista del denuedo y excelente con­ ducta de las tropas combinadas, no se atrevieron á embestir la vi­ lla. Cerca de las.8de la noche supo el general Hamilton que la in­ fantería del enemigo se habla aumentado considerablemente , lo quo. le movió á enviar á batallones de la brigada del general Cosía á la villa,,quedan…</t>
  </si>
  <si>
    <t>Hano, Ramón</t>
  </si>
  <si>
    <t>Ramón Hano</t>
  </si>
  <si>
    <t>uales. D.Erancisco Goly, id., 9. D. Manuel Gasue , id., 9. D. Pedro Valenzuela , per 6 meses . 9. D, Manuel Puebla, id., 9. D. BeJen Ramírez, id., 9. D. Ramón Hano v Ve­ ga y su hermano D. Ignacio, por 4, 36. D. José María de So-oícngo, anualmente durante la guerra , 500. D. Joaquín Pedroso, id., 100. El moreno Juan Nepomucen…</t>
  </si>
  <si>
    <t>Harcort</t>
  </si>
  <si>
    <t>ero de estos dos ataques fué executado por el capitán Laroche de Starkerfels del primer batallón de línea de la legión real alemana, y el otro por el teniente coronel Harcort con el regimiento 40, que desde entonces permaneció en el arrabal de S. Francisco, y contribuyo muy impor­ tantemente en el ataque de la plaza por aquel…</t>
  </si>
  <si>
    <t>Harcourt</t>
  </si>
  <si>
    <t>52, que fué herido, y el mayor O-liare del 95, muerto desgra­ ciadamente en la brecha, el teniente corone! del 8 , y el imyor Alges de cazadores. El teniente coronel Harcourt del 40, también herido, tse distinguió mucho, como asimismo los tenientes corone­ les Blakeney de fusileros reales. Knight del 27, Er kine del 40, y el …</t>
  </si>
  <si>
    <t>Hardemberg</t>
  </si>
  <si>
    <t>es : se publicará un diario de sus operaciones desde la batalla de Vodulnia hasta la toma de Kowel. PRUSIA. Berlín 18 de Agosto. S. M. ha dirigido al barón Hardemberg, canciller de Estado la orden siguiente : „Pudiendo acontecer que durante mi ausencia ocurran negocios que exijan una pronta resolución, y no queriendo mezclarm…</t>
  </si>
  <si>
    <t>Hardinge</t>
  </si>
  <si>
    <t>dad y constancia dé los oficiales y soldados, de que cierta­ mente es la mejor prueba lo fuerte de la obra que tomaron. Particularroer te menciona al teniente coronel Hardinge , del estado mayor del exércto portugués, que le acompañó en esta ocasión, al cap tan Benet su ayudante de campo; al mayor de brigada Wylde , el cual f…</t>
  </si>
  <si>
    <t>Haré</t>
  </si>
  <si>
    <t>Gaceta de Madrid n.º 23</t>
  </si>
  <si>
    <t>s que vieben de Bachares* diceo prpp9$¡cion; y qnando sp señoría iba ya á mandar que pronto va á haber novedad en el estado de que.,friese votada, él consejero Haré le dirigió estas los negocios. Aseguran que el general Kntnsow palabras: ■ no aguardaba mas que un correo de S. Petersbur- \ ,,'IVjilord Fingal : yo vengó aquí co…</t>
  </si>
  <si>
    <t>cío Lord Fingal convino en ello; y entonces el por tanto el vice-almirante Emerian llamó la di­ consejero Haré asió del brazo al lord Fingal, di- visión al fondeadero, y á la entrad, de la n--&gt;rhe cíéndoie; ,,Milord, me veo obligado á haceros de- estaba y» anclada otra vez, habiendo cumplido xar ese sillón.” con el objeto de su</t>
  </si>
  <si>
    <t>Harispe</t>
  </si>
  <si>
    <t>diferentes cuerpos, un correo, y los ofi­ „ Al dia siguiente volvieron todas lal colanas ciales de sanidad de la división. • sus acantonamientos. El general Harispe ha he­ ,,El general conde Pannetier elogia mucho la cho perseguir y acuchillar á la vuelta á varias qua- Conducta de todas las tropas, particularmente á drillas q…</t>
  </si>
  <si>
    <t>Harman</t>
  </si>
  <si>
    <t>rpuso superior al suyo. Nuestra pérdida ha sido muy con­ siderable. El mayor general Balk fué herido en la cabeza; el prínci­ pe Licirgkoi y el mayor general Harman han sido contusos, aunque levemente ; el coronel Bote , del 26 de cazadores , gravemente herido en una pierna, como también el comandante del l.° de reclutas de P…</t>
  </si>
  <si>
    <t>Harringcou</t>
  </si>
  <si>
    <t>niw.ti , después que blea en unos términos análogos á las circunstancias. se brindó por su salud, habló largamente sobre h Habiéndose brindado por el conde Harringcou importancia de la causa de los católico*; y J ‘ et y por el exéceito de Irlanda , dió las gracias el Lancaster, que tiene actualmente escuela ele edu­ ilustre c…</t>
  </si>
  <si>
    <t>Harrison</t>
  </si>
  <si>
    <t>950</t>
  </si>
  <si>
    <t>ericanos que se pudieron prender, y se ha dado cuenta del suceso al gobierno. Ei exército americano de Wabash,. compuesto de 950 hombres al mando del general Harrison, gobernador del territorio de Indiana, fué sorprehendido la noche de 7 del corriente por el ggfe indio, llamado el Profeta. Los indios mataron los centinelas á …</t>
  </si>
  <si>
    <t>Harrisson</t>
  </si>
  <si>
    <t>11 de mayo. tuado á la orilla del Mississipí, á 300 millas mas arriba del de S. Luis. S. A. la duquesa viuda , tutora y regenta de Sa,,Ayer salió el gobernador Harrisson con par­ xonia-Meinungen, y S. A. el príncipe de Sóhwarzte de las milicias de S. Luis, y se dirigió á los es­ bonrg-Sondershausen han abolido, en sus estado*…</t>
  </si>
  <si>
    <t>Harting</t>
  </si>
  <si>
    <t>453</t>
  </si>
  <si>
    <t>incapaz de dirigir una guerra, y por tan­ que un cuerpo ruso pasó el Dauubip por cerca de to despreció altaneramente al Rei, á sus abados, Sistow. El general Harting, que .parece- pensaba y todas sus amenazas. Representóse por entonces atacar a Tillik-Ogiou, ayan de Siijstria , adelan­ en un teatro de Bruselas, capital del Br…</t>
  </si>
  <si>
    <t>Hasse</t>
  </si>
  <si>
    <t>ta borrasca ha hecho á los Este hombre había sido mucho tiempo criado ingleses. En la costa de Molfeta se ha recogido un del presidente Bartels y del doctor Hasse de esta mastelero y una chalupa , que prueban evidente­ ciudad antes de pasar á Inglaterra, y trae impre­ mente qne ha naufragado por aquellas aguas alguo sas eo su…</t>
  </si>
  <si>
    <t>491</t>
  </si>
  <si>
    <t>e i.° Del jo. de enero de 1801 hasta 31 de diciembre deí8t-t, asciende á 101661 libras esterlinas. :='Fi ruta dees. S. M. ha multado en 50 escudos al prefecto Hasse, tesorero general.” Sohtnitz de Gqittemburgo en Eiltvangen por haber Banco de Inglaterra 26 de mareo de 1812. tomado ciertas providencias contrarias á los reales …</t>
  </si>
  <si>
    <t>Haukerha</t>
  </si>
  <si>
    <t>as tropas que había alii habían salido para Dupont. Huddersñeld , donde ha i grandes turbulencias. Dicho corsario ha apresado en el mismo dia al ,,E¡ general Haukerha pasado esta mañana re­ brick ingles la Gratitud, de 170 toneladas , carga­ vista á todas las tropas que hai aqui y en los con­ do de abadejo. Esta presa , cuyo …</t>
  </si>
  <si>
    <t>Hay</t>
  </si>
  <si>
    <t>ackenham, mientras este avanzaba á la cabeza de la tercera división ; al honorable teniente coro­ nel Gieville del 28, que mandó la brigada del mayor general Hay de la quinta división, ausente con licencia; á los brigadieres generales Pack y conde de Resende, al servicio de Portugal; al coronel Dauglas del octayo regimiento p…</t>
  </si>
  <si>
    <t>Hcppe</t>
  </si>
  <si>
    <t>besti­ mos completamente la plaza por la tarde del 13; y durante la noche los destacamentos de la séptima división de infan­ tería ai mando del mayor general Hcppe , y de la tercera división de infantería al del mayor general el muy ho­ norable Eduardo Packenham, arrojaron los puestos enemi­ gos del Prado, del Jardín Botánico…</t>
  </si>
  <si>
    <t>Hdberti</t>
  </si>
  <si>
    <t>a capital el consejero de legación barón d* El Emperador ha manifestado públicamente so Buol, que queda encargado de Negocios de Aus­ satisfacción al coronel Hdberti , comandante del tria cerca de ouestra corte. ■regimiento de Wilna, y . al coronel Loschkatev», comaodáñte’del regimieoto de infantería de Sim— AUSTRIA. birsk, p…</t>
  </si>
  <si>
    <t>He, Rey</t>
  </si>
  <si>
    <t>Rey He</t>
  </si>
  <si>
    <t>arrera para Zaragoza, y pronta á ser se corrida por las tropas de Pamplona y Caparroso. Creí seria la oca­ sión mas oportuna el cargarla luego que el conde Rey He pasase á Va­ lencia : se me dió aviso de que el 3 por la noche llegaba Reylle coa parte de su división á Tafalla, siguiendo su marcha al dia siguiente. El 2 por la …</t>
  </si>
  <si>
    <t>Hea, Tomas</t>
  </si>
  <si>
    <t>Tomas Hea</t>
  </si>
  <si>
    <t>regidor, que venia D. Pedro Teliería, D. Pablo López de la Huerta á su frente, ha pronunciado el discurso siguiente: y D. JosefTellería: seminaristas D. Tomas Hea- Señor: riquez, D. Juan Manuel Errazqoin, D. Juan Bau­ tista Montes, D. Domingo Urdagarin, D. Juan ,,Vuestra villa de Requena, comprehendida Antonio Ozamiz, D. Juan…</t>
  </si>
  <si>
    <t>Hedderwick</t>
  </si>
  <si>
    <t>n 78 tamentc escaladas por el segundo batallón del regimiento 24 al man­ do del capitán Hedderwick ; y nuestras tropas lograron establecerse dentro de la línea exterior de las obras del castillo de Burgos. „La conducta del 24.' ha sido muy diaria de elogio, y el capi­ tán Hedderwick y los</t>
  </si>
  <si>
    <t>Heeren</t>
  </si>
  <si>
    <t>consolidadas; al establecimiento de bros extranjeros' al cabaliefo: Heyne, profesor de upa nueva contribución general sobre los bienes Gottinga ; al profesor Heeren , de la misma ciudad, raíces, que reemplazará la que ha subsistido hasta y al consejero Bottiger , de Dresde, - - . ahora, y de que nadie está exdnto; Ja Creación de</t>
  </si>
  <si>
    <t>Heini</t>
  </si>
  <si>
    <t>ia literatura y á las tal Mariana Fischer, de edad de 24 años, á quien grtes. Se trata pues de hacer un gran Diccionario asistió en una enfermedad el doctor Heini , en el histórico nacional, baxo el título de Moreri, cor­ hospital de Friburgo, vomitó durante el año de regido y completó, el qual contiene todos los ar­ 1811 una…</t>
  </si>
  <si>
    <t>Helbcrden</t>
  </si>
  <si>
    <t>a 34. Juan Willis. Después de la conferencia que. t¿viérort *-én el1 qú^rso de la Reina se volvieron á WÜRTEMBERG. " ' . Ldndre* sir H. -Halford y el doctor Helbcrden. El bbjéto'deí viage del'conde de Winchelsea ha sido Stjfítgardt 8 de enero. ' para informarse de ciertas particularidades relati­ vas i la casa del Reí, á vari…</t>
  </si>
  <si>
    <t>Helfreigh</t>
  </si>
  <si>
    <t>movimientos; ayer me apoderé de este ciudad ; y ha­ biendo sabido que el enemigo se retiraba á Gloubokoe, envié allá mi vanguardia al mando del mayor general Helfreigh, el cual le siguió el alcance desde las 8 de la mañana hasta las 6 de la tarde; pero las bizarras tropas de V. M. viendo que llegaba la noche, y que solo había…</t>
  </si>
  <si>
    <t>Hemos, Agustín Piniiies</t>
  </si>
  <si>
    <t>Agustín Piniiies Hemos</t>
  </si>
  <si>
    <t>n, y 200 de me­ línea D. Manuel Galan y Gragera subteniente del regimiento i.° de cazadores a cab • .0 ; al subte­ lote. niente que fue de caballería D. Agustín Piniiies Hemos supuesto el precio de la libra de azú­ car sin purificar de 15 sueldos; por consiguiente subteniente de caballería de linea ; al subteniente zoo libras…</t>
  </si>
  <si>
    <t>Hemos, Buenaven</t>
  </si>
  <si>
    <t>Buenaven Hemos</t>
  </si>
  <si>
    <t>o. por la cotiuitucion®¿el-estado, REI de las Espa- Para subteniente de la primera compañía á ñas y oe las Indias. D. Josef Morales, en la vacante de D. Buenaven­ Hemos decretado y decretamos lo que sigue: tura Gaona. articulo i. ,,Con arreglo á lo prevenido en art. vi. Nuestros ministros de lo Interior y r-ti-Mro decreto de …</t>
  </si>
  <si>
    <t>Henares, Josef Joaquín</t>
  </si>
  <si>
    <t>Josef Joaquín Henares</t>
  </si>
  <si>
    <t>s. D. Bartolomé Pineda. D. Joaquín Cañete, de granadero». D. Juan Francisco Ramírez. D. Manuel Bujalance, de tiradores. D. Juan de Tienda. Tenientes. D. Josef Joaquín Henares. D. Vicente Ort'z y Alguacil. D. Pedro Atiza. D. Juan Pioeda. D. Josef Vexijar. Subtenientes. D. Josef de Osuna y Quadra. D. Andrés Padillo. D. Félix Ma…</t>
  </si>
  <si>
    <t>Heno, Francisco</t>
  </si>
  <si>
    <t>Francisco Heno</t>
  </si>
  <si>
    <t>. D. Tomas de !a Fuente. • • • 1 • Cantabria &lt; Ayudante. . D&gt; Mateo Primo. ••••«»» • • 1 C Teniente . . D. Alejandro de Torres... • • 1 'Coronel. . . D. Francisco Heno............. • • 1 Sarg. mayor / el coronel. D. Manuel Bayena............. • 1 Cádiz. 1 j Teniente. . D. Miguel Angulo....... • ■ Subteniente D. Hipólito Salgú…</t>
  </si>
  <si>
    <t>Henrique</t>
  </si>
  <si>
    <t>é llegó ayer aqui de La corte te ha vestido hoi de lato, el qnal do­ Magdebargo, y el conde de Nansouti, genetal de rará tres días, por fa muerte del príncipe Henrique- división, ha salido para Stettiu. Victor de Wied-Neuwied. Se ha publicado aquí e. decreto siguiente: HUNGRIA s ,,En el momento en que va á abrirse otra vez la…</t>
  </si>
  <si>
    <t>Henriquez</t>
  </si>
  <si>
    <t>1207</t>
  </si>
  <si>
    <t>, para que aparentando un ataque al cerro llamase la aten­ ción de los insurgentes por aquel punto, y tuviese menos obstáculos para subir el referido comandante Henriquez. Este plan , executado con una exactitud que pocas veces se con­ sigue , los esmeros con que proporcionaba refuerzos y auxilios desde el campo mi segundo el…</t>
  </si>
  <si>
    <t>Henriquez, Jossf</t>
  </si>
  <si>
    <t>Jossf Henriquez</t>
  </si>
  <si>
    <t>quitado el título de reino, y ha humillado á su Por decretos de 3 de marzo S. M. ha nombra­ capital, alejando de ella á los grandes, á la noble­ do á D. Jossf Henriquez, D. l.ois de Mérida y za , y á todo lo que le daba algún lustre. Mas no D. Juan Herrasti individuos del cnntej &gt; de prefec­ *e limitan á esto solo las pérdida…</t>
  </si>
  <si>
    <t>Henry</t>
  </si>
  <si>
    <t>e ha­ da á reemplazar coa alguno de sus individuos al llaban de cecina y tocino. Se espera con impacien­ mutilado. cia el informe sobre el asunto dei capitán Henry. Ha baxadn el cambio; el rublo vale 109 cén­ timas sobre París. Santa Alaría 20 de marzo. Del 24. El partido de la independencia formó un cam­ S. M. el Emperador s…</t>
  </si>
  <si>
    <t>, y así dio tanta rtai fiadá, y que á fines del año 1808 mantuvo una teria colorante como el tífejor de«Béngala. Se haf» larga correspondencia con el capitán Henry, can sacado testimonios de todos loís pormenores , dél el objeto de sublevar una parte de los Estados- tnodo de hacer los'experimentos-, de! método qué Unidos, ha …</t>
  </si>
  <si>
    <t>Her, José</t>
  </si>
  <si>
    <t>José Her</t>
  </si>
  <si>
    <t>ría Piar, id., 9. D. Juan Alonso Carriazo, id., 9. D. Juan Suavedra, id. , 4. D. Juan. José Hortelano , id., 2. D. Juan Cayetano de Miranda, id., 12. D. José Her­ nández , id. , uno. D. Vicente González, id., uno. I&gt;. Tomas Calvo , id., 2. D. Isidro José Cay mar i, id., 4. I). Fernando Alonso de Coya , id., uno. DoJ ña María …</t>
  </si>
  <si>
    <t>Herbolt</t>
  </si>
  <si>
    <t>1756</t>
  </si>
  <si>
    <t>ecordando que otro efecto semejante se notó en Marsella el año de 1756, durante el terremoto de Lisboa, que ar uinó la mayor parte de esta ciudad. El doctor Herbolt, comadrón distinguido y cirujano en Copenhague, ha descubierto que la causa de la muerte aparente de muchas criaturas que na­ cen muertas consiste en tener la tra…</t>
  </si>
  <si>
    <t>Herdoyza, Juan José</t>
  </si>
  <si>
    <t>Juan José Herdoyza</t>
  </si>
  <si>
    <t>10. D. Damian Jáuregui, 10. D. Juan Bustamante , 10. D. Agustín Fernandez, 10. D. Francisco Ilervoso , 6. D. Simón Hurtado, 6. D. Narciso Aponte , 6. D. Juan José Herdoyza, 4. D. Andrés Orive , 4. D. J*sé Alien , 4. D. Juan Laisequilla , 4. D. Pedro Delgado Alférez., 6. D. Florencio López , 2. D. Antonio López , 2 y 2. D. Man…</t>
  </si>
  <si>
    <t>Hereda, Diego</t>
  </si>
  <si>
    <t>Diego Hereda</t>
  </si>
  <si>
    <t>0 remediar los efectos.de este conflicto, empleó su D. Valentín Ramirez , id..... id..... id. 2200 autoridad en hacerle mayor y mas estrepitoso , ad­ D. Diego Hereda , caballerizo de mitiendo por una contradicción inconcebible los campo................ 4000 juicios sobre la racionalidad ó irracionalidad del D. A nronio Ug' ni…</t>
  </si>
  <si>
    <t>Heredia, Tomas</t>
  </si>
  <si>
    <t>Tomas Heredia</t>
  </si>
  <si>
    <t>o Cerutti, D. Antonio del Valle, D. Manuel María Rodríguez Rubio y D. Luis María Montero, ele cazadores ; al conde de Torre* jon, D. Ramón de Orozco, D. Tomas Heredia, D. Joaquín Bay ona y D. Hanión Parada, de cazadores; empleo de alférez de granaderos, al de fusileros D. Antonio María de S. Andrés ; empleos de alféreces de c…</t>
  </si>
  <si>
    <t>Heres, Tomas</t>
  </si>
  <si>
    <t>Tomas Heres</t>
  </si>
  <si>
    <t>646 las ocurrencias que se ofreciesen en la acción. L os cadetes D. Fran­ cisco Monserrate, D. Pedro Roso, y el particular D. Tomas Heres, que baxaron conmigo á las fortalezas , se embarcaren á solicitud suya , y se encargaron de atender á las señales, cuyo encargo des­ empeñaron con acierto, portándose en todo con el mayor v</t>
  </si>
  <si>
    <t>Hermosa, Ignacio</t>
  </si>
  <si>
    <t>Ignacio Hermosa</t>
  </si>
  <si>
    <t>onSalve.' D. Antonio G..rcíj de la Pedrosa, D. Josef L chambre. D. Ignacio G irmcndia. D. M:ga.l Crok. D. Sar.ti ,go Polidura. D. Timoteo Magnamara.' D. Ignacio' Hermosa. D. Lu ¡s Caballero. D. Joan de Camuo. D. Juan Ahumada.D. Juan de la Torre Pner. Contador. . . D. Josef Molina Fernandez. D. Francisco Peredo. D. Juan de Gál…</t>
  </si>
  <si>
    <t>Hermoso, Pedro</t>
  </si>
  <si>
    <t>Pedro Hermoso</t>
  </si>
  <si>
    <t>Juan buena administración. Ultimamente, dos dias an­ Adan para -la plaza de director de escultura; i tes de su muerte recibió una nueva prueba de la D. Pedro Hermoso para la de teniente de escul­ munificencia dei Soberano con el nombramiento de tura ; á D. Juan Antonio Cuervo y D. Silvestre individuo del consejo supremo de Sa…</t>
  </si>
  <si>
    <t>Hernán</t>
  </si>
  <si>
    <t>aballería, se avistó una colum­ na enemiga como de unos 800 infantes y 100 caballos , que sin duda habían estado emboscados, suponiendo seria solo el capitán Hernán­ dez con su partida el que había hecho fuego por la noche y se h.ibia introducido en la villa; pero fueron rechazados por la compa­ ñía ele artillería y batallón …</t>
  </si>
  <si>
    <t>Hernández, Agustín Antonio</t>
  </si>
  <si>
    <t>Agustín Antonio Hernández</t>
  </si>
  <si>
    <t>Puebla, vacante por muerte de D. Be­ No es mi ánimo escribir un trataHó sntae la nito Martin. cnestion delicada de la libertad de la imprenta ; no A D. Agustín Antonio Hernández para el del intento repetir tanto como sobre esta materia se ha­ Campo de Ledesma, vacante por fallecimiento de lla escrito, ni menos me propongo dar…</t>
  </si>
  <si>
    <t>Hernández, Antonio</t>
  </si>
  <si>
    <t>Antonio Hernández</t>
  </si>
  <si>
    <t>camino que una columna enemiga se había dirigido á la Alnumia en socorro de la que allí se hallaba sitiada por el capitán del regimiento de Cariñena, D. Antonio Hernández, con su partida, seguí la marcha hasta el convento de S. Cristóbal, distante una hora de la Alrminia, donde se me mandó avanzase hasta el olivar contiguo á …</t>
  </si>
  <si>
    <t>. D. Francisco Lavado, 12. D. Manuel * ’astro monte, G. 15. Fermín Ace ved o, 12. D. Bernardo Soto, 10. D. Juan Falencia, 50. D. Pedro Montaivo , 10. D. Antonio Hernández , 10. B. Domingo Palacios, 10. D. Ramón Saiazar, 12. D. José Antonio Vidasolo, 25. D. Pe iro Au ionio de Casas, campanero de minas , 400. D. José Moreno , 1…</t>
  </si>
  <si>
    <t>Hernández, Juan</t>
  </si>
  <si>
    <t>Juan Hernández</t>
  </si>
  <si>
    <t>- D. Agustín Ventades.......................... 180 17 licr.t. D. Vicente Zuza , por medio de su apoderado D. Peaio García Piniilos. 9837 8§ BAVIERA. D. Juan Hernández.............................. 11621 2jf Por réditos devengados procedentes Nuremberg so de mayo. de impistci mes perpetuas en la rent dsl tabaco al j por 100, …</t>
  </si>
  <si>
    <t>Hernández, Pablo</t>
  </si>
  <si>
    <t>Pablo Hernández</t>
  </si>
  <si>
    <t>l mismo ele caballería, á D José M dalles, D. Podro Luís Icteupi, D. Miguel Primero, D. Antonio Urblna, D. Earique Fu­ rias, D. Juan Dionisio Arcaya, D. Pablo Hernández, D. José Ma­ ría Telíería, D. Juan Agustín Oberfco, D. Esteban Pe tí, D. Manuel Osteycochea y D. Manuel E ysaga; de teniente de las mismas milicia» de infante…</t>
  </si>
  <si>
    <t>Hernández, Rafael</t>
  </si>
  <si>
    <t>Rafael Hernández</t>
  </si>
  <si>
    <t>D. Juan Josef Barrios, cura de Sta. María. D. Rafael Oseñalde, id. de S. Andrés. D. Rafael Hernández, id. de S. Sebastian. Seculares. D. Ignacio Abadía. 35. Antonio Garniz. D. Diego Palacio. D. Marcelo S. Román. [■ D. Paulino Sofia. D. Narciso Gonzalo del Rio. Y para que el público pueda e</t>
  </si>
  <si>
    <t>Herranz, Mariano</t>
  </si>
  <si>
    <t>Mariano Herranz</t>
  </si>
  <si>
    <t>. Josef Brau................................ 473 4 al articulo 3.0 de nuestro decreto de 9 de junio D. Francisco Diez del Valle...... 710 13 de 1809. D. Mariano Herranz..................... 3422 iy art. m. Nuestro ministro de Hacienda queda D. F rancisco Ciavijo........... ........ 1219 encargado de la execncion del presente …</t>
  </si>
  <si>
    <t>Herrasti, Juan</t>
  </si>
  <si>
    <t>Juan Herrasti</t>
  </si>
  <si>
    <t>capital, alejando de ella á los grandes, á la noble­ do á D. Jossf Henriquez, D. l.ois de Mérida y za , y á todo lo que le daba algún lustre. Mas no D. Juan Herrasti individuos del cnntej &gt; de prefec­ *e limitan á esto solo las pérdidas de la Irlanda: tura en la de Granada; y á D. Di go Coeilo de Portugal, D- Francisco Adam y…</t>
  </si>
  <si>
    <t>Herrera, Agustín</t>
  </si>
  <si>
    <t>Agustín Herrera</t>
  </si>
  <si>
    <t>últimos hubo muchos, y de aquellos bastantes : entre los primeros se cuentan D. Miguel Villanueva, Bermudez y otros oficiales, y entre los he­ ridos D. Agustín Herrera, el oficial Amaya y D. Demingo French, coronel de la Estrella. Pereyra finé preso , é igualmente lo están los que, dicen, fomentaron la revolución délos Patric…</t>
  </si>
  <si>
    <t>Herrera, Antonio</t>
  </si>
  <si>
    <t>Antonio Herrera</t>
  </si>
  <si>
    <t>rAL GÍWlRAL, BARRIO I)E SAN ANTONIO ABA». v . Alcaide de barrio D. Luis Ginf.s Fernandez. Alcalde de barrio Diputado eclesiástico D. Josef Gurícirez. D. Antonio Herrera. Diputado eclesiástico Diputados seculares D..................... vacante. D. Andrés dei Peral. Diputados seculares D. Ramón Ballesteros. ! D. Lorenzo A raín.…</t>
  </si>
  <si>
    <t>rtagena y D. Dionisio Baldiola. Tabuenca dis­ tingue entre los que estuvieron á sus ordenes , á los capitanes de Rioja D. Ramón Arroz, D. Juan Bueno, D. Antonio Herrera , D. José Gándara y D. Antonio Pendón: el primero á la cabeza de su compañía, no paró hasta ponerse encima de los cañones, y el se­ gundo murió al pie de ello…</t>
  </si>
  <si>
    <t>Herrera, Juan María</t>
  </si>
  <si>
    <t>Juan María Herrera</t>
  </si>
  <si>
    <t>xcesivos, quieren des­ Artículo comunicado. pués reintegrarse, y ganar por el tiempo que ocu­ pan en ir allá y andar en esta cobranza. Como es­ Señor D. Juan María Herrera y demas señores ta , si. se verifica en grano , no les trae tama ga­ diputados que firmaron la exposición para la nancia , suelen ir corriendo de pueblo en…</t>
  </si>
  <si>
    <t>Herrera, Juan María Jg</t>
  </si>
  <si>
    <t>Juan María Jg Herrera</t>
  </si>
  <si>
    <t>Juan de Valle, diputado por Cataluña; para vicc-prcsiden* te el Sr. D. Juan Bernardo Quiroga y Uria , diputado por Galicia; y. para secretario el Sr. D. Juan María Jg Herrera, diputado por Extremadura. Circular del ministerio de Gracia ?/ Justicia. Por real decreto de 15 de Julio de 1810, mandado circular de nue­ vo en 9 de J…</t>
  </si>
  <si>
    <t>Herrera, Manuel</t>
  </si>
  <si>
    <t>Manuel Herrera</t>
  </si>
  <si>
    <t>del Conde Vallejo.' que ha parido en seis años que hace que está casada.. art. ni. En los batallones de la ciudad de Toledo. ’ r : Parts 17 de abril. D. Manuel Herrera, teniente ¿ á capitán de la s - . *■*•**. El señor de Voelderndorf acaba de publicar quarta compañía del primer batatlonq en reempla­ apa traducción en alemán …</t>
  </si>
  <si>
    <t>Herrera, Manuel López</t>
  </si>
  <si>
    <t>Manuel López Herrera</t>
  </si>
  <si>
    <t>así dispuse que se retirase,.desando cubierto el puente nuevo y la altura del Tejo.— Se distíquieren particularmente el teniente del primero cántabro D. Manuel López Herrera, y el sargento primero de mis or­ denanzas D. Manuel Sahagun , que murieron en la acción ; y el capi­ tán , teniente de cazadores del primero cántabro , …</t>
  </si>
  <si>
    <t>Herrera, Marcos</t>
  </si>
  <si>
    <t>Marcos Herrera</t>
  </si>
  <si>
    <t>por sí y su clerecía , 84. Don Francisco Medina y Lanas , 25. — Curas y clerecía del partido de Haailas. D. José Castellanos, cura de Huailas , 100. D. Marcos Herrera, cura de Ca­ ras , 100 ; y ofrece igual cantidad anualmente durante la guerra. D. Bartolo­ mé Avenio, cura de Macate , 50. D. Bernardino Torres, 12. D. Antonio …</t>
  </si>
  <si>
    <t>Herrera, Pedro</t>
  </si>
  <si>
    <t>Pedro Herrera</t>
  </si>
  <si>
    <t>............. 2200 gar de Arce.;.............. .................................. 2200 D. Marcelino Gil, id..................................... 2200 D. Pedro Herrera, id. de Herrera............... 2200 D. Benito Francisco Martínez, ex carme­ D. Francisco Boi, id. de Santander............ 2200 lita descalzo...................…</t>
  </si>
  <si>
    <t>Herrera, Toribio</t>
  </si>
  <si>
    <t>Toribio Herrera</t>
  </si>
  <si>
    <t>Administrador de Chancay D. Nicolás Romero , 12. Id. de Huaura D. Tomas Fernandez , 25. Id. de Barranca Don Gregorio Lobaton , 200. Id. de Pativilca D. Toribio Herrera, 17. id. de Cha­ cas D. Antonio Navarro, 25.14. de Ncpeña D. Juan Antonio Infantas, 4. í ! dp* Truxillo D. Miguel Sánchez, 100. interventor D. Celedonio Bowi, …</t>
  </si>
  <si>
    <t>stración de tabacos de Santa. El administrador D. Juan Manuel Loza• 110,26. Ei guarda 1). José Ramón V cnña, 10 D Francisco Barrera, estanque­ ro, 6. D Toribio Herrera! 4. El colegio de abogados de Lima, 1000. D. Fran­ cisco de la Guarda , cura de Pararin , 50. El sub lelegado de Santa , de lo co­ lectado er» su partido , 212…</t>
  </si>
  <si>
    <t>Herrera, Vicente</t>
  </si>
  <si>
    <t>Vicente Herrera</t>
  </si>
  <si>
    <t>l Benito, D. Pe­ dro Latorre, D. Melchor Buba, D. Francisco Alvarez , D. Luis Angel García, O. Pedio Toruno, D Antonio Rosado, D. Ildefon­ so Sierra, D Vicente Herrera, D. José C.uóps, D. Manuel L no, D. Pedro Rueda, D. Santiago B-dhmia , O. José Clemente, D. Jo­ sé Me-reno Muñoz, D. Andrés López, D. Baldomcro Espartero, D. J…</t>
  </si>
  <si>
    <t>Herrero, Juaii</t>
  </si>
  <si>
    <t>Juaii Herrero</t>
  </si>
  <si>
    <t>d.............. ....... ................ 2200 D. Diego Fernandez y Roxas, id................. 2200 D. Juan Pedro Alarcon, id..................... neo D. Juaii Herrero, residente en Rute.......... 2200 D. Blas López Cordobés, id........ .................. 2200 D. Juan Antonio García, id........................... 2200 D. F ran…</t>
  </si>
  <si>
    <t>Herrero, Manuel Ramón</t>
  </si>
  <si>
    <t>Manuel Ramón Herrero</t>
  </si>
  <si>
    <t>antos Midan, Mateo García, Tomas Ribero, Ciríaco Gonzaiez y Lucas González. Ambrosio Mossi ha sido destinado á país libre durante la presente guerra. D. Manuel Ramón Herrero, presbítero de Soda, Fr. Miguel Oliver, beneficiado en Saella-Ca» bras, y á ; tes religioso mere: nano; y Fr. Tomas de S. Francisco Xa­ vier, liabbanfc¿ …</t>
  </si>
  <si>
    <t>Herróse, José Manuel</t>
  </si>
  <si>
    <t>José Manuel Herróse</t>
  </si>
  <si>
    <t>peda, guarda de la renta de alcabalas, 20. Don José Salvador , comandante de la partida veterana, 10. D. Francisco Zúñiga, vecino de dicha villa, 10. D. José Manuel Herróse, 10. D. Damian Jáuregui, 10. D. Juan Bustamante , 10. D. Agustín Fernandez, 10. D. Francisco Ilervoso , 6. D. Simón Hurtado, 6. D. Narciso Aponte , 6. D. …</t>
  </si>
  <si>
    <t>Hervás, Juan Pablo</t>
  </si>
  <si>
    <t>Juan Pablo Hervás</t>
  </si>
  <si>
    <t>con­ dándoles las buenas noches. sejero de Estado marques de Casa-Calvo primer El tunes hicieron pedazos en la misma aldea gentilhombre de cámara; á D. Juan Pablo Hervás otros tres telares , y pusieron uno de ellos encima maestro de ceremonias, y al conde de Cancelada del tejado de la cárcel para que todo el mundo lo mayordom…</t>
  </si>
  <si>
    <t>Hervey</t>
  </si>
  <si>
    <t>427</t>
  </si>
  <si>
    <t>yer de Londres para embarcarse y pasar á Constantinopla. Ei 27 del corriente, estáñelo cruzando en la costa de Francia el bergantín de S. M. Rosario, capitán Hervey , avistó una división de 15 pramas enemigas, y determinó atacarlas, á pesar de la superiori­ dad de sus fuerzas. El Rosario maniobró cortándoles la retirada, y pr…</t>
  </si>
  <si>
    <t>nham que sé adelantaré con’ la tercera división ¿ la cábtdlería del gene­ ral D’Urban y dos escuadrones del 14 de dragones ligeros, a las órdenes del teniente coronel Hervey , en cuatro columnas para en­ volver la izquierda del enemigo sobre las alturas, mientras que la bri­ gada dei brigadier general Bradford, lá'quinta divi…</t>
  </si>
  <si>
    <t>ropas fueron sostenidas con la mayor bizarría por la caballería portuguesa del mando del brigadier general D'Urban , y los escuadrones del ter niente.coronel Hervey del 14, que frustraron todas -las tentativas he­ días por el enemigo sobre el flanco de la novena división. , ,,-La brigada del brigadier general Bradford y las d…</t>
  </si>
  <si>
    <t>se con la tercera división, la caballería del general d’Urban, y dos esquadrones de dragones ligeros del regimiento num. 14.° mandado por el teniente general Hervey, y que formados en quatro colunas, envolviesen la izquierda del enemigo que estaba situada en las alturas: asimismo mandé que la brigada del general Bradford, ia …</t>
  </si>
  <si>
    <t>Bi­ zarro del regimiento portugués núm. n.6: el teniente coronel Bingham del re­ gimiento británico 63.°; y también el brigadier general d’ Urban, el coronel Hervey del regimiento de dragones núm. 14.0,' lord E. Somerset del regimien­ to de dragones núm. 4.0, y el teniente coronel honorable F. Pousomby dd regimiento de'dragon…</t>
  </si>
  <si>
    <t>Hervías, Ramiro</t>
  </si>
  <si>
    <t>Ramiro Hervías</t>
  </si>
  <si>
    <t>18. El teniente coronel D. Pedro Valverde por uno , 9. D. Joaquín Madan por uno , 9. Doña María Dolores Velez por uno, 9. D. Luis Amedey por uno , 9. D. Ramiro Hervías por 2 , 18. Doña Monserrate Chacón por uno , 9. D. José Matías de Azebal por 2 , 18. D. Ignacio Pedroso , durante la guerra por 4 , 36. El Dr. D. Dionisio Vice…</t>
  </si>
  <si>
    <t>Hervís, Vicente López</t>
  </si>
  <si>
    <t>Vicente López Hervís</t>
  </si>
  <si>
    <t>raa- Rocubi.................... 3200 ca ds lis Agujas......... ....... ........................... 2 200 D. Manuel Rabada, lego, id. en Córdoba. 1100 D. Vicente -López Hervís, id en Villacarrillo , provincia de Jaén.......................... 2200 Ex- hospitalarios de S. Juan de Dios. D. Rafael Bustillo, residente en Ecija....…</t>
  </si>
  <si>
    <t>Heryey</t>
  </si>
  <si>
    <t>cio de Portugal; al coronel Dauglas del octayo regimiento portugués , al teniente coronel Bingham del 53, también al brigadier general D’ürban , y al teniente coronel Heryey del 14 de dragones, al coronel lord Eduardo Somersct, que manda el 4 de dragones , y al honorable coronel Federico Ponsonby, que manda el 12 de dragones …</t>
  </si>
  <si>
    <t>Hevia, Joaquín</t>
  </si>
  <si>
    <t>Joaquín Hevia</t>
  </si>
  <si>
    <t>quio del Poyo. D. Francisco Mateo Saenz. Diputados seculares Secretario D. Josef Mana Fourdicer. D. Rafael González del Valle. . D. Anastasio García. D. Joaquín Hevia. QUARTEL DE MARAVILLAS. Secretario BARRIO DE SAN BASILIO. D. Pedro Gil y Muro. Alcalde de barrio BARRIO DE SAN MARCOS. D. Fernando Aguado. Alcalde de barrio Dip…</t>
  </si>
  <si>
    <t>Heyne</t>
  </si>
  <si>
    <t>ó minkoe: el quartel general paso el 12 de Mojaisk «n Gottinga el dia 14 de julio de este año. á Peselina; el 13 estaba en el castillo de Beruska, El doctor Heyne había nacido el día 26 de sep­ y el 14 al medio dia entramos en Moskow. El tiembre de 1729, y era quando falleció el deca­ enemigo tenia construidos á dos millas de…</t>
  </si>
  <si>
    <t>Hichazo, Clemente</t>
  </si>
  <si>
    <t>Clemente Hichazo</t>
  </si>
  <si>
    <t>e en esta plaza, 20. El conde de Vallellano , por 2 , durante el tiempo que fuere su voluntad , 18. D. Gonzalo de Herrera, por 10, durante 3 años, 90 D. Clemente Hichazo , por 5 , ínterin no varíen las circunstancias , 15. El ayudante mayor de caballería D. Ma­ nuel Noriega, por 3 , durante un año, 27. X). Sebastian José de P…</t>
  </si>
  <si>
    <t>Hidalgo</t>
  </si>
  <si>
    <t>149</t>
  </si>
  <si>
    <t>ado. José Solis, intendenta de exércilo de los insurgentes. Vicente Valencia , director de ingenieros. Onofre Portugal brigadier.— En 27 de julio. El cura Hidalgo.—* Sentenciados á presidio. Andrés Molano , por toda su vida. Arandu, Encínilias por 10 anos. Jacinto, á ivi. por id. Norina, id. Cárloa Martínez , id. Ig?iacio Mal…</t>
  </si>
  <si>
    <t>Hidalgo, Agustín</t>
  </si>
  <si>
    <t>Agustín Hidalgo</t>
  </si>
  <si>
    <t>Sal azar, 50. Id. de Catuana I). Nicolás Brice-ño, 25. Id. de Maxes 13. Juan Chaves, 20. id. de C-huquivaniba D. José Velarde, 10. Id. de Are­ quipa D. Agustín Hidalgo , 60. Interventor J3. Justo Medina , 25. Oficial de id. , 15. Administrador de Moquegua D. José Dávila , 200. Id. de Tacna Don Joaquín Vigil , 50. Teniente adm…</t>
  </si>
  <si>
    <t>Hidalgo, Don Silvestre</t>
  </si>
  <si>
    <t>Don Silvestre Hidalgo</t>
  </si>
  <si>
    <t>103</t>
  </si>
  <si>
    <t>el primer regimiento cántabro.—A ello contribuyeron principalmente con su pericia y valor el comandante del segundo batallón del primero cántabro, el teniente coronel Don Silvestre Hidalgo, y el comandante dei escuadrón de húsares , el teniente coronel D. Manuel Aisa.” El mariscal de campo D. Pedro Agustín Girón, gefe del est…</t>
  </si>
  <si>
    <t>Hidalgo, Eustaquio</t>
  </si>
  <si>
    <t>Eustaquio Hidalgo</t>
  </si>
  <si>
    <t>D. Francisco Ay uso, D. Miguel González, D. Antonio (González, D. Angel Liare, D. José Uiloa,D Francisco Acosta, D. Justo Clemente, D. José Sánchez, D. Eustaquio Hidalgo, D. Basilio Aguado, D. Tomas Aparicio, Don Fernando Villanueva, D. Antonio Ansaldo , D. Sebastian de Moya, D. Antonio María Portaz, D. Antonio Moreno, D. And…</t>
  </si>
  <si>
    <t>Francis­ co Ayuso, D. Miguel González, D. Antonio González, D. Angel Llave, D. Josef Ulloa, D. Francisco Acosta, D. Justo Clemente, D. Josef Sánchez, D. Eustaquio Hidalgo, D. Basilio Aguado, D. Tomas Aparicio, D, Fernando Villanueva, D. Antonio Ansaldo, D. Sebastian de Moya, D. Antonio Ma­ ría Portaz, D. Antonio Moreno, D. An…</t>
  </si>
  <si>
    <t>Hidalgo, Ignacio</t>
  </si>
  <si>
    <t>Ignacio Hidalgo</t>
  </si>
  <si>
    <t>zeaudo , auditor de guerra, 200. D. Martin de Icasa, 1000 Doña Jacin­ ta Olave, 50. D. José Crespo, 25. D. Manuel Franco , 60. D- Juan Carcioli , 25. D Ignacio Hidalgo, 50. D Gregorio Mascóte, 10. D. Francisco Carbajai , 30. Vicente Pacheco, 10. D. Ramón Calvo, 100. D. Miguel Isusi, 1Ó. D. Vtcente Chacón, 30. D. Manu-1 Rodríg…</t>
  </si>
  <si>
    <t>Hidalgo, José</t>
  </si>
  <si>
    <t>José Hidalgo</t>
  </si>
  <si>
    <t>día figurarse el sanguinario Abbé He tenido 18 muertos y algu­ nos heridos : entTe los primeros cuento ai subteniente D. GerónimoNaverro y i.l cadete D. José Hidalgo; y entre los segundes al capi­ tán D Se verme Idarte. , Péí ité la misma noche del 23, en que se di ó la acción , marchar sol re los Arcos, y gorprehender al gen…</t>
  </si>
  <si>
    <t>Hidalgo, Josef González</t>
  </si>
  <si>
    <t>Josef González Hidalgo</t>
  </si>
  <si>
    <t>Perez Pulido, id. en Cabra......... 2200 D. Benito Diaz , residente en Moutilla..... 2200 DF Manuel de Galvez , íd............................. 2200 D. Josef González Hidalgo , id................... 2200 D. Pedro Fernandez , residente en Lucena. 2200 D. Ignacio de la Cuesta, id................ ...... 2200 D. Juan Fernandez, í…</t>
  </si>
  <si>
    <t>Hidalgo, Juau</t>
  </si>
  <si>
    <t>Juau Hidalgo</t>
  </si>
  <si>
    <t>.......................... • 2200 Calat ra*a'........ ...................................... . 22CO D. JoscfLopcz de los Reyes, id....... ...... 2200 D. Juau Hidalgo, lego-, id. en Córdoba..., neo D. Josef cíe G. ivez, id.............................. 22ÓÓ D. D ego Montosa y Navas, id................ *200 Ex-dominico!. Dj Fra…</t>
  </si>
  <si>
    <t>Hidalgo, Miguel</t>
  </si>
  <si>
    <t>Miguel Hidalgo</t>
  </si>
  <si>
    <t>e esta capital los manifiestos que ántes de sufrir la pena de muerte á que fueron condenados , hicieron los cabecillas , cura de Dolo­ res, bachiller D. Miguel Hidalgo , y lie D. Ignacio de AHama; en los cuales, después de detestar públicamente sus errores, amo­ nestan á sus secuaces , que escarmentando en la suerfe que justa…</t>
  </si>
  <si>
    <t>HiH</t>
  </si>
  <si>
    <t>les ha visto con admiración entenderse desdo decidida intención de disputar el paso del Tajo. las extremidades de la península, como si se halla­ El general HiH con el cuerpo de tropas de su sen reunidos en un mismo campo de batalla. mando había tomado posición sobre iu orilla dere­ Pero volvamos la vista á nuestra triste- Es…</t>
  </si>
  <si>
    <t>Hiil</t>
  </si>
  <si>
    <t>ue tuviese la menor noticia. Él 28, la primera brigada, mandada por el gene­ ral Remo lid, estaba ya en camino, y á mas de legua y media, cuan­ do el general Hiil llegó con sus tropas al alojamiento del general Girardj sin que se hubiese disparado un fusil. Un batallón del 34 y otro del40 estaban en la villa, con 3 piezas de …</t>
  </si>
  <si>
    <t>el regimiento 9 de infantería, y habían obligado á los veci­ nos á que íes c raprasen el trgo que no podían conducir. Se a?*gur qne una div sien del general Hiil ha avanzado por los P» d oches, y aun añadan qne hay en Córdoba tropas aliada»; si es así , Dxouet y Darrícau no podrán verificar su ntisada.</t>
  </si>
  <si>
    <t>Hilí</t>
  </si>
  <si>
    <t>el momento señalado para la catástrofe de los ingleses. — Esto escribía. Marmont el 30 del mes de setiembre ; y el 28 del siguiente esa división del general Hilí, que según el contesto de su oficio parecía cosa de poca importancia, reunida con parte del exército quinto español, de quien no se acor­ dó Marmont, dió una lección…</t>
  </si>
  <si>
    <t>rigo. Para el paso de las tropas por eí Guadiana se echaron dos puen­ tes entre Badajoz y Jurumeña, é inmediato á esta plaza. El cuerpo de tropas del general Hilí ocupó el 16 á Mérida, Cáceres y Montanches. Según las disposiciones y grandes preparativos para el sitio es de presumir que el digno conquistador de Ciudad Rodrigo,…</t>
  </si>
  <si>
    <t>Hili, Sir Rowland</t>
  </si>
  <si>
    <t>Sir Rowland Hili</t>
  </si>
  <si>
    <t>Mandé en consecuencia al -teniente general Sir Rowland Hili *pie se retirase de su posición sobre eí Tajo , si viese que no po­ día sostenerse en la misma con ventaja. Era necesario ademas que yo estuviese cerca de él á fin de que los cuerpos de mi mando n® quedasen cortados, de resultas de los</t>
  </si>
  <si>
    <t>Hill</t>
  </si>
  <si>
    <t>r de Castaños, llevando en su compañía al ge­ neral D. Pedro Agustín Girón y todo su estado mayor. A su paso por Portalegre cumplimentó al Excmo. Sr. general Hill, de quien recibió las mayores pruebas de atención y obsequio, teniendo S E. la satisfacción de presenciar la revista de las tropas, que componen el cuerpo que manda…</t>
  </si>
  <si>
    <t>m N ucstra será la gloria , y • que bies se le iguala, españoles ?n ( G a cai­ ta de Extremadura.) c*El cuerpo de tropas aliadas al mando del general Hill, entró en Mérida el 30 del pasado por la mañana, habiéndose retirado les ene­ migos al amanecer del mismo dia con la mayor precipitación , y dexádose algunos almacenes de g…</t>
  </si>
  <si>
    <t>a, habiéndoselo impedido el mal tiempo q*e ha hecho ge­ neralmente en toda la península hasta el 5 ó 6 de este mes. — Por las relaciones del teniente general Hill , parece que el general Drouet habia sido reforzado de'Sevilla ,'y que habia avanzado nuevamente hacia Zafra. Creo probable que el general Mili se moverá el 12 ó el…</t>
  </si>
  <si>
    <t>y afortunada empresa, en que un cuerpo francés fué sorprehendido en la Extremadura española por un destacamento tíel exército aliado, mandado por el general Hill, hace el mayor honor á este distinguido oficial y á las tropas die su mando; y ha contribuido esencialmente á desbaratar los proyectos del enemigo en aquella parte d…</t>
  </si>
  <si>
    <t>192</t>
  </si>
  <si>
    <t>e vende en 9 rs., la libra de tocino en 20, en 12 la de arroz, en 8 una galleta prieta, y en 12 un pan de munición; el común se paga á 15 y 16 rs.-FA general Hill se ha movido hacia los puentes del Tajo. Ei briga­ dier Morillo estaba el 30 del pasado en Cáceres con su división, de vuelta de la Mancha. El 29 de enero por la no…</t>
  </si>
  <si>
    <t>necen en observación. El mariscal Beresford marchó á cubrir las avenidas de Andalucía por !a parte de Zafra, apoyan­ do su izquierda en el cuerpo del general Hill, y su derecha én la división española del conde de Penne.— Los trabajos del sitio si­ guen á pesar del malísimo tiempo que hace. Siguen presentándose desertores ene…</t>
  </si>
  <si>
    <t>a ocupado el enemigo. Badajoz 23 de abril. Ayer llegó á esta plaza el mariscal de campo conde de Penne, cuya división se ha quedado en Barcarrota. El general Hill tiene su cuartel general en Almendralejo , y sus avanzadas llegan hasta. Llerena. ARTICULO DE OFICIO. La Regencia del reyno se ha servido expedir el decreto que sig…</t>
  </si>
  <si>
    <t>rzobispo han sido d ^tun­ des durarte la guerra por uno ú otro de loa beligerantes, y le ha sido imposible al enemigo el repararlos. El puente que el general Hill fea destruido, era.de barcas.,</t>
  </si>
  <si>
    <t>n muy difíciles, y no pueden considérense como comunicaciones militares para un exército grande. ? «Las resultas, pues, de la expedición del teniente general Hill han sido quitar la mejor y mas pronta comunicación entra el exército del sur y el denominado de Portugal. ,,Gassi al mismo tiempo que l&amp;s tropas de que hice mención…</t>
  </si>
  <si>
    <t>632</t>
  </si>
  <si>
    <t>que fué uno de ios primeros de la escalada y cajú sobre el parapeto, después de dar un distinguido exemplo á sus soldados. (Recomienda en seguida el general Hill a1 teniente coronel Reocke, al teniente coronel Olllney , al capitán T Jto; n , ai mayer Hill, y á su estado mayor.) ,,Ei marques de Alameda , vocal de la juñta de E…</t>
  </si>
  <si>
    <t>ingleses tro­ JD. P. Se continuará , Sr. D. Bonifacio. pa* en Extremadura ? JD. P. ¿Y lo» franceses no tienen mas que ellos? Mire vmd. si no, cómo el general Hill ha te­ AVISO. nido qne 'arrinconarse en la Albuera , y colocarse cutre dos tros, donde si permanece, las tercianas le Eb virtud de providencia del Sr. D. Juan Bauti…</t>
  </si>
  <si>
    <t>nte adelantar m as las tropas „Eí general B jnnet estaba á fines del mes pasado en Aguilar de Campó, ,Xas últimas cartas que he recibido del teniente general Hill con fecha de l.° del corriente, dicen que: estaba á punto de ponerse en movimiento p?ra atacar al general Dxouetcuyas fuerzas considera­ ba inferieres á las suyas.”…</t>
  </si>
  <si>
    <t>Híll</t>
  </si>
  <si>
    <t>lanta (cifra). Ei rey ostá tanto mas seguro de creer que - el - señor mariscal duque de TLiyusa bien'informado de la verdad de--que la d: visión del general Híll , que ha hecho la expedición de los puen^a deAlm&amp;raz , no estera sostenida .por otras - tropas (sígue la cifra) si equipage posible. Eí muy importaste que est3 gener…</t>
  </si>
  <si>
    <t>tuvo el arrogante Marmont en Castilla: tal vez no podrá evitar el golpe que se Je prepara. Los exércitos 4.0 y , las tro­ pas inglesas al mando de su general Hill, las desembarcadas en Alicante, y el 2.° y exército obrarán en combinación. Para esto el ueneral Ballesteros ha sido reforzado con 4© hombres de la Isla de León ; y…</t>
  </si>
  <si>
    <t>a— na, acaban de remitir para auxilio de los necesidades de su cara patria. Madrid 16 de setiembre. El día 27 de agosto se movió todo el exército del general Hill, cuyo quartel general pa-ó á Bienvenida. Las tropas francesas de Extremadura aca­ baron de destilar en 28 del mismo mes por Fuenteovejuna, y se dirigieron á Córdoba…</t>
  </si>
  <si>
    <t>en qual ftm su resultado, anuncian desde luego la confianza que tenían en un buen éxito.” Madrid 28 de setiembre. Se acaba de saber que el Excm©. Sr. general Hill ha llegado y se halla en Toledo con su exército. Se espera diariamente al Excmo. Sr. duque de Ciudad-Rodrigo. El navio Miño, que diximos habia arribado á Cádiz, ha …</t>
  </si>
  <si>
    <t>1140</t>
  </si>
  <si>
    <t>1140. , ....... ... , - .. - . , .. . venido ,el general Hill, el conde de Penne f el Sr. Morillo , á quie­ nes se ha obsequiado como correspondía á su carácter y circunstan, eias : asciende ya el número de aquellas , entre infantería y caballe­ ría,</t>
  </si>
  <si>
    <t>ndo por la provincia de Cuenca. Esto nos hace presu­ mir que su idea no es entrar en Valeiicia, sino pasar por Aragón á Navarra. Se hallan en esta el general Hill, el condé de Penne y él Sr. Mo-~ ■ rillo.— El castillo de Éurgos resisté tiniríl '■■■ ! * : ■ * " ' ' Tararrcon S dé Oetnbré. ' Ya se hallan reunidos los enemigos q…</t>
  </si>
  <si>
    <t>Vulgo, y crea vmd. que para que los franceses vengan á Madrid es preciso de toda preci­ sión que antes de todo derroten el exército del Lord ó el del general Hill; en quanto á lo primero va ve vmd. quán inverosímil es que un exército tan numeroso, vencedor , y mandado por el primer general de Europa, ceda á los restos de Marm…</t>
  </si>
  <si>
    <t>scoceses de los regimientos 36.°, 44.0, 45*°, 66.° y 74.'0' Dos“ cientos hombres del regimiento 71.0 van para el primer batallón dé la divi­ sión del general Hill. El regimiento núm. 3.0 de la legión alemana de 1100 plazas, y 4 compañías del regimiento i.° y 2° de la misma legión tienen or­ den de embarcarse para España. Los …</t>
  </si>
  <si>
    <t>mariscal Soult, que marchaba por las montañas de Murcia. ,, La última carta que lie recibido del general Maitland es del 21 del pasado. ,,EJ teniente general Hill está en el Tajo entre Aranjuez y Toledo. ,,Por las últimas noticias que he recibido del general Ballesteros, sé que estaba en Granada.” Sigue el estado de los muert…</t>
  </si>
  <si>
    <t>iaciones. ,,Asimismo supe que algunas de estas tropas se habían dirigido la noche antes para Valiadolid y otras para Toro. „Recibí ademas pliegos del general Hill del 29. El Tajo estaba á la sazón vadea ble en todos los puntos , y el enemigo habia hecho pasar un pequeño cuerpo de tropas por Fuenttdueña. Sir R. Hill había reun…</t>
  </si>
  <si>
    <t>ba á Aldealueaga ; la del brigadier general Rradford á Cabrerizos , á nuestra dereclia; y la caballería británica cubría el frente. Mandé al teniente general Hill que ocupase la villa y castillo de Alba con la brigada del mayor general Ilorrardes, de­ ntando la división portuguesa del teniente general Hamiiton á la iz­ quierd…</t>
  </si>
  <si>
    <t>n, ^alguna pérdida; y el teniente coronel Pelly, lo mismo con el de Toro, hasta donde llegan, El del ijó.” de dragones, fue hecho prisionero, habien­ general Hill debe hoi ó mañana llegar al Adaja (rio do perdido su caballo. ’ que pasa por Arévalo, viniendo de Avila, y des­ Efte incidente'habilitó al enemigo para hacer agua e…</t>
  </si>
  <si>
    <t>en el qual dió el enemigo varios ata­ de infantería y 1800 caballos; pero esperaba el re­ ques , que fueron siempre rechazados, habiéndose fuerzo del general Hill. mantenido bastante tiempo los dos partidos en sus La vanguardia del mariscal Soult entró en Aranposiciones, hasta que el enemigo, fuese por las ma­ juez el dia 29 …</t>
  </si>
  <si>
    <t>Hill, Sí Rcwlaad</t>
  </si>
  <si>
    <t>Sí Rcwlaad Hill</t>
  </si>
  <si>
    <t>athurst, focha en Va'ladolid á 8 de setiembre d*. 1819. „De3pues que escribí mi despacho ¡vúrn-. 28, he recibido otro con fecha del 29, del teniente' general Sí* Rcwlaad Hill desde L'erena. adonde había ido en persecución de las tropas del mando del geasraj Dronet. „McJ envía !a.carta inc!u?s del coronel Skerrett, que manda l…</t>
  </si>
  <si>
    <t>Hill, Sir Ricardo</t>
  </si>
  <si>
    <t>Sir Ricardo Hill</t>
  </si>
  <si>
    <t>pata impedir nues­ tras operaciones, y aun permanece en el Ebro : se dice que ha re­ cibido otro refuerzo de Francia. „Segnn los avisos del teniente general Sir Ricardo Hill de 7 dei corriente , perece que el mariscal Soult se reunió con el rey entre Valencia y Murcia el 29 de Seti- vubre. Un destacamento del exército del mis…</t>
  </si>
  <si>
    <t>Hill, Sir Rowiand</t>
  </si>
  <si>
    <t>Sir Rowiand Hill</t>
  </si>
  <si>
    <t>de caballería de los generales Slade y Marchant, dirigiéndose á V alverde y San­ ta Marta , y de estos lugares á Llerena ; y entre tanto el teniente general Sir Rowiand Hill con la segunda división y la del teniente general Hamilton y la caballería del mayor general Long, marchó ya hacia 2 meses. Acabado de decir Marmont que …</t>
  </si>
  <si>
    <t>Hill, Sir Rowland</t>
  </si>
  <si>
    <t>Sir Rowland Hill</t>
  </si>
  <si>
    <t>ran parte desti­ za te hubiera tomado. nada á otro servicio fuera de aquel reino. En el dia 19 el enemigo hizo avanzar de Brivies- Pedí al tetiiertte general Sir Rowland Hill que &lt;2a un considerable cuerpo de infantería y seis es- se retirase de su posición sobre el Tajo, en caso de quadrones de caballería para reconocer nues…</t>
  </si>
  <si>
    <t>Hiller</t>
  </si>
  <si>
    <t>eríname &gt;te el exército. exército de GaUitzia; el general conde de KnEl catálogo de libros que se ha publicado este llowrath el de Transilvania; y el general Hiller año en la feria de Lelpsick tiene seis hojas y me­ el del Bannato. dia de impresión, que comprthenden los títulos Eicriben de Petersburgo que se ha estab'ecido de…</t>
  </si>
  <si>
    <t>Hillyar</t>
  </si>
  <si>
    <t>ta se hadaba tan maltratada que no podía dirigirse al enemigo para volver al combate, como se lo habia ordenado antes.— Inmediatamente co­ muniqué al capitán Hillyar mi determinación de renovar la acción así que la Febe estuviese en estado de sostenerme. A poco se me avisó que estaba dispuesta para ello, aunque muy maltratada…</t>
  </si>
  <si>
    <t>Hipó</t>
  </si>
  <si>
    <t>go de. que esto no se verificó , avanzaron algún tanto ó hicieron 6 prisioneros. — También la quinta compañía de Guadalaxara mandada por el capi­ tán D. Hipó’ito Ángulo, y la tercera de voluntarios de Madrid por el capitán D. Manuel López, batieron á una paitida francesaque se adelantó y entró á robar en el convento de S. Cri…</t>
  </si>
  <si>
    <t>Hit</t>
  </si>
  <si>
    <t>a de 5000 hombres en Cataluña , 4000 en Aragón , 4000 en Yalencia, cerca de 2000 en Andalucía contra el general Ballesteros , y mas de 2000 contra el general Hit! en Extremadura: total 17000. Si á esto se agrega la mortandad de las marchas, de los hospitales y de los cho­ ques con las guerrillas sueltas, podrá formarse algún …</t>
  </si>
  <si>
    <t>Hiü</t>
  </si>
  <si>
    <t>enio R suharnaia y Gerónimo Bonaparte. — Ei 8 de junio pasó por Francfort para el exército el general Girs rd , el mismo que fué serprehendido per e! general Hiü en Extremadura. Massena no ha sido empleado : los. diarios franceses cuentan que ha ido á tomar b..ñoj á los Pirineos. Malla 24 de junio. ,..Luego que D. Alberto Meg…</t>
  </si>
  <si>
    <t>Hiü, Sir Rowland</t>
  </si>
  <si>
    <t>Sir Rowland Hiü</t>
  </si>
  <si>
    <t>uente- Guinaldo á 28 de mayo de 1812. „Cuando liar é que el enemigo se había retirado el 21 de abril de esta parte de la frontera, ordené al teniente general Sir Rowland Hiü, que pusiese en exeeneion ía operación que tenia yo meditada contra los puestos enemigos establecidos en el paso del rio Tajo en Almaraz. SJA causa de lo…</t>
  </si>
  <si>
    <t>Hiude</t>
  </si>
  <si>
    <t>os: al mayor general Hulse , que mandaba una brigada en la sex­ ta división, al mayor general Jorge Anson , que mandaba una brigada de caballería, al coronel Hiude, al honorable coronel Guillermo Ponsonby, que mandó la brigada del mayor general Le-Marchant des­ pués de la muerte de este oficial, al mayor general Anson , que m…</t>
  </si>
  <si>
    <t>Hngó</t>
  </si>
  <si>
    <t>Pando y Bracha. 1 Renato Meiito, subteniente agregado, subtenien­ Y D. Tadeo López, presbítero, ex-mítiimo, | te en reemplazo de D. Pedro Milliard, y D. Hngó para que sirva en encomienda y, por iguales partes D’Hame, sargento primero, á subteniente en reem­ con el ex- mercenario D. Hilario García Verdugo, plazo de D. Esteban …</t>
  </si>
  <si>
    <t>Hoirard</t>
  </si>
  <si>
    <t>ue pasa por la aldea de Román Gordo, aunque de este modo me privaba del uso de nuestra artille! ía. ,,La tarde del 18 marché con la brigada del mayor general Hoirard y el regimiento sexto de infantería portugués para )a operación, previsto de escalas &amp;c. Sin embargo de que ía marcha no txcedia de 5 ó 6 millas, las dificultad …</t>
  </si>
  <si>
    <t>Holloway</t>
  </si>
  <si>
    <t>brigada Wylde , el cual fué muerto desgraciadamente por una bala de artillería, después que el fuerte estaba ea poder nuestro. Igualmente menciona al capitán Holloway, y á ios tenientes G pps y Stanway , del real cuerpo de inge­ nieros, que coaduxeroa los diferentes d'^tacameatos á los puetos de ataque, así como al mayor Saaw…</t>
  </si>
  <si>
    <t>Holme</t>
  </si>
  <si>
    <t>ad y su pro­ vincia. Copenhague r8 de julio. E*\ la gazeta oficial de ayér s£ han publicado las relaciones dadas por el contra-almirante Lutkins , el capitán Holme y el primer teniente Dutrichsen sobre la pérdida de nuestra fragata la Nardi, des­ pués de Un obstinado combate con el navio de línea ingles el Dii tad¿r y el bric…</t>
  </si>
  <si>
    <t>Hontañon, Fidel</t>
  </si>
  <si>
    <t>Fidel Hontañon</t>
  </si>
  <si>
    <t>cero de la administración , 20 y 6. D. Nicolás Berastain , tercero de la contaduría, 20 y 6. D. Manuel Palomino, cuarto de la administración, 12 y 4. D. Fidel Hontañon , cuarto de la contaduría , 37 y 4. D. Camilo” Mon­ tes , escribiente de la. administración , 12 y 4. D. Francisco Calero , id. de 1*. contaduría , 25. D. Mart…</t>
  </si>
  <si>
    <t>Hope</t>
  </si>
  <si>
    <t>Stapleton-Cotton la atacaban por el frente, sostenida^ en reserva por la sexta división del mando del mayor general Clinton , la sépti­ ma del mayor general Hope , y la división española de D. Cí&gt;rlos .España. El brigadier general Pack debía sostener la izquierda de la cuarta división , atacando el cerro del Arapil que ocupab…</t>
  </si>
  <si>
    <t>T2S •varios destacamentos de infantería de la séptima división del mando del ma­ yor general Hope, y de la tercera división , mandada por el mayor general el honorable E. Pakenham, le desalojaron de los puestos que ocupaba en el Pra­ do y en el Jardín botánico, igualmente que de las obr</t>
  </si>
  <si>
    <t>Hornemonn</t>
  </si>
  <si>
    <t>INAMARCA. en el orden siguiente: el profesor Trescow pro­ nunció uno en nombre del reino de Noruega y de Nistedt i.° de diciembre. sus habitantes; el profesor Hornemonn otro ea nombre de la universidad de Copenhague; el pro­ Se han acabado de quitar ya los aparejos de los fesor Baggesen otro en nombre de la de Kiel. Des­ navi…</t>
  </si>
  <si>
    <t>Hotham</t>
  </si>
  <si>
    <t>651</t>
  </si>
  <si>
    <t>orporárseles. Finalmente , al ent*ar de vuelta de su expedición en Lorient el 22 de mayo, dieron con el na­ vio de guerra de S. M. el Nortkumberland, capitán Hotham y el bergantín Growler, y después de algunas horas de combate, que costó 5 muertos y 12 heridos álos ingleses,«fueron destruidas é in­ cendiadas las dos fragatas …</t>
  </si>
  <si>
    <t>Howaisky</t>
  </si>
  <si>
    <t>del enemigo, me avisan hoy que ha abandonado los ca­ minos de Dmítrow y St. Petersburgo, y se ha retirado á Moscow. En virtud de esto mandé al mayor general Howaisky que con el destacamento de su mando se dirigiese á Moscow para observar al enemigo, y con el resto de las tropas de mí mando me he adelantado hasta el lugar de T…</t>
  </si>
  <si>
    <t>1402</t>
  </si>
  <si>
    <t>ha inter­ ceptado un correo que llevaba pliegos muy interesantes , y que ten­ dré la honra de presentar á V. M. I., juntamente con su parte. El mayor general Howaisky da parte á S. M. I. de que el ayu­ dante general barón Winzingerode te había dado orden el 10 de Oc­ tubre , para que se dirigiese con la vanguardia del cuerpo …</t>
  </si>
  <si>
    <t>dexó que se acerease, y no respetando el pañuelo blanco que llevaba, señal que generalmente distingue á los parlamentarios, le hizo prisio­ nero. £1 general Howaisky desempeñó perfectamente el plan del ayudante general barón Winzingerode ; se apoderó del Kremlin, y arrojó de la ciudad al enemigo, que abandonó sus hospitales y…</t>
  </si>
  <si>
    <t>HrH</t>
  </si>
  <si>
    <t>no hai rezelo de verle otra vez en campana.-” ¡ Asi te "7o9 hombres. Ñó había aun Hcgaífci &gt;. M. J Requena, engañandésrracíacU nación española! y rrl general HrH pedia ya que sé le autorizase á reti­ (a) Qoa mío el REI nuestro Señor salió da Madrid rarse, y el lord Wellir.glon se Jó otorgaba , mientra» para retiñir los exérci…</t>
  </si>
  <si>
    <t>Huerga, Luis</t>
  </si>
  <si>
    <t>Luis Huerga</t>
  </si>
  <si>
    <t>. 1 j Teniente. . D. Miguel Angulo....... • ■ Subteniente D. Hipólito Salgúese?.... • • 1 0 ^Ofcro .... D. José Fernandez...... • • 1 ¡ C Primer cap. D. Luis Huerga........ 1 • • ■\ | ídem. . . . D. Francisco Lacón*.... Idem 2.a . . D. Pedro G jrae* de la Pena D. Anselmo May té...... '-"•¡.'Sr:: D. Gerónimo Media?......... &gt;•…</t>
  </si>
  <si>
    <t>Huerta, Andrea</t>
  </si>
  <si>
    <t>Andrea Huerta</t>
  </si>
  <si>
    <t>1. Severirio Montero, 4 rs. Manuel Villanueva, 4 rs. Manuel Torres, 1. Andrés Villanueva , 4 rs. Gregorio Ro­ dríguez, 1. José Manuel Pojuela, 4 rs. Doña Andrea Huerta, 1, Doña Fran­ cisca Pineda, 1. D. Juan Villanueva, 1. Doña Manuela Pelaez , 1. Varios individuos, 3 y 7 reales. — Pueblo de Sayán. El capitán Don Anselmo Manu…</t>
  </si>
  <si>
    <t>Huesman, Juan de Gálvez</t>
  </si>
  <si>
    <t>Juan de Gálvez Huesman</t>
  </si>
  <si>
    <t>ermosa. D. Lu ¡s Caballero. D. Joan de Camuo. D. Juan Ahumada.D. Juan de la Torre Pner. Contador. . . D. Josef Molina Fernandez. D. Francisco Peredo. D. Juan de Gálvez Huesman. D. Antonio Perez Dávila. Secretario. D. Guillermo Terri. D. Pedro Fernandez Nieto. Municipalidad de Toledoj Corregidor. AVISO. D. Domingo Falceto. Reg…</t>
  </si>
  <si>
    <t>Hugo, Leopoldo</t>
  </si>
  <si>
    <t>Leopoldo Hugo</t>
  </si>
  <si>
    <t>u de ESPAÑA. cazadores de á caballo.............. ........ 377 Madrid [4 de febrero. Sr. D........ Peroud............... ................... 150 Sr. -D. Leopoldo Hugo.......................... 200 El REI ha celebrado hoi consejo de ministros, Los Incógnitos.......................................... 4CO al que se ha dignado co…</t>
  </si>
  <si>
    <t>HUI</t>
  </si>
  <si>
    <t>hasta las líneas de Lisboa, donde pudiéramos juntarnos con el exér­ cito del Mediodía, que reunido enteramente, no tiene delante sino la división del general HUI, si hubiera llegado el momento señalado para la catástrofe de los ingleses. — Esto escribía. Marmont el 30 del mes de setiembre ; y el 28 del siguiente esa división …</t>
  </si>
  <si>
    <t>HUI, Gerór-imo</t>
  </si>
  <si>
    <t>Gerór-imo HUI</t>
  </si>
  <si>
    <t>ermo Míiler, 5. D. Felipe Fernandez, 1. L. M., LO y 10 D. Manuel de Beigareche, 50. El teniente coronel Stonor, 10 y 10. El cap* tan Lftc-gtc:*?, 10- D. Gerór-imo HUI é híj-os fRri&amp;tol) , 100. D. G?*rónimo Hi.1! pBaisló!), 50.. I31. Jnao Stock (Co^k), 20. O. Miguel Alomo (Guernesty) , 25. D M. Lara ( Jlanugate ), 10. 13 G. M …</t>
  </si>
  <si>
    <t>Huid, Miguel</t>
  </si>
  <si>
    <t>Miguel Huid</t>
  </si>
  <si>
    <t>..,..;............... ......... . 10000 Idem al marques de Ariza, mariscal de cam­ po, á cuenta de los suyos. ........................... 5000 Idem á D. Miguel Huid, pagador de reales . provisiones, se le satisfizo1 el dia 29.......... . 40000 Idem al secretario de la capitanía general idem. , 2000 Idem al secretario del mont…</t>
  </si>
  <si>
    <t>Huidobro, Juan José</t>
  </si>
  <si>
    <t>Juan José Huidobro</t>
  </si>
  <si>
    <t>á D. Juan Mar-rufo, y de bandera á D. José Ancona. En el batallón veterano de Chiloe, compañía de granaderos á D. Francisco Arenas, y de fusileros á D. Juan José Huidobro ; ayudantía á D. Francisco Soriano ; tenen­ cia de granaderos á D Francisco Xavier.Veiazquez, y de fusile­ ros á O. Antonio María Alvarez, D. Pedro Andrade,…</t>
  </si>
  <si>
    <t>Huii</t>
  </si>
  <si>
    <t>: Departamento de ia gw rm 6 de Octubre. „El capitán Cooke ha llegado á esta secretaria con pliegos de Sir Jorge Prevost, noticiando la rendición del general Huii y de to­ do su exército, que asciende á 2500 hombres-, como también la toma del Fuerte-Estrecho con 30 cañones. — La pérdida de los in­ gleses ha sido muy corta, pu…</t>
  </si>
  <si>
    <t>Huil</t>
  </si>
  <si>
    <t>Gaceta de Madrid n.º 250</t>
  </si>
  <si>
    <t>fue poca nuestra sorpresa wick, en el que hemos encontrado efectos valua­ quanao vimos que no hacía la menor resistencia, ni dos en 100® dolares. El general Huil se ocupa en Siquiera disparaba un tiro. Hallamos á nuestro des­ construir algunas obras de defensa al rededor Je esta embarco que el terror infundido con la idea de …</t>
  </si>
  <si>
    <t>Hül</t>
  </si>
  <si>
    <t>105</t>
  </si>
  <si>
    <t>ellos el comandante , y ha­ ciendo prisioneros 2 oficiales y 40 hombres. ,,Lü cruel de la estación y lo intransitable de los caminos , ha obligado al general Hül á volverse á Mérida y pueblos inmediatos coa "parte de sus fuerzas 5 dexando en Almendralejo una brigada</t>
  </si>
  <si>
    <t>Hull</t>
  </si>
  <si>
    <t>ngton. Habiéndose exigido Í400 voluntarios para las guardias de á pie, se presentaron 2100, que partieron la se­ mana pasada. Québec 19 de Agesto. El general Hull al frente de un exército americano, entró en «I alto-Canadá , donde fue rechazado tres veces. Parece que estamos resueltos á defendernos y mantener nuestras posicio…</t>
  </si>
  <si>
    <t>real á 26 de Ago bio y primero de Setiembre. En ellos se anuncia ia agrada* ble noticia do que la incursión del exérciío americano, á las ordenes del general Hull, en el Alío-Canada, se ha terminado con la pri­ sión de este general, de todo su exéreiU) y de! Fuerte-Estrecho con 30 cañones. Las descargas de artillería de la To…</t>
  </si>
  <si>
    <t>Montreal á 26 de agosto y i.° de setiembre. En ellos se anuncia la agradable noticia de que la incursión del exército americano, á las órde­ nes del general Hull, en el Alto-Canadá, se ha terminado con la prisión de este general, de todo su exército y del Fuerte-Estrecho con 30 cañones. Las descargas de artillería de la Torre…</t>
  </si>
  <si>
    <t>le había comunicado con feoha de 17 de Agosto el mayor general Isaac Brock, de las victorias conseguidas contra el ejército americano que mandaba el general Hull. Por ellos se ve qué el ériemigo paso el rio Estrechó el 12 de Julio , y que después de haberse apodéralo de Sandwich taló' todo el país hasta la ciudad de Mor ivia.…</t>
  </si>
  <si>
    <t>rte tres días ántes, déteriíimó atacar en el momento». Eu consecuencia laí tropas avanzaron á una milla del fuerte, y se determinó un asalto; pero el general Hull previno el moyimientp proponiendo una suspensión de armas para capitular. Eñ efecto , se hizo la capitulación, habién­ dose rendido unos 2500 hombres , comprehendid…</t>
  </si>
  <si>
    <t>HulL</t>
  </si>
  <si>
    <t>979</t>
  </si>
  <si>
    <t>hn Eduardo , escri­ número de las naciones , y que nos ha elevado á ta en Huxon el ij de julio de 1812. tan alto grado de prosperidad y de gloria. El general HulL llegó el dia 6 de julio al estre­ El gobierno me manda os prometa á nombre cho con su exército; el u marchó con 3© hom­ suyo, protección para vuestras personas, bie…</t>
  </si>
  <si>
    <t>Hulse</t>
  </si>
  <si>
    <t>nton, y al honorable Eduardo Packenhain, por el modo con que dirigieron las divisiones de caballería é infantería de sus respectivos mandos: al mayor general Hulse , que mandaba una brigada en la sex­ ta división, al mayor general Jorge Anson , que mandaba una brigada de caballería, al coronel Hiude, al honorable coronel Guil…</t>
  </si>
  <si>
    <t>Hurtado, Ignacio</t>
  </si>
  <si>
    <t>Ignacio Hurtado</t>
  </si>
  <si>
    <t>2. Doña Francisca Cortazar, 62 y 4 D Francisco Pareja, 30. D.-Pablo Mendiola, 60. D. Francisco Easaga, 8. D, Francisco Irrisarri , 20. El protomedico D. Ignacio Hurtado, y su mug&lt;r Doña María de los Santos Serna, 160. Varias señoras de Guayaquil, 355 y 4. El gremio de tierreros, 148. El de sastres , 93 y 4. El de zapateros, 5…</t>
  </si>
  <si>
    <t>Hurtado, Manuel</t>
  </si>
  <si>
    <t>Manuel Hurtado</t>
  </si>
  <si>
    <t>misma clase D. Plácido Domínguez, que recibió la herida de pasar un brazo, y el de ca­ zadores D. Josef Bernaz , los subtenientes D. Cipriano Galvez, D. Manuel Hurtado, D. Vitorino Tabuenca, mi ayudante D. Pedro Pedrosa, el sar­ gento 2.0 Agustín Jargue , que salió herido, y el distinguido D. Timo­ teo Ruiz: las compañías de …</t>
  </si>
  <si>
    <t>Hurtado, Sebastian</t>
  </si>
  <si>
    <t>Sebastian Hurtado</t>
  </si>
  <si>
    <t>jo, 2. El comandante militar de la partida veterana de asamblea D. Pedro Basaldua", con su partida y piquete, 124.— Hacendados de la villa de Haaura. D. Sebastian Hurtado, 100. D. Manuel Villar, 100. D. Manuel Salazar, administrador de alcabalas 60. D. Fernando Ximenez, notario del santo ofi­ cio , 25. D. Agustín Aadrade, alc…</t>
  </si>
  <si>
    <t>Hurtado, Simón</t>
  </si>
  <si>
    <t>Simón Hurtado</t>
  </si>
  <si>
    <t>de dicha villa, 10. D. José Manuel Herróse, 10. D. Damian Jáuregui, 10. D. Juan Bustamante , 10. D. Agustín Fernandez, 10. D. Francisco Ilervoso , 6. D. Simón Hurtado, 6. D. Narciso Aponte , 6. D. Juan José Herdoyza, 4. D. Andrés Orive , 4. D. J*sé Alien , 4. D. Juan Laisequilla , 4. D. Pedro Delgado Alférez., 6. D. Florencio…</t>
  </si>
  <si>
    <t>Hurtado, Valentin</t>
  </si>
  <si>
    <t>Valentin Hurtado</t>
  </si>
  <si>
    <t>Mariano Mesa, 1. D. José Mirabal, 2. D. Juan Murcies, 4. 1&gt;. Fernando Palomino , 3. D. Manuel Roxas , 2. D. Nicolás Milla, 1. Don Antonio Ortega, T. D. Valentin Hurtado , 2. D. Francisco Perez , 2. D. Ma­ riano Tello, 1. D. Sebastian Daga, 2. IX Ramón Acuña, 4. D. Andrés Melendez, 1. D. Pablo Piñan, 1. D. José Serna, l. D. Ma…</t>
  </si>
  <si>
    <t>I, Antonio</t>
  </si>
  <si>
    <t>Antonio I</t>
  </si>
  <si>
    <t>vdies ; los demás , á exsepclo.i de 13 que se hallan prisioneros , quedaron muertas ca el campo. Nuestra pérdida condíte ei la muerte del subteniente D. Antonio I abarren y de un sol­ dado. O aseara que V. S. hubiese presen alado la Rerenidad , ei valor y la firmeza de su cuarto bita’lon , vma se b.d/a con tanto ardor co­ mo …</t>
  </si>
  <si>
    <t>I, Benito Ga</t>
  </si>
  <si>
    <t>Benito Ga I</t>
  </si>
  <si>
    <t>en esta parte del mundo. Los cartagi­ D. Diego la Rosa, id.................................... 2200 neses , romanos, godos y árabes la dominaron su** D. Benito Ga I1, id...................................... 22: o cesivamente. En ios tiempos modernos, quando ia D. Juan Ruiz Ve riz de Torres , id..... . 2200 casa d: Austria ad…</t>
  </si>
  <si>
    <t>I, Francisca</t>
  </si>
  <si>
    <t>Francisca I</t>
  </si>
  <si>
    <t>esa y portuguesa por delante de los generales esp¿ ñoi é ingles ; y en seguida la españcla. Errata. la gncrti énVrí-r^ j ¿r*. 602, TL. 13, donde dice D. Francisca I) 'ez, léase , JD. F¿ancuco Díaz Btrmudo. CADIZ : EN LA IMPRENTA REAL.</t>
  </si>
  <si>
    <t>I, Josef Napoleón</t>
  </si>
  <si>
    <t>Josef Napoleón I</t>
  </si>
  <si>
    <t>746</t>
  </si>
  <si>
    <t>los españoles, á que unidos en ledo el esplendor y magnificencia que le corres­ intereses y voluntades pongan su corazón en ma­ ponde í" no. del R-i D. Josef Napoleón I, como el ú &gt;¡co S-iia proiixo seguir en este extracto al-orador que puede disminuir las necesidades de la nación, en todos los raciocinios con que prueba la n…</t>
  </si>
  <si>
    <t>I, Juan de S</t>
  </si>
  <si>
    <t>Juan de S I</t>
  </si>
  <si>
    <t>el tribunal de cuentas , 120 ps. D. Tadeo de Jaudenes, id. , 360. D. Francisco Barrio ia, contador de resul­ tas f mensuales durante la guerra , 1.0. D. Juan de S I va por una vez , 100. D. Valentín Tío, durante la guerra , lO. I). Juan Rafael de Agn-ar, por una vez, 100. D. Antonio Ildefonso Belanconvt, oficial de libros, 30…</t>
  </si>
  <si>
    <t>I, Manuel</t>
  </si>
  <si>
    <t>Manuel I</t>
  </si>
  <si>
    <t>z de Q iros, D. José A nez-aga, D. Manuel'Antoai© de P.;ctido, D, Fraacisco de la Casa y Piedra , D. Joan B/ucíe ta Enea . D. Pedro Ca­ bero y Tcgle, D. Manuel I). Juan EfznUle, D. Toma? Ugr» te, D. Yícente Navas, D. Manuel Vázquez, D. Tcm&amp;s Rico, D. Ma­ nuel Esteban Martínez , y D. José Santos de Ansmendi. La junta superior …</t>
  </si>
  <si>
    <t>I, María de los Dolores Be</t>
  </si>
  <si>
    <t>María de los Dolores Be I</t>
  </si>
  <si>
    <t>2 {jé1 mento de Cartagena. En este destino al mismo D. Josef Lacroust....................... 4061 8¿ tiempo que el Sr. Mazarredo velaba cuidadosamen­ Doña María de los Dolores Be- 4873 I7 te sobre la disciplina y moral de los alumnos, es­ landia.................................. 4873 17 cribía un excelente tratado de navegaci…</t>
  </si>
  <si>
    <t>I, Pedro</t>
  </si>
  <si>
    <t>Pedro I</t>
  </si>
  <si>
    <t>J uan de Dios Perez de Ja Cerda, id.... 2200 D. Diego Ventara López» »d. en Madrid. 2200 D. Pedro Sabariego, id................................ 2200 D. Pedro I’ascnal de Sierra, id. en ArjoBx-carmelitas calzados. nilla,........ ............................................... —&gt; 2100 D. Eiiseo Martin de Urda , residente en D, …</t>
  </si>
  <si>
    <t>Ib, Justo</t>
  </si>
  <si>
    <t>Justo Ib</t>
  </si>
  <si>
    <t>do vStas lev 'S , como leyes fundamenta- originales los dictámenes pirticnb.res de lo-, minis­ lef de ir nionarqu:.;; d“spues de htber exeettado tros D. Justo Ib ir N :varro , D. Pascual Quiiez y providencias tni.i . - i -.s de eü -.s; después de haber D. Jnset N.o ano Vidal , que no conformtírid-o-.ü p.-otv SÍ.-...1'&gt; d »n a…</t>
  </si>
  <si>
    <t>IbaLa, Vicente</t>
  </si>
  <si>
    <t>Vicente IbaLa</t>
  </si>
  <si>
    <t>l del lugar de Berricano, en la provincia de Ála­ Ndyoles 7 de abril. va, vacante por moerte de D. Francisco Garci Anteparaluceta : al ex franciscano D. Vicente IbaLa población del reino de Ñipóles va aumen­ ñez para el de la villa de Armiñon, en la misma tándose todos los años, según resulta de las listas provincia, vacante …</t>
  </si>
  <si>
    <t>Ibañez, Juan</t>
  </si>
  <si>
    <t>Juan Ibañez</t>
  </si>
  <si>
    <t>idí por 2,18. El marques de Villalta por 10,90. El comisario ordenador D. José de Juertes por 6,54. El secretario del gobier­ no y capitanía general, D. Juan Ibañez por 4,36. D. Agustín Valdés por 4 j 36. Él coronel D. Mauricio de Zúñiga por 2,18. D. Pedro Regalado Pe­ droso por 10,90. El auditor de guerra de esta plaza, D. p…</t>
  </si>
  <si>
    <t>Ibañez, Manuel</t>
  </si>
  <si>
    <t>Manuel Ibañez</t>
  </si>
  <si>
    <t>200 D. Domingo Muñoz, id. en Bedmar...... 2200 D. Benito Guillen y Cerdan, id................ 2aoo D. Marrin Palomares , id. en Jaén............ 2200 D. Manuel Ibañez, id. en Navalcarnero.... 2200 D. Juan Joaquín Jordán, id. en Arquiilos D. Carlos Valeriano Arraniz y Valdes, le­ de Sierra-Morena;.......... ...................…</t>
  </si>
  <si>
    <t>Ibañez, Manuel Marti</t>
  </si>
  <si>
    <t>Manuel Marti Ibañez</t>
  </si>
  <si>
    <t>o largos para insertarlos en este D„ Luis Belaunde, sargento primero, á subte­ periódico. ( The Statesman.) niente de la segunda compañía. Del 2 61 , D. Manuel Marti Ibañez á subteniente de la Una.de las cosas que prueban qne nuestro go­ quarta compañía. bierno tiene pocas esperauzas de uua composición Noveno batallón, con lo…</t>
  </si>
  <si>
    <t>Ibañez, Pedro</t>
  </si>
  <si>
    <t>Pedro Ibañez</t>
  </si>
  <si>
    <t>rádia de unos , el egoísmo de otros, guel de Aza, y para la de diputado del bairio del las miras de interes privado de algunos, y las teo­ Hospital á D. Pedro Ibañez. . , ' rías brillantes de- soñada república , agitando las Por decretos de 8 del mismo S. M. ha nom­ pasiones populares, y llamando con la mayor trai­ brado á D.…</t>
  </si>
  <si>
    <t>Ibañez, Pedro de Alcántara</t>
  </si>
  <si>
    <t>Pedro de Alcántara Ibañez</t>
  </si>
  <si>
    <t>............... 2263 17 Esmo'ieu...,,.............................. 1225a D. Julián Ruiz................ 361 D. Santiago de Anarráregui......... 35°° D. Pedro de Alcántara Ibañez.... 180 íf Doña M iría M .gd llena López Ca« D- Manuel Ramos, y en su nom­ b-ejdS............................................. 44Í9 * bre D. Santiag…</t>
  </si>
  <si>
    <t>Íbañíz, Hipólito</t>
  </si>
  <si>
    <t>Hipólito Íbañíz</t>
  </si>
  <si>
    <t>ertica, Don Jo3é Cabero y Salazar, D, Faustino del Campo, D. Juan Salazar y Carrillo, conde de las Lagunas, D. Francisco de Inda, conde de Lung^ncho, D. Hipólito Íbañíz, D. Francisco Moreyra y D. Joa­ quín María Ferrer; tenencias de granaderos á D. Juan Quintanilia, D. José Garrea y D. Antonio Taranco, de cazadores, á D. Jo­ …</t>
  </si>
  <si>
    <t>Ibarra, Josef</t>
  </si>
  <si>
    <t>Josef Ibarra</t>
  </si>
  <si>
    <t>ez García. Diputados seculares D. Francisco Agustin, Crespo. D. Tomas Peña. - D. Francisco Santíüsté. D. Tomas Zapalena. Secretario D. Manuel Medina. D. Josef Ibarra. Secretaria D. Rafael Oarrichena. ' “■ QUARTEL DE-SAN MARTIN. QUARTEL DE LA PLAZAS - 1 BARRIO DE SAN LUIS» - l. ' BARRIO DE SAN. QINES. Alcalde de barrio~ Alcald…</t>
  </si>
  <si>
    <t>Icaza, Carlos</t>
  </si>
  <si>
    <t>Carlos Icaza</t>
  </si>
  <si>
    <t>uel llenera, S. D. Pedro Norieaga, 8. D. Juan de la Peña , 8. D. José Pasíjuel , 8. D. José María Torres, 8. D. Ignacio Icaza, 8. D. Manuel Icaza, 8. D. Carlos Icaza, 8. D. Manuel Solar, 8. D. Juan Garro, 8 D. Joaquín Jordán , 8. D. Cosme Martínez , 8. D. Manuel Muelle, 8. D. José María Murga , 8. D. Antonio Urrutia , 8. D. M…</t>
  </si>
  <si>
    <t>Icaza, Ignacio</t>
  </si>
  <si>
    <t>Ignacio Icaza</t>
  </si>
  <si>
    <t>ia, 8. D. Mariano Ay lucrdo, 13. D. Ma­ nuel llenera, S. D. Pedro Norieaga, 8. D. Juan de la Peña , 8. D. José Pasíjuel , 8. D. José María Torres, 8. D. Ignacio Icaza, 8. D. Manuel Icaza, 8. D. Carlos Icaza, 8. D. Manuel Solar, 8. D. Juan Garro, 8 D. Joaquín Jordán , 8. D. Cosme Martínez , 8. D. Manuel Muelle, 8. D. José Marí…</t>
  </si>
  <si>
    <t>Icaza, Manuel</t>
  </si>
  <si>
    <t>Manuel Icaza</t>
  </si>
  <si>
    <t>lucrdo, 13. D. Ma­ nuel llenera, S. D. Pedro Norieaga, 8. D. Juan de la Peña , 8. D. José Pasíjuel , 8. D. José María Torres, 8. D. Ignacio Icaza, 8. D. Manuel Icaza, 8. D. Carlos Icaza, 8. D. Manuel Solar, 8. D. Juan Garro, 8 D. Joaquín Jordán , 8. D. Cosme Martínez , 8. D. Manuel Muelle, 8. D. José María Murga , 8. D. Anton…</t>
  </si>
  <si>
    <t>Icteupi, Podro Luís</t>
  </si>
  <si>
    <t>Podro Luís Icteupi</t>
  </si>
  <si>
    <t>José María Medina, D. Podro Jo mi Alcina, D. Manuel U&amp;bina, D. José Díaz Ace vedo v D. J nan Cádos nez ; el mismo ele caballería, á D José M dalles, D. Podro Luís Icteupi, D. Miguel Primero, D. Antonio Urblna, D. Earique Fu­ rias, D. Juan Dionisio Arcaya, D. Pablo Hernández, D. José Ma­ ría Telíería, D. Juan Agustín Oberfco, …</t>
  </si>
  <si>
    <t>Idem, Antonio Sabina</t>
  </si>
  <si>
    <t>Antonio Sabina Idem</t>
  </si>
  <si>
    <t>rcito son los siguientes .* r~ Prisioneros. Jji'xirw-JJfS • • «o O *&gt;' « § •3 *1 a Cuerpos. Clases. Nombres. i « *1 a 1 "Gapit. l.°el y í teo. eoroa. D. Antonio Sabina 1 0 4' Idem. . . . D. Manuel Fcr.ejra. •... 1 • • Teniente . . O. Joaquín Lucas............... • 1 • Sarg. imyf&gt;r RarhisfrU Capitan&gt; aSre&amp;a:1°g#o• D. F;ancisco…</t>
  </si>
  <si>
    <t>Idiaqaez, José Ramón</t>
  </si>
  <si>
    <t>José Ramón Idiaqaez</t>
  </si>
  <si>
    <t>sileros á D. Juan Bautista Oyarzabal, marques de Montealegre, D. Manuel Uficaagoena, D. Domingo Orne, D. Fiancisca Xavier de ízcue, marques de Corpa, D. José Ramón Idiaqaez , conde de Torreblanca , D. J uan de Pertica, Don Jo3é Cabero y Salazar, D, Faustino del Campo, D. Juan Salazar y Carrillo, conde de las Lagunas, D. Franc…</t>
  </si>
  <si>
    <t>Ifiíl</t>
  </si>
  <si>
    <t>Marmout pasa á Ma­ drid.— Hay noticia deque el brigadier Morillo está sobre Delalcazar, divo castillo tienen guarnecido los franceses. Las tropas del general Ifiíl que desde Merida avanzaron á Zafra, salieron antes de ayer para Idererta. Han tenido varios choques con el enemigo, que conti­ núa retirándose, y ha perdido bastan…</t>
  </si>
  <si>
    <t>IfUis</t>
  </si>
  <si>
    <t>e del regimi^Uto 'dc tilla, I.° de infantería ligera. • Ganada, 5.0 de infantería. ...... . " Driget (D. Juan Bautista), capitán de la com­ Magnitot (D. IfUis), presidente de la administra­ pañía de inválidos de la plaza de Fuenterrabía. ción central de ios hospitales militarés.' '/ . Dubois (D. Pedro), teniente coronel dé ca…</t>
  </si>
  <si>
    <t>Ig, José</t>
  </si>
  <si>
    <t>José Ig</t>
  </si>
  <si>
    <t>Moreno, 1494 y 4 y medio. D. Jaime Isern, 25. D. Pedro Camacho, 50. D. Juan de Avi­ les, 10. Por los pueblos de la Punta de Sta. Elena, ha entregado D. José Ig* nació Gorrochategui, 100. D. Dionisio Faxardo , 12. El maestro mayor del gremio de barberos ,29 y 5. D. Pedro Alcántara Bruno , 100. D. Juan Mi* guel Germán , 4. D. E…</t>
  </si>
  <si>
    <t>Iglesias, Antonio</t>
  </si>
  <si>
    <t>Antonio Iglesias</t>
  </si>
  <si>
    <t>el juramento á S. M., á ia cons­ tenientes , á tenientes, y 4 D. Juan Armirez , Dod titución y á las leyes. El reino de Va encía ha en­ Josif Boto y D. Antonio Iglesias, sargentos pri­ viado 24 diputados representantes de la nobh-zi, meros, á subtenientes. En el regimiento Real Ex- del clero , de la propiedad , del comercio y…</t>
  </si>
  <si>
    <t>Iglesias, Narciso</t>
  </si>
  <si>
    <t>Narciso Iglesias</t>
  </si>
  <si>
    <t>llos, emprendiendo raimareis, á la noche del £6. Cerciorado de la» posiciones dei enemigo, roendé en la madrugada dei £7 á los mandantes de compañías D. Narciso Iglesias, que lo es de la primera de cazadores, y D. Julián CafF* de la seguuda de fusileros, y D. Cristóbal Bdxuial y D. Fian cisco Cormi-</t>
  </si>
  <si>
    <t>Ignacio</t>
  </si>
  <si>
    <t>on el pro­ que fue del regimiento de infantería de Castilla, ducto de la cosecha de 1812 á 1813 se fabriquen subteniente de infantería de línea : y I D. Ignacio dos millones de kilógramas de azúcar terciada. de Paño, subteniente que fue del regimiento de El intendente general de la corona dispondrá Santiago de infantería, sub…</t>
  </si>
  <si>
    <t>au canciller interi­ Quevedo López (D. Juan) / ayudante primero de nos: Firmados! Mariano Luis de Urquijo.” la guardia cívica de Madrid. ar Ramírez ( D. Ignacio ), teoicnte de lancero* es­ El general Capitaine ha sorpreheodido la quapañoles. drilla de Fermin ,cerca de Aldea del Fresno, en Rodríguez (D. Ignacio) , sargento pri…</t>
  </si>
  <si>
    <t>510</t>
  </si>
  <si>
    <t>squera y Figueroa. pre­ sidente.— Juan María Villavicencio. —Ignacio Rodríguez de RiHas.— Eí conde del Abishal. — Ea Cádiz á 10 de abril de 1812.-— A D. Ignacio de ia Ptjeaela. En los dias 9 y 10 del corriente se celebró en esta plaza con­ sejo de guerra de oficiales generales para sentenciar la causa que se formó a? teniente…</t>
  </si>
  <si>
    <t>Casa Lujo, D. Tomas González Calderón, D. Luis María Salazar y D. Francisco Xavier Abadía, deberán quedar exerciendo durante su respectiva ausencia, D. Ignacio de.la Pezuela el destino que está á su cargo de secretario interino del despacho de es­ tado ; vos , D. José Vázquez Figur?roa, el de secretario interino del despacho …</t>
  </si>
  <si>
    <t>fé político inte­ rinamente, y con subordinación á lo que la Regencia del reyno determine, á los señores D. Gerónimo Ceboraim, D. Mateo Norzagaray, y D. Ignacio! Campesino y Guerra. Siendo ele suma importancia que los objetos encargados al tribunal interi­ no de Secuestros tengan la mas pronta expedición, ha juzgado el limo. …</t>
  </si>
  <si>
    <t>Ignacio, Antonio</t>
  </si>
  <si>
    <t>Antonio Ignacio</t>
  </si>
  <si>
    <t>Manuel Abad , secretario. El tribunal de Apelaciones y Vigilancia de esta corte ha recibido por me­ dio de su Sr. Presidente el oficio del limo. Sr. D. Antonio Ignacio ae Cor­ tabarría, Gefe político de la misma y su provincia, que á la letra dice asi: „ Reconociendo la importancia de los objetos que se propuso el Sr. co-</t>
  </si>
  <si>
    <t>Ignacio, Juan</t>
  </si>
  <si>
    <t>Juan Ignacio</t>
  </si>
  <si>
    <t>en la misma por nombramiento del gobierno; y por vocales al Dr. D. Francisco Ramiro de Arcayo, visitador eclesiástico de las parroquias de Madrid; á D. Juan Ignacio ae Ayestarín, á D. Francisco Bringas y á D. Manuel ¿artiga. El comandante general interino espera que el nombramiento de tán respetables sugetos merecerá la aprob…</t>
  </si>
  <si>
    <t>Ignacio, Tomas</t>
  </si>
  <si>
    <t>Tomas Ignacio</t>
  </si>
  <si>
    <t>Cincos 100. D. Isidro Coueerio, ca­ pitán de la fragata Diana, 100. Pedro Dávila, cirujano. 4. R. Domingo Arnaiz, oidor de esta real audiencia, 500. D. Tomas Ignacio i *I¡omeque, id. , 400. Don Juan Martínez Pini'los , 23. La asamblea y oficiales milicianos del cuerpo ríe dragones, 4250. Curas y clerecía de Já {ja. D. Jo-é Ig…</t>
  </si>
  <si>
    <t>Ignsralde, Joaquín</t>
  </si>
  <si>
    <t>Joaquín Ignsralde</t>
  </si>
  <si>
    <t>es , peco mas ó Bienes, un ccmandan­ te y ñ cfioi&amp;les mas. La pérdida qne yo he tenido es de 7 muer­ tos y 16 heridos. Recomiendo á V. E. el teniente D. Joaquín Ignsralde, y el subteniente 1&gt;. Xavier Cslayar&amp;n , y en particular el subteniente de artillería D. Miguel de Gcyccechea, quien por or­ den del general en gefe Sr. Dan…</t>
  </si>
  <si>
    <t>Igual, Ramón</t>
  </si>
  <si>
    <t>Ramón Igual</t>
  </si>
  <si>
    <t>correrías con­ C.snlia, i.” de iofafttetía ligera v á D. Josef Juntra nuestro comercio. Y ¿ qué sensación haria esta quiro, teniente , á capitán ; á D. Ramón Igual y guerra eri la Pertsiivania , cuyos habitantes sacan Vainis y D. Josef Araujo , subtenientes , a teSos subsistencias de ia América ? En la situación niei-tet; y a…</t>
  </si>
  <si>
    <t>II, Pablo</t>
  </si>
  <si>
    <t>Pablo II</t>
  </si>
  <si>
    <t>z. D. Francisco García. Secretario 5 BARRIO DE SAN JUSTO. t Lo exerce el diputado D. Ramón Prieto, Alcalde de barrio BARRIO DE LAS NlSAS DE LE GANES. D. Pablo II idrr-i. Diputado eclesiástico ■ Alcalde de barrio D. Saturnino bea¡ y Díaz. D. Matías Gutiérrez. Diputados seculares Diputado eclesiástico D. J uan Bautista Nieto. D…</t>
  </si>
  <si>
    <t>Iíervey</t>
  </si>
  <si>
    <t>s Carriel , por lo cual mandé al honorable teniente general Colé que atacase con las brigadas de infantería del mayor general '¡Anson y del brigadier general Iíervey (mandada esta última por el coronel Stubbs) á la infantería del enemigo, que estaba sosteniendo á su caballería. ,,Inmediatamente los atacó y deshizo con los reg…</t>
  </si>
  <si>
    <t>Iíill</t>
  </si>
  <si>
    <t>rmont? por mas que los hayan querido reforzar con algunos millares dé conscriptos y alguna gente del mal seguro Caffarelti; en quanro á lo segundo el general Iíill tiene á sus ordenes un exército mucho mas nu­ meroso que el enemigo; sus posiciones escogidas y tomadas con tiempo, y con la gran ventaja de que si los franceses q…</t>
  </si>
  <si>
    <t>Iíuiz, Bartolomé</t>
  </si>
  <si>
    <t>Bartolomé Iíuiz</t>
  </si>
  <si>
    <t>, cura de Huanaco , 109. Don llamón Moreno, cura de id. 50. 10. José /avala , 10. IX José Metieses , 6. 10. Mariano Ñauarte, D. Fernando Berospi, 6. D. Bartolomé Iíuiz, 2. Don Mauúei Ruiz, 2. La universidad de S. Marcos, 8000. D. Antonio José Buendia, á cuenta de su oferta de 330 ps. anuales, 110. D. Antonio de O vague, 60. D…</t>
  </si>
  <si>
    <t>IIull</t>
  </si>
  <si>
    <t>esen detenido chair. Todos estos buques están algunos dias hace sil laboriosidad infatigable. en Nueva-Yorck prontos á salir. La Constitución, de 44, capitán IIull, estaba GRAN BRETAÑA. poco tiempo bace en Annápolis, y la esj^eraban también en Nueva-Yorck. Londres 21 de agosto. La Che sapea ke, de 32, se está reparando; v La …</t>
  </si>
  <si>
    <t>Iíutusoíf</t>
  </si>
  <si>
    <t>iversos cuer­ pos, que pelearon con los granaderos mandados por Bagration. Luego entro en acción el centro de los rusos, y la batalla fue general. El general Iíutusoíf escribió desde el campo de batalla. Los franceses cubrieron su retirada con ia infantería de Wurtemberg y con grandes cuerpos de caballería. Retrocedieron 13 m…</t>
  </si>
  <si>
    <t>Iizarbe</t>
  </si>
  <si>
    <t>87</t>
  </si>
  <si>
    <t>que 30 franceses salían del pueblo de Berruetn para el de Eiizondo en busca de víveres una vez á la semana , y habiendo comunicado esto mismo con el capitán Iizarbe, determinamos ambos pasar á dicho territorio en la noche del 19 , y habiéndonos emboscado toda la no­ che , esperamos á la mañana, tiempo en que debía llegar el e…</t>
  </si>
  <si>
    <t>IJarriosas, Pedro</t>
  </si>
  <si>
    <t>Pedro IJarriosas</t>
  </si>
  <si>
    <t>acna Don Joaquín Vigil , 50. Teniente administrador D. Manuel Brice ño, 13. Conduc­ tor D. Juan Manuel Rriceño , 12. Id. D. Pedro Navarrete , 10. Id. D. Pedro IJarriosas, 10. Carrera del Cuzco. Administrador de Huancave-.ica D. Martin Beramendi, 10. Id. de Huanta 13. José Escovar , 25. Id. de Andaguailas D u José del Campo , …</t>
  </si>
  <si>
    <t>ÍJonet, Joaquín</t>
  </si>
  <si>
    <t>Joaquín ÍJonet</t>
  </si>
  <si>
    <t>de Valde1 ¡ríos, 289 y 3. El marques de Laca, jubilado, 192 y 7 y medio. El mar. (.{■jes de S. Felipe , id. 192 y 7 y medio. Contadores de resultas. D. Joaquín ÍJonet, 1GS y 3, (Se continuará.) m CADIZ : EN LA IMPRENTA REAL</t>
  </si>
  <si>
    <t>ÍJrbaii, D</t>
  </si>
  <si>
    <t>D ÍJrbaii</t>
  </si>
  <si>
    <t>a, y se dirigió por su izquierda hácia el cauiino de Ciudad- Rodrigo. $,E1 exército aliado , á excepción de la tercera división y la ca­ ballería del general D ÍJrbaii, pasp también el Tórmes en aquella tarde por el puente d¡e Salamanca y los vados de sus inmediaciones, y coloqué las tropas en,posición, apoyando la derecha en…</t>
  </si>
  <si>
    <t>ÍJuidrobo, Pedro</t>
  </si>
  <si>
    <t>Pedro ÍJuidrobo</t>
  </si>
  <si>
    <t>ey &gt; 2. D. Vicente Navarte , 2. D. Manuel Vengocne.a , 2. D. José Marlategui, 2. D. 'Francisco Roxas, 2. D. Gerónimo Larriva, 2. D. Manuel Zarate, 1. D. Pedro ÍJuidrobo , 2. D. Pedro González, 2. D. José Pac hoco , 2. D. Antonio Córdoba , 2. D. Manuel Maza , 2. Don Mariano Hurtado, 1 y /i. D. José Perez, 1. I&gt;. Manuel Chacal …</t>
  </si>
  <si>
    <t>Ilamiltbn</t>
  </si>
  <si>
    <t>llos; y come; solo el exército de Portugal tenia 100 piezas- de artillería, es. proba­ ble que entre todas no baxen de S00. Extracte d? un eficio del general Ilamiltbn ál general HUI. „Ei general Hamilton da cuenta de las disposiciones que tomó para la defensa de Alba de Tormes , las que obligaron, al enemigo á retirar la may…</t>
  </si>
  <si>
    <t>Ilargrave</t>
  </si>
  <si>
    <t>r, y lo restante de la esquadra e taba sobre la costa al O. El Diadema, después de haber desembarcado ei batallón de marina, salió para la Coruña. El capitán Ilargrave de la marina real llegó en la noche de ayer con pliegos para el almirantazgo del almirante Sawyer, que se halla apo tado en Halífax, los quales refieren que un…</t>
  </si>
  <si>
    <t>Ilarrison</t>
  </si>
  <si>
    <t>de los caballos: el día siguiente quemaron el pueblo del Profeta, y se retiraron según su costumbre. Se dice que la mañana anterior a la sorpresa, el general Ilarrison había tenido una conferencia con el Profeta, y que habían convenido en juntarse de nuevo al día siguiente para tratar de paz ; pero que un negro, prófugo del e…</t>
  </si>
  <si>
    <t>Ilarrisson</t>
  </si>
  <si>
    <t>iar con los puertos de que están ex­ de noviembre; la* órdenes dadas por los .‘Estados? cluidos los buques ingleses ? y que prohíban parti­ Unidos al gobernador Ilarrisson que. mandó esta exr cularmente la importación ae madera de construcpedición, y en fin todas las noticias qu&amp;.pueda coj cion de la Noruega y de las costas d…</t>
  </si>
  <si>
    <t>Ildefon</t>
  </si>
  <si>
    <t>Vicente Ortiz, D. Manuel Benito, D. Pe­ dro Latorre, D. Melchor Buba, D. Francisco Alvarez , D. Luis Angel García, O. Pedio Toruno, D Antonio Rosado, D. Ildefon­ so Sierra, D Vicente Herrera, D. José C.uóps, D. Manuel L no, D. Pedro Rueda, D. Santiago B-dhmia , O. José Clemente, D. Jo­ sé Me-reno Muñoz, D. Andrés López, D. Ba…</t>
  </si>
  <si>
    <t>Ilervoso, Francisco</t>
  </si>
  <si>
    <t>Francisco Ilervoso</t>
  </si>
  <si>
    <t>. Francisco Zúñiga, vecino de dicha villa, 10. D. José Manuel Herróse, 10. D. Damian Jáuregui, 10. D. Juan Bustamante , 10. D. Agustín Fernandez, 10. D. Francisco Ilervoso , 6. D. Simón Hurtado, 6. D. Narciso Aponte , 6. D. Juan José Herdoyza, 4. D. Andrés Orive , 4. D. J*sé Alien , 4. D. Juan Laisequilla , 4. D. Pedro Delgad…</t>
  </si>
  <si>
    <t>IliiJ</t>
  </si>
  <si>
    <t>la Fortuna, nos han informado de" los últimos acontecimientos de la peninsn'a; de la gloriosa acción da Arroyo Molinos , en que el cuerpo ingles del general IliiJ, auxiliado por la vanguardia del quinto cxército espa­ ñol , destruyó enteramente la división francesa del generad Gírard; de la prisión del gobernador enemigo de C…</t>
  </si>
  <si>
    <t>IliU</t>
  </si>
  <si>
    <t>ianos ha tenido que refugiarseá Portugal (1).... Soy con (i) En el punto en que Soult escribía estas palabras, estaban ya e movimiento las tropas del general IliU y ese mismo cuerpo es­ pañol que se supone dispersado ó prisionero y su grfe prófugo en Portugal: y á las 4S horas, la división de Girará, sorprehendida con ignomin…</t>
  </si>
  <si>
    <t>Illevenes, Alfonso</t>
  </si>
  <si>
    <t>Alfonso Illevenes</t>
  </si>
  <si>
    <t>culares, y el último exerce las D. Rafael Risco. dones de secretario, D. Domingo Rcinoso. D. Pedro Casavus., Secretario D. Rafael González del Valle. D. Alfonso Illevenes. Sarrio de mofíterei. : ' .QUARTEL DE AFLIGIDOS. Alcalde de barrio D. Josef de la Mano. BARRIO DE LEGA MITOS. Diputado eclesiástico D.................. .. .…</t>
  </si>
  <si>
    <t>Ilolstein-Oldenburg</t>
  </si>
  <si>
    <t>ahora menos de hacer mención con el debido elogio dei mayor O-Denizoff, cuyo denuedo hace el mayor honor á las armas rusas : igualmente recomiendo al príncipe Ilolstein-Oldenburg, que lia llevado mis órdenes por entre tas des­ cargas terribles del enemigo, y baxo cuya inspección se construyó tina batería que ha contribuido es…</t>
  </si>
  <si>
    <t>Iloward, Sir</t>
  </si>
  <si>
    <t>Sir Iloward</t>
  </si>
  <si>
    <t>egente las águilas y banderas tomadas al ene­ migo cu esta acción — Incluyo lista de ios muertos y heridos (1). y„ Por cartas recibidas del teniente1 coronel Sir Iloward Do ligias sé que el general-Santocildes ha dexado 8000 hombres para seguir el si­ tio de Astorga, y se ha reunido á la división del general Cabrera, que esta…</t>
  </si>
  <si>
    <t>Ilunerbein</t>
  </si>
  <si>
    <t>comple­ de donde podrá dirigirse cu caso necesario á Riga. ta su derrota’. Los puestos avanzados han recobrado sus anti­ „Por la tarde la brigada del coronel Ilunerbein guas posiciones hasta las inmediaciones de aquella entró en Ruhenthal y Mossoten. ciudad.” ,, El i,u de octubre por la mañana el coronel de El conde Orlow, ed…</t>
  </si>
  <si>
    <t>Ilzarbe</t>
  </si>
  <si>
    <t>1179</t>
  </si>
  <si>
    <t>se, quedando en nuestro poder 54 pri­ sioneros y los restantes muertos, sin que escapase-ni uno solo : tanto los caballos que yo mandaba como los del capitán Ilzarbe se porta­ ron con el mayor arrojo y valentía. Lo que comunico á Y. S. para su gobierno. A nuestro regreso nos dirigimos á la guarnición de Santisteban, y habiénd…</t>
  </si>
  <si>
    <t>Incolimus, Zacyntho Ín</t>
  </si>
  <si>
    <t>Zacyntho Ín Incolimus</t>
  </si>
  <si>
    <t>de dragones, ala­ un puebio mui antiguo y mui opulento: perteretli) Car.ditor Aícidt, eujus vestiría- sacra sita passut mille ferme d mar i, oriundi d Zacyntho Ín­ Incolimus, ttrrac minitantem avertere procellfím. sula dicuntur, mlxtique etiam ab Ardea Rutulorum quí­ Vers. jo , 5. dam gentris. Tit. Liv. lib. xxi, cap. 7. C z)…</t>
  </si>
  <si>
    <t>Indiano</t>
  </si>
  <si>
    <t>Gaceta de Madrid n.º 239</t>
  </si>
  <si>
    <t>limitaciones que si estos inmensos países es­ dra de la bahía de Fündi, protegida del navio dé tuvieran bloqueados de la manera .mas estricta y S. M. d Indiano : esta salida causa también algímas rigurosa; y todo comercio de producciones ó ma­ Inquietudes. • . nufacturas de dichos paises y colonias, como asi­ „La Hermonia , d…</t>
  </si>
  <si>
    <t>Infantas, Juan Antonio</t>
  </si>
  <si>
    <t>Juan Antonio Infantas</t>
  </si>
  <si>
    <t>andez , 25. Id. de Barranca Don Gregorio Lobaton , 200. Id. de Pativilca D. Toribio Herrera, 17. id. de Cha­ cas D. Antonio Navarro, 25.14. de Ncpeña D. Juan Antonio Infantas, 4. í ! dp* Truxillo D. Miguel Sánchez, 100. interventor D. Celedonio Bowi, • • vi v Bou 12. A ¡ministrador de Guamachuco D. Agustín Sánchez , 50. Id, d…</t>
  </si>
  <si>
    <t>Infanzón, Santiago</t>
  </si>
  <si>
    <t>Santiago Infanzón</t>
  </si>
  <si>
    <t>nuel Ruiz. de 1812. Diputados seculares Don Josef Napoleón por la gráéla de Dios y D. Juan Aguado. por la constitución del estado, REI de las Españas D. Santiago Infanzón. y de las Indias. D. Veotura López. » Visto el informe de nuestro ministro de lo Secretario' Interior, hemos decretado y decretamos lo si­ D. Nicolás de Cil…</t>
  </si>
  <si>
    <t>Ingles</t>
  </si>
  <si>
    <t>cuar la Andalucía , y levanjBCpjto* &lt;k unne fenfelíces como acuden todos esto!; tar.éi.sitióde Cádiz » ¿ pero quién le impide ahora ífTaS at qu artel general Ingles , implorando nuestra volver"(3)? Y entonces ni aun Cádiz está seguro, protección, y echándonos en cara ¡as engañosas como no se envié allá el cuerpo que manda el …</t>
  </si>
  <si>
    <t>Inglis</t>
  </si>
  <si>
    <t>en de Portsmouth, y los dragones ligeros de Piimouth. Vart por brigadieres generales á las órdenes del lord Weliington los siguientes ofi­ ciales. EL coronel Inglis del regimiento S"] \ Wilson del 39; Bing de las guar­ dias; Bans del 4ó. Los coroneles Inglis y Wilson sirvieron mucho tiempo en Portugal, y ambos fueron heridos …</t>
  </si>
  <si>
    <t>Iñigo, Josef Perez</t>
  </si>
  <si>
    <t>Josef Perez Iñigo</t>
  </si>
  <si>
    <t>en adelante, y la municipali­ para la media ración que 4?xó vacante en la santa dad encuentra en el zefo paterna) de nuestro Sobe­ iglesia de Segovla D. Josef Perez Iñigo , por ascen­ rano el mas ppdyroso estímulo para emplear todos so á canongía de ella. . rus conatos en el desempeño de "las obligaciones A D, Jpaq, Domínguez…</t>
  </si>
  <si>
    <t>Iñigusz, D Juan</t>
  </si>
  <si>
    <t>D Juan Iñigusz</t>
  </si>
  <si>
    <t>O. En el cuerpo de ingeniaros de los exércitos nacionales, en la di­ visión de Ultramar , se ha servido la li cencia del reyno promover á coronel, al teniente coronel D Juan Iñigusz; á teniente coronel al sargento mayor de brigada D. A nastasio AraLgo, y á este empleo al capitán D. José Mariano Aioy. La Regencia del reyno, co…</t>
  </si>
  <si>
    <t>Inno, Domingo Ramírez de Arel</t>
  </si>
  <si>
    <t>Domingo Ramírez de Arel Inno</t>
  </si>
  <si>
    <t>Oya* gue , portero marcador, 29. D. Manuel Noguera , portero de la calle, 33. D. Ignacio Cisne ros Merino, 33. —E! monasterio de Sta. Catalina, 109. D. Domingo Ramírez de Arel Inno , 2000. J)r. D. Manuel Lorenzo Vid turre , por tres meses de su oferta durante la guerra , 150. I). Francisco de Borja Zu­ rita y Ver gara, preben…</t>
  </si>
  <si>
    <t>Inter, Agustín de Acuña</t>
  </si>
  <si>
    <t>Agustín de Acuña Inter</t>
  </si>
  <si>
    <t>ia de Sta. Ana de esta ciudad. D. A gu ;tin de los Ríos y D. Lorenzo Robledo , curas rectores , 52 y 4; r\ José Joaquín Lnrriva, sacristán mayor, 12. D. Agustín de Acuña Inter , 2. 1i. ís-inou Muñoz ,1. D. Bonifacio Loarte, 1. D. Francisco Lugo, 1. D. Ge­ rónimo de isla, 1. I). Francisco Escobar, capellán mavnr de! hospital d…</t>
  </si>
  <si>
    <t>Intruso</t>
  </si>
  <si>
    <t>bres, en términos que solo 400, según dic¿n, pudieron salvarse con la faga. Sj lia sabido igualmente que ira convoy de dinero que enviaba Napoleón al rey Intruso, ka tenido en Bayona orden de retroceder á París, en donde aseguran que es general el descontento que reysa, tanto por la nueva conscripción, como por otras providen…</t>
  </si>
  <si>
    <t>Inza, Mariano</t>
  </si>
  <si>
    <t>Mariano Inza</t>
  </si>
  <si>
    <t>PDF p. 11</t>
  </si>
  <si>
    <t>a de jurados D. Bernardo Tortosa, el co­ misario D. Eugenio Perez, el director de las obras de fortificación de las for­ talezas de Tarancon y Cuenca D. Mariano Inza, y D. Antonio Maldonad, individuo de la junta criminal; los quales y un soldado juramentado han sido pasados por las armas, porque ademas de los servicios que ha…</t>
  </si>
  <si>
    <t>Ion, Manuel Ai</t>
  </si>
  <si>
    <t>Manuel Ai Ion</t>
  </si>
  <si>
    <t>anuel Pinillos, 8. D. Juan José Pi­ nillos , 8. I). Santiago Pinillos , 8 1). Luis Menacho , 8. D. Vicente Navar•rete , 3. D. Miguel Velez Villa , 8. D. Manuel Ai 1 Ion , 8. i). Pedro Caveto, •8. I). José Malarin , 8. D. José Elizalde, 8. D. Francisco Bernoa, 4. D.'Fé­ lix Matos, 8. (Se continuará.) CADIZ : .EN LA IMPRENTA EE…</t>
  </si>
  <si>
    <t>Ir'barren, Miguel María</t>
  </si>
  <si>
    <t>Miguel María Ir'barren</t>
  </si>
  <si>
    <t>el mariscal de campo JD. Francisco Espoz ij Mina al general en gefe del séptimo exército U. Gabriel de Mendi Labal. „ Excmo. Sr.: Recibo un oficio de D. Miguel María Ir'barren, sargento mayor del regimiento de caballería, que literalmente copio: Mi general: la particular confianza que V. S. hizo de mí, entregán­ dome el .regi…</t>
  </si>
  <si>
    <t>IraTnategui, Miguel</t>
  </si>
  <si>
    <t>Miguel IraTnategui</t>
  </si>
  <si>
    <t>ínez , 1. Don Gerónimo Arnal, capellán del monasterio de Sta. Clara , 17. D. Manuel de A iba , 2. D. José AUuzarra , 2. D. José Calixto Alzamora , 2, D. Miguel IraTnategui , G. D. Diego Rey lia , capellán del monasterio de Trinitarias ,8 y 4. D. Antonio de Almoguera , capellán del monasterio de Descalzas , 4. Di Nar­ ciso Cos…</t>
  </si>
  <si>
    <t>Iriaite, Fermín</t>
  </si>
  <si>
    <t>Fermín Iriaite</t>
  </si>
  <si>
    <t>ista Znbaía cubriese con tie* compañías el j?ro de A&amp;tofazar para no permitir ei paso al enemigo á Villafranca y la restante tropa al mande de! mayor D. Fermín Iriaite en las inmediaciones de la casería de Gaztelu, para que este ex*cutsse Jo míeme sobre Vií?areal,y hallándonos en e*tas posiciones se presentó a bis 4 de es­ ta…</t>
  </si>
  <si>
    <t>Iribarren, Juan Bautista</t>
  </si>
  <si>
    <t>Juan Bautista Iribarren</t>
  </si>
  <si>
    <t>....... 3834 da encargado de la execucion del presente de­ D. Francisco de Zitvide.................. 70200 creto. = Firmado = YO EL REI. = Por S. M., D. Juan Bautista Iribarren.............. 314625 el ministro secretario de Estado s Firmados Ma­ El mismo...... ..................................... 27IO 2f riano Luis de Urquij…</t>
  </si>
  <si>
    <t>Iribesri, José</t>
  </si>
  <si>
    <t>José Iribesri</t>
  </si>
  <si>
    <t>ento del real acuerdo, compuesto de D. José Navla Bofaño, D. Miguel Antéalo Blanes , D, José Marín Zrzcsa, I). José Cabamiltis, O. Joaquín Cisternes, D. José Iribesri, IX Fran­ cisco de Anido, IX Julián Cid, D. Felipe Sobrado, D. Manuel Lo­ sada C&amp;dóraiga, IX Xavier Vázquez Varela, y D. Gonzalo Cruz de Viíches, regente, oidor…</t>
  </si>
  <si>
    <t>Irig, Pedro</t>
  </si>
  <si>
    <t>Pedro Irig</t>
  </si>
  <si>
    <t>-eclesiástico D. Francisco Rodríguez. D. Manuel de la Torre.. i D. Eugenio Aguado. Dipul ados seculares , y el último secretario Secretario interino, D. Pedro Irig^üen. D. Josef Villar. . &gt; D. Juan de S. Miguel. BARRIO DE LA TRINIDAD. D. Francisco González. Alcalde de barrio D. Joan Antonio Balledor. BARRIO DE GUARDIAS ESPAÑO…</t>
  </si>
  <si>
    <t>Irigoyen, José</t>
  </si>
  <si>
    <t>José Irigoyen</t>
  </si>
  <si>
    <t>. de 10000 ps. 100. D. Manuel Ignacio Moreno , pnr id. de 1500 ps., 15. El regimiento de milicias de infantería , por la mesada de febrero , 219 y 5. D. José Irigoyen , oidor honorario de la audiencia de Chile , 400. El subdelegado de Chancay D. Ignacio de Alcázar , 50. Y otra tanta cantidad anualmente hasta la venida del rey…</t>
  </si>
  <si>
    <t>Irigoyen, Pedro</t>
  </si>
  <si>
    <t>Pedro Irigoyen</t>
  </si>
  <si>
    <t>sto et general Mauricio Mathieu! rugía , vacante por fallecimiento de D. Gínes Lagobernador de Barcelona, mandó á Mr. Laugier, rio, al supernumerario D. Pedro Irigoyen : para teniente de navio, que se hiciese á la vela al si­ la de supernumerario á D. Francisco Di^z Montes; guiente dia con dos barcos armados y 20 marine­ y pa…</t>
  </si>
  <si>
    <t>Irlanda, Antonio Gaspar Blanco</t>
  </si>
  <si>
    <t>Antonio Gaspar Blanco Irlanda</t>
  </si>
  <si>
    <t>nd. O. Rodrigo Perez Pones.. 0 1 • . Cadets . . . D. Agustín Perez Ponce... • 1 • LO tro............. O. José Mane;.......... .. • 1 • f Coronel. . . D. Antonio Gaspar Blanco • 1 Irlanda. . 5 CaP' el .tenA coronel. . D. Aguitin Noguera... •. • 1 • V Subt. aban. D Ped ro Sánchez............. .... • 1 • V RIME 11A . C Capitán. …</t>
  </si>
  <si>
    <t>Iruegas, Lorenzo</t>
  </si>
  <si>
    <t>Lorenzo Iruegas</t>
  </si>
  <si>
    <t>nal D. Manuel de Riláacova, D. Pedro,Uñarte y D. Lucas de Carran­ za, y. los de la municipalidad-D. Juan Antonio Pico, D. Genaro Faustino dél Rincón, D. Lorenzo Iruegas,D.. Diego Barreda, D. Josef Ocharan, Don Manuel de la Viña, D. Antolin Munarnz y D. Pedro Pinillos, aprobaron unánimemente q.uanto queda réfeíádo, y se dispus…</t>
  </si>
  <si>
    <t>Irureta</t>
  </si>
  <si>
    <t>el reo á mis soldados, por causa del sitio, para sacarle de él y conducirle al parage donde se mantenía parte de la tropa del alférez Rodríguez. JE1 alférez Irureta perseguía entre tanto á unos 4 que salieron hu­ yendo como para Tecacho, y solo alcanzó á uno, que inmediata­ mente pasó por las anuas. Regresamos reunidos á esta…</t>
  </si>
  <si>
    <t>Iruusquin, Francisco Xavier</t>
  </si>
  <si>
    <t>Francisco Xavier Iruusquin</t>
  </si>
  <si>
    <t>uba, alférez rta; D. Jote Z«-v-da, a’guf cii mayor Daa Pablo Ignacio Arcaya, ale? 1 de provincial D. José Miialtcs. y rogidejes D. M&amp;iiuel Ü.-.bir.a, D. Francisco Xavier Iruusquin, D. Mi­ guel Gil y D. Ignacio Xavier ¿e Eni&amp;savel. „La misma distinción del propio escudo ha ccc cedido !&amp; Regen­ cia &amp;1 oficial real de esas reale…</t>
  </si>
  <si>
    <t>Is, José</t>
  </si>
  <si>
    <t>José Is</t>
  </si>
  <si>
    <t>reglas oportunas para que los comerciantes de buena fe no experimenten perjuicio en sus propiedades. Según un parle comunicado á esta junta superior, D. José Is* nació de Mercader , comandaide de la primera división del corre­ gimiento de Gerona, auxiliado con algunos destacamentos de las divisiones segunda y tercera , peleó …</t>
  </si>
  <si>
    <t>Isabel</t>
  </si>
  <si>
    <t>Gaceta de Madrid n.º 39</t>
  </si>
  <si>
    <t>VARSOVIA. Total de las especies acuñadas en Inglaterra. Varsavia 2 8 de diciembre. El total de la moneda acuñada en Inglaterra desde el reinado de la Reina Isabel hasta el año de Esta mañana han salido SS. MM. de esta ciu­ 1793 es COJ11o siguí;: dad para Dresde; esta noche dormirán en Niebo- libras. row en el palacio del prín…</t>
  </si>
  <si>
    <t>ctivamente , es incompatible con la palabra que vo también á visitar este establecimiento S. M. la habia dado. Si fuese necesario este convencimiento Emperatriz Isabel.</t>
  </si>
  <si>
    <t>ente, esperamos que el Prín firmeza y al espíritu de un prelado católico, el cipe volverá a aparecer á los ojos de la nación tal cardenal Laugton. La Reina Isabel estaba sin du­ quai era quando todo un pueblo tenia puestas eu da tan interesada en la reforma como el que mas éi sus esperanzas.” de sus sucesores, pues tenía mas …</t>
  </si>
  <si>
    <t>ISABEL, BARRIO de SANTA</t>
  </si>
  <si>
    <t>BARRIO de SANTA ISABEL</t>
  </si>
  <si>
    <t>o de Torre*. Diputados ‘seculares D. Juan López. D. Estéban Rodríguez. Secretario D. Antonio Febrer. L. ' D. Simón Péricibho. D. Francisco Redondo. j Secretario BARRIO DE SANTA ISABEL. D. Francisco Jaracho. T ' Alcalde de barrio BARRIO DE CAPUCHINOS DE LA PACIENCIA. D. Dionisio Pérez Guerra. Diputado eclesiástico Alcalde de b…</t>
  </si>
  <si>
    <t>Isabel, Fernando y Doña</t>
  </si>
  <si>
    <t>Fernando y Doña Isabel</t>
  </si>
  <si>
    <t>Gaceta de Madrid n.º 125</t>
  </si>
  <si>
    <t>tilla, los quales, si bien estaban dotados de á toda la nación. Desde el tiempo de los Reyes quaddades recomendables, con todo no seria una Católicos D. Fernando y Doña Isabel no se ha temeridad creer que no reunirían todas las que se cesado de meditar sobre esta itr.poicante materia, necesitan para el cabal desempeño de este…</t>
  </si>
  <si>
    <t>Isardo, Juan</t>
  </si>
  <si>
    <t>Juan Isardo</t>
  </si>
  <si>
    <t>onsistió en la muerte del cabo de tiradores Francisco Navarrete , y fueron heridos levemente el teniente de la quinta D. José Díaz, un trompeta, y el sargento Juan Isardo: del escuadrón de Camuñas quedaron heridos el sargento mayor, su ayudante D. Pe­ dro Sánchez , y un cabo. Este suceso dió ocasión á las dos cartas siguiente…</t>
  </si>
  <si>
    <t>Isern, Jaime</t>
  </si>
  <si>
    <t>Jaime Isern</t>
  </si>
  <si>
    <t>on por enero, 210 y 1. D. Francisco Antonio García, 500. Los pueblos de Palenque y Babahoyo , por mano de D. Manuel Ignacio Moreno, 1494 y 4 y medio. D. Jaime Isern, 25. D. Pedro Camacho, 50. D. Juan de Avi­ les, 10. Por los pueblos de la Punta de Sta. Elena, ha entregado D. José Ig* nació Gorrochategui, 100. D. Dionisio Faxa…</t>
  </si>
  <si>
    <t>Isi</t>
  </si>
  <si>
    <t>mientras que 2 es­ cuadrones de caballería á las órdenes de Soler y del capitán D. Xa­ vier de Gár?te, repasaban el rio Aro entre Borfcon y Moitaco. D. Isi­ dro de la Osa, que se hallaba en este último punte con la infantería disciplinada de Caicara, luego que supo mi aproximación, marchó á reunirse con Soler, y el dia 11 se …</t>
  </si>
  <si>
    <t>...................... . 105 &lt;17 1»: Dañi M ii. Ignacia-de Castro y Sftnlin 28 de mayo. A i or........ ..... .......................... . 10822 !$'•' D. Isi r;&gt; H.j .-naposaJa...,........... 15778 Las últimas cartas de Belgrado anuncian que D. Tadeo G mzalez Mateo...... . -I5 000 las tropas servias se h in pne&lt;to en movimient…</t>
  </si>
  <si>
    <t>Isidoro, Antonio</t>
  </si>
  <si>
    <t>Antonio Isidoro</t>
  </si>
  <si>
    <t>ios qualcs lian muerto 246 y han curado están abiertos detde el 2 de este mes. Eo el que 21 jo. El día i-° Je enero quedaban todavía en el dirige el príncipe Antonio Isidoro de: Lobk.o'witz hospital 34® enfermos. han entrado mas de 88 personas en sus calefoctoLa sociedad de medicina de esta ciudad recibió rios, donde se les d…</t>
  </si>
  <si>
    <t>Isidro</t>
  </si>
  <si>
    <t>torre Je Londres, y que Para capitanes D. Nicolás Vi banco y D. Jnait se harán nuevos reglamentos para que en lo suce­ Antonio Teron; para tenientes D. Isidro, Escobar sivo esten dichos efectos en el mejor estado posible. y Lizana y D. Francisco Béseos, y para subte­ Los quartos batallones de los regimientos 6o.° nientes D, B…</t>
  </si>
  <si>
    <t>ISIDRO, BARRIO de SAN</t>
  </si>
  <si>
    <t>BARRIO de SAN ISIDRO</t>
  </si>
  <si>
    <t>'Cabanas. D. Francisco Galindo. ; ,. D. Nicolás Iuiesta. Diputados seculares Secretario D. Marcos Labia. D. Estiban Felipe Moría. D. Alfonso Perez. . Secretario BARRIO DE SAN ISIDRO. D. Toma* Cordero. Alcalde de barrio BARRIO DE SAN FRANCISCO. D. Francisco Xavier.de C.baza. Diputado eclesiástico Alcalde de barrio D. Pedro Q-v…</t>
  </si>
  <si>
    <t>ISoñlt</t>
  </si>
  <si>
    <t>or las noticias recibidas de Carlsruhe se sabe el exército de Murcia ha sido batido por el señor i qne el 24 de enero último 3 las 5 de la tarde se i general ISoñlt, quien se h.- apoderado en seguida i voló el molino de pólvora situado cerca de Amor- de las ciudades de Murcia y de Orihuela. El ge-</t>
  </si>
  <si>
    <t>Issasi, Francisco Escudero</t>
  </si>
  <si>
    <t>Francisco Escudero Issasi</t>
  </si>
  <si>
    <t>pesos y 7 reales donativo colectado por D. Juan José de Frangoni en virtud de comisión del mariscal de campo D. Mariano Renova­ les á consignación de D. Francisco Escudero Issasi: 24 botones de oro: una sortija de esmeraldas : un bastoncito de caña con puño de oro, donativo colectado en los mismos términos que la precedente p…</t>
  </si>
  <si>
    <t>Isusi, Miguel</t>
  </si>
  <si>
    <t>Miguel Isusi</t>
  </si>
  <si>
    <t>nco , 60. D- Juan Carcioli , 25. D Ignacio Hidalgo, 50. D Gregorio Mascóte, 10. D. Francisco Carbajai , 30. Vicente Pacheco, 10. D. Ramón Calvo, 100. D. Miguel Isusi, 1Ó. D. Vtcente Chacón, 30. D. Manu-1 Rodríguez Plaza, 10. D. Mariano Eraso, 2. D. José María Castro, ayudante de Piura , 47 y 2 y medio. Don Antonio Mirón , 10.…</t>
  </si>
  <si>
    <t>Itobayna, Juan</t>
  </si>
  <si>
    <t>Juan Itobayna</t>
  </si>
  <si>
    <t>s á D. Arnaido Guillemard , D. Juan Fer­ nandez y D. Diego Barrado; á subtenientes de fudleros á D. José Urcullo, D. Pedro de Vegas, D. Martin Palmo, D. Juan Itobayna, D. Bernardo Domínguez, D. Jacobo Dubreuü, 1). Luis Pana, Don 3JabIo de Ltrin, D. Juan María Grifón, D. Francisco Martínez, D. J osé de Vegas, D. Antonio de Veg…</t>
  </si>
  <si>
    <t>Iturvide, D Agustin</t>
  </si>
  <si>
    <t>D Agustin Iturvide</t>
  </si>
  <si>
    <t>nes , y como 300 hombres de infante­ ría armados y alguna caballera. En vista de esto, destacó una par­ tida de caballería de 9D hombres al mando del capitán D Agustin Iturvide, para que les diese alcance y se apoderase de los cañones; lo que en efecto se verificó con muerte de SO in turgentes, quedando en poder de aquel biza…</t>
  </si>
  <si>
    <t>ÍTuskisson</t>
  </si>
  <si>
    <t>mas poderoso de aquel país , y la pacífica ocupación de todos los fin u les y plazas que poseía la H olanda cuando era potencia inde­ pendiente.” El capitán ÍTuskisson* del navio de S M el B.irbadoes . escribe de á bordo el 22 de Agosto último , que había a presa-lo aqu 1 mis­ mo día á la goleta de rentas anglo-atnericana , l…</t>
  </si>
  <si>
    <t>Itutribarría, Francisco</t>
  </si>
  <si>
    <t>Francisco Itutribarría</t>
  </si>
  <si>
    <t>ito ha hecho largas marchas, -pata llegar mani­ presidente; D. Domingo Agüero, D. Manuel Silobrando hasta el Dwina; .pujes i&amp;te -vio dista del vela y D. Francisco Itutribarría, alcaldes de corte; Vístula mas que Mpscow- y-Petersbtfrgo del'Dwina. D. Antonio Ortiz de Zarate-, presidente de la jun­ Parece que los, rusos retinen:…</t>
  </si>
  <si>
    <t>Iuiesta, Nicolás</t>
  </si>
  <si>
    <t>Nicolás Iuiesta</t>
  </si>
  <si>
    <t>'i r t Dipuiados seculares D. Francisco del A royo. D. Tomas Do mingo Kunenez. Diputado eclesiástico D. Francisco'Cabanas. D. Francisco Galindo. ; ,. D. Nicolás Iuiesta. Diputados seculares Secretario D. Marcos Labia. D. Estiban Felipe Moría. D. Alfonso Perez. . Secretario BARRIO DE SAN ISIDRO. D. Toma* Cordero. Alcalde de ba…</t>
  </si>
  <si>
    <t>IV, Carlos</t>
  </si>
  <si>
    <t>Carlos IV</t>
  </si>
  <si>
    <t>lia, de­ claran las Cortes que no está obligada la nación á satisfacer al empréstito he­ cho por el tesorero público de Francia en el reynado del Sr. D. Carlos IV, y que suspenden el reconocimiento del que hizo la Holanda en el mismo reynado, mientras permanezca agregada á la Francia ó subyugada por Napo­ león y su familia. L…</t>
  </si>
  <si>
    <t>Iva</t>
  </si>
  <si>
    <t>n del conde de Prime . con orden de que se dirija mmedíatameato á Val verde la artillería que habla .baxado á esta ciudad por el Gua­ diana , pues el general Iva mandado a lela' 1 ir sus tropas por la canapifia, con motivo de hab-:r evacuado.á Sios enemigos, dexando de guarnición á los cívicos y encaminándose á Andujar. Cádiz…</t>
  </si>
  <si>
    <t>Ivan-Batia</t>
  </si>
  <si>
    <t>la imprenta central de Munich. tsn ataque de apoplegía la princesa Catalina de Los municipales Metzger y Ilinterhuber han H.-ístein-Reck, esposa del príncipe Ivan-Batia- salido hoi para Munich á felicitará S, M. en nom­ tinski , embaxador que fue de Rusia cerca de la bre de este vecindario por el feliz parto de Ja corte de Fr…</t>
  </si>
  <si>
    <t>Iverico, José Eugenio</t>
  </si>
  <si>
    <t>José Eugenio Iverico</t>
  </si>
  <si>
    <t>orreos de Hualianca D. Baltasar Pacheco, 85 pesos fuertes. Id. de Huan-uco D. Manuel Alcaraz, 50. El administrador de ren­ tas de la villa de Chancay D. José Eugenio Iverico , 50. El guarda de di­ cha administración D. Clemente Tixero, 6. El futurario D. Manuel Pereas Vuelta, 15. Los tres curas rectores del sagrario de esta c…</t>
  </si>
  <si>
    <t>Izquierdo, D Juiian</t>
  </si>
  <si>
    <t>D Juiian Izquierdo</t>
  </si>
  <si>
    <t>281</t>
  </si>
  <si>
    <t>ral de esta provincia D. Fernando Miyares, de que por la parle de Carora reliman fuerzas ios caraqueños para invadir este territorio , dispuso que el teniente coronel D Juiian Izquierdo marchase á nuestras fronteras con la tropa de marina, y la que existía aquí del batallón veterano de Maracaybo , para que reuniéndose con la …</t>
  </si>
  <si>
    <t>Izquierdo, Eugenio</t>
  </si>
  <si>
    <t>Eugenio Izquierdo</t>
  </si>
  <si>
    <t>ueblos se celebran fiestas y pú­ Cádiz. En ella descubre un incógnito los tratados blicos regocijos , y en otros se estable, e* fundi­ promovidos por D. Eugenio Izquierdo y por el ciones de cañones. Fu todo el reino de Guateen da favorito Godri, en qne se desmembraba la Espa­ se alistan tropas y *e forman mi idas, pero hai ña…</t>
  </si>
  <si>
    <t>Izquierdo, Melchor</t>
  </si>
  <si>
    <t>Melchor Izquierdo</t>
  </si>
  <si>
    <t>or Martínez, id. en esta corte...... 2200 D. Pedro Estéban del Campo, residente en Cimbil............................... 22co Ex-agustinos descalzos. D. Melchor Izquierdo, residente en CucnD. Bernardo Perez, residente en Madrid... 2200 bil................. 22CO D. Isidro Redondo Caballero, id. en Al- D. Pedro Anacleto García …</t>
  </si>
  <si>
    <t>Iztueta, Juan Jacinto</t>
  </si>
  <si>
    <t>Juan Jacinto Iztueta</t>
  </si>
  <si>
    <t>Fernandez Vinori, el sar­ gento primero Manuel Saceda, ídem segundo Bernabé Miñano, cabo prime­ ro Manuel Alcántara y D. Joaquín Nuñez. Del presidio: D. Juan Jacinto Iztueta , D. Clemente Britapajas, D. Antonio Guzman, D. Faustino Ru­ bio, D. Josef García Peña, D. Francisco Armendi, D. Melchor de Somarrivas, D. Antonio Saquer…</t>
  </si>
  <si>
    <t>J, J</t>
  </si>
  <si>
    <t>J J</t>
  </si>
  <si>
    <t>Gaceta de Madrid n.º 162</t>
  </si>
  <si>
    <t>juzgar de las revoluciones y trastornos Carta escrita en Taféelo con fecha de iG de muya políticos; y én no pocos, por ña, de qne al cabo de 1811 por D. J J. de M. y R. d un amiga o'o Ies pesa , ni trae mala cuenta el que esto siga suyo residente en Cádiz. asi, porque en medio de la confosioo y desorden tacen sn negocio. Por …</t>
  </si>
  <si>
    <t>J, Pedro</t>
  </si>
  <si>
    <t>Pedro J</t>
  </si>
  <si>
    <t>. ........... .................. 2 2CO D. Patricio Nuñi-z Nieto, id.......................... 2200 D. Juan Perez, residente en Montilla......... 2200 D. Pedro J &gt;sef de Luque, id......................... 2 200 D. Juan S ntos, id. en Ecij ■.......................... 2200 D B,rt'&gt;!oin-é de Lara, id..............................…</t>
  </si>
  <si>
    <t>J, Pedro Antonio de Ayala y D</t>
  </si>
  <si>
    <t>Pedro Antonio de Ayala y D J</t>
  </si>
  <si>
    <t>., 9. El capitán D. Rafael O-farrilI , por 6,54. D. Juan de ¿4.1calá, por 2, 18. D, Manuel de la Holia, por uno, 9. D. Juan de la Casa Nueva, id., 9. D. Pedro Antonio de Ayala y D J osé Marcelino de Escobedo, por 2, 18. D. Bonifacio Duarte, id., 18. El canónigo D. Julián José del Barrio , id., 18. D. Julián Delgado, por uno ,…</t>
  </si>
  <si>
    <t>Jaao</t>
  </si>
  <si>
    <t>. Orden (D. Manuel María de la), director de. Treviño ( D. Juan), teniente de húsares de U maestrazgos y encomiendas en .Jaén. goardia real. Ortega ( D. Jaao), comandante del batallón de l| Troplonq (D. Arnaud), subteniente qoartel-maesmilicia cívica de Toledo. tre del regimiento de granaderos ue la guardia Pacón (D. Emmeri),…</t>
  </si>
  <si>
    <t>Jabais</t>
  </si>
  <si>
    <t>ueblo un destacamento de !a división del general Palombini, han sido pasados per las armas en Morí!Tejo 11 Ímsioneros hechos á la misma ; á saber, el teniente coronel Jabais li, gobernador que fué de Calatayud, otro oficial subalterno, dos sargentos y 7 soldados. Berga 29 de mayo. Extracto de varios partes publicados en las g…</t>
  </si>
  <si>
    <t>Jabat, Juan</t>
  </si>
  <si>
    <t>Juan Jabat</t>
  </si>
  <si>
    <t>El secretario del despacho de Estado me dice en 6fício de 12 del cor­ riente lo que sigue: „ Con fecha 9 de julio último me dice desde Constantinopla D. Juan Jabat, que es mucha la abundancia que hay de trigo en los puertos rusos del mar Negro, y su precio corriente en ei le Odessa era de 1 j á 20 reales vellón, lo que debía …</t>
  </si>
  <si>
    <t>Jacin</t>
  </si>
  <si>
    <t>Bernardo Roca, 500. T). Domingo Ordeñana, 500. D. Santiago Víctores , .500. D. José María Luzeaudo , auditor de guerra, 200. D. Martin de Icasa, 1000 Doña Jacin­ ta Olave, 50. D. José Crespo, 25. D. Manuel Franco , 60. D- Juan Carcioli , 25. D Ignacio Hidalgo, 50. D Gregorio Mascóte, 10. D. Francisco Carbajai , 30. Vicente Pa…</t>
  </si>
  <si>
    <t>Jacinto</t>
  </si>
  <si>
    <t>tn. 3.0 dejjiifntr. de Ganada , 4.0 de in'f’/ir: ’f; ■ hutía. “'ííázadbres á.'cabijló. .. B^mn ( D. Joscl'), hú¿i( de u euartf iViea!.'1 ; Ezpélera ("D. Jacinto) , capitán de fusileros dé-’U *►Beche (D. Francisco), tsa-gít.t.v segur.,in de gra-, guardi* ., naderes dtl rtqímienfo Real í xíi .ií¿cVó.:;:' 1 1 Ezsérri'p.» ( D. Ni…</t>
  </si>
  <si>
    <t>Jacinto, Juan</t>
  </si>
  <si>
    <t>Juan Jacinto</t>
  </si>
  <si>
    <t>Sacada, Bernabé Mmsna y Manuel Al­ cántara, quienes le facilitaron inteligencia con el cficial de la vigía. Hecho esto, se avocó el misme cficial con D. Juan Jacinto de istueta, uno de los preses, para manifestarle que todo citaba pronto, y saber de é! *i se compromtteiia á surtir de víveres y pertrechos en cato de reaistir l…</t>
  </si>
  <si>
    <t>Jacob</t>
  </si>
  <si>
    <t>re , por tres meses de su oferta durante la guerra , 150. I). Francisco de Borja Zu­ rita y Ver gara, prebendado de la Sta. iglesia de Truxillo, 200. D. Jacob) del Real, alcalde provincial de ííuailas, 200. El monasterio déla Trini­ dad , 209. Los curas y de recia dala parroquia de Sta. Ana de esta ciudad. D. A gu ;tin de los…</t>
  </si>
  <si>
    <t>Jacquot, Juan</t>
  </si>
  <si>
    <t>Juan Jacquot</t>
  </si>
  <si>
    <t>¡dónde estala felicidad ? Venid Por decretos de 27 del corriente se ha servido acá, demonios , con que los amigos mismos algunas ve­ S. M. nombrar á D. Juan Jacquot, capitán del re­ ces nos pagan mal, y queréis que os den la felicidad gimiento Real Extrangero, comandante de bata­ unos hombres que decís son vuestros enemigos, …</t>
  </si>
  <si>
    <t>Jacr</t>
  </si>
  <si>
    <t>xé dominan­ do toda la carretera desde Mirs-nda á Pa^eorbo al b¿.tallón de guar­ dia# Racionales, y un trozo de caballería, mandíido por el capi­ tán D. Jacr.bo Alvares*,. encangado de atender y conservar todas nuestras primeras atescior.es?. Ya el comandante déla primera sec­ ción D. Martin de Eguihos habla cortado á ia guar…</t>
  </si>
  <si>
    <t>Jaén, Alonso</t>
  </si>
  <si>
    <t>Alonso Jaén</t>
  </si>
  <si>
    <t>ez, id................ 2200 P. Luis Moreno, subdiácono, id.................. 2200 P- Andrés Pérez, id,.......... ............................... 22C0 D. Alonso Jaén , id............................................ 2200 P. F rancisco Moreno, id..-........ 2200 P. Andrés Varo , residente en Agailar...... 2200 P. Fernando Arando…</t>
  </si>
  <si>
    <t>Jalón</t>
  </si>
  <si>
    <t>re ellos 4 oficíales, 7 ca­ ñones, un ebus, 3 banderas y tedas las municiones de boca y guerra. De las ruinas de Barquieimeto sacaron medio muerto al coronel Jalón, comandante délos rebeldes, y pareció gran número de los 2000 y mas hombres que tenia. De Guayana no se sabía cosa alguna con respecto al terremoto; pero se confir…</t>
  </si>
  <si>
    <t>Jalowaisky</t>
  </si>
  <si>
    <t>s ha habido en estos caminos ni en las rutas de Ja­ roslaw y Dmetrien. Las avanzadas conservan sus primeras posiciones y el camino de Petersburgo. El coronel Jalowaisky, que manda mi vanguardia, me ha pedido socorros para sorprehender en la noche del 26 la vanguardia francesa, que ataco en Kinka; la desbarato, y persiguió por…</t>
  </si>
  <si>
    <t>Jamelle</t>
  </si>
  <si>
    <t>196 que las tropas inglesas se habían apoderado de Chiribon , habido hecho prisionero al general Jamelle ; y por una carta de Jansens que fué interceptada, supo también que este pensaba reunir en Samar'ng las fuerzas que le quedaban, y retirarse sobre Solo. Con esta noticia mudó de ruta y se di</t>
  </si>
  <si>
    <t>Jan</t>
  </si>
  <si>
    <t>10. F. A S., 10. G. VV por E. M. O. 21. D. Y. Pa- y&amp;rt, 50. Los se ñores Paiyart, 10 docenas de camisas. Los señores Mirtinez , Tnnubey yBitke, 100. Doña Jan na Gmzalez Martínez , 6 y 5. Doña Juana Martin:z. 1 r J. D ña Arta Ma­ ría Martínez, 1 y 1. Doña Cuta i na Josefa González Martínez, 1 y 1. D. Sebastian González Martin …</t>
  </si>
  <si>
    <t>Janeyro, Rio</t>
  </si>
  <si>
    <t>Rio Janeyro</t>
  </si>
  <si>
    <t>res , ni tomar parte en las acciones militaros , ni acompasará Marreont en el movimiento que hizo sobre F ucr.te-Guimúdo á fines de setiembre. Avisan d. Rio Janeyro que la frecuencia con que se padece en rquede, verdial el carbunclo, y sus tenibb. s efectos , habían movido á S. A, R. eí príncipe-rrgoídc á mandar imprimir, com…</t>
  </si>
  <si>
    <t>Jansens</t>
  </si>
  <si>
    <t>como si salieran de la El 10 las tropas inglesas tuvieron una acción muí bo.Crf misma del Monarca. En efecto , se sabe que reñida con el exército dei general Jansens. El 26 todas las personas de este partido han jurado so­ tomaron por asalto las obras de Gornelius. E¡ ge­ lemnemente castigar c &gt;n pena de muerte la menor neral…</t>
  </si>
  <si>
    <t>195</t>
  </si>
  <si>
    <t>é arrollado, y las tropas británicas se apoderaron de él, y continuaron en perseguir a lenemigo, hasta que todos quedaron ó muertos ó prisioneros. El general Jansens logró escapar durante la acción , y acompañado de algunos caballos, resto de los 10000 hombres de que constaba su exér­ cito , se retiró á Buitenzorg , de donde …</t>
  </si>
  <si>
    <t>aron á los barcos de la escuadra unas cañoneras, que estaban en aquellas rías y las noticias que le dieron algunos pescadores, le persuadieron que el general Jansens no inten­ taría resistirie allí , y así resolvió atacarlo ; y habiéndole vuelto á in­ timar la rendición el 12, vió que por la noche había abandonado lá ciudad ,…</t>
  </si>
  <si>
    <t>Joyce. Ha arribado á Portsmouth el transporte, Condesa de Harcourt9 procedente de Batavia, de donde salió el 28 de octubre : ha traido á su bordo al general Jansens, comandante que íué de aquella co­ lonia , y á su comitiva. El 19 de febrero entregó el marques de Wellesley los sellos del departamento de negocios extrangeros á…</t>
  </si>
  <si>
    <t>Jaques, Fernando</t>
  </si>
  <si>
    <t>Fernando Jaques</t>
  </si>
  <si>
    <t>Candelada" y al nasió Ximene^tá,teniente de caballería de línea; al marques de Uloapa en la de moyordómrit; al coro­ tenieate de caballería-de línea D. Fernando Jaques nel D. Lino de Urbina en la de escudero, y 3 á teniente del Regimiento x.**de cazadores á caba­ D. Juan Pablo Martínez de Hervís y D. Antonio llo; al teniente …</t>
  </si>
  <si>
    <t>Jara, Marcos</t>
  </si>
  <si>
    <t>Marcos Jara</t>
  </si>
  <si>
    <t>daguailas D u José del Campo , 25. Id. de Abane ay D. Esteban de Ares , 13. Maestro de postas de íiuancabelica D. Mariano Almo ñau , 12. Id. de Cotay D Marcos Jara , 4. Id. de Parcos I). Juan Antonio Uavila , 5. Id. de Marcas D. Grego­ rio Dávila , 5. Carrera de Pitaco. Administrador de Ya,n!¡ D. Fernando Egoavil j 8. Id de T…</t>
  </si>
  <si>
    <t>Jaracho, Francisco</t>
  </si>
  <si>
    <t>Francisco Jaracho</t>
  </si>
  <si>
    <t>. Juan López. D. Estéban Rodríguez. Secretario D. Antonio Febrer. L. ' D. Simón Péricibho. D. Francisco Redondo. j Secretario BARRIO DE SANTA ISABEL. D. Francisco Jaracho. T ' Alcalde de barrio BARRIO DE CAPUCHINOS DE LA PACIENCIA. D. Dionisio Pérez Guerra. Diputado eclesiástico Alcalde de barrio D. J uan José: Moreno. D. Fra…</t>
  </si>
  <si>
    <t>Jasó</t>
  </si>
  <si>
    <t>centro, después de haber para­ do por el puerto de Guadarrama, y haber llegado su cabe* za á la venta de S. Rafael, volvió k Segovia, adonde llegó el rey Jasó él 27 de julio por la nocne. El objeto de este movimiento era claramente distraer á las tropas aliadas de la persecución del exército de Portugal, y proporcionar á este…</t>
  </si>
  <si>
    <t>Jáuregm, Gaspar</t>
  </si>
  <si>
    <t>Gaspar Jáuregm</t>
  </si>
  <si>
    <t>obre lo alto de un monte . asi inaccesible ? al que fué preciso atacar para abrir la coma* nic&amp;c’on ron !&amp;s guerrillas Día 19. Este día por la tarde, D. Gaspar Jáuregm, avisado oportanatéente, mvadió por tierra con su partida á la guarnición, obli­ gándola á ^noerrerse en el convente. Dia 20. Arrortrándo por tas grandes dific…</t>
  </si>
  <si>
    <t>Jáuregui, Damian</t>
  </si>
  <si>
    <t>Damian Jáuregui</t>
  </si>
  <si>
    <t>alcabalas, 20. Don José Salvador , comandante de la partida veterana, 10. D. Francisco Zúñiga, vecino de dicha villa, 10. D. José Manuel Herróse, 10. D. Damian Jáuregui, 10. D. Juan Bustamante , 10. D. Agustín Fernandez, 10. D. Francisco Ilervoso , 6. D. Simón Hurtado, 6. D. Narciso Aponte , 6. D. Juan José Herdoyza, 4. D. An…</t>
  </si>
  <si>
    <t>Jáuregui, Francisco</t>
  </si>
  <si>
    <t>Francisco Jáuregui</t>
  </si>
  <si>
    <t>congregación de seglares de nuestra Sra. de la O, 12000. Cuerpo de Morenos de esta capital. Piaña mayor. Ayu­ dante D. José Echeverría', 50. Capellán D. Francisco Jáuregui , 2. Garzón Domingo Caveto, 22. Id. Juan Manuel Oyararte , 21 y 2. Tropa. El capi­ tón de ia primera compañía José Palacios y sus individuos, 12 y S. El de…</t>
  </si>
  <si>
    <t>Jáuregui, Gaspar</t>
  </si>
  <si>
    <t>Gaspar Jáuregui</t>
  </si>
  <si>
    <t>has recibí los partes siguientes. — l.° Señor coro, nel: Serian las 3 de la madrugada cuando recibí su aviso para la marcha , que rompí acompañado de D. Gaspar Jáuregui , que me esperó en Legaspia según la orden de V. S. Supe que las guarniciones de Métrico y de Deva permanecían , y dispuse que Jáuregui marchase á atacar la ú…</t>
  </si>
  <si>
    <t>co Mugartegui.— Villano 15 de abril de 1812. —,, Ayer vinieron 900 infantes y 100 caballos enemigos á atacarnos en el punto de Orduüa, El batallón de D. Gaspar Jáuregui se hallaba en esta ciudad , y yo á media legua de ella al pie de la montaña llama­ da la Peñanueva. Previendo la retirada de Jáuregui, me retiré con parte del…</t>
  </si>
  <si>
    <t>barcó con todo su destacamento y todas las municioaes. El capitán Maleo!m se detuvo mas tiempo por un mensage que recibió de un ayudante de¡ campo de D. Gaspar Jáuregui, qae le suplicaba que se mantuviese en la batería porque el enemigo se batía en retirada; sin embargo, vien­ do que el enemigo avanzaba rápidamente, dio orden…</t>
  </si>
  <si>
    <t>Jáurigui, Victoria</t>
  </si>
  <si>
    <t>Victoria Jáurigui</t>
  </si>
  <si>
    <t>ariano Roxas, 4 rs. Gregorio Perez, 4 rs. Manuel Nufiez , 4 rs. D. Timoteo Aranda, 2. Rafael Preciado, 1. José Jáuregui , 3. Doña Gregoria Nuñez , 7. Doña Victoria Jáurigui , 2. Basilia Orduñez , 1. Juan Hel güera. , 4. Gregorio López , 4 rs, Carlos López , 4 rs. Manuela López , 4 rs. D. Rafael Fuentes , 4 rs, Faustino Becerr…</t>
  </si>
  <si>
    <t>Jay, Bartolomé</t>
  </si>
  <si>
    <t>Bartolomé Jay</t>
  </si>
  <si>
    <t>usa de ha­ llarse demente: la persona que sepa de su paradero dará razón en Cádiz en el tribunal del Consulado, y en Xerez en la calle Ancha, casa de D. Bartolomé Jay mes. CADIZ : EN LA IMPRENTA REAL.</t>
  </si>
  <si>
    <t>JBeaver</t>
  </si>
  <si>
    <t>e naval de Madagascar, y recuperación de nuestro establecimiento de Tamatave en la misma isla. Cartas del cayilan Schon.berg de la fragata Apirea, al capitán JBeaver, a-mandante de las fuerzas nazales en la isla de Francia — CÍA bordo de la-fragata de S. M. la A strea, en Madagascar, á 21 de mayo de 1811. — Tuve la honra de a…</t>
  </si>
  <si>
    <t>JBedraga</t>
  </si>
  <si>
    <t>1369</t>
  </si>
  <si>
    <t>e sin gran dificultad. Higa 20 de Octubre. Eí teniente general conde Wittgenstein en oficio de 14 de Oc­ tubre comunicó á S. M. I. lo siguiente: „ El teniente coronel JBedraga, del regimiento Isum de húsares, fué enviado con su regimiento al otro lado del Duna para proteger los movimientos del cuerpo que manda el teniente gen…</t>
  </si>
  <si>
    <t>JBer</t>
  </si>
  <si>
    <t>á huir. Sú gefe, herido, debió su sal - V. vación á.la ligereza de , so caballo; hemos hecho Piezas de hierro. . , dos prisioneros. ' ' ^ '• Él señor coronel JBer(tp/i, alaba mufbo. el zelo Cañones de í 16..............W................ 8 y vájentía.dp sus tropas,.y: con especialidad á los de á ....................... .......…</t>
  </si>
  <si>
    <t>JBimard</t>
  </si>
  <si>
    <t>la cabeza de la división con la mayor bizarría. ,,Pcr ausencia del mayor general Vandeleur, causada por su en­ fermedad , y del coronel Beckwith,, el teniente coronel JBimard man­ dó la división ligera en el asalto; y se distinguió no menos por lo acertado de sus disposiciones para esta operación, que por el valor personal qu…</t>
  </si>
  <si>
    <t>JBosc, Juan Alexandro</t>
  </si>
  <si>
    <t>Juan Alexandro JBosc</t>
  </si>
  <si>
    <t>necesario, yendo , va á empezarse la construcción de otros bien fuese por la parte del bosque , ó por la opues­ tres navios de línea. ta: entre tanto D. Juan Alexandro JBosc, coman­ dante del esquadron de caballería ligera de ia guar­ ESPAÑA. dia, que reunía baxo sus órdenes, ademas de su esquadron, los húsares de la misma gu…</t>
  </si>
  <si>
    <t>JBteeza, J-zó</t>
  </si>
  <si>
    <t>J-zó JBteeza</t>
  </si>
  <si>
    <t>607</t>
  </si>
  <si>
    <t>uan Manuel Macarenas , comisionado del coto de Gonduifts, en Galicia, y de la jarte super cr de Avi u. El 23, del intendente de la provincia de León, D. J-zó JBteeza. El 27, del inten­ dente de Aragón. El 3 de junio, de te audiencia de Aragón ; y de Ies esp^ .Xo’es re­ sidentes en Paterna©. Y finalmente el 6, del superior y c…</t>
  </si>
  <si>
    <t>JCleber</t>
  </si>
  <si>
    <t>romueva nuestra felicidad, y oponga un dique á los extravíos del Gobierno. (Se continuara,) Confesión de Bonaparte con el cardenal Mauri, dedicada al general JCleber por el general Sarrazin, gefe que fue del estado mayor del general Bernadotte en los exércitos de Alemania é Italia: un tomo en 4.0 Se hallará en la librería de …</t>
  </si>
  <si>
    <t>Je, Alonso</t>
  </si>
  <si>
    <t>Alonso Je</t>
  </si>
  <si>
    <t>................... .... 2200 gOVÍa................ ............................ ............ ...... 22CO D. Miguel . de la Maza, ¡d. de Hscobedo, ■‘ D. Alonso Je rge , id.,en Cobos.................... 2200 valle de Catnargq......................................... 2 2oq D. Tomas L bo, id. eo Gómez Sarracín.... 2200 D. Amonio…</t>
  </si>
  <si>
    <t>JéJY, JLamarí T</t>
  </si>
  <si>
    <t>JLamarí T JéJY</t>
  </si>
  <si>
    <t>de escolta quedan encarga­ dos, cada uno en la parte que les concierne, de la entera execucion del . . presente.— El general, gefe del estado mayor, barón JLamarí7T7JéJY'/&gt; g.°Valladolid 12 de febrero de 1812. — Exército de Portugal.—&gt; Orden del dia. — S.'E. el Rr. mariscal duque de Ragusa manifiesta su satisfacción al Sr. ay…</t>
  </si>
  <si>
    <t>Jepesnow</t>
  </si>
  <si>
    <t>1394</t>
  </si>
  <si>
    <t>de la ciudad de Polotsk, supo que se hallaba allí la infantería enemiga con dos cañones. Él coronel principe Kudaschew , habiendo recibido aviso del coronel Jepesnow, con quien estaba en comunicación , de que el enemigo ocupaba con fuerzas muy considerables los lugares de Jama y Nikomwa, se di­ rigió á Loprena ” En otro parte…</t>
  </si>
  <si>
    <t>JEsaobar, Jose</t>
  </si>
  <si>
    <t>Jose JEsaobar</t>
  </si>
  <si>
    <t>onio (jóme*.. .., I CABALr.. ?r(?T!A Alférez . .. D. Luis del pasíiilo, • « deMadT,i\oírof.... D. Juan S atroz... • .&gt; ‘r. 1 1 U(ñique.. Teniente . . D. Jose JEsaobar*....j. *. % 1 I Total |, . 6 | 12 | 7 | 2 Cual tí! gen: ral de lo» Birrios 16 dejunio de 181%. — francisco Ferrut. CADIZ : EN LA IMPRENTA REAL.</t>
  </si>
  <si>
    <t>Jfa</t>
  </si>
  <si>
    <t>1151</t>
  </si>
  <si>
    <t>donde parece se encaminan*tropas des­ de Valladolid. ...... ..... , , ; ■ t 3Ic^id 7 de Oct^re^ ^ ■ . ■ j: -Fi .: - -.=■ : ‘ = . La infanta de España Doña Jfa^ría Uarlpt^j.Jpfiquinn-de: Bórbon ,-ha- dirigido pna cartel, ÍVcha.-en. .Riq-Japeyro«dp-.. Marzo próji­ mo pasarlo, al valiente Mina, elogiando, sus servicLos , y ei. v…</t>
  </si>
  <si>
    <t>Jidad</t>
  </si>
  <si>
    <t>Gaceta de Madrid n.º 168</t>
  </si>
  <si>
    <t>68</t>
  </si>
  <si>
    <t>e aquel desgobierno et» interior. la repugnancia que mosrrs'on de ali tarse perso­ Parit n de mayo. nalmente en.los regimientos que levant.ba la feu— d Jidad para alimento del o&gt;gu lo y de la ambi­ Acaba de fallecer en París Mr. Sonnini de Ma­ ción propia. L &gt;s forasteros ocupan todas las plazas. non cour á la edad de 70 años…</t>
  </si>
  <si>
    <t>Jiu</t>
  </si>
  <si>
    <t>ara preca­ ver la sorpresa que les sucedió e! año pasado, mandaron salir del castillo todo paisano y español..— El comandante del segundo bata­ llen. D. Jiu n Fábrega me acaba en este instante de avilar que con el b tv!&lt;&gt;r; citado ha tenido otra gloriosa acción en las in media • cien- s de G roca, habiendo cocido y muerto ent…</t>
  </si>
  <si>
    <t>JJíake</t>
  </si>
  <si>
    <t>enda del servicio de su ramo respectivo. Valencia 9 de enero de 1812. — Firmado r el general de división. José de Zai/as, encargado por el Excmo. Sr. general JJíake.— Legeneral Chef, d’Etat major de Tamice imperiale d’Aragón , St C¿/rNugnes, chargé de pouvoirs par Mr. le-marocha! comí/ S'uehet 'Convengo-en la anterior capitul…</t>
  </si>
  <si>
    <t>JLrelt, C</t>
  </si>
  <si>
    <t>C JLrelt</t>
  </si>
  <si>
    <t>guido ventajas mas ó menos considerables sobre las guarniciones y destacamentos enemigos. Se había de haber sido derrotada la co­ lumna francesa del general C JLrelt hi ña Sos por la d!v¡síoa del general Esooz y Miaa. El espiran le resistencia á la opresión se va manifestando en el reyno de Vabacia, don le ha habí lo ya varia…</t>
  </si>
  <si>
    <t>Jo, Joaqoin</t>
  </si>
  <si>
    <t>Joaqoin Jo</t>
  </si>
  <si>
    <t>de tjuettro. rca 1 decreto de 9 de junio de Por ¿astos de la secretaría del^ninis t crio 1809.,'X" .....' ........... de la Guerra. Rí. Mrs. RS. Mrs. D. Joaqoin Jo*efd*í-M?aas, gat........ 5400 D. Ramón Ruiz, portero mayor de Doña María Angela Azpiroz................ 30600 ella, por........................................... …</t>
  </si>
  <si>
    <t>Jo, Podro</t>
  </si>
  <si>
    <t>Podro Jo</t>
  </si>
  <si>
    <t>Basilio López, D. Jacobo Garcés, D. R-amon Roa, D. Xavier Morios, D. Pedro Astarloa, D. Juan Esteban Cueto, Don Manuel Carrera, D. José María Medina, D. Podro Jo mi Alcina, D. Manuel U&amp;bina, D. José Díaz Ace vedo v D. J nan Cádos nez ; el mismo ele caballería, á D José M dalles, D. Podro Luís Icteupi, D. Miguel Primero, D. An…</t>
  </si>
  <si>
    <t>Joa</t>
  </si>
  <si>
    <t>do secretario. — José Antonio So?ribiela, diputado secretario. — Al Consejo de Regencia.” A consecuencia de este decreto, los cuatro señores regentes D. Joa­ quín Mosquera y Figueroa, D. Juan María Villaviccneio, D. Ig­ nacio Rodríguez de Rivas y el conde déla Bisbal se presentaron á las 10 de esta mañana en las sesiones de l…</t>
  </si>
  <si>
    <t>cia de Dios y del estado mayor; los brigadieres conde de Mon- por la constitución del estado, REI de las Espatijo y D. Juan Creagh, gefe de división; D. Joa­ ñas y de las Indias. quín Herrera , comandante de la artillería, y to­ Deseando contener la subida progresiva del dos mis edecanes. Lo mismo digo de los gefes de precio …</t>
  </si>
  <si>
    <t>tu servido primero D. Eustasio Samaniego á subteniente: en S. M. promover eo el regimiento de tiradores de el regimiento i.° de cazadores á caballo a D. Joa­ la guardia real á I&gt;. Francisco Xavier Chatre , te­ quín Pecino y D. Lorenzo Sagasta, subtenientes, niente ■ i capitán en la vacante de O. Petit; á Don i tenientes; y á …</t>
  </si>
  <si>
    <t>Joan</t>
  </si>
  <si>
    <t>vida del siglo de.mi padre que Servido promgver en el regimiento de tiradores de aunqne oiga decir que han muerto un ciento de, in­ la guardia real á D. Joan 11 e anco, teniente, á ca­ gleses, no he de rezar un padre nuestro por sus al­ pitán; Á D. Guillermo Donna, subteniente., á te­ mas. ¿ Para qué quieren ellos padres nues…</t>
  </si>
  <si>
    <t>Joaquín</t>
  </si>
  <si>
    <t>dar, cumplir y executar en todas sus par­ tes. Tendreislo entendido, y dispondréis lo necesario á su cumpli­ miento. — Pedro de A:xcir , presidente.— D. Joaquín fílake ausente con permho délas Cortes —Gabriel Ciscar. — En Cádiz á 11 de enero de 1812. — A D. Ignacio de la Pezuela. El capitán general D. Francisco Xavier Castaño…</t>
  </si>
  <si>
    <t>los fusiles, cía , en la misma provincia, Vacante por muerte tanto mas quanto ninguna otra madera se puede em­ de D. Josef de Lasalde , al ex-regular D. Joaquín plear en su lugar. Ademas, la escasez y carestía Mecoleta. de la caoba hacen mas apreciable el nogal. Y para el de la villa de Yécora, correspon­ La fruta del nogal e…</t>
  </si>
  <si>
    <t>udio), primer artillero de i caba- llería , y ayudante dé la plaza de Mad/id. , , llo de la guardia real. Lorésecha (D.Jpan), alcalde de corte.. Doz (D. Joaquín) , capitán del regimiento de Cas­ Lozano (p. Josef),: teniente del regimi^Uto 'dc tilla, I.° de infantería ligera. • Ganada, 5.0 de infantería. ...... . " Driget (D. …</t>
  </si>
  <si>
    <t>qoartel-maesmilicia cívica de Toledo. tre del regimiento de granaderos ue la guardia Pacón (D. Emmeri), tirador de la gaardia real. rea!. ': Palacio (D. Joaquín), consejero de ia prefectura Truxillo (D. Mánnel)., subteniente del regimien­ de Córdoba. to de Castilla, i.° de infantería ligera. Parejo (D. Alfonso), sargento de'h…</t>
  </si>
  <si>
    <t>Miranda, D. Josef Zay.is, D. Ruuon Pirez, . . . Ródez's'tf de manzo. L). Francisco M.rcó del Pont y D. Josef Lardizahal; y á los señores brig idieres D. Joaquín do La última coluna dé los conscriptos no ha es­ Zea, D. Venceslao Prieto, IX Antonio Burriely perado para, salir á que¡ llegue el dia señalado. D. Manuel Velasco; y …</t>
  </si>
  <si>
    <t>Lara ( D, J uan de ), sargento segundo de cazado­ ¿ qué viage es ese de que vmd. habla , y por que me res de montaña de Avila. pide un abrazo ? Mas (D. Joaquín), canónigo penitenciario de la D. B. Pues , eso es; hágase vmd. de nuevas. ciudad de Valencia,, y director del colegio de Pues hombre , como la cosa no es bien pública…</t>
  </si>
  <si>
    <t>Joaquín, Jo'ef</t>
  </si>
  <si>
    <t>Jo'ef Joaquín</t>
  </si>
  <si>
    <t>ará vuestra terrible inquial de Alquiza eu la provincia de Guipúzcoa, «dignación ? ¿quándo nos visitareis en el lleno de vacante por fallecimiento dé D. Jo'ef Joaquín de «vuestra bondad? ¡Glorioso Patriarca S. Josef! Echeverría, al presbítero D. Juan Bautista de Le- «¿no interpondréis ahora en el ciclo la grande augarra y Ltr…</t>
  </si>
  <si>
    <t>Joaquín-Antonio</t>
  </si>
  <si>
    <t>de Riquer y Gallegos , hi­ Mariano Josef Saenz. &gt; jo del marques de Bmavent, primer montero d« A D. Valeqtin delitCampo, presbítero,, ex­ S- JVf* &gt; á D. Joaquín-Antonio-de-Solis, hijo del franciscano, para ona capellanía de número del co­ consejero de Estado D. Joaquín Leandro de Solis; ro de la catedral de Falencia , vacante…</t>
  </si>
  <si>
    <t>Joaquina, Carlota</t>
  </si>
  <si>
    <t>Carlota Joaquina</t>
  </si>
  <si>
    <t>remi­ tió una nota del encargado de negocios de Portugal , con inclusión de una carta de la serenísima señora princesa del Brasil, infanta de España Doña Carlota Joaquina, la cual encargaba á la Regencia manifestasen las Cortes el júbilo y complacencia que había tenido S. A. al saber , .aunque no de oficio, que habían sancion…</t>
  </si>
  <si>
    <t>Jonrclan</t>
  </si>
  <si>
    <t>a de hoy se lee el siguiente ar ículo : ,,’S. M. salió ayer de esta capital p£ra¡, ponerle al frente del exér­ cito. Acompañan á S. M. el Exorno. Sr. mariscal Jonrclan , gefe del estado mayor, el Exorno. Sr. ministro de la guerra , el Excmo. Sr. ministro secretario de estado, y parte de su casa. La ausencia de S. M. será por …</t>
  </si>
  <si>
    <t>Jordán, Joaquín</t>
  </si>
  <si>
    <t>Joaquín Jordán</t>
  </si>
  <si>
    <t>o Menentlez Camina, 41. Provisional D. Gregorio Larrefitier, 25. Archivero D. Manuel López Solano, 66.—Tesorería. Oficial primero y tesorero interino D. Joaquín Jordán , 100. D. Juan de Irigoyen , segundo , 50. D. Roque Vaca, contador de moneda primero , 66. Id. segando D. Pedro Gil , 50. — Almacenes. Admi­ nistrador D. Maria…</t>
  </si>
  <si>
    <t>, 8. D. José Pasíjuel , 8. D. José María Torres, 8. D. Ignacio Icaza, 8. D. Manuel Icaza, 8. D. Carlos Icaza, 8. D. Manuel Solar, 8. D. Juan Garro, 8 D. Joaquín Jordán , 8. D. Cosme Martínez , 8. D. Manuel Muelle, 8. D. José María Murga , 8. D. Antonio Urrutia , 8. D. Manuel Rio, 8. D. Luis Gamio , 8, JD. Mariano Albiuri, 8. …</t>
  </si>
  <si>
    <t>Jordán, Juan Joaquín</t>
  </si>
  <si>
    <t>Juan Joaquín Jordán</t>
  </si>
  <si>
    <t>D. Benito Guillen y Cerdan, id................ 2aoo D. Marrin Palomares , id. en Jaén............ 2200 D. Manuel Ibañez, id. en Navalcarnero.... 2200 D. Juan Joaquín Jordán, id. en Arquiilos D. Carlos Valeriano Arraniz y Valdes, le­ de Sierra-Morena;.......... ........................... 2200</t>
  </si>
  <si>
    <t>Jorecibidos</t>
  </si>
  <si>
    <t>iber­ pri mera por muerte de D. Pedro Antonio de Oy líe­ tad de comercio en todos los puertos doode seamos lo, y las dos restantes por destitución de D. Jorecibidos, Esta Opinión es mui conforme con Ja sef F'ernandez Ubago y D. Martin de Yarguas. del poder executivo, y nos quita toda esperanza A D. Damaso Bernaldez Tobía , ex…</t>
  </si>
  <si>
    <t>Jorge</t>
  </si>
  <si>
    <t>el regimiento Real Ir­ Tramarría ( D. Manuel), subprefecto de Alcalá de landés. ; Henares. Olivary (D. Melchor), tirador de la guardia real. Traxler (D. Jorge), teniente del regimiento Snizo. Onde (D. Xavier), abanderado del regimiento Treilhard (D. Liberal), espitan del regimiento de Real Extrangero. tiradores de la guardia …</t>
  </si>
  <si>
    <t>siete y media de la no­ dictembfe del ano próximo pasado. che , se representará por la compañía española la co­ Al subteniente que fue de infantería D. Jorge media en dos actos titulada el Sordo en la posada, f Rerthoid subteniente del regimiento Real Extran- la opereta el Relox de madera. Actores en la come­ g«ro. dia. Señor…</t>
  </si>
  <si>
    <t>aduana sobre el Saave.” GRAN BRETAÑA. Londres i.° de setiembre. Mr. Kanzow, ministro de Suecia en los Estados-Unidos, estaba á bordo del paquebot el Rey Jorge, que ha llegado el sábado último de Gottemburgo á Harwich. El mismo día ha entrado también en este puerto un pa­ quebot de Heligoland; pero las noticias que trae de los…</t>
  </si>
  <si>
    <t>Jornet, Ignacio</t>
  </si>
  <si>
    <t>Ignacio Jornet</t>
  </si>
  <si>
    <t>los inválidos y cuerpos forzosos de guardia. El copHan D. Ignacio Jornet, comandante del destacamento qce hubla quedado rodo á la otra paite del Ebro, con fecha de ayer me fea dado roí oía del modo resuelto y acertado con que cor siguió, repica? c) Eb&gt;.o . prte</t>
  </si>
  <si>
    <t>Jos</t>
  </si>
  <si>
    <t>ad de melote que contiene; capitán agregado al regimiento de Granada , 4.0 de pero se sacarían 20 millones de buen melote , que ¡ofantetía de línea , D. Jos-.-l C.b'era capitán del para muchas cosas setviria lo mismo que eí azúcar, regimiento de Sevilla, 3.“ de la misma arma; al y se podría vender siempre á lo menos á 10 suel…</t>
  </si>
  <si>
    <t>........................ 18370 28 resa Losada........................ 11061 27 Lo* herederos de D. Josef Maído- D. Antonio Gil, actual conde de nado, D. Jos.;fy D. Francisco sos Berberana......................................... 65386 24 hijos............... ................... .......... . 3479 7 El convento de Santa Clara d…</t>
  </si>
  <si>
    <t>su ta razón le acomodaba mas el partido que Gala le hijo D, Juan............................. 377 39 proponía. Mire vmd. señora Justa, la decia esta, D. Jos.f María Calonge, por me­ yo no quiero el espejo, guárdelo vmd., y buen dio de su hermano D. Antonio provecho Je haga; pero no se lo ha de Tender á María.............. ...…</t>
  </si>
  <si>
    <t>.......................... 2200 D. Miguel Carmena, id................................... 22co D. Juan Fernandez Delgado, id.................... 2 200 D. Jos, f de ía Cruz, id en Mantilla............ 2200 D. Luis Calvo, id.......................... ...................... 2 200 D. Francisco Morente , id. en Agilitar....... 22co…</t>
  </si>
  <si>
    <t>Joscl</t>
  </si>
  <si>
    <t>da'últímaménté. Estrada (D. Esteban), capitán .del nútn. 3.0 dejjiifntr. de Ganada , 4.0 de in'f’/ir: ’f; ■ hutía. “'ííázadbres á.'cabijló. .. B^mn ( D. Joscl'), hú¿i( de u euartf iViea!.'1 ; Ezpélera ("D. Jacinto) , capitán de fusileros dé-’U *►Beche (D. Francisco), tsa-gít.t.v segur.,in de gra-, guardi* ., naderes dtl rtqím…</t>
  </si>
  <si>
    <t>José</t>
  </si>
  <si>
    <t>Rey lia , capellán del monasterio de Trinitarias ,8 y 4. D. Antonio de Almoguera , capellán del monasterio de Descalzas , 4. Di Nar­ ciso Cosío , 1. D. José [pinza, 2. D. Miguel de Oyague , 1. D. Mariano de León , G. D. Cayetano 'Forres , capellán del monasterio de Sta. Catalina , G. D. J uíian Valdivia , 3. D. Tomas Palacios…</t>
  </si>
  <si>
    <t>Ámezaga, 95 y 4. D. Francisco Montoya, 79 y 5. D. Dionisio Parían,, 71 y 5. D. Manuel Vera, 63 y 7. D. José Ureta, 55 y 5. D. José Castillo , 47 y 6. D. José. Cicilia, 47 y 6. D. Pedro Robles , 41 y 5. D. Manuel Solano, 41 y 5. D. José Carrillo, 63 y 6. El Excmo. cabildo de esta ciudad á cuenta de 100.000 ps. que ha ofrecido,…</t>
  </si>
  <si>
    <t>riel Lesenne; del de cazadores de Cataluña á 0. José Manso ; del de voluntarios de Cardona á D. Miguel de Córiiobii; y del de tiradores de Cataluña á D. José ríe Casas. Sargen­ tías mayores \ del batallón de tiradores de Buza á D. Francisco RiaachetU, del de voluntarios de Cardona á D. Lucas Gil de Linares; y de! de tiradores…</t>
  </si>
  <si>
    <t>Pcrez , 10. I). Julián de Herrera, 100. D. Juan Calderón , 50. D. Domingo Miranda,’ 25. D. Francisco Antonio de Taegui , 50. D. Ramón Caballero , 25. D. José do ílercsa , 50. D. Silvestre Pon ce de León , 25. D. Francisco González, 50. D. Simón Muñoz, 25. D. Manuel Miranda, 12. D. José María Viso, 25. D. Francisco de Otero , …</t>
  </si>
  <si>
    <t>Cal?o, D. Alexandro de ios Reyes , D José Viangui, D. Ambrosio Agustín, D. José de los Ríos y D. Manuel Aivarez de Navia; subtenencia de granaderos á D. José: González; de fusileros á D. José Ramón Moreno, D. José Benito Mendez, D. José García Cárdenas, D. Antonio Quintana, D. Anto­ nio Villegas, D. Pedro Perez Uriondov D. Jo…</t>
  </si>
  <si>
    <t>16. D. Antonio Lardo, 16. D. Ramón Ribero, 10. D. José Juan de Echevarría , 25. D. Juan Midan, 100. D. Bernardino Salado . 12. D Ignacio Aviles, 100. D. José de.Silva , 6. D. Juan Ferrusola, 50. D. Atanasio l.arios , 10. D José Ponce , 2. D Jcsé de la Vera , 4. D. Pedro Gaiecio , 2. D. Pedro Gamez , 3. D. Gregorio Astyte , 4-…</t>
  </si>
  <si>
    <t>acían para atacar el convento, y luego que no se presentó ya soldado al­ guno al embarcadero, mandé inutilizar los barcos. La columba, di­ rigida por D. José dei Pozo * se embarcó en García, donde la aguar­ daban harems para ello, y el enemigo después de seguirla algún tan­ to, se retiró á Mora. Nuestra pérdida, que pudo ser …</t>
  </si>
  <si>
    <t>ición relevantes pruebas de fvalor y disciplina: pero debo elogiar señaladamente á ios capitanes D. Mariano Marques y D. Angel Perez, á los tenientes D. José La­ tas», D. Lorenzo Alonso, D. Gregorio Bea y D. Pedro Ferraz, al subteniente D. Francisco Navarro, y el celo y puntualidad del pa­ dre capellán D.-José M.cr&amp;ta.”— .Lis…</t>
  </si>
  <si>
    <t>974</t>
  </si>
  <si>
    <t>ad de y t ?s fueron elegidos para ios momios de primera clase D Francisco Martínez dele. Es­ calera y D. JÍ aymundo Mario ; para los de segunda clase D. José Le z , D.'Domingo del Valta y O. Jocó Fernandez de los Muros; m¡r&gt;i r* ira los de tercera clase D, José Ortega, D. Gerónimo Riera y</t>
  </si>
  <si>
    <t>exército acaudillado por Montevaíde constaba, de 5000 infantas y 1200 caballos, todos en buea eitido, sin contar otros 1000 hombres capitaneados por D. José de las La­ mosas, que vinieron á reunirse con el exército principal en las inme­ diaciones de Caracas, después de haber derrotado 300 hombres que de la Gaayra salieron á …</t>
  </si>
  <si>
    <t>ir muestras operaciones. Dicen que extiende su izquierda hasta Jóogroño. ,,Mis últimas noticias de la frontera de Valencia son del 25, Di­ cen que el rey José estaba en Almansa con 15000 hombres para unirse con el mariscal Soult, que marchaba por las montañas de Murcia. ,, La última carta que lie recibido del general Maitland…</t>
  </si>
  <si>
    <t>José, D</t>
  </si>
  <si>
    <t>D José</t>
  </si>
  <si>
    <t>valer ccn que se arrojaba sobre los enemigos para batirios, se hace acreedor á la mas encarecida recomendación. 5.° Extracto de otro oficio del mismo coronel D José de. Chastre.— Guayana 2ü de abril de i812. — „Míentras disponía mi salida ccn tolas las prevenciones propias del caso á las torta ezas de la Antigua Guayana á tra…</t>
  </si>
  <si>
    <t>José, Lucas</t>
  </si>
  <si>
    <t>Lucas José</t>
  </si>
  <si>
    <t>rante ia guerra, 18. El fiscal de la real ha­ cienda D Santiago de Torres por uno, 9. El teniente coronel D. Lucas AIvarez por sí y su hijo el cadete D. Lucas José , por uno , 9. El comisario ordenador D. Francisco de Isla por uno , 9. Doña María Dolores Orue por uno , 9. D. Ignacio González Cadrana por uno , 9, Doña Blanca R…</t>
  </si>
  <si>
    <t>Josef</t>
  </si>
  <si>
    <t>alleros de la que los registrasen, y todo lo que se les encontró Orden Real de España á , lo dexamos en ei extremo de la iianura , y espero Ahumada. (D. Josef } , sargento de fusileros de la que lo recobrarán sus legítimos dueños. Ibamos á guardia real. ■ v ahorcar á uno de estos viles quicio supimos que Aldíguien (D. Alexaad…</t>
  </si>
  <si>
    <t>gít.t.v segur.,in de gra-, guardi* ., naderes dtl rtqímienfo Real í xíi .ií¿cVó.:;:' 1 1 Ezsérri'p.» ( D. Nicolás Vicente de), limosnero de Belefia ( D. Josef) , reiiiente y habí iRavvrH4 regí * S. M., y canciller de ia insigne órJen del Toimienta nóm. i.° de cazadores á cabafló.- J • ■ • ’íón cíe Oro’. * • ‘ Bitheron (D. Joa…</t>
  </si>
  <si>
    <t>s de lidad de Madrid , y director de la real academia la cdmpaníi de Gnadalaxara. de las Artes. Xareño ( D. Pedro Vicente ), visitador general Penin (D. Josef), zapador del regimiento de gra­ de rentas, y director de los resgaardos marítimos naderos de la guardia real. y terrestres de las provincias de Murcia, Car­ Pessino ( …</t>
  </si>
  <si>
    <t>acante por fa­ llecimiento de D. Miguel de Aguayo, y por re­ zaro Couturier; D. Esteban Forestier , subtenien­ nuncia que hizo de él el ex-agonizante D. Josef te , á teniente cu reemplazo de D. Luis Molí; Don Pando y Bracha. 1 Renato Meiito, subteniente agregado, subtenien­ Y D. Tadeo López, presbítero, ex-mítiimo, | te en re…</t>
  </si>
  <si>
    <t>encuentran , Y para,otro de la parroquia de S. Adrián de la enrre el rio Boccadi y Mesa, á la izquierda del ca­ misfha ciudad&gt; vacante por muerte de D. Josef mino i donde pasarán las aguas por debaxp de un Serrano, á D. Josef de Avila, ex-agustino. gran puente de piedra. Ademas de estas obras » em­ prendidas con el objeto de …</t>
  </si>
  <si>
    <t>1) Jo‘vf Díaz, que lo era del recimiento de Mad.id, erárnidar el estado de nuestro comercio y los efec­ 1 ó' Je infantería de línea; para tetiientes D. Josef tos de Us órdenes del consejo. (The Star.) lXetrich, que lo fue en el regimiento Real Extiangvro, y D. Josef S. Martin, que lo era del de IMPERIO FRANCES. C .Milla, i.° …</t>
  </si>
  <si>
    <t>regímiénto' de la ciudad de gra de haber topado con un hombre como yo. Málaga. , Th ......... , ’ ’ Pues , señor mió, há de saber vmd. que yo Sof ¡_, D. Josef deja Cueva, conde de Guadiana, co­ médico, esto es, no* sol 'médico , ni ’te'ti&amp;b borla ¿ ni mandante ,de batallón, á coronel, en, la .vacante de paeza de burra; pero s…</t>
  </si>
  <si>
    <t>.ctura de Santander de la ahertura de las sesiones. á D. Joaquín Veiez de vos , á D. Remigio MiART. vil. Si no llegase el número competente zorra J a D. Josef de la.Pedrueza. de dipútalos para la ceTebrácion de la junta gene­ ral &lt; a, el tiempo qae el presidente, e¡ prrf.jto y Extracto de las minutas de la secretaría de éot.s…</t>
  </si>
  <si>
    <t>teniente de tiradores del volvió á derrotarla quedando dueño de sm última mismo regimiento. posición , y libre el camino qnc va á Masegoso, La mas ( D. Josef), comisario de guerra. por donde se retiró aquella noche y en todo el dia Muntaner (D. Juan), teniente de tiradores del siguiente á Brihut ga sin la menor oposición de l…</t>
  </si>
  <si>
    <t>ierra deJ juramento. En se­ gazapiilos. guida citó S. A. R. el exemplo de María Tere­ Este páxaro seria una excelente cabalgadura sa y de su hijo el Emperador Josef, los qaaies para ios viageros, si pudieran encontrarle y aman­ confiados en la lealtad de sus súbditos protestantes sarle, sobre todo en los paises eu que están e…</t>
  </si>
  <si>
    <t>patria, nuel Perez Camino, ñscal de las mismas, jaeces no sufran sus habitantes los que se les originan de de las juntas de negocios contenciosos; á D. Josef la privación de noticias de sus asuntos domésticos Ruíz de Celada, oidor decano de la audiencia de y particulares. Quiera Dios, que convencidos de Aragón , regente del m…</t>
  </si>
  <si>
    <t>demas personas que puedan tener derecho á los bie­ cias la nata correspondiente de haber hecho asi Ja no­ nes que hayan quedado por Fallecimiento de D. Josef tificación, Arroyo García , natural que fue de la villa da la Na20. Si las partes no apelasen en el término prescri­ villa de Sotoval, en Castilla la vieja, vecino que t…</t>
  </si>
  <si>
    <t>- audiencia de Valencia. U idos j el puerto de F.rnandina estará abierto- D. Manuel Chiva, idem. , para los buques y mercancías Inglesas, y será con­ D. Josef.Ingles , hacendado. siderado como puerto libre hasta i.° de mayo de D. Mariano Tamarit, comerciante. 1813. ,,A la pregunta hecha por el congreso sobre si El presidente …</t>
  </si>
  <si>
    <t>...... ...................................... . 22CO D. JoscfLopcz de los Reyes, id....... ...... 2200 D. Juau Hidalgo, lego-, id. en Córdoba..., neo D. Josef cíe G. ivez, id.............................. 22ÓÓ D. D ego Montosa y Navas, id................ *200 Ex-dominico!. Dj Francisco Castillejo y Catnacho (id..... 2200 D. M…</t>
  </si>
  <si>
    <t>io) , caballero maestrante de la Schabrak, que cubra la silla del caballo , de ciudad de Valencia. pellejo de carnero guarnecidodeatnaiillo. Vergada (D. Josef), caballero maestrante de la art. ti. Nuestros ministros .de Hacienda y de misma. Guerra quedan encargados.de la execucion del pre­ art. 11. Nuestros gran canciller y g…</t>
  </si>
  <si>
    <t>ha remiti­ teniente que fue de caballería , á subteniente de la do para su exámen y aprobación al general de ia compañía de húsares de GuadaUx.tra; á D. Josef órden de los ¡escitas. Varner, sargento primero del regimiento de tira­ Acaba de publicarse en Leipsick nna obra bas­ dores de la guardia real, á subteniente del regi­ …</t>
  </si>
  <si>
    <t>ama del Sr. T). Miguel de Alava , Mariscal de campo de los reales exércitos , dirigida á Tos soldados españoles que están en las banderas dei intruso Rey Josef, „Las Cortes generales y extraordinarias de la nación, queriendo celebrar la publicación de la constitución política de la monarquía, han decretado un indulto general …</t>
  </si>
  <si>
    <t>Josef, Diego</t>
  </si>
  <si>
    <t>Diego Josef</t>
  </si>
  <si>
    <t>Torre. D. Joaquín Doto'González. BARRIO DB LA CRUZ. BARRIO DE SAN CAYETANO, • . : - 'Alcalde de barrio Alcalde de barrio ’! E&gt;. Joan Josef ©janguren. D. Diego Josef de,-Villa. . Diputado eclesiástico Diputado eclesiástico D. Ramón Romero. D. Juan Romnaldo'de Rozas. Diputados seculares Diputados seculares D. Manuel Moreda. D. …</t>
  </si>
  <si>
    <t>Josef, Francisco</t>
  </si>
  <si>
    <t>Francisco Josef</t>
  </si>
  <si>
    <t>56 II En logar de la cámara de educación, qne hace Dc ñi Muía Agueda F toa...... ............ 25600 algunos años que se había establecido aquí, se ha D. Francisco Josef d ■ Viana.............. 70200 nombrado una nueva dirección , encargada de to­ D. Pedro de Mora y Lomas....... ........ qcoco do lo perteneciente á instrucción…</t>
  </si>
  <si>
    <t>Josef, Gonzalo</t>
  </si>
  <si>
    <t>Gonzalo Josef</t>
  </si>
  <si>
    <t>............................... 2 200 D. Josef Julián Requena , id.................. ...... 2200 D. Gaspar de Leiva, id. en Aguilar............. 2200 D. Gonzalo Josef del Real , id...................... 2200 D. Josef de Luna, id. en Cabra................... 2200 D. Bartolomé de Luque Cardador, id....... 2200 D. Pedro Ponce To…</t>
  </si>
  <si>
    <t>Josef, Joan</t>
  </si>
  <si>
    <t>Joan Josef</t>
  </si>
  <si>
    <t>ca de V. M. , bien los caballeros gefede trozo D. Francisco Mar­ á fin de qoe presentemos á sus reales pies e! hotínez; seminaristas D. Luis Colina , D. Joan Josef menage de sumisión y respeto que deben á V. M. Cámara, D. Mariano Tejada, D. Nicanor Esterri- todos los pueblos de su vasta monarquía. pa, D. Carlos Sicilia y D. M…</t>
  </si>
  <si>
    <t>Josef, Juan</t>
  </si>
  <si>
    <t>Juan Josef</t>
  </si>
  <si>
    <t>ronel, oficialésdy^trópi^ Ayer entrp en este puerto el corsario de Mar­ del valiente regimiento 22.0 de dragones , acan­ sella ia Habíale , mando del capitán Juan Josef tonado en esta villa i el qual no solamente fu ce­ Roox , cou un brick ingles que había apresado. dido voluntariamente una parte de sus raciones en , Este bri…</t>
  </si>
  <si>
    <t>Josef, Pedro</t>
  </si>
  <si>
    <t>Pedro Josef</t>
  </si>
  <si>
    <t>ro), sargento d« caballos ligero) líos ligeros de. la gaardia real. de la guardia real. : Letbufñéur (D. Luis), capitán de tiradores de la Daubenton (D. Pedro Josef) , teniente de grana­ guardia real. . . . deros de i» gaardia real. López Montero. (D. Ventora), ¿apitan de caba­ Doucet (D. Claudio), primer artillero de i caba-…</t>
  </si>
  <si>
    <t>Josef-Rodríguez</t>
  </si>
  <si>
    <t>era, id. en Montilla.......... 2200 D. Ja *r» Bernia , residente en Córdoba...... 210 D. Juan Ruiz de Tejada, id.......................... 2200 2 20° D. Josef-Rodríguez, diácono, id.................. Ex-capuchinos. 2 20° D. Nicolás Roxo , id........................ ................. D. Vicente Roxo , id.......................…</t>
  </si>
  <si>
    <t>JosefC</t>
  </si>
  <si>
    <t>el minis­ D. Estéban Manuel Galdames.... 1420 26 tro secretario de Estado =3 Firmado = Mariano D- Mateo de Ozcariz......... 1565 12 Luis de Utquijo." D. JosefC añedo........................... 1065 19 D. Salvador Fonr.......................... 1087 26 Doña María Petra de Lanz , hija heredera de D. Vicente de EL ESPEJO DE LA T…</t>
  </si>
  <si>
    <t>JosefTellería</t>
  </si>
  <si>
    <t>o al REI nuestro Señor; ye! corregidor, que venia D. Pedro Teliería, D. Pablo López de la Huerta á su frente, ha pronunciado el discurso siguiente: y D. JosefTellería: seminaristas D. Tomas Hea- Señor: riquez, D. Juan Manuel Errazqoin, D. Juan Bau­ tista Montes, D. Domingo Urdagarin, D. Juan ,,Vuestra villa de Requena, compre…</t>
  </si>
  <si>
    <t>JosefVazquez, Gabriel</t>
  </si>
  <si>
    <t>Gabriel JosefVazquez</t>
  </si>
  <si>
    <t>das por un viento fuerte y repen­ D. Josef G -.lindo, abanderado, á teniente. tino, y vagando por los aires durante algunos dias, Y para subtenientes D. Gabriel JosefVazquez, perecieron al fia ahogadas ea el mar; peto arro­</t>
  </si>
  <si>
    <t>Jourdan</t>
  </si>
  <si>
    <t>sovia, para donde dicen que han salido va varios trenes y tro­ pas ; y que está ya decretada en Francia una nueva conscripción de 140000 hombres.— El mariscal Jourdan ha pasado revista a los re­ gina e utos de juramentados para destinarlos , a tiuque están incomp'etos , al punto que tenga por convenn nte. La deserción que ha …</t>
  </si>
  <si>
    <t>L-s últimas cartas de Egipto .'/afirman la no­ frente del exército. Acompañan á S. M. el Excmo. ticia de que el gobernador de . quella provincia Sr. mariscal Jourdan , gcte del estado mayor, el está haciendo mayores prepararv-v qne nunca pa­ Excmo. Sr. ministro de la Guerra, el Excmo. Sr. ra reforzar el exército de su Ir ¡o J…</t>
  </si>
  <si>
    <t>Jover, Angel</t>
  </si>
  <si>
    <t>Angel Jover</t>
  </si>
  <si>
    <t>oda la vida en mil lances arriesgados con sus con­ ciudadanos. Mandando en Cataluña D. Henrique O-Donell, le dixo el gefe de un ba­ tallón de marina, D. Angel Jover, que su tropa era nueva, y entendía po­ co de evoluciones i que si le permitía usar el arma blanca, confiaba en su oficialidad veterana que no se desgraciarían po…</t>
  </si>
  <si>
    <t>Joyce</t>
  </si>
  <si>
    <t>l, don­ de se mantuvo dos dias antes de irse á pique. Los pescadores ho­ landeses consiguieron librar á 180 hombres de la tripulación, entre ellos al capitán Joyce. Ha arribado á Portsmouth el transporte, Condesa de Harcourt9 procedente de Batavia, de donde salió el 28 de octubre : ha traido á su bordo al general Jansens, com…</t>
  </si>
  <si>
    <t>Joyer</t>
  </si>
  <si>
    <t>el ministro de l.i Marina y de las n Este buque es la fragata Manila, que mon­ colonias. ta 42 cañones, con 250 hombres de tripulación, al mando del capitán Joyer. A las siete de la no­ En la rada del Tcxel á 30 de enero de 1812. che del 28 de enero tocó en el Haaks, y el capi­ ,,Excmo. Señor: tengo el honor de comunicar tán …</t>
  </si>
  <si>
    <t>JSlendiuibtii</t>
  </si>
  <si>
    <t>l portes — brigadier Espoz yy Mina, ha motivado la in. —...^lf&lt;,. versión del orden en que se han publicado (os 10 que remitió hasta 23 de octubre ai general JSlendiuibtii. l^os 4 primeros se inseriaron en la gaceta de 14 de ¿iiciemb: e úe í S11 ; el 9/ y 10.° c'i la del 5 del mismo mes; y ios restantes son ¿os de este número•</t>
  </si>
  <si>
    <t>Jto, T</t>
  </si>
  <si>
    <t>T Jto</t>
  </si>
  <si>
    <t>ués de dar un distinguido exemplo á sus soldados. (Recomienda en seguida el general Hill a1 teniente coronel Reocke, al teniente coronel Olllney , al capitán T Jto; n , ai mayer Hill, y á su estado mayor.) ,,Ei marques de Alameda , vocal de la juñta de Extremadura me hace el honor de acompañarme desde que estoy e¡± esta provi…</t>
  </si>
  <si>
    <t>Jtovira</t>
  </si>
  <si>
    <t>4 y 5 pasaron muchos franceses heridos para Tortosa. JSerga 15 de diciembre. Extracto de algunos partes remitidos por dfurentes gffes m Vitares. Del brigadier Jtovira al general en gefe.— Diez de noviembre.— El teniente coronel D. Juan Fábrega, comandante de Bañólas, avi­ sado de que le iban á acometer la mañana del 4 de este…</t>
  </si>
  <si>
    <t>Juaa, Mariano de San</t>
  </si>
  <si>
    <t>Mariano de San Juaa</t>
  </si>
  <si>
    <t>ef de Manzanilla. El Sr. D. Francisco Gutiérrez Sossl El Sr. D. Agustín de Goicoechea. El Sr. D. Pedro Uñarte. El Sr. D. Francisco Marchámalo. El Sr. D. Mariano de San Juaa. El Sr. D. Josef de Arratia. El Sr. D. Domingo DutarL El Sr. D. Lúeas de Carranza. El Sr. D. Saturio Cantabrana. El Sr. D. Mariano de Villodas. El Sr. D. …</t>
  </si>
  <si>
    <t>Juan</t>
  </si>
  <si>
    <t>proebas de sos vas­ Por decreto dil mismo dia S. M. ha nombrado tos conocimientos, y de su amor al orden y á la en la real academia de ?&gt;• Fernando á D. Juan buena administración. Ultimamente, dos dias an­ Adan para -la plaza de director de escultura; i tes de su muerte recibió una nueva prueba de la D. Pedro Hermoso para la …</t>
  </si>
  <si>
    <t>iga, situada enTiquina, acabo de recibir parte de que se ha fugado toda ayer á las 5 de la tarde. — Despacho con esta plau­ sible noticia á mi edecán D. Juan de íinaz, para que como testigo ocular de la acción informe á Y E , y lleva encargo de presentar e ¡ mi rcimbre al pueblo do Lima, representado en su cabildo, una de 1 s…</t>
  </si>
  <si>
    <t>orgreso. capitán D. Francisco Basave , de O. Román de la Este tiene un sumo ínteres en no pasar por débil ó Luz y otras personas de la Ilavana: la de D. Juan indiferente en un negocio de tanta importancia; López Cancelada, vecino y redactor de la gazeta porque no es precisamente la cansa de Lardizabai, de Mcyico, preso por es…</t>
  </si>
  <si>
    <t>los tor­ parroquial de Ja villa de Azpeitia , en la provincia neros, los carpinteros, los maestros de coches, y de Guipúzcoa , vaqantc por muerte de D. Juan es indispensable á los arcabuceros. La sociedad de­ Bautista de Emparan, al presbítero D. M .uuet de be fomentar el plantío de este árbol, sobre, todo Ibero. para las fáb…</t>
  </si>
  <si>
    <t>.xcmplos mui útiles, y la socie­ co; y al presbítero ex-regular dei orden de agus­ dad mira cuino un deber suyo el rebordar á ¡os la­ tinos descalzos D. Juan ce Arenas capellán del re­ bradores e; modo con que el cáñamo hi desterrado gimiento de Murcia, 2.a de infantería ligera. de la' cercanías de Meaux y Grtn. ble los barbe…</t>
  </si>
  <si>
    <t>. Real Convictorio Carolina, Rector D. Toribio Rodriguez de Mendoza ofrece 100 pesos en cada -tir: año de ios que dure la guerra, y ha entregado 200. D. Juan de Dios Ola■ciiea , vice-rector , 25. D. Leocadio Santallana , id., 25. D. José Freyre , id. 0 -25. D. José Ostolaza, regente y vice-rector honorario , 25. D. Francisco …</t>
  </si>
  <si>
    <t>icente Navarro........ ............... 50 Sr. D. Manuel Rivera.........1.................... \ 30 I.a comisión de socorros públicos ha repartido Sr.. D. Juan. Paez................. .....i.........., % 7^ 3* en la qturta semana de sns distribuciones de so­ Un desconocido por los meses de febre­ corros 15592 raciones en favor d…</t>
  </si>
  <si>
    <t>desfi­ expedicionario; D. Francisco Arce, comandante laderos , y de los sitios mas fuertes del pais, y lo general de la artillería del 2.0 exército ; D. Juan que importa mas que todo, de las minas de oro Zapatero, comandante general de ingenieros. y plata de México. Estas guerrillas se apoderan de todos los convoyes que salen…</t>
  </si>
  <si>
    <t>Gaceta de Madrid n.º 62</t>
  </si>
  <si>
    <t>,t% Bautista Guitart , del consejo de S. M. , juez de pri­ También se han presentado al comandante .^4 mera1 instancia , y escribanía de provincia de D. Juan las tropas en Moguer otros tres desertores del re­ Garrido, que se admitirán las posturas que se hicieren, gimiento de Valencia procedenres de Ayarnonte. siendo arreglad…</t>
  </si>
  <si>
    <t>256</t>
  </si>
  <si>
    <t>mo cuerpo : al de tunead'* c «roñe! al corone! Don J uan M nítida , ce pitan del m*s uo; y al d° c p-’f-m al ay admite ma­ yar, graduado de capitán , D. Juan La pez PiiiL&gt;. CADIZ ; EN LA IMPRENTA REAL.</t>
  </si>
  <si>
    <t>Gaceta de Madrid n.º 71</t>
  </si>
  <si>
    <t>? Las certificaciones de corporaciones civiles formado en Graetz, capital de la Stiria, el archi­ y eclesiásticas deben eoraprehender á lo* transeún­ duque Juan, hermano del Emperador. Es una co­ tes de las mismas clases domiciliados en otros pue­ lección rica y mui selecta, que S. A. ha regalado blos, si lo solicitan; y lo m…</t>
  </si>
  <si>
    <t>o siguiente: y D. JosefTellería: seminaristas D. Tomas Hea- Señor: riquez, D. Juan Manuel Errazqoin, D. Juan Bau­ tista Montes, D. Domingo Urdagarin, D. Juan ,,Vuestra villa de Requena, comprehendida Antonio Ozamiz, D. Juan Achucarro, D, Josef en la prefectura de Valencia, no ha esperado ni Colmenares , D. Josef Mendía , D. P…</t>
  </si>
  <si>
    <t>a Robert Estanislao}, capitán „N, B. Los hombres que habían robado estos del mismo cuerpo. efectos ignoraban enteramente mis órdenes, que á Alvarez ( D. Juan), tirador del .regimiento de Ma­ haberlas sabido, no hubieran tocado á cosa ningu­ drid, i.° de infantería de línea.' na; pero lian sido castigados por esta villanía, Ar…</t>
  </si>
  <si>
    <t>(D. Jü*n), sargento de granaderos, del re-» G3miz'( D. Géh^ro María ), contador de la ptoginner.ro Real 'Irlandei. . , , vincia de Apira'.' , Broux (D. Juan), zapador de tiradores dé la guar-» Gafcía! { D. Lóíiír.zó) , sargento segando de la día real. compañía franca de Cuenca, Brnnet (D, Luis) , gendarme,de la gaardia Teal. …</t>
  </si>
  <si>
    <t>ntonio Vicente), corregidor de la ta de caballas ligeros de la guardia real. _ villa, de Priego. Náchon ( D. Nicolás), ayudante mayor de gra­ Torres (D. Juan), cabo del regimiento 4.0 de ca* naderos de la guardia real. zadores á caballo. Oels (D. Juan ), soldado del regimiento Real Ir­ Tramarría ( D. Manuel), subprefecto de A…</t>
  </si>
  <si>
    <t>n el día en Inglaterra tres partidos, cada cihería de Granada , juez de la junta criminal de uno de opinión diferente sobre la constitución. A Mdag : D. Juan de Dios Peche, ju&gt; z de ia exlos l'orys, ó partido ministerial, todo ¡es p rece jíüv-ada junta criminal, alcaide del crimen déla admirable en el sistema actual de cosas …</t>
  </si>
  <si>
    <t>los débiles Sja. María Magdalena de la misma ciudad, vacan­ descargos qüe pudo; presentar de ¡un 'hecho seme­ te. por muerte do O. .Fernando Perez» á D. Juan jante » le declaró eothprebandidoven el arr. 3.0 del Velilla , ex-carmeliu descalzo. , . ,*,u &gt;y real decreto de iq dtsíabril de 1810, y por sut resultasiha sufrido boi …</t>
  </si>
  <si>
    <t>o deben la primera compañía del primer batallón, en la va­ perJerse de vista los beneficios que resultarían de cante por ascenso de D. Fé.ix Pavía} á D. Juan que fuesen allanados los obstáculos que impiden Atcazar, subteniente, á teniente de la expresad» tina reconciliación, y las calamidades que son con­ compañía, en reempla…</t>
  </si>
  <si>
    <t>....■ } Diputados seculares Diputado eclesiástico D Andrés Grande. D. Rafael G - reía. ..... ::;v:Vi¡ í Xi D Agustín Michel. Diputados seculares j .q D. Juan. Antonio de Sujse. D. Luis Gi¡ N,r.apjo.. Secretario interino D. Pedro Acevedo»; ,■=&gt; , '■■malí .&lt;£ D. Juan Manuel Ains. D. Cristóbal Olmedo. S?tííeiarie J-* I/IAb».-» D…</t>
  </si>
  <si>
    <t>entes cuerpos, el con­ Fidalgo teniente de la misma compañía. sejo fne de dictamen que ante todas cosas se espe­ Al subteniente que fue de caballería D. Juan rase la respuesta del enemigo, y que si por ella se de la Rosa subteniente de la compañía de Caballe­ veia que confiado en sus fuerzas quería imponer ría de cazadores de…</t>
  </si>
  <si>
    <t>ría, 100. Don José Donaires , G. D. Francisco Boladeras, 12. D. José González , G. D. Fran­ cisco Hurtado , 6. D. Antonio Le goma , por sí y su padre D. Juan , 50. Don Ignacio Odria , 6. D. Manuel Arana y Campomanes , 5. Doña María Soto, 2. D. .Mariano Vicuña, G. D. Lázaro Rubianes , 6. D. Manuel de Arrieta , 8. y D. Nicolás …</t>
  </si>
  <si>
    <t>rez Maro; á tenientes de grana­ deros k D. José Alpanscque y D. José Declouuf; á tenientes de fu­ sileros á D. Antonio Dubrevii, D. Francisco Cañedo, D. Juan Do­ mínguez , D. J usé Bernardo, D. Pedro Rey-yo , D. Carlos Reggio, D Bernardo Prieto, D. Cirilo Lessacier, í). Juan Galguare, Don Francisco Dalcourt, D. Francisco Devi…</t>
  </si>
  <si>
    <t>ubteniente, á adqlécij» dej mismo mal que su señora ; pero ya no capitán de fe quarta compañía. Ia téngn j i y sabe vmd. por qué ? porque se murió. , D. Juan,Muller, subteniente , á.ayudante del ¡ Pobrecitai Dios haya dado mejor poso á su ánima' segundo batallón. qüé'el que cdla daba á la mia, porque la santa ben­ D.. Jpsef J…</t>
  </si>
  <si>
    <t>n­ este dia, nombramos al coronel de artillería Don cia fundaba la felicidad del estado en la subsistencia de Juan de Arriada, al mayor de ingenieros D. Juan aquel tribunal. Se vende á 14 rs. en rústica, y se ha­ llará en la casa de la Academia, que es la llamada casi de Retz, y al comisario de guerra D. Francisco Panadería ,…</t>
  </si>
  <si>
    <t>6o8 lleiíj, y qne se extendían hasta Alaminos» trató Crispí (D. Juan), subteniente del mismo regi­ dé. dirigirse á Masegoso, y apoderarse de su puente miento. sobre ei T juña, que aseguraba su marcha á Bri- Gayaho ( D. Carlos), teniente dé granaderos de bueg</t>
  </si>
  <si>
    <t>lsarios; otros Por otro decreto de la misma fecha han sido dos en Tre viso; otros dos en Roncóle, departa-- promovidos en el regimiento Real Irlandés D. Juan mentó del Tanaro; otro en Fabriano, y otro en Sánchez, teniente, á capitán; D. Manuel LinusaGubbio: á todos ellos se les está formando causa. ya , D. Francisco Casalios …</t>
  </si>
  <si>
    <t>lmente para tario general de la prefectura deSa amanea; á Don sobrellevar las cargas del estado, es lo mismo que Antolin de Munarriz, D. Juan P-f.s y D. Juan imponerle una doble contribución. Francisco Pintado individuo: de ¡a municipalidad Después de otros muchos argumentos á favor de Madrid ; á D. Benito Mons de Molins para…</t>
  </si>
  <si>
    <t>ce. ¿Pero de qué dante mayor, 4 capitán , y á D. Luis García Tre- otras armas pueden servirse uuos hombres vendi­ viño, teniente, á ayudante mayor; á D. Juan dos á la Inglaterra; traidores á la vez á Carlos iv; Jacquot, comandante de batallón agregado al re­ traidores á su hijo; traidores al favorito* á quie­ gimiento de infa…</t>
  </si>
  <si>
    <t>z Bermejo, id. en V¡llarubia de Jos Ojos.......................... 2200 &gt; Ex-mínimos. D. Bernardo Garcia, residente en Arjona.. 2200 Ex-franciscanos. D. Juan .Estrella, id. en Torreximeno..... . 2200 D. Mannei Alcocer, residente en CovarB- D. Manuel MontíjaDC........................ ......... 2zoo bias, provincia de Burgos...…</t>
  </si>
  <si>
    <t>o 25 de la manzana 418, tasada en 102200 reales, sa-v.ir 1. p.ir'.a de los horrores de la guerra? ¡ Ah! acula al juzgado de primera instancia del Sr. D. Juan .de nosotros esta amarga reconvención! El Biutita Guitart , y escribanía de provincia que des­ IÓV..1 tiene ei mismo derecho a los Sienes que á los pida D. Antonio María…</t>
  </si>
  <si>
    <t>sé Florencia, 6. D. Ventura Bustamante, G. Don Pedro Ríos , 10. D. Juan María Morillo , 10. D. Mariano Arcia y Tello, 20. D. José Camilo Morillo, 10. D. Juan..... .. 50. D. Guillermo Gutiérrez, 4. D. Ignacio de Vera, 6. D. Ignacio Govostiza, por algunos vecinos de la ciu­ dad Vieja , 22. D. Mariano Allende , 10. D. Antonio Va…</t>
  </si>
  <si>
    <t>oara haber supues­ fael Benigno de la Palma , cura del Alamo. to que son defensores de Fernando, de la religión Para el de Santiago de Ciudad Real á D. Juan católica, y de los españoles, y al propio tiempo se Muñoz Canteras, cura de Griñón. sirven de un fantasma de gobierno que han orga­ Para el de Rivatejida í D. Juan Antoni…</t>
  </si>
  <si>
    <t>vacante por promoción de D. Antonio Cano Manuel al ministerio de gracia y justicia, v para las secretarías del mismo cojiscj j á D. José Layando, y á D. Juan Madrid Dávila. Avisos, Por decreto del real tribunal del consulado de Cádiz, de 27 de mayo de este año, se emplaza á los interesados en el concurso de acreedo­ res de D.…</t>
  </si>
  <si>
    <t>........ 2200 D. Andrés Benitez, resideute en Montoro. 2200 D. Joan Ramírez ; id.......................... 2200 D. Francisco Ñoñez, id. en Cabeza del D. Juan dé Dios Pastor", id...... .................. 2200 Buei...................... 2200 D. Miguel de Flores, idí.I......................... 2200 D. Basilio Manso, diácono, id.…</t>
  </si>
  <si>
    <t>y el 11 .se venden en la lib.'ería D. Frmciscr» Apolínario, id........................... 220® de la viuda de Quiroga, calle de las Carretas, á lóis. D. Juan de Dios Montero, id................... . 2200 cada uno á la rústica: el 111 se publicará mu: pronto. D Gregorio de León, id................................. 2200 -D. Fra…</t>
  </si>
  <si>
    <t>la parro­ hacer algnn viage ? No pienso por ahora en tal quia de S. Salvador de la misma. desatino. Yo me hallo bien aqui; el que no esté Fernandez ( D. Juan), cazador de montaña de contento que se vaya. Avila. O. B. ¿ De veras ? ¿ con que de veras deter­ Galaberr {D. Pedro), hacendado. mina vmd- no irse? Venga un abrazo. Sie…</t>
  </si>
  <si>
    <t>.... 924 terio de Mirina............................... 23465 D. Francisco García del Riego, y D. Antonio Cáceres, por medio ds en su nombre el mismo D. Juan su apoderado D. Celedonio de Vicente Perez.............................. 1848 Lope............................................... 5956 17 DI Josef García , por medio del…</t>
  </si>
  <si>
    <t>, y mientras que ia secretaría no se halle establecida en par¿ge donde puedan fixarre las list s de las vacantes, se entre­ guen ó se dirijan 8.1 Sr. D. Juan de Madrid Dáviia, sa secretario de gracia y j noticia, gobernación y propuestas, que vive calle de la .Zanja, núm. 169. Buques que han recogido correspondencia en la adm…</t>
  </si>
  <si>
    <t>el yugo de los otomanos. D. Francisco López Moya...... 3058 26L D .ña Bernarda Costar.morid , co­ ESPAÑA. mo tutor» y curadora de sus hijos D. J nef, D. Juan y Do­ Madrid 5 de agosto. ña Ines N vieto........................ 68752 29 La misma Dona Bernarda , como Extracto de las minutas de la secretaría de totora de sus hijo;.…</t>
  </si>
  <si>
    <t>equevra y Palma , id., 9. D. Antonio Blauco, id., 9. D. Pedro Ponce , id. , 9. D. Domingo Aldana , id., 9. El capitán D. Rafael O-farrilI , por 6,54. D. Juan de ¿4.1calá, por 2, 18. D, Manuel de la Holia, por uno, 9. D. Juan de la Casa Nueva, id., 9. D. Pedro Antonio de Ayala y D J osé Marcelino de Escobedo, por 2, 18. D. Bon…</t>
  </si>
  <si>
    <t>, creado para la provincia de Guadalaxara por decreto de la Regencia del reyno, que le componían los Sres. D. Pedro dé Castro y González, presidente; D. Juan de Dios Alonso</t>
  </si>
  <si>
    <t>esuel­ do. El contador D. Félix López Ayllon , mensuales, 18. D. José María Piar, id., 9. D. Juan Alonso Carriazo, id., 9. D. Juan Suavedra, id. , 4. D. Juan. José Hortelano , id., 2. D. Juan Cayetano de Miranda, id., 12. D. José Her­ nández , id. , uno. D. Vicente González, id., uno. I&gt;. Tomas Calvo , id., 2. D. Isidro José …</t>
  </si>
  <si>
    <t>ntribuir á su mayor ilustración, dará público testimonio de su gratitud al autor. Madrid 20 de octubre de 1812.=: D. Pe­ dro de Castro, Presidente. = D. Juan de, Dios Alonso y Herrera. = D. Ra­ fael Garrido y Rodríguez. = D. Lorenzo Gotaredona. = D. Gerónimo de Zemborain. = D. Mateo de Norzagaray. = D. Ignacio Campesino. Madr…</t>
  </si>
  <si>
    <t>Juana</t>
  </si>
  <si>
    <t>ente y durante la guer­ ra, 30 y 4. D. José Sagui y D. Antonio Maru, por uno , mientras puedan, 9. El licenciado D. Pedro Perez de Medina y su esposa Doña Juana de Dios Pimienta, por uno durante la guerra, 9. D. Matías de la Cantera, id., por 3, 27. El licenciado D. José María Granados, id., por uno, 9. El doctor D. Ni­ colás…</t>
  </si>
  <si>
    <t>Juanes, Anomio</t>
  </si>
  <si>
    <t>Anomio Juanes</t>
  </si>
  <si>
    <t>r á una porción dle la población •Por decretos de 9 del corriente el REI se de la parte que le toca de estas retribuciones pú­ ha servido nombr.*r '» D. Anomio Juanes secre­ blicas , al paso que contribuye igualmente para tario general de la prefectura deSa amanea; á Don sobrellevar las cargas del estado, es lo mismo que Anto…</t>
  </si>
  <si>
    <t>JuaRuiz</t>
  </si>
  <si>
    <t>9. Don Evaristo de. Aguirre y D. Pedro Morales , id., 9. D. Blas Fuertes , id. , 9. Don Juan Madrazo, por 2,18. I). Hermenegildo Gaíeano, por uno ,9. D. JuaRuiz, por 2; i8 D Francisco Menacho, por uno-, 9. D. Tiburcio ZuUieta, por ano , 9. D. Manuel Diaz de Castro, id., 9. D. Pedro Boyer y su es­ posa , id., 9. El teniente D.…</t>
  </si>
  <si>
    <t>Jübow</t>
  </si>
  <si>
    <t>r de coman acuerdo con sus donativos á la defensa de la patria, contra el enemigo común queila amenazaba con las mitigas, la perfidia y las armas. El príncipe Jübow ha dado 15CGOO ducados, la condesa Or­ le w ha hecho un doniuivo de 8 millones de rublos (42 millones de reales), y la ciudad de Morkow ha ofrecido armar y equipa…</t>
  </si>
  <si>
    <t>Julián</t>
  </si>
  <si>
    <t>las últimas operaciones, por el in­ fatigable desvelo del Sr. comisario general Bissct ysus dependientes. Tsi mariscal de campo D. Cárlos de Espana y D. Julián ^anenez observaroa los movimientos del enemigo al otro lado del 1 orm’es du­ rante las operaciones del sitio. Les estoy muy obligado, igualmente</t>
  </si>
  <si>
    <t>ñía de inválidos de la plaza de Fuenterrabía. ción central de ios hospitales militarés.' '/ . Dubois (D. Pedro), teniente coronel dé caba­ Martínez ( D. Julián ) , soldado de l.¡ compañía de llería- .cazadores de Giiadai'axara. .• . " • Enriques) (D.Francisco), coronel del regimiento Medina JD. Ramón), comandante del cuerpo- …</t>
  </si>
  <si>
    <t>ade­ batiendo facilitó su fuga. El destacamento no ha ros del regimiento Real Extrangero. perdido mas que 74 hombres, inclusos quatro ofi­ Rodríguez (D. Julián), subteniente de! regi­ ciales. miento de Madrid , i.° de infantería de línea. El general gobernador de Cuadalaxara mani­ Saldarriaga ( D. Francisco), capitán del regi…</t>
  </si>
  <si>
    <t>: Mi­ JD. A. Y dice mui bien el estadista profundísi­ na está en Cuzcurrita con sn qaarrel general: mo: si rio se van á mprir á otra parte, aqui ten­ D. Julián en Vitigudino: el Marquesillo en Po­ drán que dexar la piel'mal que les pese. tes : á la hora de esta la junta de Sigüenza se .JD. S. No sabeu ellos todavía dónde se h…</t>
  </si>
  <si>
    <t>as sobre, nuestros flan­ fue atacado y cogido con sus dos criados por una cos. Una patrulla de 150 dragones de Ja guardia, partida de'los lanceros de D. Julián , mandada por al mando del coronel Marthod, ha caido en una el capitán Alvarez , bien conocido en el pais : otro emboscada de cosacos entre la ruta de Moskow y oficial…</t>
  </si>
  <si>
    <t>es. E^tos procurarles í teda costa quanto necesitan. Era púb i- y aquella han saqueado y robado los arsenales, destrui­ co en Salamanca que el famoso D. Julián, en medio do la* obra* de los puertos . aniquilado la marina, y úl­ de la escasez de granos,habia procurado* lord Welling- timamente han arralado' las fabricas. tnn in…</t>
  </si>
  <si>
    <t>Julián, Andrés</t>
  </si>
  <si>
    <t>Andrés Julián</t>
  </si>
  <si>
    <t>se la contribución, matarles 5 hombres y he­ rirles mayor número, sin mas desgracia por parte nuestra que una herida leve que recibió en la pierna el sargento Andrés Julián. ARTICULO DE OFICIO. La Regencia del rey o o consecuente á lo mandado en el reglamen­ to de 23 de julio del año próximo pasado, se ha servido promover á s…</t>
  </si>
  <si>
    <t>Julián, Cristóbal</t>
  </si>
  <si>
    <t>Cristóbal Julián</t>
  </si>
  <si>
    <t>denuedo á las guerrillas enemigas con los soldados de su cuerpo, José Asenjo, Juan Sánchez y Fe-ix de Nova, el del abanderado del regimiento de Soria D. Cristóbal Julián, que en Pozohondon fué el primero á saltar ía ta­ pia donde se parapetaron ai principio los enemigos, siguiéndolos hasta que se encerraron en la iglesia, ado…</t>
  </si>
  <si>
    <t>Jum</t>
  </si>
  <si>
    <t>2¡ÍÓ telares en Selsqn, en Bagthorp y en las aldeas ve­ Señor firmar el contrato dé matrimonio de D. Jum cina", que esun á nueve millas de esta ciudad ; y Pablo Martínez de Hervás, maestro de ceremo­ en la misma noche, á cosa de las siete, hicie­ nias de S. M., é hijo del Excmo. Sr. marques de ron e</t>
  </si>
  <si>
    <t>Junel</t>
  </si>
  <si>
    <t>seus." suvtesc arreg ado y dispuesto para ,el intcoto. El dia 26, una hora antes .de .amanecer , fui al frente ESPAÑA. del asalto, y me avoqué cpn,el general Junel. Al­ f gunos instantes después se .anunció el ataque por Cádiz 4 de noviembre. grandes gritos y un vivo fuego de fusilería, qne se oyeron a nuestra derecha. El fue…</t>
  </si>
  <si>
    <t>Jungaitu, Mirüno</t>
  </si>
  <si>
    <t>Mirüno Jungaitu</t>
  </si>
  <si>
    <t>8T4 D. Francisco Bermodez, id...i........ 2200 D. Domingo dé los Ríos , id....... 2200 D. Mirüno Jungaitu, íd...... ¿.u............ 2200 D. Juan Batjacoba , id........I...'...... ,... 2200 D; Narciso deiZeq , id..................................... '220a *&gt;• J uan Fernandez , id......... ".....</t>
  </si>
  <si>
    <t>Junqueyra</t>
  </si>
  <si>
    <t>ograron poner término á los progresos sucesivos del enemigo. Tengo el sentimiento de añadir que en esta ocasión sufrieron considerablemente, y que el coronel Junqueyra, que maadaba la brigada, fue hecho prisionero. „ Por este tiempo se hallaba la izquierda de nuestro exército distante cosa de dos millas, en el puente del Reta…</t>
  </si>
  <si>
    <t>Junquico, Antonio</t>
  </si>
  <si>
    <t>Antonio Junquico</t>
  </si>
  <si>
    <t>sco de Castro , lego , residente en D. Josef B tdillo, id.......................................... 2290 Montilla............................... 1100 D. Antonio Junquico.id........................... 2290 D. Alfonso de Ribas, lego, id...................... 1100 D. Aíiguel Carames, id................... ....... ........ 2290 .…</t>
  </si>
  <si>
    <t>Juntra, Josef</t>
  </si>
  <si>
    <t>Josef Juntra</t>
  </si>
  <si>
    <t>adas y 140© S. M. igualmente promover en el regimienta de marineros,- serian empleados en hacer correrías con­ C.snlia, i.” de iofafttetía ligera v á D. Josef Juntra nuestro comercio. Y ¿ qué sensación haria esta quiro, teniente , á capitán ; á D. Ramón Igual y guerra eri la Pertsiivania , cuyos habitantes sacan Vainis y D. J…</t>
  </si>
  <si>
    <t>Jurado, Joaquín</t>
  </si>
  <si>
    <t>Joaquín Jurado</t>
  </si>
  <si>
    <t>ados ag -nos matan ai asno, y que viva la gallina, nientes vá.'tenientes. ' ' . y viva con su pepita, y que el z.pato malo malo, ... D, josef Oíiver, D. Joaquín Jurado, D. Josef más vale en el pie qné no en la mano; y ú'tiimMaría Guerra, b. Nicolás Rubira, D. Antonio- tnente, que ¡i el cántaro da en la piedra , ó la pie­ Guti…</t>
  </si>
  <si>
    <t>JUSTA, Vicente de el ESPEJO de la TIA</t>
  </si>
  <si>
    <t>Vicente de el ESPEJO de la TIA JUSTA</t>
  </si>
  <si>
    <t>o." D. JosefC añedo........................... 1065 19 D. Salvador Fonr.......................... 1087 26 Doña María Petra de Lanz , hija heredera de D. Vicente de EL ESPEJO DE LA TIA JUSTA, anz....... *................................... 3*y« 3* D. Antonio Josef Marcos............. 35 5 1 3* Cuento arábigo-manehego. D. Juan …</t>
  </si>
  <si>
    <t>Justo, Francisco</t>
  </si>
  <si>
    <t>Francisco Justo</t>
  </si>
  <si>
    <t>e ocasionarían á los Al capitán habilitado del regimiento de caba­ habitantes obstinándose en resistir mas tiempo, y llería ligera de la guardia real D. Francisco Justo en vista de las demas razones que acompañan al Hago comandante de batallón de infantería de línea. voto particular de cada vocal, era forzoso resols- Al capit…</t>
  </si>
  <si>
    <t>JVIenendez, Rafael Francisco</t>
  </si>
  <si>
    <t>Rafael Francisco JVIenendez</t>
  </si>
  <si>
    <t>co Arauco , 25. El maestre de dicho navio D. Francisco RuTz, 23. La tripulación, 3G y 2. Don Cristóbal Ortegon , cura de la doctrina de Chupaca, 100. D. Rafael Francisco JVIenendez por la manutención de 2 soldados que paga en España durante la guerra á 4 rs. cada uno de vn. , 14G. El teniente coronel D. José Coquet, 400. El c…</t>
  </si>
  <si>
    <t>Jvíndelan, Vicente</t>
  </si>
  <si>
    <t>Vicente Jvíndelan</t>
  </si>
  <si>
    <t>Clemente de Sierra, y el escaso segundo batallón de Tuy. Al cuerpo de vanguardia le cubría á 500 pasos sobre su cabeza el espitan de cazadores de Tuy D. Vicente Jvíndelan: p&amp;ra incomo­ dar al enemigo sobre su flanco izquierdo, destaqué una compañía de cazadores y otra de granaderos de voluntarios de León á las órdenes del esp…</t>
  </si>
  <si>
    <t>JVinxing</t>
  </si>
  <si>
    <t>1314</t>
  </si>
  <si>
    <t>lanzó cohetes de Congreve contra la caballería con grande efecto. Eas cañoneras padecieron algún daño &amp;c ” Id. lt&gt; de Novi- r/ihre. Parte cficial del general JVinxing&amp;rcde desde Klin con fecha de 3 (15) de Octubre. | , El 12 del corriente hicieron varias correrías los cosacos por el camino de Jareslaw sobre el flanco derecho …</t>
  </si>
  <si>
    <t>K, A</t>
  </si>
  <si>
    <t>A K</t>
  </si>
  <si>
    <t>ron siempre, y la conservaron con empeñe. Su pérdida ha consistido eu varias solda­ dos y caballos heridos, siéndole! también el teniente juramentado D. A K?ír&lt;5S C&amp;riaga que defendía Sa csu?a de les opresores: nuestra pérdida no pesa de 2 efez’dores mal heridos. El brigadier Porta reco­ mienda eficazmente Kos 3 referidos ofi…</t>
  </si>
  <si>
    <t>Kal</t>
  </si>
  <si>
    <t>bditos ingleses ningnno de los pri­ todos los que hai en Magdeburgo. vilegios de que disfrutan los neutrales, y que se Escriben de Berlín que el feld-mariscal Kal- harán en la carta de la Compañía las modificaciones kreuth ha salido de aquella ciudad para la de y enmiendas que maS oportunas parezcan para fo­ Hamburgo. mentar …</t>
  </si>
  <si>
    <t>Kalkreuth</t>
  </si>
  <si>
    <t>ose con rigor.” linea entre Charlottenburgo y Spandau. S. M., acompañado del Príncipe heredero , de los Prínci­ Del *0. pes Guillermo y Federico, del mariscal Kalkreuth 'y d&lt; uua comitiva natneiosa de oficiáles superiores, Grées* generalmente que la dieta húngara i*</t>
  </si>
  <si>
    <t>Kamenski</t>
  </si>
  <si>
    <t>tersburgo, y vol­ cón se ha colocado la estatua colosal de la Empe­ vía á París. ratriz Catalina ti. El señor canciller de Estado ha mandado anun­ El general Kamenski acaba de llegar de Mos­ ciar al público que ya está impreso el reglamento cou á esta capital. El ayudante geueral Loeswen- relativo al alojamiento de las trepas…</t>
  </si>
  <si>
    <t>Kamenskl</t>
  </si>
  <si>
    <t>7 gra­ del general Legrand, cuya serenidad en el campo dos, y aun las noches ton mui calurosas. de batalla es admirable, También elogia la conduc­ Él general Kamenskl, con dos divisiones del ta de los regimientos 2 6.° de infantería ligera y cuerpo de Bagration , viéndose cortado, y no pu* . 5 6.° de línea. diendo reunirse co…</t>
  </si>
  <si>
    <t>Kamenskoi</t>
  </si>
  <si>
    <t>conseguida por el lord V\ ellingtcn, y añaden que el 15 de setiem­ bre era el dia señalado para la salida de la expedición. Carhham 17 de agosto. El general Kamenskoi ha batido al exército saxon cerca de Heben, co­ giéndole un general, 70 oficiales, 4 banderas, 8 cañones y 3® hombres. Han ¡-ido infundados los rumores esparcid…</t>
  </si>
  <si>
    <t>Kaminskoi</t>
  </si>
  <si>
    <t>omins» koi. Marchamos en tres columnas ; la primera compuesta de cosacos dirigida por el conde Orloff Denizoff, y los 20 regimientos de yagers por el barón Kaminskoi. Esta división tuvo orden de pene­ trar por el flanco izquierdo del enemigo. La segunda columna se componía de cinco cuerpos de infantería y una brigada de yager…</t>
  </si>
  <si>
    <t>Katasow</t>
  </si>
  <si>
    <t>La polisía da París prende á cu&amp;utof hablan de la derrota de Mmoot. Eí exército del general Katasow que tema contra Tarquín , as ha dirigido 7a á reunir»® con loi exércitos que obran contra Bsnaporte , y fia entrado en Wohlinía. Aíojoow ka dado 1GOOOO hombres completamente armados y tres millones de rabio» en pla</t>
  </si>
  <si>
    <t>Katosow</t>
  </si>
  <si>
    <t>án, acompañado da Pctcrsburgo 14 de noviembre. relámpagos y truenos, lloviendo y granizando al ítfisñú» :tiémpo; á eso de las dos de iá mañana em­ El general Katosow acaba de ser condecorado pezó á disminuir un pobo la tempestad. Elconvo; con el título de conde del imperio, en recompensa enemigo que estaba apostado cerca de N…</t>
  </si>
  <si>
    <t>KauffmaB, Francisco</t>
  </si>
  <si>
    <t>Francisco KauffmaB</t>
  </si>
  <si>
    <t>lación del Eridano. El primer astróoomo que lo ha S. M. promover en el regimiento Real Extraogcro visto ha sido Mr. Pons de Marsella, quien lo dis­ á D. Francisco KauffmaB, capitán, para coman­ tinguió el dia 16 del mes pasado. En París-mo se dante Oe batallón agregado á dicho cuerpo ;á Don vio hasta el día 5 de diciembre por…</t>
  </si>
  <si>
    <t>Kd, Sir</t>
  </si>
  <si>
    <t>Sir Kd</t>
  </si>
  <si>
    <t>ad Torrequemada y Cordobilla. El enemigo siguió de dar un golpe sobre e¡ enemigo, pedí al tenien­ nuestro movimiento con todo su exército. La bri­ te general Sir Kd.vard Paget que se moviese con gada del mayor general Auson atacó dos veces al la primera y quinta divisiones sobre el flanco de- enemigo enfrénte de Celaría del C…</t>
  </si>
  <si>
    <t>Kegnier</t>
  </si>
  <si>
    <t>a mucha mas en número que la Noticioso el duque de Reggio de que el gene­ que yo podía oponerle. ral enemigo YVittgenstein, después del combate de Ei general Kegnier, y las tropas saxonas- que Drissa, se habla reforzado con 12 batallones de la han peleado á sus ordenes, son acreedores á los mas guarnición de Dunaburgo, formó …</t>
  </si>
  <si>
    <t>Kempt</t>
  </si>
  <si>
    <t>sus obras exteriores llamada la Picuriña, y las otras 4 estaban destinadas á "enfilar y destruir las defensas del frente atacado. ,, Ordené al mayor general Kempt, que estaba aquella tarde de trinchera, que poco después de anochecer asaltase la Picuiiña; y lo efectuó con la mayor inteligencia y valor. Dieron el asalto 500 hom…</t>
  </si>
  <si>
    <t>er la retirada de la guarnición, pero fué rechazado por los destacamentos que se habían apostado en el intermedio para proteger el ataque. — EL mayor general Kempt, en el parte que ine da, elogia la serenidad y constancia dé los oficiales y soldados, de que cierta­ mente es la mejor prueba lo fuerte de la obra que tomaron. Pa…</t>
  </si>
  <si>
    <t>e á este plan el asalto á las 10 de la noche., adelantándose el teniente general Picton algunos minutos á los ata­ ques de las demas tropas. El mayor general Kempt, que dirigía las tuerzas que atacaban, procedentes de 1.a derecha de la primera pa­ ralela, fué por desgracia herido al atravesar el rio llivillas, por mas abaxo d…</t>
  </si>
  <si>
    <t>Keyser, Francisco</t>
  </si>
  <si>
    <t>Francisco Keyser</t>
  </si>
  <si>
    <t>s á D. Felipe Ledesma, ayudante del primer b? tallón de granaderos de Castilla la vieja, B. Diego Orbaneja, ayudante del regimiento de Ciudad Real, y D. Francisco Keyser, ayudante del extinguido batallón de la- maestranza de Ronda. Parte del general interino del segundo y tercer exército 1). José O- Donnell y al gefe del esta…</t>
  </si>
  <si>
    <t>os I). Ambrosio López Lisperguer y D. Juan Nepéinnceno de Mancebo; empleos de alféreces de grana­ deros á los de fusileros D, José Ignacio de Alava y D. Francisco Keyser; id. de cazadores á los de fusileros D. José Mazon y D Die­ go de Orbaneja; y empleos de alféreces de fusileros á los tenientes de infantería D. Alfonso de T…</t>
  </si>
  <si>
    <t>KíIjütv</t>
  </si>
  <si>
    <t>ente general conde de Witfgenstein da parte de que aun mantiene su.posición en Drissa., y que habiendo pasado el Dana, per disposición suya, el mayor general KíIjütv, hafea hecho 700 prisicneroH franceses. ARTICULO DE OFICIO. La Regencia del rey no se ha servido dirigirme el decreto que í igue: D. Fernando vii,*por la gracia …</t>
  </si>
  <si>
    <t>Kilnew</t>
  </si>
  <si>
    <t>para Smolensko. Según los partes del teniente general conde Wittgenstein continúa en su pQsicion de Drissa , y anuncia que habiendo enviado al mayor general Kilnew al otro lado del Wina, este oficial habia cogido 700 prisioneros. Suplemento d la gazeta de S. Petersburgo del 4 de agosto. El ministro de la Guerra Barclay de Toí…</t>
  </si>
  <si>
    <t>KiufFnan</t>
  </si>
  <si>
    <t>er un reconocimiento con la caballería sobre la ó echarla sobre el barranco, en que ya se halla­ Sign. nza , para asegurarme por mí mismo de la ba el comandante KiufFnan. fuerza del enemigo, que sabia se hallaba en esta Todos estos muvi nientos fueron executtdos con ciudad, modo en que pensaba defenderse en caso tanta unión é…</t>
  </si>
  <si>
    <t>Klaproth</t>
  </si>
  <si>
    <t>o hubiera subi­ ro AncUlon, secretario de la clase de filosofía, le­ do, pero al contrario ha baxado, y el metálico no yó el discurso de abertura; el profesor Klaproth ha escaseado tanto como se temía. Mn Jios de los leyó después una memoria sobre el nickel; el pro­ que habían guardado los billetes de banco coa la</t>
  </si>
  <si>
    <t>Kléist</t>
  </si>
  <si>
    <t>toma de Dunaburgo ha nos tuvo gran parte en esta acción. El general mandado S, M. que un tren de too piezas, que de Gravert se reunió después con el general Kléist, su orden se había dispuesto en Maedeburgo, y avan­ y ha perseguido al enemigo por el camino de Ri­ zaba sobre el Niemen, retrocada á Dantzick, y ga, y atacado la …</t>
  </si>
  <si>
    <t>Klenaus</t>
  </si>
  <si>
    <t>l feld- mari'Cal conde Saltiknw ha si­ brado comandante del distrito de Warasdin, y do nombrado presidente del consejo de Estado du­ el teniente feld-mariscal Klenaus consejero ín­ rante la ausencia de S. M. timo. El conde de Rom.'mzow, canciller del imperio El general Deschenter, qoe regularmente acom­ y presidente del conse…</t>
  </si>
  <si>
    <t>Klengel</t>
  </si>
  <si>
    <t>sido hecho prisionero. Inmediatamente el general en gefe Regnier ha publi­ cado una orden del dia, en la qual se expresa en estos términos: „E1 mayor general Klengel ha peleado por espacio de 10 horas sin interrupción con 2800 hombres contra un enemigo diez veces superior en número; y ciertamente hubiera efectuado su retirada…</t>
  </si>
  <si>
    <t>Klgueta, Ensebio</t>
  </si>
  <si>
    <t>Ensebio Klgueta</t>
  </si>
  <si>
    <t>ores Ponce, Infantes, Suarez, Contador y Alverá. D Ju. n Jorge Amiet...................... 4472 16 Idem en la opereta. Señoras Torres y Baus. Señores D. Ensebio Klgueta.......................... 2609 10 Cristiani, Avecilla y Manuel Fernandez. El convento de Santa Clara de F.n el de la Cruz, á las quatro y media de la tarde, C…</t>
  </si>
  <si>
    <t>Kliest</t>
  </si>
  <si>
    <t>y el brigadier prusiano de Jannerel con otra brigada prusiana marchaba á Tilch. Estos tres generales han lle­ gado ya á sus respectivos destinos: el general Kliest solo pudo alcanzar á un</t>
  </si>
  <si>
    <t>Kningt</t>
  </si>
  <si>
    <t>abricante de franela, de Lancaster. E. Dobson, tahonero, de Bramptoo. C. King, corredor de cambio, de Lóodres. R. Dunster, asegurador, de Londres. J. D. Kningt, corredor de seguros, de Lóudres. F. J. Dnpont, mercader de paños, de Wattford. C. Laing, droguero , de Lóndres. F. J. Dopónt, mercader dé pañoe, de lóndre*. Lee. J.e,…</t>
  </si>
  <si>
    <t>Knlhakfn</t>
  </si>
  <si>
    <t>o uria hora después el general Cau­ dores de á pie, mandada por el general mayor 1Elaincourt, que fue á remplazado. litsin , que había reemplazado al general Knlhakfn. 1.nublen lian muerto los generales de brigada herido en Mohiloiv, habia recibido ei 3 ud corría.</t>
  </si>
  <si>
    <t>Kntnsow</t>
  </si>
  <si>
    <t>ía iba ya á mandar que pronto va á haber novedad en el estado de que.,friese votada, él consejero Haré le dirigió estas los negocios. Aseguran que el general Kntnsow palabras: ■ no aguardaba mas que un correo de S. Petersbur- \ ,,'IVjilord Fingal : yo vengó aquí como magis­ bo para notificar la conclusión del armisticio, y. t…</t>
  </si>
  <si>
    <t>Kntpsow</t>
  </si>
  <si>
    <t>Gaceta de Madrid n.º 98</t>
  </si>
  <si>
    <t>393</t>
  </si>
  <si>
    <t>a 24 de febrero. dencia general del tesoro público, contiene tas Según las últimas noticias de Hungría el gene­ disposiciones siguientes. ral en gefe conde Kntpsow ha sido llamado a Pe- „ Todos los empleados obligados según las le­ tersburgo,y en «n lugar ha sido nombrado coman­ yes y decretos á dar ñanzas, y que al .tiempo d…</t>
  </si>
  <si>
    <t>Kntuíotv</t>
  </si>
  <si>
    <t>nsa , según dicen, atacar por aquella Se confirma que el g-neral conde Langeron Va parte con fuerzas mui considerables, con el ob/eto á reemplazar al general Kntuíotv en el mando del de apoderarse de esta provincia , y de ponerse en exército de la orilla izquierda del Danubio, por situación tal que sus enemigos no puedan acom…</t>
  </si>
  <si>
    <t>Kntujiow</t>
  </si>
  <si>
    <t>ciade en este periódico la noti­ sos han sido llamados á Bucharest, donde se ha­ cia que recibimos por nna carta dé Plimouth, en llan reunidos con el general en gefe Kntujiow los qne se decia que dos fragatas inglesas habian apre­ generales Langeron, Ssss, MarkovS' , Bisen &amp;c. sado on buque mercante americano, de porte de Est…</t>
  </si>
  <si>
    <t>Kochkrew</t>
  </si>
  <si>
    <t>a.de la forta­ obligada á cumplir lo que se ha pactado, y debe leza de Alchakalik en Grusinia. contar al mismo tiempo cou la buena fe de la otra ,,E1 coronel Kochkrew k¡, después de una para la execucion y el cumplimiento de lo que penosa marcha por montañas cubiertas de nieve, por su parte ha ofrecido. Habiendo hecho los Es­…</t>
  </si>
  <si>
    <t>Koes</t>
  </si>
  <si>
    <t>ellas cuya renta era de i© fran­ Las cartas que se han recibido de Pisa confir­ cos, ó no llegaba , tendrán una pensión igual á. so man la muerte del doctor Koes, y dicen que so antigua renta ; ios que tenían t3&gt; ó mas francos de compañero de víase el doctor Brandsedt piensa renta, peto que no pasase de 2:co, tendrán las pasa…</t>
  </si>
  <si>
    <t>Kohli, Juan</t>
  </si>
  <si>
    <t>Juan Kohli</t>
  </si>
  <si>
    <t>de los Ríos, id., 9. D. Manuel de Urrua, id. , 9. D. José María de Urrua y D, Domin­ go Bernaola, id. , 9. D. Felipe Fernandez de Silva, por uno, 9. D. Juan Kohli, id!,'9. Doña Juana Francisco Tamayo , id,, 9. D. Pedro Zamora, por 2, 18! D, Mariano Jáuregui , por 3, 2?. D. Francisco de Torres, por «no, 9. D, Vicente García Ca…</t>
  </si>
  <si>
    <t>Koilónt, Hugo Stumber</t>
  </si>
  <si>
    <t>Hugo Stumber Koilónt</t>
  </si>
  <si>
    <t>Gaceta de Madrid n.º 117</t>
  </si>
  <si>
    <t>473</t>
  </si>
  <si>
    <t>quiere inundar vuestro país , aludiendo El dia 28 de febrero falleció «n esta ciudad el al poder de los americanos. Se asegari latíijjien Exctno. Sr. conde Hugo Stumber- Koilónt^y , éxque los ingleses han hecho circular por todas las vice-canciller- de la corona y canónigo-de Craco­ tribus on-cinto, que debía ser el símbolo d…</t>
  </si>
  <si>
    <t>Kom</t>
  </si>
  <si>
    <t>en el artículo 38 : en el bien en­ Han llegado aquí de Twer el príncipe Dolgo- tendido de .que se ha de dar una quarta parte mis roncki, el ayudante general Kom.arowski y ei gc- ea atención á’qne.no hai.ninguna proporción corre ccral Paphow. el precio que tenían estos objetos y el que tienen (-xen el dia. S.M. insiste en qne …</t>
  </si>
  <si>
    <t>Konownez</t>
  </si>
  <si>
    <t>uerpo de O denaana, y su división no cesó de pe»' iear en todo el dia 14 (26). Cia todo no pudo el enemigo adelantar un pie de terreno. El te­ niente general Konownez/n-rechazó todos sus ataques , y no dexó el campo de batalla hasta la noche, en que recibió orden del general en gefe de ir á tomarla posírian que se le habia se…</t>
  </si>
  <si>
    <t>Konownezyn</t>
  </si>
  <si>
    <t>y su división se entretuvo con el enemigo durante todo el dia 26. El enemigo no adelantó ni una pulgada de terreno sobre nuestras tropas. El teniente general Konownezyn rechazó todos sus ataques, y no dexó el campo de batalla hasta la noche, habiendo recibido del general en gefe orden de tomar la posición que le fue señalada …</t>
  </si>
  <si>
    <t>Korf</t>
  </si>
  <si>
    <t>(30) de junio el capitán Galewa, del regimiento de huíanos po­ lacos , salió á un reconocimiento con un esquadron que se le confió de orden del mayor general Korf. En la tarde del 20 recibió orden de pasar al pue­ blo de Lantupa, y dirigir su marcha hácia la ciudad de Swenzany. A la mañana siguiente , habiendo reunido sus ava…</t>
  </si>
  <si>
    <t>Kosatschkowsky</t>
  </si>
  <si>
    <t>pruebas de valor. Nuestra pérdida ha sido corta en comparación de la del enemigo : los mayores generales Berg y' Gamón han salido contusos ; el mayor general Kosatschkowsky se halla herido de una bala de fusil, y el coronel Froiow de una de cañón. El 5 (17), el mariscal Oudinot fué herido en el hombro: el 6 (18), tomó el mand…</t>
  </si>
  <si>
    <t>Koslowski</t>
  </si>
  <si>
    <t>e Lievven; en Suecia al barón Strogonow, consejero íntimo y gentilhombre de cámara; en Palormo al consejero-lie estado coade Moncenego; en Cerdeña al príncipe Koslowski. ESPAÑA. Sahagitn 15 de Noviembre-. El 15 del mes' pasado, dia de la nueva patrona de España, la ilustre castellana Sta. Teresa de Jesus , fué el destinado en…</t>
  </si>
  <si>
    <t>Kots</t>
  </si>
  <si>
    <t>ncia de S. M. timo. El conde de Rom.'mzow, canciller del imperio El general Deschenter, qoe regularmente acom­ y presidente del consejo de Estado; el conde Kots- pañaba al Emperador Joset n en sus viages , ha chubey, presidente de la sección de leyes; y el fallecido hace pocos dias eu Gratz. general conde* Araktscchejen , pre…</t>
  </si>
  <si>
    <t>Koudriachow</t>
  </si>
  <si>
    <t>vimiento Inicia Novogrodek mas Acompaña copia del decreto. =s Tres de julio que la aspereza del terreno. Dcxamos el país, que de 1812. = Firmado = El consejero Koudriachow. se ha perdido sin resistencia , y los almacenes, que 5e han quemado: todo ha sido efecto necesario de Traducción del ruso. ios primeros movimientos. Nos A…</t>
  </si>
  <si>
    <t>Koulino</t>
  </si>
  <si>
    <t>941</t>
  </si>
  <si>
    <t>remos tenido de 300 á se hicieron en todas direcciones ei día ¿9, te vino en 400 heridos : la pérdida del enemigo ha sido, mui conocimiento de que el general Koulino v ocupaba considerable; y ¡e hemos cogido de 500 á 600 pri­ a Valcntsovi con 4O infames, el regimiento de hú­ sioneros , entre ellos muchos oficiales, de los que…</t>
  </si>
  <si>
    <t>Kourakin</t>
  </si>
  <si>
    <t>Gaceta de Madrid n.º 225</t>
  </si>
  <si>
    <t>especie de provisiones, cañones, fusiles, res, y tentar algún medio, en vista de la decla­ pólvora, municiones, equipages de puente, y su­ ración del príncipe Kourakin , de conciliar el honor mas considerables de dinero, á disposición de! cuer­ de la Francia y el ínteres de sus alados en la aper­ po de ingenieros para nuevas …</t>
  </si>
  <si>
    <t>Krapowitski</t>
  </si>
  <si>
    <t>. Añade que ci general por la caballería, que no quedaron de él sino ao Kutusow recorrió su línea antes de la batalla, y que hombres por compañía. El general Krapowitski, arengó á su tropa, lo qual no produxo un grande comandante de una brigada, y ei coronel del regi­ efecto. Este hombre declara igualmente que oyó miento de I…</t>
  </si>
  <si>
    <t>Kreisler, Wenceslao</t>
  </si>
  <si>
    <t>Wenceslao Kreisler</t>
  </si>
  <si>
    <t>edor D. Amonio M.rtinez, á D. Mariano Pcrez Arrcyal, ex mercenario caizjdo. Madrid 2¡ de marzo. Para lad.. Velez de Benauddla , su ú'tiino po­ seedor D. Wenceslao Kreisler, á D. Josef Ruiz, El REI por sn real decreto de 24 del corrien­ ex-mercenario calzado. te se ha servido nombrar para los curatos vacantes Para la de ísnall…</t>
  </si>
  <si>
    <t>Krenoer</t>
  </si>
  <si>
    <t>Gaceta de Madrid n.º 134</t>
  </si>
  <si>
    <t>L^-Tour de Valsassine. algunas noticias relativas i la vida y escritos del También se ha recibido de Neustadt la noricia conde Torrin-Seefeld, y del consejero Krenoer, de haber fallecido el barón de Milis , antiguo ambos miembros de la academia , que fallecieron consejero áulico en el departamento de reatas. hace poco tiempo.…</t>
  </si>
  <si>
    <t>Kruse</t>
  </si>
  <si>
    <t>im­ puso respeto al enemigo. La columna francesa de Infantes, compuesta de 400 hombres, entre ellos ltO caballos, con alguna artillería, al mando del barón Kruse, había ilegado el 21 del pasado al Ballestero, distante 3 le­ guas de la ciudad de Aicaraz. Noticioso de ello el teniente coronel D. Bernardo Márquez, que se hallaba…</t>
  </si>
  <si>
    <t>a por Pedro Velasco, que has­ ta ahora se ksi conocido con el nombre del corregidor Porras, su fun­ dador , ha sido agregada á la columna enemiga del barón Kruse, y se le ha dado la denmnmacion de cazadores de Nassau. El mismo Porras ha salido para Madrid con alguna escolta : habim enviado de­ lante á su mager, y al despedirs…</t>
  </si>
  <si>
    <t>Krusemark</t>
  </si>
  <si>
    <t>ena // de junio. Se asegura que el general Wussenwolff seguirá elquartel general delEnu perador Napoleón por parte del Emperador de Austria; el mayor general Krusemark por el Rey de Prusia; el general Watzdort por el Rey de Saxonia, y el teniente general W altersdorff por el Rey de Dinamarca*. GRAN BRETAÑA. Londres 1 (f de ju…</t>
  </si>
  <si>
    <t>Kruseniarck</t>
  </si>
  <si>
    <t>indagar las cansas primitivas latea , construida en el astillero de Génora. de sns diferentes cualidades, y formar el sistema Ayer salió de París el general Kruseniarck, filosófico, qne' explique los diferentes fenómenos ministro de Frusta cerca de S. M. el Emperador que en ellos se observan. Pero no está aquí la mayor dificu…</t>
  </si>
  <si>
    <t>Kudaschew</t>
  </si>
  <si>
    <t>de que el enemigo ocupaba con fuerzas muy considerables los lugares de Jama y Nikomwa, se di­ rigió á Loprena ” En otro parte del mismo dia avisa el príncipe Kudaschew que un destacamento que había hecho salir, habiendo encontrado una partida de coraceros , que estaban forrageando en el lugar de Was«ilj ew koje, los atacó y p…</t>
  </si>
  <si>
    <t>Kuiafcyr</t>
  </si>
  <si>
    <t>59</t>
  </si>
  <si>
    <t>iciones. Luego que arroje ai otro lado de! Duna los restos de Oudinot, me propongo atacar á Maedonald. Me ha sido muy do­ loroso ia pérdida del mayor general Kuiafcyr, quisa habiendo per­ dido de na cañonazo las des pierna», murió en el campo de bata­ lla : también fui yo levemente herido en la cera. Oficio del general Tormas…</t>
  </si>
  <si>
    <t>Kuinew</t>
  </si>
  <si>
    <t>stein , cuyo cuerpo ocupa la derecha dél Dwina, noticioso de que 2 regimientos enemigos de caballería se ha­ blan acercado á Droga, hizo que el mayor general Kuinew pasase el rio con el regimiento de húsares de Graduó y algunos escuadro­ nes de cosacos , y los atacase ; lo cual executó Kulncw con tan buen' suceso, qüe 2 regim…</t>
  </si>
  <si>
    <t>ntento, el enemigo se verá obligado á retirarse de las inmediaciones de Riga. Nuestra pérdida no ha sido corta, y en ella se comprehende la del mayor general Kuinew, ~á quien una bala de canon le llevó ayer las dos piernas, y murió en el campo de batalla. Yo he sido también herido, aunque levemente, en la mexilla debaxo de la…</t>
  </si>
  <si>
    <t>Kuíusow</t>
  </si>
  <si>
    <t>Idem i.® de Diciembre» Extracto de los boletines franceses 26 y 27, El l.° , cuya fecha es de Borowsk el 23 de Octubre , comienza por la retirada del general Kuíusow y entrada en Moscow del exército francés, á quien recibieron hostilmente los patriotas rusos, que Napeleon en su grosero estilo llama canalla. Sigue luego hablan…</t>
  </si>
  <si>
    <t>Kulnew</t>
  </si>
  <si>
    <t>ado en la derecha del Dwina, sabiendo que dos regi­ mientos de caballería franceses se habían aproximado á Druja, envió al otro lado del rio al mayor general Kulnew con un regimiento de húsares de Grodno y algunos esquadrones de cosacos. Kulnew atacó á la caballería francesa con el mejor suceso: los dos regimientos enemigos" …</t>
  </si>
  <si>
    <t>Kulnien</t>
  </si>
  <si>
    <t>n­ de perseguía al enemigo quando salió el correo. La pérdida por ambas par­ tes en muertos y heridos se ignora todavía, aunque se sabe fue muerto el general Kulnien de los húsares rusos, y herido levemente el conde Witt­ genstein. P. D. Acabo de recibir la siguiente carta del general Essen, que confir­ ma lo que acabo de dec…</t>
  </si>
  <si>
    <t>Kurakin</t>
  </si>
  <si>
    <t>solo pudo permanecer alli pocos dias. Por este conducto nos hemos asegurado de que la petición tan arrogante co­ mo extraordinaria que había hecho el príncipe Kurakin, en la qual declaró que no entraria en explicaciones hasta tanto que la Francia hubiese evacua­ do el territorio de sus propios aliados para dexarlos á merced d…</t>
  </si>
  <si>
    <t>ero á ninguna poten­ cia que envie buques mercantes al mar, á menos que tenga un cierto núme­ ro de navios de guerra. Este tratado fue firmado por el príncipe Kurakin y el príncipe Talleyrand. El buque americano el General Eaton ha llegado el 25 á Deal desde Ca­ lais, de donde habia salido la noche anterior conduciendo alguno…</t>
  </si>
  <si>
    <t>Kutasow</t>
  </si>
  <si>
    <t>1807</t>
  </si>
  <si>
    <t>ando, providencias para asegurar la subsiiteacia del eicéteho, que se halla Del jo. bastante apurado. Las noticias'de oñcio qué llegan del qúartel El general Kutasow ha salido de Bncharest general ruso al senado servio dan á entender que para Petersbnrgo. Algunas cartas de Turquía di­ se ha desistido en aquella provincia de t…</t>
  </si>
  <si>
    <t>Kutmow</t>
  </si>
  <si>
    <t>go superior en c haHfría, fino que ha lo­ grado también detenerlo con sus acertadísimas mnniebras; y por fin la artillería de á caballo, al mando del general Kutmow, íe obligó á retirarse con pérdida. Hemos hecho prisionero al coronel Puctzen, al servicio de Wurtemberg, con SO soldados. El comandante en ge fe alaba la conduct…</t>
  </si>
  <si>
    <t>Kutnsovv</t>
  </si>
  <si>
    <t>. Qne este convoi se componía De algunas semanas á esta parte ban llegado de ocho navios de línea , á saber , la Victoria, de aquí mochos correos del general Kutnsovv, qae 100 cañones, almirante Sanmarez; el S- Jorget han dado motivo á varias conferencias extraordina­ almirante Reinold, de 98; el Dreadnougnt, de rias de loa m…</t>
  </si>
  <si>
    <t>Kutnsow</t>
  </si>
  <si>
    <t>servando todos los movimientos de la policía á baxar el precio de la carne y de las velas. guarnición, y ¡os dos caminos que van á Constantinopla. El general en gefe Kutnsow ha mandado B A VIERA. «char dos puentes sobre el Danubio á los dos lados de la isla de Slobodse. Munich 1de diciembre. Se asegura que Czerni-Jorge ha for…</t>
  </si>
  <si>
    <t>KutosoW</t>
  </si>
  <si>
    <t>e no conser­ Acabamos de recibir la noticia de qne «1 dia a vará mucho tiempo su empleo. de diciembre dieron á la costa cerca de RUsens- Dicen qne el general KutosoW ha dectarado tecn en el JutUnd ei oavío S. Jorge » de 98 , al­ roto el armisticio; pero esta noticia necesita con* mirante lUáaoid,, y la Definía, de 74, capitán…</t>
  </si>
  <si>
    <t>Kutuscw</t>
  </si>
  <si>
    <t>elta del f xé^rito, cuyo mando que­ daba encargado á los generalas Barclay de To^ly y B*gration, hasta que lo tomase en gefe el general Baningsen. El general Kutuscw es­ taba nombrado gobernador de Moscow. De resultas del descubri­ miento de la trayeion de Speransky, se había cambiado el plan de campaña, y los almacenes se ha…</t>
  </si>
  <si>
    <t>Kutusoff</t>
  </si>
  <si>
    <t>9M nublo. Una parte ¿el exércíto vencedor sitió á Rudfichük, donde estaba el Gran* Visir con 3 ó 4000 hombre». — Despees de este su­ ceso, el general Kutusoff ofreció al Gran-Visir la paz. No se saben todavía las condiciones prepuestas; pero hace 8 dias que se ha ce­ lebrado un divan extraordinario, compuesto de 79 personas..…</t>
  </si>
  <si>
    <t>del imperio, distinguiéndose muy parti­ cularmente toda la nobleza. A la salida de las cartas estaba el cambio en aquella capital al 24 y medio. * El general Kutusoff, comandante de los exércitos rusos en el Danubio, acaba de ser nombrado príncipe del imperio y generalísimo de los exércitos rusos del Nerte, teniendo por gener…</t>
  </si>
  <si>
    <t>dos con pérdida. El j atacaron los franceses la izquierda, y fueron igualmente rechaza—, dos, perdiendo mucha gente y alguna artillería. El é hizo el general Kutusoff avanzar su reserva, y completó sus dispo­ siciones. ,,, El 7 ios franceses, favorecidos con una niebla densa, atacaron la izquier­ da rusa con mucho ímpetu, y r…</t>
  </si>
  <si>
    <t>35 4 BOLETIN 19.0 RUSO. El dómandante en gefe príncipe Kutusoff participa al Emperador desde el campo de batalla en las inmediaciones de Borodino, con fecha de 27 de agostot (8 de setiembre), lo que sigue: „De?pues de comunicará V. M, que el 24 (5 de setiembre) ataco el ene­ migo nuestro flanco izquierdo con considerables fue…</t>
  </si>
  <si>
    <t>Kutusow</t>
  </si>
  <si>
    <t>Gaceta de Madrid n.º 10</t>
  </si>
  <si>
    <t>tos que la ante­ gran visir se ln quejado de que los rasos no le en­ rior , obtendrá no menos felices resultados. Cono­ viar» b otantes víveres, y el general Kutusow le cemos á fondo los males que afligen al país, y ha­ ha contesrado que á lo que él se había obligado remos todos los conatos imaginables para minorar­ por el ar…</t>
  </si>
  <si>
    <t>uecos de hierre: la exportación anual un año principiar las hostilidades de un momento para con otro asciende á 373® quintales. otro, y añaden que el general Kutusow estaba resuelto á forzar ¡as tropas que estaban encerradas HUNGRIA. en Rndsclnick y en la isla de Slobodse , y obli­ garlas á rendft las armas. . Buda 2 de dicie…</t>
  </si>
  <si>
    <t>Gaceta de Madrid n.º 22</t>
  </si>
  <si>
    <t>an visir, que este había, „ Las ouevas proposiciones de paz hechas por enviado con despachos a Constantinopla, está ya la Rusia, y comunicadas por el general Kutusow de vuelta en Rudschuck con la respuesta. al gran visir , fueron enviadas por este al divan , el „ No se cree que ios rusos emprendan expedi­ qual las presentó al…</t>
  </si>
  <si>
    <t>ión en Francia , en el baxá de Bosnia ha reconocido el armisticio ajus­ Suiza y en Rusia, y conocido en la república da tado entre e! gran visir y el general Kutusow , y las letras por su excelente obra sobre la natura­ q-fie ha suspendido toda especie de hostilidad con­ leza y origen de ¡os derechos, que publicó el año tra l…</t>
  </si>
  <si>
    <t>odo sus profe­ dos en aquella ciudad. Su comandante lea ha en­ siones , y trabajando á sus oficios. viado hace pocos dias 15© piastras, para ayuda El general Kutusow estaba todavía en Buchide mantenerse» cuya cantidad habia éi tomado rest el dia 20 de febrero; pero ya habia entregado prestada de los comerciantes de Bucharest»…</t>
  </si>
  <si>
    <t>esentados por S. A. R. el duque Guillermo, en las intenciones del gabinete de Petersburgo, Feld-mariscal y ministro de Guerra;.y el último, porque el general Kutusow, que debia ir á aque­ por el teniente general conde de Dillen, el mas an­ lla capital inmediatamente que estuviese restable­ tiguo de los ayudantes generales. , …</t>
  </si>
  <si>
    <t>a y de la Moldavia para completar nombrado comandante en gefe de la capital. El los regimientos. Czerowi;z de Imireta , Constantino , ha entrado i El general Kutusow ha dado al general Lanservir en los cosacos de la guardia imperial, y S. M. Íeron el mando de las tropas que están delante de le ha nombrado su edecán t y tambié…</t>
  </si>
  <si>
    <t>undo de 3 del siguiente, los cuales no refieren suceso afgano de importancia. Sigue retirándose en buen orden el exército ruso, y le manda eh gafe ei general Kutusow desde el 28 de Agosto, en que verificóla reunión del cuerpo de tropas que tenia á sus órdenes en las orillas del Danubio. Diceie que intenta defender í Moscow da…</t>
  </si>
  <si>
    <t>ttgenstein, y que otro de 10000 milicianos habia recibido , el en Petersburgo sus banderas , é iba á salir á los dos dias. Holetin número primtro. El príncipe Kutusow , general de infantería , comandante en gefe de los exércitos rusos, desde Brodino el 6 de Setiembre , co­ munica lo siguiente: „Despues de mi último parte á V.…</t>
  </si>
  <si>
    <t>1186 Boletín número segundo. El genera! príncipe Kutusow , comandante en gefe cielos exércitos, dirige muy respetuosamente á S. M. Iv la siguiente relación desde el campo de batalla en la aldea de Brodino el 8 de Setiembre. „Desde mi parte anterio</t>
  </si>
  <si>
    <t>1250</t>
  </si>
  <si>
    <t>ltimos acaeci­ mientos de Rusia. Bonaparte celebra como una de sus victorias la ba­ talla del 7 de Setiembre en los atrincheramientos de Mojaisck. El príncipe Kutusow dice , que lia derrotado á los franceses causándole* una perdida infinitamente mayor que la de los rusos, á pesar de calcu­ larse esta en 25000 hombres ; que lo…</t>
  </si>
  <si>
    <t>1289</t>
  </si>
  <si>
    <t>Twer y Doctorow en Smolensko. Son tantos los paisa­ nos rusos que acuden á incorporarse en el exército, que no hay ar­ mas suficientes para todos. El príncipe Kutusow se ha situado á 5 werstas de Moscow, y de esté modo lia cortado toda comunicación con aquella ciudad* Por es­ pacio de cuatro dias ha habido acciones muy sangri…</t>
  </si>
  <si>
    <t>1306</t>
  </si>
  <si>
    <t>al. Se trata de cercar á Bonaparte en términos que no pudiendo reci­ bir refuerzos, se vea obligado á abandonar aquella ciudad. „Ei ala izquierda del príncipe Kutusow ha derrotado un cuerpo menor del exército francés, en cuya acción ha perdido este 2 pie­ zas de artiller a y de 3 á 4000 hombres. La guarnición de Bobruisk eme …</t>
  </si>
  <si>
    <t>1322</t>
  </si>
  <si>
    <t>1322 Documentos que se citan en el oficio anterior . Primero* 1 Pttersburgo 27 de Octubre, ' ,,Noticioso el mariscal Kutusow de que el cuerpo de Víctor había dexado á Smolensko para reforzar al exéreito grande * resolvió el íS del corriente atacar la vanguardia, compuesta de 45000 hombres al ruando de Murat, situada al frente…</t>
  </si>
  <si>
    <t>977</t>
  </si>
  <si>
    <t>stos se hallan mu­ Boro-zvsk aj de octubre de iS; 2. Después do chos que la torpeza de nuestro gobierno ha descon­ perdida la batalla del Moskowa, el general Kutusow tentado, y que se reunirán al suyo para vengar los tomó posición una legua antes de llegará Moskow, ultrajes que hemos hecho á su patria. Los america­ la qual co…</t>
  </si>
  <si>
    <t>del frecuente arcabuceo. Los enemigos escasean tanto de víve­ res que se ven reducidos á comer carne de caballo. Xauriston fué enviado á proponer al príncipe Kutusow un armisticio, y habiéndo­ le respondido que no podría verificarse hasta que pasasen el Vístula los franceses: repuso : „será, pues, preciso salir de aquí guerre…</t>
  </si>
  <si>
    <t>He aquí un inconveniente gravísimo para el usurpador , aun suponiendo que los rusos pongan fin á la campaña para acuartelarse, contra lo que dixo el príncipe Kutusow á Lauriston ; pero si ai contrano estos le persi­ guen , como da á entender el emperador Alexanaro en su proclania ; qué suerte le aguarda en la retirada? De Smo…</t>
  </si>
  <si>
    <t>do al enemigo. El general Platow se dirigió por la derecha del camino , á fin de alcanzar la cabeza de la columna , mientras el exército que manda el mariscal Kutusow se encaminaba por la iz­ quierda hacia Elnia. „Sir Robert Wiison, describiendo la maTcha de los exércitos por el camino real, presenta un cuadre de destrucción,…</t>
  </si>
  <si>
    <t>1413 cito enemigo va en estado de insubordinación, y parece que se dirí* gia á Smolensko. „E1 9 de Noviembre el mariscal Kutusow llegó á Elnia donde recibió un parte del general Platow, comunicándole que había al­ canzado 4 divisiones del exército francés al mando de Bcauh&amp;rnois en el camino de Dorogobugsh á Doughovtchstchina…</t>
  </si>
  <si>
    <t>L, Antonio Rafael</t>
  </si>
  <si>
    <t>Antonio Rafael L</t>
  </si>
  <si>
    <t>clesiástico Alcalde de barrio D. Domingo Aivarcz. D. Francisco Verdes Montenegro. .••,) Diputados seculares Diputado eclesiástico D. J &gt;üef de Llora. D. Antonio Rafael L zano. D. Gil Antonio L igana. Diputados secutarte .; 5 r x i D. Josef María de B ldosola. D. Juan del Riego. ; ; ol . I Secretarlo D. Manuel L-ipez de Ribas.…</t>
  </si>
  <si>
    <t>L, Bernardo</t>
  </si>
  <si>
    <t>Bernardo L</t>
  </si>
  <si>
    <t>ente Bofarrull, del batallón dé vo­ luntarios de Tarragona, j; ü. Luis Lobbé , del de Cármona ; y á los cádétés del/mismo cuéjp.9 de guardias Walonas D. Bernardo L’íiotellérié , barón de Wariáge, y D. Antonio del Arco. CADIZ: EN LA IMPRENTA REAL.</t>
  </si>
  <si>
    <t>L, Gil Antonio</t>
  </si>
  <si>
    <t>Gil Antonio L</t>
  </si>
  <si>
    <t>rio D. Domingo Aivarcz. D. Francisco Verdes Montenegro. .••,) Diputados seculares Diputado eclesiástico D. J &gt;üef de Llora. D. Antonio Rafael L zano. D. Gil Antonio L igana. Diputados secutarte .; 5 r x i D. Josef María de B ldosola. D. Juan del Riego. ; ; ol . I Secretarlo D. Manuel L-ipez de Ribas. D. Josef María Pardo. • D…</t>
  </si>
  <si>
    <t>L, Joan</t>
  </si>
  <si>
    <t>Joan L</t>
  </si>
  <si>
    <t>ero. Alcalde de barrio BARRIO DE SAN FRANCISCO. D. Francisco Xavier.de C.baza. Diputado eclesiástico Alcalde de barrio D. Pedro Q-vetami CLbezas. ' . D. Joan L&lt;so de la Veg-. Diputados seculares Diputado eclesiástico D. Gregorio Uriondo. D. Juan Meti&gt;'a. . .. D. Angel de Di-go. Diputados seculares D. Francisco de Santiago. D.…</t>
  </si>
  <si>
    <t>L, Josef</t>
  </si>
  <si>
    <t>Josef L</t>
  </si>
  <si>
    <t>. D. Manuel de Cárdenas. D. Ramón Escudero. D. Francisco Vasco. D. Francisco Xavier Gandanillo*. D. Juan MonSalve.' D. Antonio G..rcíj de la Pedrosa, D. Josef L chambre. D. Ignacio G irmcndia. D. M:ga.l Crok. D. Sar.ti ,go Polidura. D. Timoteo Magnamara.' D. Ignacio' Hermosa. D. Lu ¡s Caballero. D. Joan de Camuo. D. Juan Ahum…</t>
  </si>
  <si>
    <t>L, Juan Antonio</t>
  </si>
  <si>
    <t>Juan Antonio L</t>
  </si>
  <si>
    <t>la inquisi­ las entrega* que progresivamente vaya haciendo ción, leída en la real academia ds la Historia por sn eu el archivo. autor el Evento. Sr. D. Juan Antonio L!orente, con­ sejero de Estado, y académico de número. El objeto ART. x. El oficial encargado del archivo gene­ de esta memoria es probar haberse introducido la …</t>
  </si>
  <si>
    <t>L, Manuel</t>
  </si>
  <si>
    <t>Manuel L</t>
  </si>
  <si>
    <t>lchor Buba, D. Francisco Alvarez , D. Luis Angel García, O. Pedio Toruno, D Antonio Rosado, D. Ildefon­ so Sierra, D Vicente Herrera, D. José C.uóps, D. Manuel L no, D. Pedro Rueda, D. Santiago B-dhmia , O. José Clemente, D. Jo­ sé Me-reno Muñoz, D. Andrés López, D. Baldomcro Espartero, D. Jo&amp;é Sema , D. Fernando Borrero, y D…</t>
  </si>
  <si>
    <t>L, Pedro</t>
  </si>
  <si>
    <t>Pedro L</t>
  </si>
  <si>
    <t>ria de todas estas variaciones; pe­ correos................................................... 12009 ro lo que no podemos menos de obsetvar es que la D. Pedro L .rribeta , oficial de la reota legislación espínala ha sido acaso en este punto la de la lotería........................ .................. 2200 mas incierta, mas obs…</t>
  </si>
  <si>
    <t>L, Simón</t>
  </si>
  <si>
    <t>Simón L</t>
  </si>
  <si>
    <t>ubiesen hecho, é induciendo á ello al preso ento primero del regimiento de infantería Real el que entró á visitarle. Para este caso ténganse frlandes D. Simón L.ivoypierre subteniente del preparados espías á la parte de afuera , escuchán­ mismo cuerpo; al ex-regular del monasterio da dolos y recogiendo sus palabras, y coa ell…</t>
  </si>
  <si>
    <t>, que no sean las de exónerarse de la pri­ delación hecha al alto gobierno por el señor dipu­ mordial y privativa obligación de gobernar la grei tado D. Simón L'.pez fue contraida al redactor, adquirida por el precio de la sangre de Jesús ? conciso , semanario , diario mercantil, y otros ,,Ellos mismos confiesan que la viña d…</t>
  </si>
  <si>
    <t>L, Tomas</t>
  </si>
  <si>
    <t>Tomas L</t>
  </si>
  <si>
    <t>a Maza, ¡d. de Hscobedo, ■‘ D. Alonso Je rge , id.,en Cobos.................... 2200 valle de Catnargq......................................... 2 2oq D. Tomas L bo, id. eo Gómez Sarracín.... 2200 D. Amonio de S. Miguel, id. del lugar de D. Franci co Barrio, id. en Segovia............. 2200 Revilla........... .................…</t>
  </si>
  <si>
    <t>L-guen</t>
  </si>
  <si>
    <t>enseñado que los este puerto los corsarios llamados el JSrcstois , cícimientos sólidos de su prosperidad son la pro­ pitati Gr^ílais , y la Amalia , capitán L-guen. tección de la bandera inglesa, y la integridad de Desde el día 22 hasta el 25 de noviembre se aquellos con quienes negocian. Qao se resuelvan apoderó el primero a…</t>
  </si>
  <si>
    <t>la Activa, Gordon de</t>
  </si>
  <si>
    <t>Gordon de la Activa</t>
  </si>
  <si>
    <t>do mucho su arboladura. — Las presas se condux'-ron á Lisa, y llegarán en breve á este puerto. Ha sido muy sensible la desgracia acaecida al valeroso capitán Gordon de la Activa, y á su primer teniente Dashwood : o! pr mero perdió una pierna , y el segundo un brazo ; pero hay esperanzas de que curen á rabos, y de que vuelvan …</t>
  </si>
  <si>
    <t>la Avecilla, Félix Josef de</t>
  </si>
  <si>
    <t>Félix Josef de la Avecilla</t>
  </si>
  <si>
    <t>o dias, que por primero, segundo y tercero término se ha se­ ñalado. Por el mismo señor juez se cita, llama y emplaza á los herederos abintestat© de- D. Félix Josef de la Avecilla, natural de esta corte , hijo de D. Manuel y Do­ ña Juana Navarro, asimismo difuntos, y de la misma naturaleza, para que dentro del término de 30 d…</t>
  </si>
  <si>
    <t>la Barrera, Laureano de</t>
  </si>
  <si>
    <t>Laureano de la Barrera</t>
  </si>
  <si>
    <t>un año cielos quedare la guerra, 91 y 4 rs. El capitán D. Manuel Bracamente , 25. El capitán D. Juan An­ tonio Bracarnoiífce , 25. El ayudante mayor D. Laureano de la Barrera, 10. El teniente D. Fermín Matos ha ofrecido 30 pesos en cada un año de los que dure la guerra, y servir á su costa, 30. El de la misma clase Don Franci…</t>
  </si>
  <si>
    <t>la Barrera, Lino de</t>
  </si>
  <si>
    <t>Lino de la Barrera</t>
  </si>
  <si>
    <t>D. Pedro Ruiz, 166 y 5. D. Juan Luque Marmol, jubilado , 95 y medio real. Contadores ordindrios. D. Pedro Grillo , 87 y 7. J). Manuel Dufoo , 87 y 7. D. Lino de la Barrera, 83 y 2 y medio. D. Ja­ sé Muelle , 83 y 2 y medio. D. Capistrano Flores, 83 y 2 y medio. Oficia­ les de libros. D, Domingo Moreno , 50. D. José de Eslava …</t>
  </si>
  <si>
    <t>la Cade, Juan Miguel Paez de</t>
  </si>
  <si>
    <t>Juan Miguel Paez de la Cade</t>
  </si>
  <si>
    <t>lo es del departamento ds marina de Cádiz. Pasa las 7 pkz ,s de ministros togados á D. M mú Femando Ruiz del Burgo, D. Esteban Antonio de O rellana, D. Juan Miguel Paez de la Cade­ na, D. Manuel Torras Cónsul, D. Eimon Navarro Pingarron , Don Francisco M vin y D. Francisco Toxibio de Ugarte : para la de fis­ cal militar á D. …</t>
  </si>
  <si>
    <t>la Canal, Anselmo Perez de</t>
  </si>
  <si>
    <t>Anselmo Perez de la Canal</t>
  </si>
  <si>
    <t>Fuente Hermosa, 1000. D. Francisco Velazquez, cura de Omas, 12. D. José Lamas, cura de Huanec , 20. — Cura y cle­ recía de la parroquia de S. Lázaro. D. Anselmo Perez de la Canal , cura de S. Lázaro, 100. D. Nicolás Rueda, capellán del hospital de S. Lázaro, 12. D. Carlos Marin , 12. D. Félix Egusquiza , 12. D. Juan Prada, 25…</t>
  </si>
  <si>
    <t>la Cantera, Matías de</t>
  </si>
  <si>
    <t>Matías de la Cantera</t>
  </si>
  <si>
    <t>nio Maru, por uno , mientras puedan, 9. El licenciado D. Pedro Perez de Medina y su esposa Doña Juana de Dios Pimienta, por uno durante la guerra, 9. D. Matías de la Cantera, id., por 3, 27. El licenciado D. José María Granados, id., por uno, 9. El doctor D. Ni­ colás de Campos , por una vez , 500. Doña Rosalía del Corral, id…</t>
  </si>
  <si>
    <t>la Carrera, Martin de</t>
  </si>
  <si>
    <t>Martin de la Carrera</t>
  </si>
  <si>
    <t>l y demás ge fes del ter­ cer exército, acompañados de las autoridades civiles y cabildo ecle­ siástico , consagraban aquel monumento á la memoria de D. Martin de La Carrera, muerto en Murcia á manos de los franceses coa lá­ grimas del pueblo, y que juraban su venganza. En las oira3 tres ca­ ras estaban las armas del difunto …</t>
  </si>
  <si>
    <t>la Coba, Juan de</t>
  </si>
  <si>
    <t>Juan de la Coba</t>
  </si>
  <si>
    <t>........... 2200 P. Juan de Lucena, id...................................... 2200 P. Josef Naranjo, id.......................................... 2200 D. Juan de la Coba, residenie en Porcuna. 2 2co P. Juan de la Cruz, subdiácono, id........... 2200 P. Juan Perez, id...... ................................ 1...... 2200 P. Migue…</t>
  </si>
  <si>
    <t>la Concha, Manuel de</t>
  </si>
  <si>
    <t>Manuel de la Concha</t>
  </si>
  <si>
    <t>s casas , aunque los rebe des tocaron á rebato las campanas para tumultuarlos.” En parte de 4 de Mayo desde Valladolid dice lo siguiente el ca­ pitán D. Manuel de la Concha al mismo comandante D. Toreuato TruxiUo „Para cumplir con la puntualidad posible las órdenes que V. S. me comunicó la tarde del domingo 26 del último Abri…</t>
  </si>
  <si>
    <t>la Costa, Vicente de</t>
  </si>
  <si>
    <t>Vicente de la Costa</t>
  </si>
  <si>
    <t>tar la exis­ tencia de dicha Doña Ana Blasa,ante ei señor juez letrado de primera instancia Don Francisco Asín , y escribanía del número del cargo de D. Vicente de la Costa , en el término de ocho dias, que por primero, segundo y tercero término se ha se­ ñalado. Por el mismo señor juez se cita, llama y emplaza á los heredero…</t>
  </si>
  <si>
    <t>la Cruz, Félix de</t>
  </si>
  <si>
    <t>Félix de la Cruz</t>
  </si>
  <si>
    <t>el Camino , 30. D. Joaquín Malo, 6. D. José Ma­ ría Tello , 6. D. Juan Silvestre Touroi , 20. D. Lorenzo Espinosa , 30. D. Jo­ sé Ramón Menendez, 25. D. Félix de la Cruz, 4. D. Cristóbal Barragan, 10. D. Ramón Córdoba, 12. D. Femando Plaza, 4. Colectado por el ayu­ dante de gobierno, 483. Id. posteriormente del pueblo de Bab …</t>
  </si>
  <si>
    <t>la Cruz, Mariano García de</t>
  </si>
  <si>
    <t>Mariano García de la Cruz</t>
  </si>
  <si>
    <t>El 27 de este mes saldrán de Caen para sus D. Antonio Fuentes.............................. 782 26 respectivos destinos las rres cohortes de ¡3 divi­ D. Mariano García de la Cruz........... 1565 19 sión 14.* def primer tercio de la guardia nacional. D. J oan García de la Cruz................. 6523 8 Ayer, después de dos días …</t>
  </si>
  <si>
    <t>la Cruz, TF José de</t>
  </si>
  <si>
    <t>TF José de la Cruz</t>
  </si>
  <si>
    <t>randes en donde gi­ men estas miserables víctimas del patriotismo. CVhJs 11 de Noviembre. Continúa ti extracto de ¿os portes de Nueva-España. í.° .El general TF José de la Cruz desde Guadalaxara ceri fe­ cha 7 de Abril último temido al. Sr. virey el parte dado al coman­ dante Ncgrete por el teniente D. José Antonio López Meri…</t>
  </si>
  <si>
    <t>la Cruz, Vicente de</t>
  </si>
  <si>
    <t>Vicente de la Cruz</t>
  </si>
  <si>
    <t>0 Los motivos que tuvieron las comunidades para D. Josef Roldan, id. en Linares.................. 2200 sublevarse contra Carlos v fueron sin duda mui D. Vicente de la Cruz, id. eo Mario*...... 2200 plausibles; pero el modo fue tau desatinado como</t>
  </si>
  <si>
    <t>........................... 3200 Ex-agustinoi. D. Fraucisco Ruíz Pízarro, id................... . 2200 D. Pedro Díaz, residente en Córdoba...... 2200 D. Vicente de la Cruz , id............. ............ 2200 D. Juan de Osuna, id...... ............................ 2200 D. Domingo de Roxas, residente en PozoD. Camilo de la Caba…</t>
  </si>
  <si>
    <t>la Cuadra, José de</t>
  </si>
  <si>
    <t>José de la Cuadra</t>
  </si>
  <si>
    <t>de la colegiata de la misma ciutl&amp;d D. Miguel de Castro y Frgueroa ; del pEior interino del consulado D. Andrés Muñiz ; del t dminútiador de correos D. José de la Cuadra ; y de los líR. PP. Fr. Angel Rodríguez, Fr. Ambrosio de Val y Fr. José Medeía, supe­ riores de las comunidades de Sto. Domingo, S. Francisco y 8. Agustín. E…</t>
  </si>
  <si>
    <t>la Cuenta, Joan Sánchez de</t>
  </si>
  <si>
    <t>Joan Sánchez de la Cuenta</t>
  </si>
  <si>
    <t>nombrados para capitanes y D. Fernando Fernandez oficiales de las ocho compañías los individaos si­ D. Josef Cañete. guientes : Tenientes. Capitanes. D. Joan Sánchez de la Cuenta. D. Juan Francisco de Torres. D. Gonzalo de Valenznela, de granaderos. D. Juan Martin de la Torre, de tiradores. Subtenientes. D. Pedro Morales. D. …</t>
  </si>
  <si>
    <t>la Cues, Andrés de</t>
  </si>
  <si>
    <t>Andrés de la Cues</t>
  </si>
  <si>
    <t>el acto de exhibir las acciones y los do­ cumentos que vaa prevenidos, se dará á cada cecal ima esquela rubricada por el secreta rio del mismo banco, D. Andrés de la Cues­ ta, que deberá presentar al tiempo de entrar en la, jcnt-i para ase­ gurar la legitimidad de la representación de cada individuo. Na siendo posible que muc…</t>
  </si>
  <si>
    <t>la Cuesta, Angel Saeoz de</t>
  </si>
  <si>
    <t>Angel Saeoz de la Cuesta</t>
  </si>
  <si>
    <t>­ La fruta del nogal es también mui útil; se co­ diente á la provincia de Alava, vacante por muer­ me en diferentes estados de madurez, y da un te de D. Angel Saeoz de la Cuesta, al presbítero aceite de que se hacen varios usos. El que se saca D. Andrés Fernandez. á frío, exprimiendo la nuez, puede servir en lu­ Nuestro minis…</t>
  </si>
  <si>
    <t>la Cuesta, Fermín Fernandez de</t>
  </si>
  <si>
    <t>Fermín Fernandez de la Cuesta</t>
  </si>
  <si>
    <t>rar al inocente, castigando el robo, el crimen y la itfi en­ cía. — Dios guarde á Y. E. muchos años. Belviestre del Pinar y ju­ nio 7 de 1812. — JDr. D. Fermín Fernandez de la Cuesta. — Lie. D. Ramón Ortega. — Dr. JD. Domingo Salinas. — Excmo. Sr. vice­ presidente y vocales de la junta superior de Burgos y Segovia.” Extracto …</t>
  </si>
  <si>
    <t>la Cuesta, Ignacio de</t>
  </si>
  <si>
    <t>Ignacio de la Cuesta</t>
  </si>
  <si>
    <t>e Galvez , íd............................. 2200 D. Josef González Hidalgo , id................... 2200 D. Pedro Fernandez , residente en Lucena. 2200 D. Ignacio de la Cuesta, id................ ...... 2200 D. Juan Fernandez, íd........................ 2200 D. Francisco Molina , id.............................. 2200 D. Luis Pe…</t>
  </si>
  <si>
    <t>la Cufesrá, Míreos de</t>
  </si>
  <si>
    <t>Míreos de la Cufesrá</t>
  </si>
  <si>
    <t>, id.................... 2200 D. Juan de Lucena , id...... ............ ............. 22C0 LS. Miguel Redel, id............................... . 3200 D. Míreos de la Cufesrá/id. en Cabra....... 2200 1&gt;. Ignacio Morales, id................................ 2200 D. Pedro Ximenez , id etl Luqüe........... . 2200 D. Josef de Vega,…</t>
  </si>
  <si>
    <t>la Daga, Juan de</t>
  </si>
  <si>
    <t>Juan de la Daga</t>
  </si>
  <si>
    <t>166 y 5.— Vistas y alcayde. D. Rosendo Ximenez , 166 y 5. D. Ramón Sarrio , 125. Don José Darregueiva , alcayde interino , 125. — Oficiales primeros. D. Juan de la Daga, 83 y 2 y medio. D. Francisco María Charum , 83 y 2 y me­ dio. D. Diego Antonio Posada , 166 y 5. D. Antonio Franca, 83 y 2 y me­ dio. D. Manuel Ferreiros , 8…</t>
  </si>
  <si>
    <t>la Daga, Manuel de</t>
  </si>
  <si>
    <t>Manuel de la Daga</t>
  </si>
  <si>
    <t>Juan Antonio Cainacho , 1. D. Luis Alfonso , capellán de Sta. Rosa , 2. D. Bernabé de Tamarjcia, 25. D. Manuel Concha,!. D. Gabriel Oroviogoitia, 6. D. Manuel de la Daga , 10. D. Francisco Moreno , 1. — D. Francisco Moretra y Matute , fiel de moneda , 1000. El monasterio del Prado , 20. — Batallón de infantería válidas de Tt'…</t>
  </si>
  <si>
    <t>la Escalare, Francisco Mastines de</t>
  </si>
  <si>
    <t>Francisco Mastines de la Escalare</t>
  </si>
  <si>
    <t>ra clase debía ser de los colores del pabellón nacio­ nal, en los de la segunda encarnado , y eñ Icb de la tercera pagizo. El profesor de geometría , D. Francisco Mastines de la Escalare, queriendo dar un testimonio público deí mérito de tu dúcípido Dea José Yolez, le regaló un tratado de aritmética escrito por él mismo. ARTI…</t>
  </si>
  <si>
    <t>la Excma, Francisco Xavier Ello y</t>
  </si>
  <si>
    <t>Francisco Xavier Ello y la Excma</t>
  </si>
  <si>
    <t>de Montevideo de 23 de octubre de 1S11. • ,,Articulo de oficio__Tratado de pacificación de las pro­ vincias del Rio de la Plata, entre el Exento, Sr, D. Francisco Xavier Ello y la Excma. yunta executiva de Buenos- slyres. El Excrao. Sr. virey D, Francisco Xavier Elio y la Excma. junta de Buenos-Ayres, deseando terminar las de…</t>
  </si>
  <si>
    <t>la Fuente, Josef de</t>
  </si>
  <si>
    <t>Josef de la Fuente</t>
  </si>
  <si>
    <t>de cámara que fue nestó alguna vez por tned o dei dueño de la tien­ de Carlos IV, nattnai de Naxera. da , qiu hiciesen mejor u&gt;o de su tiempo y de su D. Josef de la Fuente , clérigo de menores, na­ razón; p. ro abusando de u moderación y toleran­ tural de Madrid. cia del g' bizmo, y ¿enerados á vista de los mo­ D. Fabián Polo…</t>
  </si>
  <si>
    <t>la Fuente, Juan de</t>
  </si>
  <si>
    <t>Juan de la Fuente</t>
  </si>
  <si>
    <t>to Picolomini, abanderado, á lord Milton dixo que tenia en su poder una repre­ ayudante segundo. sentación de ios fabricantes de paños de Yorcksliire D. Juan de la Fuente, subteniente, á teniente conrra las órdenes del consejo , á las quaies atri­ de la sexta compañía. ' buyen di dios fabricantes rodos los males que pa­ D. Ve…</t>
  </si>
  <si>
    <t>la Fuente, Marcos de</t>
  </si>
  <si>
    <t>Marcos de la Fuente</t>
  </si>
  <si>
    <t>los arsenales, sublevan las Indias, llevan Para el de Humanes de Madrid al ex-carmeli» socorros i las partes que se declaran independien­ ta descalzo D. Marcos de la Fuente. tes; reciben sus diputados cu Lóndtes , y en­ Para el de Caudilla al ex-regular observante vían cónsules á los puertos sublevados {3). ;Y D. Nicolás Mart…</t>
  </si>
  <si>
    <t>la Fuente, Tomas de</t>
  </si>
  <si>
    <t>Tomas de la Fuente</t>
  </si>
  <si>
    <t>e Cárdenas, por 2 , 18. D, Juan Vicente Adot, id., 18. D. An­ tonio Brvzon , por uno, 9. D. Domingo del Cueto, id. , 9. Doña Manuela Laborda, id., 9. D. Tomas de la Fuente, id., 9. Los herederos de D. Julio AWarez, D ñi ?daría Luisa, Doña Mariana y D. Diego Mayoli, id., 9. Don Miguel Pascual de la Peña, id., 9. D. Vicente San…</t>
  </si>
  <si>
    <t>la Gaucha, Josef Montero-de</t>
  </si>
  <si>
    <t>Josef Montero-de la Gaucha</t>
  </si>
  <si>
    <t>las tropas servias se h in pne&lt;to en movimiento ea D. Pedro Vi lart........................... 3j° todos los puntos ¡nmediaros á las fronteras , con D. Josef Montero-de la Gaucha.- 428 tá motivo, &gt;r,;OB parece , de¡ que ha hecho eltxérciro La rea! fundación del culto diviturco destinado á invadir aquella provincia baxo uo de …</t>
  </si>
  <si>
    <t>la Hada, Bartolomé de León y</t>
  </si>
  <si>
    <t>Bartolomé de León y la Hada</t>
  </si>
  <si>
    <t>................................... 2200 D. Francisco Manuel de Medina, id.......... 2200 D. Francisco de la Torre, id.......................... 2200 D. Bartolomé de León y la Hada, id......2aoó D. Josef Ortiz , id....................................... . 2200 D. Nicolás Tinaones, id.................................. 2200 D. …</t>
  </si>
  <si>
    <t>la Huerta, Pablo López de</t>
  </si>
  <si>
    <t>Pablo López de la Huerta</t>
  </si>
  <si>
    <t>tenido lo honra de presentarse hoi Tagola y D. Felipe de Cíorraga; gefes de trozo al REI nuestro Señor; ye! corregidor, que venia D. Pedro Teliería, D. Pablo López de la Huerta á su frente, ha pronunciado el discurso siguiente: y D. JosefTellería: seminaristas D. Tomas Hea- Señor: riquez, D. Juan Manuel Errazqoin, D. Juan Bau…</t>
  </si>
  <si>
    <t>la Iglesia, Priro de</t>
  </si>
  <si>
    <t>Priro de la Iglesia</t>
  </si>
  <si>
    <t>iné , que lo eran del regi­ miento de Cádiz y batallón del general , D. Francisco Brandis , ayu­ dante mayor del regimiento voluntarios de la Corona, D. Priro de la Iglesia, teniente del batallón del General, y á D. Pedro Otero Arias, ayudante mayor del regimiento de Cádiz: á ayudante ma­ yor segundo, á D. Francisco Armero, c…</t>
  </si>
  <si>
    <t>la Lana, Cayetano de</t>
  </si>
  <si>
    <t>Cayetano de la Lana</t>
  </si>
  <si>
    <t>, por medio del ci­ D. Juan Antonio Medina................ 1534 tado Perez........................................ 924 Y D, Formetio Ignacio de Eche­ D. Cayetano de la Lana.................. 26718 30 varría.,.................................... 3158 Teresa U &lt; aza„................................... 192 &lt; D m. M .ría Adeiaiua…</t>
  </si>
  <si>
    <t>la Lastra, Antonio Perez de</t>
  </si>
  <si>
    <t>Antonio Perez de la Lastra</t>
  </si>
  <si>
    <t>.................... 1840 6 por la constitución del estado, REI de las Espa- D. Ramón López Paez........................ 1565 19 ñas y de las Indias. D. Antonio Perez de la Lastra............ 1565 vista la consulta de la comisión de liquida­ D. Manuel de Salazar................ .......... 3 55* 3 * ción de la deoda del estado…</t>
  </si>
  <si>
    <t>la Lastra, Manuel de</t>
  </si>
  <si>
    <t>Manuel de la Lastra</t>
  </si>
  <si>
    <t>, del campo de Gibraltar. „La pérdida por nuestra parte ha sido de corta conside­ ración : en ella se cuenta herido á mi benemérito ayudante de campo D. Manuel de la Lastra, y mortalmente el co­ mandante del batallón del general, D. Rafael Cano, oficial de continuado y distinguido mérito, digno sucesor del va­ liente Cevallos…</t>
  </si>
  <si>
    <t>94 cuenta herido á mi benemérito ayudante de campo D. Manuel de la Lastra, y mortalmente el comandante del batallón del general D. Rafael Cano, ofi­ cial de continuado y distinguido mérito, digno sucesor del valiente Cevallos, que murió gloriosamente en la batall</t>
  </si>
  <si>
    <t>la Liara, Angel de</t>
  </si>
  <si>
    <t>Angel de la Liara</t>
  </si>
  <si>
    <t>{¡'rimo había p dido al gobierno de £x gerónimos. Meó..a una cierta po'cion de granos para la sub­ sistencia de sus tropas * Ja* quale* no comían pan D. Angel de la Liara, residente eo el Et-</t>
  </si>
  <si>
    <t>la Llana, Francisco de</t>
  </si>
  <si>
    <t>Francisco de la Llana</t>
  </si>
  <si>
    <t>Ariza......... . 10881 «! en Vizcaya, vacante por asceoso de su poseedor, D. Ramón Labroche........................ 20847 asi al ex-regalar carmelita D. Francisco de la Llana. Ei coaoe de Goendaiain................ . 6949 84 D. Tomas Rodríguez Buron........... 1978 84 P. Pedro García Piailtos................. 100322 84 La rea…</t>
  </si>
  <si>
    <t>la Loma, Manuel de</t>
  </si>
  <si>
    <t>Manuel de la Loma</t>
  </si>
  <si>
    <t>.. ........ 2200 D. Josef de Priego , id....................................... 2200 D. Cristóbal Blanco, id.................................... 2200 D. Manuel de la Loma, residenre en An- D. Josef Molina , id...... ..................................... 22CO dújar...............................................................…</t>
  </si>
  <si>
    <t>la Mata, Jacinto de</t>
  </si>
  <si>
    <t>Jacinto de la Mata</t>
  </si>
  <si>
    <t>dro Domínguez, 20. D. Francisco Ortiz , 20. D. Domingo González, 20. D. Manuel Rodríguez Quesada, 4. D. Manuel Ramos , 25. D. Vicente de la Mata, 10. D. Jacinto de la Mata, 10 D Francisco Paredes, 200. D. Mi­ guel Navarrete , 4. D. Miguel Camino , 30. D. Joaquín Malo, 6. D. José Ma­ ría Tello , 6. D. Juan Silvestre Touroi , 2…</t>
  </si>
  <si>
    <t>la Mata, José Gregorio de</t>
  </si>
  <si>
    <t>José Gregorio de la Mata</t>
  </si>
  <si>
    <t>z, 4. Id. D. Manuel Talancha, 6. Teniente B Martin Arquiseña, G. Subteniente D. Alfonso Mejorada,. 100. TX José González, 12. D. Jo­ sé Baldisan, 25. D. José Gregorio de la Mata, 10. D.Felipe Sánchez, 1 y 4. Don Manuel Marín , 16. D. Vicente Caballero, 2. Doña Antonia Cárdenas, 2. Doña Encarnación Carrillo, 2. Doña Manuela Ca…</t>
  </si>
  <si>
    <t>la Mata, Vicente de</t>
  </si>
  <si>
    <t>Vicente de la Mata</t>
  </si>
  <si>
    <t>nio Gonza'ez , 100. Don Isidro Domínguez, 20. D. Francisco Ortiz , 20. D. Domingo González, 20. D. Manuel Rodríguez Quesada, 4. D. Manuel Ramos , 25. D. Vicente de la Mata, 10. D. Jacinto de la Mata, 10 D Francisco Paredes, 200. D. Mi­ guel Navarrete , 4. D. Miguel Camino , 30. D. Joaquín Malo, 6. D. José Ma­ ría Tello , 6. D…</t>
  </si>
  <si>
    <t>la Morena, Deogracias de</t>
  </si>
  <si>
    <t>Deogracias de la Morena</t>
  </si>
  <si>
    <t>rid.......................................... 2200 Doña Francisca de la Pedriza , id................ 2200 Bx-agustinos calzados. IREFECTTJRA DE JAEN. D. Deogracias de la Morena, residente en Colmenar viejo........................................... 2200 Ex-basilios. D. Leonor Martínez, id. en esta corte...... 2200 D. Pedro Es…</t>
  </si>
  <si>
    <t>la Osaña, Domingo Antonio de</t>
  </si>
  <si>
    <t>Domingo Antonio de la Osaña</t>
  </si>
  <si>
    <t>Diputado eclesiástico Diputado eclesiástico D. Baltasar García. D. Joaquín Melgarejo. Diputados seculares '-Diputados seculares D. Angel Sahun. D. Domingo Antonio de la Osaña.' D. Mariano Sopeña. D. Juan de Barreiieche. D. Viceote Espel. D. Josef Arandilla. - . Secretario D. Agustin Estebes. D. Arias Gonzalo de Loza. Secretar…</t>
  </si>
  <si>
    <t>la Ossa, José Antonio de</t>
  </si>
  <si>
    <t>José Antonio de la Ossa</t>
  </si>
  <si>
    <t>nio Andreu, por 4 durante ia guerra, 36. El teniente coronel conde de Monta! vo , id., por 5, 45. El'oficial prime­ ro del ministerio de interventor, D. José Antonio de la Ossa, por 2, men­ sualmente 20, que disfruta de gratificación corno comisario de prisioneros de guerra. Resumen. Durante la guerra. . . -. v...............…</t>
  </si>
  <si>
    <t>la Parra, José Gutiérrez de</t>
  </si>
  <si>
    <t>José Gutiérrez de la Parra</t>
  </si>
  <si>
    <t>el Alvarez , 50. D. Juan Manuel Quirós , 400. El marques de la real Confianza , 200. Doña Francisca Querejazi* y su hijo D. Pablo Avellafuerte , 500. D José Gutiérrez de la Parra ,400 Doit José de Lizarralde , 500. D. Domingo González Castañeda , 200, y otros tan­ tos en cada año que dure la guerra. D. Juan Bernardo Aliaras y…</t>
  </si>
  <si>
    <t>la Parra, Josef MarAi de</t>
  </si>
  <si>
    <t>Josef MarAi de la Parra</t>
  </si>
  <si>
    <t>las demas, á que dio ocasión la celebridad del regimiento de Graoqda , 4.* d«j infantería de línea, día, se notó con satisfacción «1 mayor Órden y la D. Josef MarAi de la ¡Parra á j subteniente de ca­ mas franca alegría. ballería de linea. Igualmente por decreto de ia mis­ ma Techa han quedado-;protnovidos eq el regimien­ to …</t>
  </si>
  <si>
    <t>la Pczueia, Ignacio de</t>
  </si>
  <si>
    <t>Ignacio de la Pczueia</t>
  </si>
  <si>
    <t>741</t>
  </si>
  <si>
    <t>y francés estaban inmediatos uno á otro. ,.Ruego á V. E. acéptelos «seguridades de mi mas alta ccnsiJeración. — Firmado. — //. Wdkslejj. — Excmo. Sí. D. Ignacio de la Pczueia.”</t>
  </si>
  <si>
    <t>la Pedriza, Francisca de</t>
  </si>
  <si>
    <t>Francisca de la Pedriza</t>
  </si>
  <si>
    <t>Rodríguez Cabriaga, residente te en Logroño................ ........................... 2200 en Madrid.......................................... 2200 Doña Francisca de la Pedriza , id................ 2200 Bx-agustinos calzados. IREFECTTJRA DE JAEN. D. Deogracias de la Morena, residente en Colmenar viejo.......................…</t>
  </si>
  <si>
    <t>la Peña, Juan de</t>
  </si>
  <si>
    <t>Juan de la Peña</t>
  </si>
  <si>
    <t>Enriquez , 13. D. Carlos Delgado , 8. B. Juan Piñeiro, 8. D. Felipe Arria, 8. D. Mariano Ay lucrdo, 13. D. Ma­ nuel llenera, S. D. Pedro Norieaga, 8. D. Juan de la Peña , 8. D. José Pasíjuel , 8. D. José María Torres, 8. D. Ignacio Icaza, 8. D. Manuel Icaza, 8. D. Carlos Icaza, 8. D. Manuel Solar, 8. D. Juan Garro, 8 D. Joaqu…</t>
  </si>
  <si>
    <t>la Peña, Leonardo de</t>
  </si>
  <si>
    <t>Leonardo de la Peña</t>
  </si>
  <si>
    <t>se ha empezado i,abrir un canal , qne quia jde S. Bartolomé íde Salamanca, vacante por secqmunicará con el del Schiazza ».y servirá igual- muerte de D. Leonardo de la Peña , á D. Pedro méate para rectificar y ensancharla madre;de estp Marrin.' Rodrigues» ex.jncrcenario calzado. rio,;ypara desecar las lagunas qne se encuentran…</t>
  </si>
  <si>
    <t>la Pesuela, Ignacio de</t>
  </si>
  <si>
    <t>Ignacio de la Pesuela</t>
  </si>
  <si>
    <t>494</t>
  </si>
  <si>
    <t>Mosquera y Figueroa, pre­ sidente.— Juan María Viüavicencio. — Ignacio Rodríguez de Rivas. — El conde del AbisbaL — Ea Cádiz á 18 de abril de 1812. A D. Ignacio de la Pesuela. &lt;éjy»^.i&gt;wr ■■■mina CADIZ: EN LA IMPRENTA REAL.</t>
  </si>
  <si>
    <t>la Pezueia, Ignacio de</t>
  </si>
  <si>
    <t>Ignacio de la Pezueia</t>
  </si>
  <si>
    <t>612 de del Abisba l. — En Cádiz á 24 de mayo de 1812. — A D. Ignacio de la Pezueia. Li Regencia del reyno se ha servido nombrsr coronel en comi­ sión del regimiento de reales guardias walonas al teniente general vizconde de Gante. En el reír miento de reales guardias de i</t>
  </si>
  <si>
    <t>la Pezuela, Ignacio de</t>
  </si>
  <si>
    <t>Ignacio de la Pezuela</t>
  </si>
  <si>
    <t>li­ miento. — Pedro de A:xcir , presidente.— D. Joaquín fílake ausente con permho délas Cortes —Gabriel Ciscar. — En Cádiz á 11 de enero de 1812. — A D. Ignacio de la Pezuela. El capitán general D. Francisco Xavier Castaños con fecha de 20 del actual, desde su cuartel genera! de Fuentes de Oñoro, dice al Escmo. Sr. gefe del e…</t>
  </si>
  <si>
    <t>145</t>
  </si>
  <si>
    <t>de Mo q &gt;era y leguen apresi­ dente. — Juan María Vülavicencio. — Ignacio Rodríguez de Rizan— El conde de La Bi'baL—En Cádiz 4 de enero de 1812. — A D. Ignacio de la Pezuela. Desde el 22 del mes próximo pasado, en que fué instalada la Regencia del reyno, ha recibido sucesivamente 8. A. las diputacio­ nes de los tribunales sup…</t>
  </si>
  <si>
    <t>y Figueroa, pre­ sidente. — Juan Marta Villavieencio. — Ignacio Rodríguez de Rixas. — El conde del Abisbal. —r En Cádiz á 20 de febrero de 1S12. — A D. Ignacio de la Pezuela.” Buques que han recogido correspondencia en la administración de correos de Cádiz durante la semana que finalizó el 22 del corriente. Para Poniente: mís…</t>
  </si>
  <si>
    <t>454</t>
  </si>
  <si>
    <t>Juan María Villavicencio.—Ignacio Rodrigues de Rivas.— El conde del Ahishal9 ausente con licencia de las Cortes.— En Cádiz á 14 de marzo de 1812. — A D. Ignacio de la Pezuela. En la extracción de la real lotería verificada el 17 del corriente salieron los números 1,5, 9 , T y 2 ; ganando los jugadores 711250 rs. Buques que ha…</t>
  </si>
  <si>
    <t>Mosquera y Figueroa, presidente. — Juan María VHÍamcenáo. — Ignacio Rodríguez de Rivas. —- El conde del Áhishal, — En Cádiz á 26 de mayo de 1812. — A D. Ignacio de la Pezuela. Aviso. El contra-almirante Legge, comandante de la escuadra británica surta en este puerto, ha recibido noticia de que la goletacorreo S. José, que sal…</t>
  </si>
  <si>
    <t>, á D. Ciríaco González Carb »jal,* ministro del supremo tribunal de justicia; reser­ vándose premiar correspondientemente á D, José María Carbijal y D. Ignacio de la Pezuela les repetidos é interesantes servicios, que los hacen muy acreedores á la debida confianza pública y á las gracias del Gobierno. — Tendreislo entendido,…</t>
  </si>
  <si>
    <t>ra y Eigueroa , presidente. — Juan María Vilfavicencio. — Ignacio Rodrigue% de Rivas. —- El con­ de del Ahisbal. — En Cádiz á 24 de mayo de 1812. — A D. Ignacio de la Pezuela. El teniente general D. Gabriel de Mendizabal ha dirigido al se­ ñar ge fe del estado mayor general copias de los partes siguientes, que se le han dirig…</t>
  </si>
  <si>
    <t>711</t>
  </si>
  <si>
    <t>Mr. Stüart, ministro de S. M. B. en Lisboa. Ruego á Y. E. acepte las seguridades de mi mas alta consideración.—Firmado—II. Wellesley.— Al Excmo. Sr. D. Ignacio de la Pezuela.” r . Extractó de una carta de Mr. Stuart al vizcon­ de Castlereagh, fecha en Lisboa á 4 de ju­ lio dé 18 ix. «Tengo la honra de informar á V. S. que 'la…</t>
  </si>
  <si>
    <t>ación de Ma­ drid por el exército aliado. Ruego á V. E. acepte las segu­ ridades de mi mas alta consideración. — Firmado — H. Wellesley. — Excmo. Sr. D. Ignacio de la Pezuela.” Traducción.— 'Extracto de una carta del conde de Wellington al conde de Bathurst, fecha en Cuellar á 4 de agosto de 1812. „E1 excrcito francés del cen…</t>
  </si>
  <si>
    <t>U secretaría del descacho de Estado en lugar del marques de Cara*I/uj &gt;, á quien ha exo íerado de ella. Y estando sa­ tisfecha del buen desempeño de D. Ignacio de la Pezuela todo el tiempo que la ha, tenido á su cargo interinamente, y lo mismo la de Gracia y Justicia, ha venido también en nombrarle ministro pleni­ potenciario…</t>
  </si>
  <si>
    <t>la Pezuelm, Ignacio de</t>
  </si>
  <si>
    <t>Ignacio de la Pezuelm</t>
  </si>
  <si>
    <t>hasta el 8 del corriente. Aprovecho esta ocasión psra reno* var á Y. E. las seguridades de mi mas alta consideración. — II. JT~ellesley.— Exemo. S ¿. D. Ignacio de la Pezuelm;,? t ; . . » •, . - , r. Extracto de una caria del marques de Wellington al conde de JSathurst, fecha en Valí'adalid á 7 de setiembre de 1812. „J&gt;jxé á …</t>
  </si>
  <si>
    <t>la PezueU, Ignacio de</t>
  </si>
  <si>
    <t>Ignacio de la PezueU</t>
  </si>
  <si>
    <t>María Villa vicencio. = Ign cío Rodrí­ guez de Ricas = E1 conde del Abhbal, au-enre con licencia de ias Cortes. =s Lrv.Cádiz á 7 de abril de 1812.= A D. Ignacio de la PezueU.” De orden de la Regencia del reyno 1 &gt; comunico á V. para su inteli­ gencia y efectos convenientes. Dios uarde á V\ muchos años. Cádiz de abril de 1812.…</t>
  </si>
  <si>
    <t>la Pezuiela, Ignacio de</t>
  </si>
  <si>
    <t>Ignacio de la Pezuiela</t>
  </si>
  <si>
    <t>de los expresados exércitos. ARTICULO DE OFICIO. Con fecha de 24 de marzo los secretarios de las Cortes generales y extraordinarias han comunicado á D. Ignacio de la Pezuiela el oficio siguiente: „Habiendo examinado las Cortes generales y extraordinarias e! manifiesto y documentos justificativos presentados por los individuos…</t>
  </si>
  <si>
    <t>la Portilla, Juan de</t>
  </si>
  <si>
    <t>Juan de la Portilla</t>
  </si>
  <si>
    <t>PREFECTURA DE SANTANDER. D. Cipriano de Menezo , natural del valle Ex geránimos. de Meruelo.......... .......................................... 2200 D. Juan de la Portilla, id. de Hscobedo... 22c» D. Benito Camas, natural de Peñacastiilo. 2200 D. Dámaso de Villaoáeva , id. .en San­ 1 Ex-franciscanos. tander..................…</t>
  </si>
  <si>
    <t>la Portilla, Luis de</t>
  </si>
  <si>
    <t>Luis de la Portilla</t>
  </si>
  <si>
    <t>osé Mu ñoz y D. Román de la Madrid, del fixo de México; los capitanes del provincial de Tres Villas D. Manuel Corral y Don Nicolás Cano ; el teniente D. Luis de la Portilla y el alférez D. An­ tonio Mendivil, se han portado con mucho valor , así como las tro­ pas que mendaban. Mi primer ayudante D. García Revilla y el ca­ det…</t>
  </si>
  <si>
    <t>la Puente, Cayetano de</t>
  </si>
  <si>
    <t>Cayetano de la Puente</t>
  </si>
  <si>
    <t>rae consigo algunas piezas de batir, que facilitarán ttt toma. ,, Varios cuerpos francos, entre ellos el de! difunto Márquíufzy mandado en el dia por D. Cayetano de la Puente , el de S&amp;crnil, el de Merino, el de Padilla, el de D. Tomas Príncipe, el de Salazar y «tros operan i las inmediaciones dei exército según la, dirección…</t>
  </si>
  <si>
    <t>la Quintana, Francisco de</t>
  </si>
  <si>
    <t>Francisco de la Quintana</t>
  </si>
  <si>
    <t>virtud de providencia del Sr. D. Juan Bautista X&gt;. Manuel Sánchez Toscano........... 9066 22 Guitart, juez de primera instancia en esta villa, se ha D. Francisco de la Quintana........... mandado sacar á pública subasta la casa sita en ella en 5458 II las calles de la Luna y corredera baxa de S. Pablo , se­ D. Jacinto de Urja…</t>
  </si>
  <si>
    <t>la Roca, Juan de</t>
  </si>
  <si>
    <t>Juan de la Roca</t>
  </si>
  <si>
    <t>D/ Manuel Dávalos , 50. D. José Carmona , 50. D. Domingo Bgoaguirre , 25. D. Manuel Rubia, 25 D. José Manuel Valdés , 25. D.'Lo­ renzo niñones , 25. D. Juan de la Roca , 25. D. Andrés Gómez , 25. D. José Fiaría Dávila , 25. D. José Puente , 25 D, Manuel Sequin , 25. D. Pedro Echeverría , ti. D José María Palqoij , 17. D. Pedr…</t>
  </si>
  <si>
    <t>la Rocha, Antonio de</t>
  </si>
  <si>
    <t>Antonio de la Rocha</t>
  </si>
  <si>
    <t>ante del ¡ Pobrecitai Dios haya dado mejor poso á su ánima' segundo batallón. qüé'el que cdla daba á la mia, porque la santa ben­ D.. Jpsef Jáuregui, D. Antonio dé la Rocha, dita se empeñó en que habia d; inocularme su locu­ D. Manuel Maroto, D. Juan Plowes , D. A.ntonio ra ; y como yo soi asi, y que no hai quien me sa­ Mendi…</t>
  </si>
  <si>
    <t>la Rocha, Manuel de</t>
  </si>
  <si>
    <t>Manuel de la Rocha</t>
  </si>
  <si>
    <t>iay , G. D. José So!is , G. D. Martin Tadeo Lope-. 4. 1). 'ÍV.deo Miranda, 4. D. Lucas Fg' avil ,1. f). Mi­ guel de la O, 4. D. \í ría o Martínez, 2. D. Manuel de la Rocha ,-2 D. Mumu 1 Arancivia , 2. D. M t o Tapia, 2. D. Felipe Saenz , 2. D. Fedto Bernuy, 2. D. Agustín Vaides, 2. D. liste van Avila , 2. D. Francisco Villega…</t>
  </si>
  <si>
    <t>la Rosa, Diego</t>
  </si>
  <si>
    <t>Diego la Rosa</t>
  </si>
  <si>
    <t>r todas aquellas nació-tes que han pre­ Jj. Jacinto Ginztiez, id................ .'............. 2aoo ponderado en esta parte del mundo. Los cartagi­ D. Diego la Rosa, id.................................... 2200 neses , romanos, godos y árabes la dominaron su** D. Benito Ga I1, id...................................... 22: o c…</t>
  </si>
  <si>
    <t>la Rosa, Josef de</t>
  </si>
  <si>
    <t>Josef de la Rosa</t>
  </si>
  <si>
    <t>................ 2200 D. F rancisco Gallardo» id................ .............. 2200 D. Juan de Arjona, id...................................... 2200 D. Josef de la Rosa, id.......................... ....... 2200 D. Francisco Vela, residente eb ia Zubia D. Juan Criado , id............................................ 2200 en G…</t>
  </si>
  <si>
    <t>la Rosa, Jpan de</t>
  </si>
  <si>
    <t>Jpan de la Rosa</t>
  </si>
  <si>
    <t>S. M. ha nom­ otros.”__ „ No hagais á otio lo que no quisierais brado á D- Lais Huet subteniente de infantería; á que os hicieseo i vosotros mismos.” D. Jpan de la Rosa, subteniente de la compañía de caballería de cazadores de montaña de GuadaIMPERIO FRANCES laxara , teniente de la misma; á D J)sef Pastian, subteniente de cab…</t>
  </si>
  <si>
    <t>la Rosa, Juan de</t>
  </si>
  <si>
    <t>Juan de la Rosa</t>
  </si>
  <si>
    <t>.......... 2200 D. Pablo Vega , id................................. ........... 2 2QO D. Juan Rodríguez, id..................................... 2200 D. Juan de la Rosa, id........................ ........... 2200 D. Juan Fernandez, id...................................... 2200 D. Amonio de Lucena, residente en M -nD. Benito …</t>
  </si>
  <si>
    <t>la Rúa, Juan Francisco de</t>
  </si>
  <si>
    <t>Juan Francisco de la Rúa</t>
  </si>
  <si>
    <t>ntento repetir tanto como sobre esta materia se ha­ Campo de Ledesma, vacante por fallecimiento de lla escrito, ni menos me propongo dar á los legis­ D. Juan Francisco de la Rúa. ladores lecciones que 00 necesitan, ni consejos que A D. Josef Vicente Muriel para el de Peña- ro me piden. Mi intento es ú nica raen re apuntar al­…</t>
  </si>
  <si>
    <t>la Serna, Antonio de</t>
  </si>
  <si>
    <t>Antonio de la Serna</t>
  </si>
  <si>
    <t>enda mineral de D. Miguel García, 70. Los vecinos del pueblo de Sunicancha. 10 y 2. — Caras y clerecía del partido de Pasco. D. Francisco Fuster, 50. D. Antonio de la Serna, 12. D. Lorenzo Sánchez Ribera, 12. I). Manuel Alvarez , 12. D. Alexandro Odiantes Cevallos, 50. D. Espíritu Zamudio, 12. IX Fermín Hernández, 25. D. Nico…</t>
  </si>
  <si>
    <t>la Serna, Vicente Eugenio de</t>
  </si>
  <si>
    <t>Vicente Eugenio de la Serna</t>
  </si>
  <si>
    <t>3í9J r4 Qoe á una suma importan un millón doscien­ D. Francisco Gómez Xara.............. 15148 29 tos diez y siete mil novecientos veinte y ocho rea­ D. Vicente Eugenio de la Serna.... 1148 4 les y tres y dos tercios de maravedises vellón. El marques de Fuerte Hijar........... *3593 *4 art. 11. Sé entregarán á estos interesad…</t>
  </si>
  <si>
    <t>la Sierra, Juan de</t>
  </si>
  <si>
    <t>Juan de la Sierra</t>
  </si>
  <si>
    <t>que pueda, 54. Él oidor D. Andrés Alvarez Calderón, por 2 (durante sn año) 18. D. Francisco Ajuria, por 2, durante un año, y en adelante por «no, 18. D. Juan de la Sierra, por uno (un año) 9. D. Francisco Xavier Pedroso , por 3, durante la guerra, 27. Í&gt;. Manuel García Caraballo ha ofrecido 1000. ps. de contado y 50 men­ sual…</t>
  </si>
  <si>
    <t>la Sra, Juan Manuel</t>
  </si>
  <si>
    <t>Juan Manuel la Sra</t>
  </si>
  <si>
    <t>á caballo. presentados á S. M. For decreto de 2 de junio el REI se ha ser­ Por la Excma. Sra. condesa de Montmorency, vido nombrar al ex-cisterciense D. Juan Manuel La Sra. condesa de Ponte-Lombriasco. González para que sirva en encomienda una de El Sr. barón de N ¡coiai. las cinco capellanías que en la parroquial de la vi­ E…</t>
  </si>
  <si>
    <t>la Torre, Antonio Rufino Muñoz de</t>
  </si>
  <si>
    <t>Antonio Rufino Muñoz de la Torre</t>
  </si>
  <si>
    <t>e. de republicanismo con monarquía. En España se Para el de Vilbrobia de Jos Ojos de Guadiana llaman defensores de la religión quando á los católi­ á D. Antonio Rufino Muñoz de la Torre. cos de su país los tienen como esclavos, redncieuPara él de Cobisa á D. Mateo Villalengua ,cu­ do i millares de habitantes á la clase de sie…</t>
  </si>
  <si>
    <t>la Torre, Fernando de</t>
  </si>
  <si>
    <t>Fernando de la Torre</t>
  </si>
  <si>
    <t>sticos Soledad y S. Francisco de Paula.— Para la Coruhai ca«* «hematía S. José, — Para Algeciras %. falucho Feroz, Continúan los donativos del Perú0. D. Fernando de la Torre , 8 ps. fs. D„ Juan Manuel Vallona-, 8. D'. José Tórrell, S. El portero del colegio Carolino , 2. El mayordomo , 4, El refitole­ ro, 4. Lo* 2 guardias , …</t>
  </si>
  <si>
    <t>la Torre, Francisco de</t>
  </si>
  <si>
    <t>Francisco de la Torre</t>
  </si>
  <si>
    <t>...................... . 2200 D. Josef Cupe , id............................................... 2200 D. Francisco Manuel de Medina, id.......... 2200 D. Francisco de la Torre, id.......................... 2200 D. Bartolomé de León y la Hada, id......2aoó D. Josef Ortiz , id....................................... . 2200 D. Nic…</t>
  </si>
  <si>
    <t>la Torre, Fsrébande</t>
  </si>
  <si>
    <t>Fsrébande la Torre</t>
  </si>
  <si>
    <t>Rl/s. venda á un precio moderado un papel ó periódico de oficio, el quat se publicará de siete en siete dias. D. Pedro Irigoen y Almansa, por.. 1Ó80 D. Fsrébande la Torre...................... 47*1 12 SUIZA. D. Manuel Llórente............................. 29203 30 Los reales hospitales civiles por me­ . Berna 21 de febrero. d…</t>
  </si>
  <si>
    <t>la Torre, Josef de</t>
  </si>
  <si>
    <t>Josef de la Torre</t>
  </si>
  <si>
    <t>................. 2 2co D. Francisco Alvarez de Villanueva, id. D. Joan Josef Raíz , id. en Viüardonpardo. 2200 desde 14 de setiembre de 1809, en que D. Josef de la Torre &gt; id. en Andujar....... 2200 se le encargó el cuidado del archivo de la comisaría general deIodiaS, por........... 2200 Ex-carmelitas calzados. D. Antonio A…</t>
  </si>
  <si>
    <t>la Torre, Josef García de</t>
  </si>
  <si>
    <t>Josef García de la Torre</t>
  </si>
  <si>
    <t>cisco Alfonso de Tuero. = Sr. D. Ildefonso Cres­ po Mayor. = Sr. D. Vicente María Cabero. = Sr.- D. Francisco Cándido Paz. = Sr. D. Ramón Satue. =Sr. D. Josef García de la Torre. = Sr. D. Ra­ món Macia Lleopat. = Sr. D. Manuel Lartiga. = $r. D. Francisco Marchamalo. Fiscales. Sr. £&gt;. Mateó Zendoqui. = 5r. D. Mateo Valdemoro. …</t>
  </si>
  <si>
    <t>la Torre, Juan Martin de</t>
  </si>
  <si>
    <t>Juan Martin de la Torre</t>
  </si>
  <si>
    <t>D. Josef Cañete. guientes : Tenientes. Capitanes. D. Joan Sánchez de la Cuenta. D. Juan Francisco de Torres. D. Gonzalo de Valenznela, de granaderos. D. Juan Martin de la Torre, de tiradores. Subtenientes. D. Pedro Morales. D. Josef Ximenez. D. Estanislao Agnilar. D. Juan de Ortega Luengo. D. Miguel Parraverde. art. v. En la …</t>
  </si>
  <si>
    <t>la Torre, Manuel de</t>
  </si>
  <si>
    <t>Manuel de la Torre</t>
  </si>
  <si>
    <t>D. Andes Banitez. Alcalde■ dé-barrio Diputados seculares D. Agustín Pascual. ¡ D. Andrés ladeo Perez. Diputado -eclesiástico D. Francisco Rodríguez. D. Manuel de la Torre.. i D. Eugenio Aguado. Dipul ados seculares , y el último secretario Secretario interino, D. Pedro Irig^üen. D. Josef Villar. . &gt; D. Juan de S. Miguel. BARR…</t>
  </si>
  <si>
    <t>la Tozuda, Ignacio de</t>
  </si>
  <si>
    <t>Ignacio de la Tozuda</t>
  </si>
  <si>
    <t>rd Wellington estaba el 27 en Arévalo. ,,Suplico á V. E. reciba las seguridades de mi mas alta conside­ ración. — Firmado — H, WtUesley. — Excmo. Sr. D. Ignacio de la Tozuda.” COPIA DE LOS DESPACHOS DEL LORD CONDE DE rvELLIXGTCWf AL CONDE DE BATIIURST , SECRETARIO DE ESTADO T DEL DEPARTAMENTO DE LA GUERRA.---- Traducción. I. …</t>
  </si>
  <si>
    <t>la V, Juan Antonio de</t>
  </si>
  <si>
    <t>Juan Antonio de la V</t>
  </si>
  <si>
    <t>istentes se declare escuela normal, en Por decreto de 18 del corriente se ha servido donde se pongan 30 ó 40 jóvenes instruidos ya en S. M. nombrar á D. Juan Antonio de la V‘gt al­ la química , y oíroslo que sean hijos de los refi­ calde mayor juez de primeta instancia de Cuchar nadores de Orleans, de'Amberes, de Gante, Mar­ …</t>
  </si>
  <si>
    <t>la Vega, Andrés Angel de</t>
  </si>
  <si>
    <t>Andrés Angel de la Vega</t>
  </si>
  <si>
    <t>eses y plantar sus águilas sobre las torres de Lisboa. ARTICULO DE OFICIO. sidente y uno de sus secretarios; salieron electos, para presidente el Sr. D. Andrés Angel de la Vega, diputado per Asturias; para vice­ presidente el Sr. D. José Miguel Gordo», diputado perla provincia de Zacatecas; y para secretario el Sr. D. Joaquín…</t>
  </si>
  <si>
    <t>la Vega, Andrés'Angel de</t>
  </si>
  <si>
    <t>Andrés'Angel de la Vega</t>
  </si>
  <si>
    <t>Gaceta de Madrid n.º 100</t>
  </si>
  <si>
    <t>as urgentes necesidades^ de nuestros sol-, discuran y aprueben el plan propuesto.: por el di­ dados, que en ¡su desnudez y riiiseria se quejan putado D. Andrés'Angel de la ¡ Vega para organi­ justamente.do qué siendo ellos. lbs&lt; mas privilegia­ zar el gobierno ; y en efecto se señaló el dia 2 de dos aoreedoses de la patria f …</t>
  </si>
  <si>
    <t>la Vega, Josef de</t>
  </si>
  <si>
    <t>Josef de la Vega</t>
  </si>
  <si>
    <t>r del monasterio da dolos y recogiendo sus palabras, y coa ellos, si S. Gerónimo , extramuros de la ciudad de Córdo­ faere menester, un notario." ba, D. Josef de la Vega, capellán del regimiento ¿ Digan ahora todos los teólogos y Juristas del de Sevilla, 3.0 de infantería de línea; al teniente mundo si estas que se llaman cau…</t>
  </si>
  <si>
    <t>la Vega, Josef Martínez de</t>
  </si>
  <si>
    <t>Josef Martínez de la Vega</t>
  </si>
  <si>
    <t>r y la autoridad de los particulares, sino lo qne D. Zacarías Tejero , residente en Caballar. 2200 es mas, y harto mas difícil, la preocupación gene­ D. Josef Martínez de la Vega, id. en Seral, la falsa opinión pública. ¿Solo habéis de ha­ go.via................. 2200 blar qnando esperáis ser aplaudidos de la muche­ D. Ildefo…</t>
  </si>
  <si>
    <t>la Vegi, Silverio de</t>
  </si>
  <si>
    <t>Silverio de la Vegi</t>
  </si>
  <si>
    <t>andamaDn que hai una quadrilla de bandoleros y de la catedral de Palencia, que vacó por muerte monederos falsos , que rierien relaciones con algu­ de D. Silverio de la Vegi. nos habitantes de la Suiza. El landamann ha en­ Y al ex-agustino c-lzado D. Juan Sarasa y cargado á los gobiernos de los cantones que tomen Yéregui, pres…</t>
  </si>
  <si>
    <t>la Vera, Jcsé de</t>
  </si>
  <si>
    <t>Jcsé de la Vera</t>
  </si>
  <si>
    <t>idan, 100. D. Bernardino Salado . 12. D Ignacio Aviles, 100. D. José de.Silva , 6. D. Juan Ferrusola, 50. D. Atanasio l.arios , 10. D José Ponce , 2. D Jcsé de la Vera , 4. D. Pedro Gaiecio , 2. D. Pedro Gamez , 3. D. Gregorio Astyte , 4- La cuadri­ lla de negros trabajadores de aguardientes, 8. D. Manuel Morillo, 20. D. José…</t>
  </si>
  <si>
    <t>la Vida, Josef de</t>
  </si>
  <si>
    <t>Josef de la Vida</t>
  </si>
  <si>
    <t>remo, la casa dr B irbou , que se habí. e evado D Manuel González Vellido...................... 2 2co Sobre sus ruioas, ocupó ei trono esp.ñol por el D. Josef de la Vida* id.............. 2100 testamento de Cirios n. E.tablecidt una nueva D. Jutn Vi iarejj, id................ *200 dinastía en Francia sobre el trono de los B i…</t>
  </si>
  <si>
    <t>la Viña, Agustín de</t>
  </si>
  <si>
    <t>Agustín de la Viña</t>
  </si>
  <si>
    <t>macho y Juan Ru­ bí con 3000 hombres, se habían posesionado de esta ciudad y sus inmediaciones, lo cual habiéndolo sabido en Parangueo el sargenmayor D. Agustín de la Viña-, que desde Salamanca se dirigía á Puruandiro, fue contra ellos el 8 de octubre con ánimo de cor­ tarles la retirada; operación que no piulo executaT, pues…</t>
  </si>
  <si>
    <t>la Viña, Maniieí de</t>
  </si>
  <si>
    <t>Maniieí de la Viña</t>
  </si>
  <si>
    <t>nserrate y en el PLetiro iban ’ los ingleses á incendiar sus almaccnesí de trigQr, cebada , aceyte, galleta y ©tros efectos preciosos, se comisionó á D. Maniieí de la Viña para que en ca­ lidad de venta ó préstamo se-franqueasen á beneficio del vecindario y hospi­ tales, donde yacían exánimes los enfermos; el comisario que se…</t>
  </si>
  <si>
    <t>la Viña, Manuel de</t>
  </si>
  <si>
    <t>Manuel de la Viña</t>
  </si>
  <si>
    <t>ataneo ea S. M., justo apreciadbr del mérito y talentos reemplazo de D. Francisco Antonio Bringas; á de Cibat, y de su constante adhesión á sn perso­ D. Manuel de la Viña en logar dé D. Josef de na, le nombró á su regreso á España en 1809 ins­ Carniza; procurador síndico á D. Domingo Da- pector de sanidad de la guardia real, …</t>
  </si>
  <si>
    <t>La-Rocque, Luis Genaro</t>
  </si>
  <si>
    <t>Luis Genaro La-Rocque</t>
  </si>
  <si>
    <t>o, D. Diego Roch, D. Teobaldo Rodríguez y D. José Armisen; el capitán de navio D. Manuel Delgado ; los tenientes-co­ roneles D. Francisco Serrállach, D. Luis Genaro La-Rocque, D. Jo­ sé Minio, D. Juan Ponman y D. Manuel Gamindez ; el capit&amp;n de fragata D. Jo«é Connock; los sargentos mayores D. Jian de Arcos, D. José María Rub…</t>
  </si>
  <si>
    <t>Laaao</t>
  </si>
  <si>
    <t>933</t>
  </si>
  <si>
    <t>e ¡as restantes 3 fueran destruidas y 4 se refugiaron debsxo de una batería. El mérito da esta acción, dice el almirante Yourgal remitir la carta del capitán Laaao k, es mas recomendable por ha­ ber sido en un puerto enemigo, baxo el cañón de sus fortalezas j á la vi*i&amp; d« su escuadra. Un oficial del navio de S. M., el Améric…</t>
  </si>
  <si>
    <t>Labarrera, Diego</t>
  </si>
  <si>
    <t>Diego Labarrera</t>
  </si>
  <si>
    <t>bteniente de la una virgen con bandolera , pidiéndoles , ya con rue­ quarta compañía de infantería. gos , ya con amenazas , que traxesen quanto anres D. Diego Labarrera á. subteniente de la com­ á los nuestros; y quando ella vió que en lugar de pañía de caballería. acercarse hnian , y que quando llegaban no era de art. vi. En…</t>
  </si>
  <si>
    <t>Labartbe, Josef</t>
  </si>
  <si>
    <t>Josef Labartbe</t>
  </si>
  <si>
    <t>pedios y va­ LLieroD nacer el conflicto entre e&lt;ta y la libertad cantes..................... 15000 de los hijo», por no haber acertado á d«maic»r los D. Josef Labartbe , cti.iai de la renta límites de una y otra. La pragmática, en vez de de la lotería............................... 2290 remediar los efectos.de este conflicto,…</t>
  </si>
  <si>
    <t>Labayen, Joaquín</t>
  </si>
  <si>
    <t>Joaquín Labayen</t>
  </si>
  <si>
    <t>do tenido 2 caballos heridos y uno muerto. 5,La pérdida de mi infantería ha consistido en 30 heridos y 6 muertos, entre estos el valeroso subteniente D. Joaquín Labayen, que lia muerto á la séptima herida que llevaba recibida. „ Recomiendo á V. E. á todo el batallón y caballería por haber cumplido ambos cuerpos sus respectivo…</t>
  </si>
  <si>
    <t>Labé</t>
  </si>
  <si>
    <t>ue desde 'Aragón por Caparrosa y Mendigar ría se dirigieron á ‘Puente, fueron refor­ zados por 10U0 hombres de la plaza de Pamplona , á las ordos del general Labé , quien los mandó reunidos. La madrugada del 80 me hallaba colocado en la calzada, entre Mañeru y Cirauqui : se presentaron 500 caballos ene­ migos na |, t-j que ut…</t>
  </si>
  <si>
    <t>Laberti, Ramón</t>
  </si>
  <si>
    <t>Ramón Laberti</t>
  </si>
  <si>
    <t>ano Villaespesa, teniente coronel del regimiento de Ausona, que fué herido , at capitán del real cuerpo de artillería D. Joaquín ViHaba y al teniente D. Ramón Laberti, que murió gloriosamente al pie del cañón.) ¡Provincia de Guadafaxara SO de mayo. La desgraciada acción del Rebollar de Sigüenza del 7 de febre­ ro , en que la …</t>
  </si>
  <si>
    <t>Labonillerie</t>
  </si>
  <si>
    <t>de Badén , duque da Zoehríngen &amp;e. 8cc. Mr. cí barón Labonillerie, tesorero general de ,, liemos juzgado á propósito para perfeccionar la corona. en nuestra capital la administración de la policía, Mr. Jaoninot, procurador general imperial del separar ios</t>
  </si>
  <si>
    <t>Laborda, Manuela</t>
  </si>
  <si>
    <t>Manuela Laborda</t>
  </si>
  <si>
    <t>ja Lima, por 4, 36. D. Mateo de Cárdenas, por 2 , 18. D, Juan Vicente Adot, id., 18. D. An­ tonio Brvzon , por uno, 9. D. Domingo del Cueto, id. , 9. Doña Manuela Laborda, id., 9. D. Tomas de la Fuente, id., 9. Los herederos de D. Julio AWarez, D ñi ?daría Luisa, Doña Mariana y D. Diego Mayoli, id., 9. Don Miguel Pascual de l…</t>
  </si>
  <si>
    <t>Laborde, Juan Bautista</t>
  </si>
  <si>
    <t>Juan Bautista Laborde</t>
  </si>
  <si>
    <t>art. II. Nuestro ministro de la Guerra que­ da encargado de la execucion de este decreto. = Sexto batallón. Firmado =YO EL REI.= Pór S. M., el minis­ D. Juan Bautista Laborde, subteniente» á te­ tro secretario de Estados Firmados Mariano Luis niente de. i a primera compañía. de Urquijo." D. Miguel Sarralde, subteniente , á te…</t>
  </si>
  <si>
    <t>Labrador, Pedro</t>
  </si>
  <si>
    <t>Pedro Labrador</t>
  </si>
  <si>
    <t>y cautividad la Regencia del reyno, nombrada por las Cortes genera* les y extraordinaria», teniendo presentes los distinguidos méritos y servicios de D. Pedro Labrador, y deseando darle un testimonio pu­ blico del aprecio que le merecen, ha venido en nombrarle pira ser­ vir en propiedad U secretaría del descacho de Estado en …</t>
  </si>
  <si>
    <t>Labroche, Ramón</t>
  </si>
  <si>
    <t>Ramón Labroche</t>
  </si>
  <si>
    <t>521 84 Y para el medio beneficio de la de Gordojoda, P. Rafiel Maríi-iez de Ariza......... . 10881 «! en Vizcaya, vacante por asceoso de su poseedor, D. Ramón Labroche........................ 20847 asi al ex-regalar carmelita D. Francisco de la Llana. Ei coaoe de Goendaiain................ . 6949 84 D. Tomas Rodríguez Buron..…</t>
  </si>
  <si>
    <t>Lacea, Benito</t>
  </si>
  <si>
    <t>Benito Lacea</t>
  </si>
  <si>
    <t>a , 2. D. Tomas Collas, 2. D. Domingo Sánchez , 6. D. Feliciano Eche­ varría , 2. D. Calixto López , 2. D. Gaspar de Castilla , 6. D. José Arana , 2. D. Benito Lacea, 2. D. Jorge Gadea, 6. D. Manuel Bergara, 2. — Regi~ miento de milicias de Ferreñafe. El coronel D. Juan Romualdo de Vidaurre y de la Parra, 100. Ei comandante D…</t>
  </si>
  <si>
    <t>Laclara, Marcelo</t>
  </si>
  <si>
    <t>Marcelo Laclara</t>
  </si>
  <si>
    <t>, 25. D. José Domínguez , 33 y 2 y medio. D. Francisco Taramona, 10. D. Pablo Antonio Moreno , 10. D. Francisco Ameta f oficial mayor jubi­ lado, 25. D. Marcelo Laclara, contador de moneda, 10. El portero Don Domingo Chene, 10. D, José Risco , receptor, 12. D. Antonio Flores . 40. —Contaduría de tribíitos. El oficial mayor, 8…</t>
  </si>
  <si>
    <t>Lacón, Francisco</t>
  </si>
  <si>
    <t>Francisco Lacón</t>
  </si>
  <si>
    <t>Subteniente D. Hipólito Salgúese?.... • • 1 0 ^Ofcro .... D. José Fernandez...... • • 1 ¡ C Primer cap. D. Luis Huerga........ 1 • • ■\ | ídem. . . . D. Francisco Lacón*.... Idem 2.a . . D. Pedro G jrae* de la Pena D. Anselmo May té...... '-"•¡.'Sr:: D. Gerónimo Media?......... &gt;• 7 • 8 abteniente D. Angel Calbelo............…</t>
  </si>
  <si>
    <t>Lacor</t>
  </si>
  <si>
    <t>garon á Almeyda, y no habiendo sacado fruto alguno ni podido penetrar por el Coa, des-, candieron á lo largo de la frontera hasta Gastello-Branco. El brigadier Lacor había dado de antemano las disposiciones convenientes para retirar los ganadcs y poner en salvo cuantos efectos podian trasladar­ se, con arreglo á las órdenes d…</t>
  </si>
  <si>
    <t>Lacrois</t>
  </si>
  <si>
    <t>ste modo somos dueños, de putar el paso, se le desmontó la artillería: una bala la comunicación entre el mar Báltico y el mar Ne­ rompió la pierña al coronel Lacrois, edecán del gro. virei. En estas marchas el enemigo se ha visto forzado El Emperador entró en Bectíenkovtski á las dos 4 destruir .todos sus bagages, y arrojar e…</t>
  </si>
  <si>
    <t>Lacroust, Josef</t>
  </si>
  <si>
    <t>Josef Lacroust</t>
  </si>
  <si>
    <t>1173 8f pañía de guardias marinas, creada en e! departa­ D. Juan Francisco Pastor............ 270 2 {jé1 mento de Cartagena. En este destino al mismo D. Josef Lacroust....................... 4061 8¿ tiempo que el Sr. Mazarredo velaba cuidadosamen­ Doña María de los Dolores Be- 4873 I7 te sobre la disciplina y moral de los alu…</t>
  </si>
  <si>
    <t>Lacy</t>
  </si>
  <si>
    <t>dexado la división del general Arispe en el reyno de Valencia, y después de sacar una gran contribución, marchó para Cataluña, donde me dicen que el general Lacy se vió obligado á levantar el asedio de Tarragona. „ El enemigo no ha hecho movimiento de consideración en el mediodia de España. — JVellmgton '\ ESPAÑA. \ Cebolla, …</t>
  </si>
  <si>
    <t>o el fe­ liz desembarco de un coi: voy muy considerable de armas y municio­ nes , que se iban conduciendo á la plaza de Cardona y otros pun­ ios.— El general Lacy estaba en Vich. Otra caria se ha recibido del brigadier (ya mariscal de campo) D Francisco Espoz v Mina, con íce ha de 9 de febrero étimo en Sangüesa, que dice lite…</t>
  </si>
  <si>
    <t>y de los exéreitos insurgentes de la península. Con intención de libertar á aquella ciudad, los insurgen­ tes de Cataluña, reunidos á las órdenes del general Lacy y d;i ba­ rón de Eróles, marcharon sobre Tarragona en número de 10000 hom­ bres. Dos navios se presentaron delante de la ciudad y arrojaban bembas. Los generales es…</t>
  </si>
  <si>
    <t>IO FRANCES. pusieron en comunicación coi 2© hombriS de las partida-i df Gay y Mira les , que de;de el dia 13 Burdeos 20 de abril. esi ban en Reus. El general Lacy vino á mand.r en Hace algún tiempo que el b.iron del imperio persona el ataque proyectado contra Tarragona , y Mr. Puimaurin , miembro del cuerpo legislativo los in…</t>
  </si>
  <si>
    <t>muertos ó heridos, contándose entre los pri­ meros 4 oficiales. De resultas, el enemigo desistió del empeño de forzar el paso, y tomó otro camino. £1 general Lacy, noticioso de la marcha del general Decaen, dexó en Reus la división de Eróles, y acudió á cubrir á Vich, pero llegó tarde: ios enemigos habían entrado y&amp; en aquell…</t>
  </si>
  <si>
    <t>uniel y Celada, matando 60 enemigos. El 17 de mayo salió Suchet de Valencia para Cataluña con SOCO hombres : se suponía que era con ocasión de que el general Lacy se había aproximado en fuerza á la plaza de Tarragona. Las cartas de Cartagena alc&amp;zan á fines del mes pasado. No ha­ bla novedad en la salud pública. ARTICULO DE O…</t>
  </si>
  <si>
    <t>Lacy, Luis</t>
  </si>
  <si>
    <t>Luis Lacy</t>
  </si>
  <si>
    <t>ontaña de Baza, baxo la dirección del teniente coronel D. Antonio Soto. Y enterado de los progresos de los alumncs , ha dirigido al ge­ neral en gefe D. Luis Lacy, un oficio en que nombra á los mas sobresalientes, recomendando al mismo tiempo el mérito del direc­ tor y de los maestros, los capitanes D. Andrés Rodríguez y D. J…</t>
  </si>
  <si>
    <t>apresados, por habérselos devuelto el capitán Puig con sus car­ gamentos. Extracto de varios partes dirigidos al general en gefe del primer exército, D. Luis Lacy. I. Del comandante D. Manuel Alegre. —Talarn 24 de mayo de 1812. — ^Habiendo sabido que los enemigos tenían en la vida de Monzón * que está amurallada y baxo el cañ…</t>
  </si>
  <si>
    <t>n auxilia nuestro, no puede expresarse en términos mas concisos y enérgicos , del que lo hace nuestro sabio y dignísimo general en gefe el Excmo. Sr. D. Luis Lacy en la si­ guiente proclama. ,,Catalanes : echaos á desear, y ya lo teneis todo. Constitución, monumento eterno de la sabiduría de las Cóites, que nos da una pa­ tri…</t>
  </si>
  <si>
    <t>uede reducido á permane­ cer encerrado en el castillo. Dios guarde &amp;c. Campo de Monzon 23 de julio de 1812, — Exorno. Sr. — José Trillo.— Exorno. Sr. D. Luis Lacy.” Aguilas 30 de julio. El 19 de este mes se publicó y j uró en este puerto la constitución de la monarquía, «accionada por las Cortes generales y extraordina­ rias.…</t>
  </si>
  <si>
    <t>io nues­ tro , no puede expresarse en términos mas concisos y enérgicos de los en que lo hace nuestro sabio y dignísimo general en gefe el Excmo. Sr. D. Luis Lacy en la siguiente proclama. „ Catalanes: echaos á desear, y ya lo teneis todo. Constitución , monu­ mento eterno de la sabiduría de las Cortes, cue nos da una patria,…</t>
  </si>
  <si>
    <t>Lacy, Rafaei</t>
  </si>
  <si>
    <t>Rafaei Lacy</t>
  </si>
  <si>
    <t>D- Fran­ cisco Yillagomez, D. Miguel Fernandez Carcalen,, D. Manuel Fér■ñaiidéz dé'IqS1 Senderos, 0.' Francisco Soler , D. José Perez, D. Luis Arzu, D. Rafaei Lacy , D. Antonio Elizaldi, D. Francisco Reyes y D. Manuel PezueiaCADL6 : EN LA IMPRENTA REAL.</t>
  </si>
  <si>
    <t>Ladori</t>
  </si>
  <si>
    <t>ts a o de febr.ero. en su retirada. Los bagages de toda la infantería y los equipages de! general Villacampa cayeron eo: El día 6 de este mes hizo el capitán Ladori- nuestro poder. El general Soult volvió á Baza,ni, én Liorna, la prueba de una máquina destina­ despues de h; ber logrado completamente el objetó das hacer pedazo…</t>
  </si>
  <si>
    <t>Laeerda</t>
  </si>
  <si>
    <t>regimiento portugués núm. 1 f.° reí coronel Dóuglas del regimiento potingues núm. 8.°: el conde de Ficalho, teniente coronel del mismb regimiento: el coronel Laeerda y el teniente coronel Bi­ zarro del regimiento portugués núm. n.6: el teniente coronel Bingham del re­ gimiento británico 63.°; y también el brigadier general d’…</t>
  </si>
  <si>
    <t>Laforest</t>
  </si>
  <si>
    <t>también tratarerntíS" coa hermoso.,..................... ........................ 500 todo el rigor de las leyes feudales á los que no se F.xcmo. Sr. conde Laforest.................... 600 conformen con las di-posiciones del presente decreto, Excmo. Sr. marqpes de S. Adrián....... ; ZOO 9-° „ lJ«r ultimo declaramos que no asa…</t>
  </si>
  <si>
    <t>Laforga, Miguel</t>
  </si>
  <si>
    <t>Miguel Laforga</t>
  </si>
  <si>
    <t>Gazeta de la Regencia de las Españas n.º 34</t>
  </si>
  <si>
    <t>a muñuna de ayer. El capitán D. Francisco Moreno ocupó el camino de Valverde con su caballería y 20 infantes : el teniente de voluntarios de Valencia D. Miguel Laforga con 50 infantes, el de Zalamea ; y yo con el resto de oficiales y tropa entré por el pueblo á la bayo­ neta , arrollando su gran guardia, y sin disparar un tir…</t>
  </si>
  <si>
    <t>Lafosse</t>
  </si>
  <si>
    <t>do ys á Tortosa y Lérida los enemigos que se reunieron para socorrer á los encerrados le M ra, y ascendían á 1800 infantes y 75 caballos al mando del general Lafosse, dexaudo las guarniciones con solos</t>
  </si>
  <si>
    <t>Lafoy</t>
  </si>
  <si>
    <t>mont va á trasladar su cuartel general á Tala* vera de la Rey na, y aun se añade que se han pasado ya para ello los avisos correspondientes; y que el general Lafoy debe pasar á Toledo. Como los ministros del rey intruso y los afrancesados son los que menos noticias tienen, perqué los franceses, que les podían dar al­ gunas lo…</t>
  </si>
  <si>
    <t>or guarde á V. E. muchos años......... de abril de 1812. Francisco^Espox y Mina. — Excmo. Sr. D. Gabriel de MendizabaL” Talayera 17 de mayo* Dial, El.general Lafoy ha dicho que viene á esta villa Marrnont, y el prefecto de Cáceres ha asegurado que vendrá José Bonaparta — Parece que esta división va á extenderse desde aquí has…</t>
  </si>
  <si>
    <t>Lafuente, Juan Antonio</t>
  </si>
  <si>
    <t>Juan Antonio Lafuente</t>
  </si>
  <si>
    <t>a, subteniente, á teniente: D. Mariano Parias, subteniente , á regiente: Don Francisco Navarro» sargento i.°, á subteniente: Londres.......... 7000 4 D. Juan Antonio Lafuente , sargento i.°, á sub­ W estminster.......... 10000 2 teniente ; y D. Francisco Marcos, sargenta i.°, á Middlessex.............. 3500 2 subteniente; y n…</t>
  </si>
  <si>
    <t>Lagarde, Amonio</t>
  </si>
  <si>
    <t>Amonio Lagarde</t>
  </si>
  <si>
    <t>ivos. Sr. D. Eduardo Contreras..................... loo Sr. 1L Cáríos (jodant,,.¿¿.i,,. ■ faol Continúa la Iista.de los subscriptores áq.lg.comi­ Sr. D. Amonio Lagarde........ .......' • Só­ sión de socorros públicos por el mes de epe.ro de Sr. í&gt;. Manuet Angulo.;...... . ido 1812, segundo de los socorros. La oficialidad de c…</t>
  </si>
  <si>
    <t>Lagoa, Rosendo</t>
  </si>
  <si>
    <t>Rosendo Lagoa</t>
  </si>
  <si>
    <t>. Dolí Jaciuto Alvarez del Pazo, D. Ramón Miguel de Soto, D. Pedro Roullosa, D. José García Verdugo, D. Pedro José Pórtela, D Francis­ co Rodríguez, D. Rosendo Lagoa, D* Xavier Perez Címbrelo y D. Manuel Fernandez; los de ayudantes mayores á D Francisco Ca­ rayaca y D. Juan Bautista Cabaleri; los de tenientes á D. Gregorio Do…</t>
  </si>
  <si>
    <t>Lagomasin, Carlos</t>
  </si>
  <si>
    <t>Carlos Lagomasin</t>
  </si>
  <si>
    <t>Vera, 6. D. Ignacio Govostiza, por algunos vecinos de la ciu­ dad Vieja , 22. D. Mariano Allende , 10. D. Antonio Vallejo por el pueblo d« Balao, 1G. D. Carlos Lagomasin, 200. D. Luis Molina , 10. D. Damian Bodero , 4. Feliciano Avecilla por sí , y los randeadores de cacao , 1G. Toma* Suarez , G. José Plaza, 2. Marcos Galarza…</t>
  </si>
  <si>
    <t>Lagrange</t>
  </si>
  <si>
    <t>es la seganCorchero; y para, segundo substituto de alcalde da edición de la mecánica analítica del senador del mismo barrio D. Juan de Mata Morales. conde Lagrange. Por otro'decreto de la misma fecha D. Anto­ Qnando se pnbiicó esta obra por la primera nio Chavarría ba sido nombrado individuo de la vez,.todos los geómetras la …</t>
  </si>
  <si>
    <t>Laguna, Manuel Benito</t>
  </si>
  <si>
    <t>Manuel Benito Laguna</t>
  </si>
  <si>
    <t>DE COCÍNA , •/! A D. Francisco Reyes Soto, cura de Burujón, ESCRITA POR MI EN EL ULTIMO PERIODO ! para el de Castañar de Xbor, vacante por muerte de D. Manuel Benito Laguna. DE LA REVOLTISA DE, ESPAÍÍA. A D. Castor López de Guzman, cura de .Re­ dueña , para el de Villaminaya , vacante por muer­ Ridkulum acri fortius, te de D.…</t>
  </si>
  <si>
    <t>Lain, Antonio</t>
  </si>
  <si>
    <t>Antonio Lain</t>
  </si>
  <si>
    <t>ópez Quiros , diácono, id... 2 200 D. Fernando Rodríguez , id en Montilla... 2200 D-J uan N ivarro , id,........................................ 2200 D. Antonio Lain, id en Bujalaoce................ z 200 D. Francisco Pacheco Delgado, id........... . 2200 D. Buenaventura Ruiz, residente" en Mon- . 944';°° rilla...............…</t>
  </si>
  <si>
    <t>Lainez, Eugenio</t>
  </si>
  <si>
    <t>Eugenio Lainez</t>
  </si>
  <si>
    <t>ando de ia Barcena. ’ jeo ia vigilancia y.dirección de la junta general, y D. Juan Sánchez Caballero. cuidaráa de conocer el número de pobres que ha­ D. Eugenio Lainez. ya en cada uno , .de clasificarlos, y de recoger y distribuir las limosnas , comida económica y de­ BARRIO DÉ LOS CAÍlOS DEL PERAL. mas socorros que.ponga á s…</t>
  </si>
  <si>
    <t>Lainñesta, Domingo Antonio</t>
  </si>
  <si>
    <t>Domingo Antonio Lainñesta</t>
  </si>
  <si>
    <t>rtínez de Alduanate, en dinero efectivo y alhajas, 18.038 y 2. D. José de Armas, abogado de esta real audiencia , 200. — Ofi­ cina de temporalidades. D. Domingo Antonio Lainñesta , administrador gene­ ral , 266 y '5.' D.' Manuel Palomera, contador general, 31 y 2. D. Agustín Sauz , oficial mayor de la administración &gt; 53. D. …</t>
  </si>
  <si>
    <t>Laiseca, Gregorio</t>
  </si>
  <si>
    <t>Gregorio Laiseca</t>
  </si>
  <si>
    <t>aquín de Arece , 50. D. Francisco González Pavón, 50.— Oficiales amanuenses. D. José Mariano Bustarnanie , 41 y 5. D. Ignacio Talamantes yBaeza,41y5. D. Gregorio Laiseca , 41 y 5. — Contadores de moneém. D. Pedro Vaivevde , 45 y 6 y medio. D. Tiburcio Roklarv, 41 y 5. D. Ma­ tías Alvarez , 41 y 5. —Escribanos. D. Amonio Somoz…</t>
  </si>
  <si>
    <t>Laisequilla, Juan</t>
  </si>
  <si>
    <t>Juan Laisequilla</t>
  </si>
  <si>
    <t>rnandez, 10. D. Francisco Ilervoso , 6. D. Simón Hurtado, 6. D. Narciso Aponte , 6. D. Juan José Herdoyza, 4. D. Andrés Orive , 4. D. J*sé Alien , 4. D. Juan Laisequilla , 4. D. Pedro Delgado Alférez., 6. D. Florencio López , 2. D. Antonio López , 2 y 2. D. Manuel de Villar, 1Q0O. D. Antonio Alvarez de Villar, alcalde ordi­ n…</t>
  </si>
  <si>
    <t>Laissac, Santiago Ramón</t>
  </si>
  <si>
    <t>Santiago Ramón Laissac</t>
  </si>
  <si>
    <t>ompañía de la embastada'de S. M. católica. húsares de Guadalax r.i , á teniente de la misma Por el duque de Carignano , ministro plenipo­ compañía; á D. Santiago Ramón Laissac , Sargen­ tenciario de S. M. el Rci de Nápoies, to primero que fue de guardias Walonas , á te­ El Sr. Malaspina , napolitano, coronal al ser­ niente ag…</t>
  </si>
  <si>
    <t>Lalittc</t>
  </si>
  <si>
    <t>as demas tribunal imperial ue la [laye. funciones administrativas; en su consecuencia man­ Por S. A. S. el príncipe vice-condestable s Mr. damos : el barón Lalittc, coronel del regimiento 72.0 da x.° ,, Se establecerá on director de policía , qne infantesí.i de línea. tendrá por ayudantes y adjuntos dependientes en Mr. Cliahe…</t>
  </si>
  <si>
    <t>Lallave, Crisóstomo</t>
  </si>
  <si>
    <t>Crisóstomo Lallave</t>
  </si>
  <si>
    <t>de Velarde, el mariscal de campo, comandante* general de la alarma de Galicia, D. Francisco Tabeada; los briga­ dieres D. Antonio Garces de Marcilla, D. Crisóstomo Lallave, conde de Priegue, D. Antonio Mañiz y Alvarez, marques de Almeyda , y D. Manuel Torrado; los coroneles D. Francisco Ramcnet, D. Be­ nito Losada, O. José Ce…</t>
  </si>
  <si>
    <t>Lamarque</t>
  </si>
  <si>
    <t>Gaceta de Madrid n.º 74</t>
  </si>
  <si>
    <t>lud á la humanidad de las guardias pro­ sición formidable detras de la rambla de San Vi­ vinciales y de los empleados en las aduaoas, quie­ cente. El general Lamarque maniobró por iz­ nes consiguieron con sus esfuerzos el librarlos de quierda para doblar la posición del enemigo, el una perdición casi inevitable. Sus tripulaci…</t>
  </si>
  <si>
    <t>ón, 23 oficiales é infiriios heridos. El general enemigo en gefe Decaen, temeroso de la pérdida de Tarragona, reunió tropas , y envió á su socorro al general Lamarque, con 10000 infantes y 400 caballos, mientras él se diri­ gía centra Vich con 5000 infantes, 250 caballos y 4 piezas de</t>
  </si>
  <si>
    <t>Lamarqus</t>
  </si>
  <si>
    <t>&amp; C&amp;Ides. Combate de Aitafa’ia el 24 de enero. La división del barón Eróles, compuesta de 4000 Liantes y 250 caballos , fué atacada y envuelta por el general Lamarqus?. Después de muchas horas de pelea, Esoles mandó á su división que se dispersase, señalando para pun o de reunión d ni•.•r-n.-.ieiio d-*. Stss. Cruces. Des comp…</t>
  </si>
  <si>
    <t>Lamas, José</t>
  </si>
  <si>
    <t>José Lamas</t>
  </si>
  <si>
    <t>por el subdelegado de Jauja , 2334. Id. por el de Huamalies, 670 con 5. El marques de Fuente Hermosa, 1000. D. Francisco Velazquez, cura de Omas, 12. D. José Lamas, cura de Huanec , 20. — Cura y cle­ recía de la parroquia de S. Lázaro. D. Anselmo Perez de la Canal , cura de S. Lázaro, 100. D. Nicolás Rueda, capellán del hospi…</t>
  </si>
  <si>
    <t>Lamber</t>
  </si>
  <si>
    <t>do-;protnovidos eq el regimien­ to de infantería Real Bxtrangero'D. Victor Glutz, Por decreto de 18 del cortiente S. M. se ha teniente , á capitán ;, D. Lamber*. Dupoot, subte-, setvído promover al comandante de batallón dé in­ niente , á tenieate, y D. Aogel. Brida, sargenta; fantería D. Francisco Xavier de Gorostiza á coro-…</t>
  </si>
  <si>
    <t>Lames, Cayetano</t>
  </si>
  <si>
    <t>Cayetano Lames</t>
  </si>
  <si>
    <t>ombre tan obce­ Capitanes. cado , que crea que esta guerra puede tener feliz D. Antonio Bexerano. éxito para los ingleses y sus aliados! Pero ¡¡altae D. Cayetano Lames. sunt stirpes stidtitiae Tenientes. D. Antonio Barba. ESPAÑA. D. Rodrigo Pacheco. J\Lidrid 10 dt enero. Subtenientes. D. Ramón Ruiz. El REI ha celebrado hoi co…</t>
  </si>
  <si>
    <t>Lampadius</t>
  </si>
  <si>
    <t>de Durutte, gobernador de esta ciu— • Miguel, sera tanto ó mas concurrida que esta. d.;d, fueron anteayer á Postdan) , donde tuvieron Mientras que el profesor Lampadius, de Freí— la honra de ser presentados á S. M. , y comer en berg, en Saxonia , continú 1 extrayendo azúcar de su compañía en S ms Souci. las patatas , y se va …</t>
  </si>
  <si>
    <t>Lan</t>
  </si>
  <si>
    <t>ortarlos , y que no podráa pues dicen qne ascienden á 25® hombres los qne venderlos tn lo interior del imperio. se han encerrado en aquella plaza. El general Lan- La mejora de nuestro cambio lu movido á la geron está observando todos los movimientos de la policía á baxar el precio de la carne y de las velas. guarnición, y ¡os…</t>
  </si>
  <si>
    <t>Landaburu, Ignacio</t>
  </si>
  <si>
    <t>Ignacio Landaburu</t>
  </si>
  <si>
    <t>añol y extt^ngeros, los in­ y?JC). Mateo Hurtado, y á los de infantería Do» dividuos de los tribunales de esta'corte, el corre­ ^Antonio Caos Beños , D. Ignacio Landaburu rDon gidor, lo» individuos de L municipalidad y de Rafael García.y.D. Antonio Barellas á comandan­ otras corporaciones, los grandés’,'los 'títulos, y tes’de…</t>
  </si>
  <si>
    <t>Langeron</t>
  </si>
  <si>
    <t>viene nas están tan unidas entre sí , que por numerosas de Petersburgo con órdenes del Emperador. El que sean jamas se separan sino en el último ex­ conde Langeron ha Salido para Giurg wo. El ge­ tremo. neral Engeihaodt se ha adelantado con. algunos re­ HUNGRIA. gimientos de infantería y de caballería , para de­ fender el pas…</t>
  </si>
  <si>
    <t>ra defender estas provincias subido considerablemente el precio de los géneros de las invasiones de los turcos. coloniales. Escriben de Semlin que el general Langeron ha AUSTRIA. enviado en estos últimos dias muchos pliegos al se­ nado servio, los quales han dauo motivo á largas Viena 24 de febrerc. conferencias con Czerni-Jo…</t>
  </si>
  <si>
    <t>ti carie no rompimiento'ton la Inglaterra. (The Constaniinopla con ianoucia de que ha sido de­ J&amp;itgiisliman) : . &gt;.n. : nunciado él armisticio.; El' general Langeron está 51 CAMAIIA AZ.TA. [' en la actjualidad recorriendo los qoarteiés donde están acantonadas las. tropas rusas en la orula iz­ 1 Sesión del 28 de febrero. quie…</t>
  </si>
  <si>
    <t>esta especie de casamientos.’-' El gran visir está reuniendo sns fuerzas dispo­ nibles en las cercanías de Rudschuck. Créese que IMPERIO FRANCES. el general Langeron piensa atacar aquella ciudad. Los turcos van evacuando los difereutes pumos Cherburgo 4 de marzá. que habían ocupado, para reunirse con el cuerpo de exército pri…</t>
  </si>
  <si>
    <t>rcito en la , El deshielo de lo?;ríos ha hecho suspender á pequeña Valáquia. lo? rusos su expedicion.á la orilla, meítidiooai del PRUS1A. Danubio. El general Langeron ha.reuidq pqr. con­ veniente mandar que todas sus tropas «e vuclvart Berlín n de marzo. á Ja orilla septentrional , sin duda porqué con la in-i terropcion de la…</t>
  </si>
  <si>
    <t>ntenerse» cuya cantidad habia éi tomado rest el dia 20 de febrero; pero ya habia entregado prestada de los comerciantes de Bucharest» los el mando al conde Langeron , é iba á salir para Pequales te la aprontaron inmediatamente que la tersburgo.. El nuevo get&gt;eral-eo-gefe tiene todavía pidió. su quartel general ea Giurgevvo. E…</t>
  </si>
  <si>
    <t>Laos, Cipriano</t>
  </si>
  <si>
    <t>Cipriano Laos</t>
  </si>
  <si>
    <t>e de españoles, 25. D. José Perez , ca-; pitan del regimiento provincial de dicha villa, 25. D. Ignacio Fernandez, ayudante del mismo regimiento, 25. D. Cipriano Laos , teniente , 25. D. Luis Andrade , administrador del ingenio de Huaura, 25. D. x\ntonio Manrique, cirujano, 25. D. Lorenzo Cepeda, guarda de la renta de alcabal…</t>
  </si>
  <si>
    <t>Laoy</t>
  </si>
  <si>
    <t>las atacaron junto al pueblo de Servia, las dispersaron , mataron é hirieron á varios enemigos, prendieron á 4 de ellos, y libraron á los presos. El general Laoy se situó en Reus á mediados de enero, ame­ nazando á Tarragona. Una divUion francesa, que venia á refor­ zar la plaza, fué atacada el 19 de enero en Villaseca , y de…</t>
  </si>
  <si>
    <t>Lapeña</t>
  </si>
  <si>
    <t>sostenerse. {Semanario pa­ tra ti marques de las Hormazas, D. Esteban Fer­ triótico números 8j y 84.) nandez de León y D. Manuel Albuerne &amp;c. ¿ce. El general Lapeña ha hecho también una re­ Madrid 20 de enero. presentación ai congreso, quejándose de que el consejo de regencia le habia despojado de sus em­ La comisión del esta…</t>
  </si>
  <si>
    <t>Lardi</t>
  </si>
  <si>
    <t>dado por el coronel Rio, que vino á su socorro, replegó sobre Puig. y consiguió Salvarle. El general Zayas, viéndose ,, A pesar de este descalabro el general Lardi- precisado á abandonar su posición, se retiró perse­ zabal hace grandes elogios de sus sol ¡..dos, com- guido y acorado por la caballería francesa, que la .parándo…</t>
  </si>
  <si>
    <t>Lardízabal</t>
  </si>
  <si>
    <t>villa de Coarte y el arrabal del mismo nombre de esta ciudad. La caballería expedicionaria ocupó de nue­ vo su posición de Torrente. La división del general Lardízabal per­ manece cubriendo el arrabal de Coarte, que guarncciá. desde que sa­ lió la división del generad Zayas. El mariscal de campo D. Manuel Freyre pasó á Requen…</t>
  </si>
  <si>
    <t>Lardizabal</t>
  </si>
  <si>
    <t>e una de ellas es nes de la jornada del zj de Octubre* la de nombrarle b¿xá de Belgrado. ,,A las tres de la mañana del 25 de octubre el GRAN BRETAÑA. general Lardizabal envió la segunda’seccidn, com­ puesta de los regimientos de Africa y de Cuenca, Lóndres r6~ de marzo. al mando del segundo comandante Prieto, por el camino qj…</t>
  </si>
  <si>
    <t>su parte el general Lardizabal, que teníamos la se disputó á palmos; los franceses empezaban ya £ victoria asegurada , quando si» saber por qué ni ceder, y las tropas españolas, señaladamente los cómo vi que la caballerí</t>
  </si>
  <si>
    <t>Lardizabal, J'osdf</t>
  </si>
  <si>
    <t>J'osdf Lardizabal</t>
  </si>
  <si>
    <t>irez, gefe del estado mayor del se-^ gondo7cuerpo; D. FrápcjscO Marco d¿l Ponr, Berna jS de marzo. subinspector de la irifánfe^ía del mismo cuerpo; y D. J'osdf Lardizabal, comandante gphcrál de la Hemos vuelto á recibir del país de los gtisdnesi Vanguardia del quarjo cuerpo ; y los dos, brigidietristes noticias de estragos ca…</t>
  </si>
  <si>
    <t>Lardizahal, Josef</t>
  </si>
  <si>
    <t>Josef Lardizahal</t>
  </si>
  <si>
    <t>ariscales de campo D. Carlos O D mell, D. Jo— sef Miranda, D. Josef Zay.is, D. Ruuon Pirez, . . . Ródez's'tf de manzo. L). Francisco M.rcó del Pont y D. Josef Lardizahal; y á los señores brig idieres D. Joaquín do La última coluna dé los conscriptos no ha es­ Zea, D. Venceslao Prieto, IX Antonio Burriely perado para, salir á …</t>
  </si>
  <si>
    <t>Lardo, Antonio</t>
  </si>
  <si>
    <t>Antonio Lardo</t>
  </si>
  <si>
    <t>Castro, ayudante de Piura , 47 y 2 y medio. Don Antonio Mirón , 10. D. Juan Buzca. 15. J#sé Maria Gainza, 6 D. José Ariza, 6. D. Domingo Pombar, 16. D. Antonio Lardo, 16. D. Ramón Ribero, 10. D. José Juan de Echevarría , 25. D. Juan Midan, 100. D. Bernardino Salado . 12. D Ignacio Aviles, 100. D. José de.Silva , 6. D. Juan Fe…</t>
  </si>
  <si>
    <t>Larragoin, Rafael</t>
  </si>
  <si>
    <t>Rafael Larragoin</t>
  </si>
  <si>
    <t>de! bergantín corsario rey Fernando, 24 y 4. D. Juan Mencliaca , capitán de la fragata corsaria, 40. Su segundo D. Luis Ruem , 25. Su primer teniente D. Rafael Larragoin, 12. Su escribano D. Miguel Polo, 10. Su tripulación , 93 y G. La dotación del corsario Flecha, 76 y 4. D. Juan del Pino Manrique , oidor de esta real audien…</t>
  </si>
  <si>
    <t>Larraondo, Josef</t>
  </si>
  <si>
    <t>Josef Larraondo</t>
  </si>
  <si>
    <t>nzález Njiñez , natural de Vi - ' ■ &gt;llaSUSO.............. .................................................................... 2200 Ex- mercenarias. D. Josef Larraondo, residente en Naval- Ex&gt;agustinos. manzano.......................................................... 2200 D. Antonio Tormejon , id. en Chañe.......... 2200 D.…</t>
  </si>
  <si>
    <t>Larrea, Miguel Sancho</t>
  </si>
  <si>
    <t>Miguel Sancho Larrea</t>
  </si>
  <si>
    <t>inez.............................. D. Santiago Urizar............................ 91 I 16 García y Villanoeva........................ 981 I7| irBROS. D. Miguel Sancho Larrea................ 2617 7 Gramática española para uso de los franceses, im­ El mismo y D. Andrés de Aransai. I35IO presa en Francia el año 1797, en la ciuda…</t>
  </si>
  <si>
    <t>Larrea, Tomas</t>
  </si>
  <si>
    <t>Tomas Larrea</t>
  </si>
  <si>
    <t>y 5. D. Juan Sanz, 66 y 5. Don José Iramain , 66 y 5. — Id. terceros. D. José Gervasio del Campo , 50. D. Manuel de Zumaeta, 50. D. Ignacio Odum; 50. D. Tomas Larrea, 50. D. Joaquín de Arece , 50. D. Francisco González Pavón, 50.— Oficiales amanuenses. D. José Mariano Bustarnanie , 41 y 5. D. Ignacio Talamantes yBaeza,41y5. D…</t>
  </si>
  <si>
    <t>Larrefitier, Gregorio</t>
  </si>
  <si>
    <t>Gregorio Larrefitier</t>
  </si>
  <si>
    <t>tia , 66. El escribiente primero D. Luis Calvo, 41. El segundo 3). Francisco Calderón , 41. El tercero D. Francisco Menentlez Camina, 41. Provisional D. Gregorio Larrefitier, 25. Archivero D. Manuel López Solano, 66.—Tesorería. Oficial primero y tesorero interino D. Joaquín Jordán , 100. D. Juan de Irigoyen , segundo , 50. D.…</t>
  </si>
  <si>
    <t>Larreta, Bartolomé</t>
  </si>
  <si>
    <t>Bartolomé Larreta</t>
  </si>
  <si>
    <t>ón del bergantín Nieve, 15 y 2. D. Ramón Goicochea , capitán de la fragata Nueva Castor, 20. Su tripulación, 21 y 4. La de la fragata Veloz , 16 y 2. D. Bartolomé Larreta, capitán de la fragata Júpiter , y su dotación , 59 y 2. D. Juan Esteban de Aguirre, cura de Chacavan , 100. El real tribunal del consulado por lo colectado…</t>
  </si>
  <si>
    <t>Larriva, Gerónimo</t>
  </si>
  <si>
    <t>Gerónimo Larriva</t>
  </si>
  <si>
    <t>2. D. Francisco Zandagoza, D. Pedro Omdoranchey &gt; 2. D. Vicente Navarte , 2. D. Manuel Vengocne.a , 2. D. José Marlategui, 2. D. 'Francisco Roxas, 2. D. Gerónimo Larriva, 2. D. Manuel Zarate, 1. D. Pedro ÍJuidrobo , 2. D. Pedro González, 2. D. José Pac hoco , 2. D. Antonio Córdoba , 2. D. Manuel Maza , 2. Don Mariano Hurtado,…</t>
  </si>
  <si>
    <t>Larriva, José</t>
  </si>
  <si>
    <t>José Larriva</t>
  </si>
  <si>
    <t>o D. José María Sancho Dávila, 500. D. Silvestre da llostas, canónigo penitenciario de Huamanga, 300. La religión de betlemitas de esta ciudad , 500. D. José Larriva, capitán de la matrícula de cargadores de la playa , 25. Los cabos y peones de dicha matrícula , 100. El teniente da dicha José Espejo , 15. El capataz de carpin…</t>
  </si>
  <si>
    <t>LarrUmbe, Pedro</t>
  </si>
  <si>
    <t>Pedro LarrUmbe</t>
  </si>
  <si>
    <t>eaban penetrar hasta su So­ de la villa de Placencia; D. Antonio Aguillo, berano , hallar en 6i el centro de la justicia, el D. Josef Ramón Zomalave, D. Pedro LarrUmbe protector da sns vasallos, y el reparo de los males y D. Josef Errasti, que también reciben la edu­ que la guerra ha hecho inevitables ; este es , Señor, cació…</t>
  </si>
  <si>
    <t>Lartiga, Manuel</t>
  </si>
  <si>
    <t>Manuel Lartiga</t>
  </si>
  <si>
    <t>Vicente María Cabero. = Sr.- D. Francisco Cándido Paz. = Sr. D. Ramón Satue. =Sr. D. Josef García de la Torre. = Sr. D. Ra­ món Macia Lleopat. = Sr. D. Manuel Lartiga. = $r. D. Francisco Marchamalo. Fiscales. Sr. £&gt;. Mateó Zendoqui. = 5r. D. Mateo Valdemoro. Deseoso el tribunal de Apelaciones y Vigilancia de esta corte de lle…</t>
  </si>
  <si>
    <t>s que la Regencia del reyno se sirvió conce­ derle, para jueces interinos de primera instancia en la misma á los Sres. D011 Manuel Fernandez Gamboa y D. Manuel Lartiga , abogados del ilustre cole­ gio de esta villa; y no habiendo podido tener efecto el nombramiento executado en el segundo, por haber sido promovido á una de la…</t>
  </si>
  <si>
    <t>las Bárconas, Manuel Gómez de</t>
  </si>
  <si>
    <t>Manuel Gómez de las Bárconas</t>
  </si>
  <si>
    <t>jos, du­ rante dos años, por 2, 18. D. Sebastian de Espinosa y sus hijos, id., 18. Don José Uz, por un año, por uno, 9 D. Antonio Bocalandro , id. 9. D. Manuel Gómez de las Bárconas, por 2, 13 D. Francisco de Borja Lima, por 4, 36. D. Mateo de Cárdenas, por 2 , 18. D, Juan Vicente Adot, id., 18. D. An­ tonio Brvzon , por uno,…</t>
  </si>
  <si>
    <t>las Cuevas, José de</t>
  </si>
  <si>
    <t>José de las Cuevas</t>
  </si>
  <si>
    <t>671 do teniente marques de Iranda; segunda tenencia de cazadores, ai de fusileros D. José de las Cuevas ; segundas tenencias de fasile ios á ios alféreces D. Joaquín Carcer, D. Pió Sotoiengo, D. Juan Velarde yRoxas, D. Manuel de San Llórente y D. Joaquín MaTÍa Es­ criba, este8 dos últimos de g</t>
  </si>
  <si>
    <t>las Eras, Felipe de</t>
  </si>
  <si>
    <t>Felipe de las Eras</t>
  </si>
  <si>
    <t>nel Di Pabló Astcte, el teniente coronel D. Mariano Lech nga, y (‘1 de igual clase O. Domingo Luis Astcte. los sargentos ma­ yores D. Pedro .Barrera, D. Felipe de las Eras, D Martin de Indacoechea, y algunos oficiales han manifestado un valor extraordinario, digno dé la preferente consideración de Y 8.-—La ai ti Hería- merece…</t>
  </si>
  <si>
    <t>las Guebas, José de</t>
  </si>
  <si>
    <t>José de las Guebas</t>
  </si>
  <si>
    <t>. Clases. Nombres. a ■. w sr c3 j f Teniente 2.° D. Pedro Miigarola. Guardias j Otro.......... D. Manüeí Mendez Vr¿t'des.... l Español.. lOtro ».. •. D. José de las Guebas.... .. l \ O rí D. Juan Manuel, Cogitan... l fSarg.rnivyo? í ti ten. cor. O. Pedro d ? la Yega.. . . ■ * 1 Imne- | Tríente ..' D. Manuel Santos.......... .…</t>
  </si>
  <si>
    <t>las Heras, Anselmo de</t>
  </si>
  <si>
    <t>Anselmo de las Heras</t>
  </si>
  <si>
    <t>e 1812. = R. T.’’ lUr....................................... ............................. 2200 D. Santiago Vellas, id. en Segovia.............. 2200 D. Anselmo de las Heras , id. en id........... 2200 Madrid 18 de julio. Ex-carmelitas. Extracto de las minutas de la secretaría de Estado. D. Gregorio Araujo, residente en Segov…</t>
  </si>
  <si>
    <t>las Indias, Josef Dominy de</t>
  </si>
  <si>
    <t>Josef Dominy de las Indias</t>
  </si>
  <si>
    <t>. 11550 Don Josef Napoleón por la gracia de Dios y D. Eustaquio Salcedo, por medio por la constitución del estado, REl de las Espinas de su apoderado D. Josef Dominy de las Indias. gnez................................................... 3245 24 Visras las quatro consultas de la comisión de liquidación dt la deuda pub Ca, lo e…</t>
  </si>
  <si>
    <t>las Liamosas, Josef de</t>
  </si>
  <si>
    <t>Josef de las Liamosas</t>
  </si>
  <si>
    <t>el exército acaudillado por Monteverde constaba de &lt;5® infan­ tes y 1200 caballos, todos en buen estado, sin contar otros 1® hombres capitaneados por D. Josef de las Liamosas, que vinieron á reunirse con el exército principal én las inmediaciones de Caracas, después de haber derro­ tado 300 hombres, que delaGuayra salieron á …</t>
  </si>
  <si>
    <t>Lasa, Joan Bautista</t>
  </si>
  <si>
    <t>Joan Bautista Lasa</t>
  </si>
  <si>
    <t>. Gerónimo Martines. Diputados seculares Diputados seculares D. Fermín Zéldót. D. Estiban Corones. D. Bernardo García. D. Francisco Antonio Martínez. D. Joan Bautista Lasa. D. Miguel Wranderoih. • Secretario Secretario D. Pedro Grigoén y Almousa. D, Felipe Gutierre*. BARRIO DE JESUS. BARRIO DB LA BUENA* VISTA. Alcalde de barr…</t>
  </si>
  <si>
    <t>Lasci</t>
  </si>
  <si>
    <t>de las Indias. destruida. Oido nuestro ministro de Negocios eclesiásti­ ,,Es tan considerable la pérdida de lo* españo­ cos no libramos : les, qne el general Lasci ha llamado las tropas que ,, P i-a el beneficio entero de la iglesia del lu­ estaban en Reus para reforzar los restos de su gar de AU’cniz, municipalidad de S.Mill…</t>
  </si>
  <si>
    <t>Laspiur, Domingo</t>
  </si>
  <si>
    <t>Domingo Laspiur</t>
  </si>
  <si>
    <t>va Agüero , D Jacinto de Ximeno , D. Juan de Irigoyen, Don Angel Aifaro, D. Manuel Raíz de Burgos, D. Antonio Raras, Don Tornas de la Casa y Piedra , D. Domingo Laspiur, D. José CasiiuIto Sctimayor, í). Francisco María Zu^oaga, D. Marcelo B &gt;za y Edava, D. Manuel Morales y IJgalde, D. Benito Canicoba, Don José Mari?. Galdraio…</t>
  </si>
  <si>
    <t>Lasy, Luis</t>
  </si>
  <si>
    <t>Luis Lasy</t>
  </si>
  <si>
    <t>gencia del reyno nombrar empican general en propiedad de este exército y princi­ pado , y teniente general de los exérciíos nacionales al Exorno. Sr. D. Luis Lasy, que tan dignamente lo habla mandado de interino, prometiéndose la misma jauta fundadamente, que las luces , conoci­ mientos y patriotismo de S. E. que ha sacado to…</t>
  </si>
  <si>
    <t>Latour-Alau</t>
  </si>
  <si>
    <t>dad de encontrar á S. M. hallaban cñ el pueblo de...... posición mui impor­ Píe aquí poco mas ó menos la historia de lo que tante para el enemigo. El general Latour-Alau- han hecho las tropas de mi mando en la batalla k ure , a la cabeza de los coraceros saxones, desti­ del 7. Los cuerpos de. toda arma compitieron en zeló sob…</t>
  </si>
  <si>
    <t>Latour-Maubourg</t>
  </si>
  <si>
    <t>pólvora, 16 piezas de sitio y algunos hospitales. Los enemigos habían puesto fuego á muchos al­ macenes ; pero se han salvado algunos. „ El dia io el general Latour-Maubourg envió la división de’caballería li­ gera, mandada por el general Rosnieke, hacia Mir; y habiendo encontrado ú corta distancia de la población la retaguar…</t>
  </si>
  <si>
    <t>, á los. que se había puesto expedición se encargó al destacamento de húsares fuego. de Ja Muerte prusianos, que la ha desempeñado con El 10 envió el general Latour-Maubourg la di­ honor. S.'M. concedió la divisa de la legión de visión del general Rovniecki de caballería ligera so­ Honor á su coníandante, al teniente Raven , …</t>
  </si>
  <si>
    <t>Latour-Maübourg</t>
  </si>
  <si>
    <t>que prometen «o millones de habitantes*, guar­ sido interceptadas, y retrocedido á la Wolhinia. dadlos para vosotros. ¿A qué contar tantos millo- El general Latour-Maübourg, que seguía ¡a re­ ne«, si los unos son bárbaros, los otros resisten á taguardia de Bagration, estaba el 14 en RomanOw. los turcos, y otros soñolientos se…</t>
  </si>
  <si>
    <t>Lau</t>
  </si>
  <si>
    <t>o haber rado conmigo , entre los quales no puedo menos de hecho ninguna cosa contra él juramento de fideli­ cifar á los generales Legrand, Mer.le, el barón Lau- dad que nos habían prestado, y en consecuencia •renz , geíe de mi estado mayor, Aubri, comandan­ del qual les renovamos sus títulos y prerogativas. te de la arrili -r…</t>
  </si>
  <si>
    <t>Laugton</t>
  </si>
  <si>
    <t>us tinicb as; finalmente, esperamos que el Prín firmeza y al espíritu de un prelado católico, el cipe volverá a aparecer á los ojos de la nación tal cardenal Laugton. La Reina Isabel estaba sin du­ quai era quando todo un pueblo tenia puestas eu da tan interesada en la reforma como el que mas éi sus esperanzas.” de sus suceso…</t>
  </si>
  <si>
    <t>Lauiarca, Manuvl</t>
  </si>
  <si>
    <t>Manuvl Lauiarca</t>
  </si>
  <si>
    <t>D. Juan Bonanza , 41. Jd. D. Francisco Celeueyra, 41, Idem D. Santiago del Aguila, 41. — Almacenes de pólvora. Fiel de almacenes Don Luis Drliz , 66. D Manuvl Lauiarca , guarda , 20. D. Ventura Aguilar , ensa­ yador mayor interino , 150. D. Pablo Patrón, capitán retirado del estado ma­ yor de esta plaza , 145. (Se continuará.…</t>
  </si>
  <si>
    <t>Laurent, Carlos</t>
  </si>
  <si>
    <t>Carlos Laurent</t>
  </si>
  <si>
    <t>D. Juan Francisco de Castro Palomino; á tenien­ tes á B. Gabriel Menoeal y D. Joaquín Ekmii ; á subtenientes de granaderos - á O. Francisco Valera y D. Carlos Laurent, á subtenien­ tes de fusileros á D. Juan Agilitar, D. Lorenzo de Avila, 0. Salva­ dor Morejon y D Francisco Seidel; y á subtenientes de bandera á D. Faustino Fi…</t>
  </si>
  <si>
    <t>Lauris</t>
  </si>
  <si>
    <t>liados con la abertura de una negociación; mas el mismo espíritu que habia anteriormente gobernado al gabinete ruso, baxo varios pretextos impidió al conde Lauris-, ton de llenar su comisión, y se vio por la primera vez que un embaxador, en circunstancias de tanta monta, no pudo conseguir una conferencia, bien fuese con el So…</t>
  </si>
  <si>
    <t>Lauristoh</t>
  </si>
  <si>
    <t>tarlos. Qu.mdo una vez se.ha desenvainado la . El 5 de octubre, con motivo de haber tenido espada, quando la sangre ha empezado á derra­ que pasar el general Lauristoh ®l .quartel general marse ,■ cada concesión píoíiuce una nueva preten­ ruso, se abrió la comunicación entre nuestras avan­ sión, y.rei. que condesciende parece…</t>
  </si>
  <si>
    <t>Lauriston</t>
  </si>
  <si>
    <t>r guar­ niciones francesas. — Extracto de una carta de Eetershurgo de 27 de marzo. ,..Parece ser cierto- que el emperador está para hacer jornada. El general Lauriston ha enviado á un ayudante suyo de campo como correo, y se juzga que hallará á Bouaparte en Dresde. Romanzow no va con el emperador ; y se supone que Alexandro ,…</t>
  </si>
  <si>
    <t>nuevo lo que también he liecho presente á S. M. el Emperador, igualmente que á V. E., á saber, que si á pesar mío llegase á recibir avisos de que el conde Lauriston ha salido de Petersburgo, creeré de mi obligación solicitar inmediatamente los pasaportes , y retirarme de París. = Firmado = El Prínci­ pe Alexandro Kurakin.” Tr…</t>
  </si>
  <si>
    <t>ada, víctimas de la intriga de algunos malva­ te objeto mandó el 17 á la vanguardia, por medio dos. Asi pues para castigar 100 culpados se hubie­ deí general Lauriston, que se pusiese detras del des­ ran sacrificado 8900 inocentes. Por otra parte hu­ filadero de WinkeWo para que el enemigo no ad­ bieran quedado enteramente pe…</t>
  </si>
  <si>
    <t>Lavado, Francisco</t>
  </si>
  <si>
    <t>Francisco Lavado</t>
  </si>
  <si>
    <t>. D. Francisco de Otero , 40. D. Francisco Merino, 25. D. Ce&gt;areo Sanor, 50. D. Juan González , 35. D, Patricio Bermudez, 12. D. Ignacio Monteros, l. D. Francisco Lavado, 12. D. Manuel * ’astro monte, G. 15. Fermín Ace ved o, 12. D. Bernardo Soto, 10. D. Juan Falencia, 50. D. Pedro Montaivo , 10. D. Antonio Hernández , 10. B.…</t>
  </si>
  <si>
    <t>Laval</t>
  </si>
  <si>
    <t>571</t>
  </si>
  <si>
    <t>Si. Se dlxo desde luego que había-una división española en el punto q\n llaman la Boca del As­ no, y que con este motivo marcharla de esta ciudad eí general Laval /quien lo ha verificado esta mañana con 150 hombres de escolta de ambas armas y vanes carros de su equipage. Dia 7 de mayo. Ayer salió de esta ciudad con dirección …</t>
  </si>
  <si>
    <t>Lawrencé</t>
  </si>
  <si>
    <t>l Es- testante, parece increíble que un hombre con tan­ sex, de 32, capitán Peters: el Hornet, de 16, tas ocupaciones haya podido dar vado á todas, y capitán Lawrencé: el Argus,dc 16, capifan SiA- que los áchaqueá de la vejez no hubiesen detenido chair. Todos estos buques están algunos dias hace sil laboriosidad infatigable. …</t>
  </si>
  <si>
    <t>Layando, José</t>
  </si>
  <si>
    <t>José Layando</t>
  </si>
  <si>
    <t>justi­ cia se halla vacante por promoción de D. Antonio Cano Manuel al ministerio de gracia y justicia, v para las secretarías del mismo cojiscj j á D. José Layando, y á D. Juan Madrid Dávila. Avisos, Por decreto del real tribunal del consulado de Cádiz, de 27 de mayo de este año, se emplaza á los interesados en el concurso d…</t>
  </si>
  <si>
    <t>Lázaro, Agustín</t>
  </si>
  <si>
    <t>Agustín Lázaro</t>
  </si>
  <si>
    <t>uan Mozas, D. José Carrasco, D. Diego Perez, Don León Gordo, D. José González Yuste, D. Juan Marmol Calero, Don Calixto Rodríguez, D. Ildefonso Rulz, D. Agustín Lázaro, D. Juan Biirguiilos, D. Santiago López Ruiz, D. Pedro Fernandez, D.'José Muela , D. José María Ximcnez , D. Domingo Draper , D. Ma­ nuel Guio, D. Juan Utrero …</t>
  </si>
  <si>
    <t>n Mozas, D. Josef Carrasco, D. Diego Perez, D. León Gordo, Don Josef González Yuste, D. Juan Manuel Calero, D. Calixto Rodríguez, Don Ildefonso Ruiz, D. Agustín Lázaro, D. Juan Burguillos, D. Santiago López Ruiz, D. Pedro Fernandez, D. Josef Muela, D. Josef Mafia XimenezDon Domingo Draper, D. Manuel Guio, D. Juan Utrero, D. B…</t>
  </si>
  <si>
    <t>Lázaro, Manuel</t>
  </si>
  <si>
    <t>Manuel Lázaro</t>
  </si>
  <si>
    <t>ela y Suarez. Diputados seculares Diputado eclesiástico D. Francisco Moreno. D. Tomas Conde. D. Fernando G.ilan. Diputados seculares D. Eugenio Diai. D. Manuel Lázaro. Secretario D. Antonio Neyra. D. Rafael Antonio Mazon. D. Pedro Ezquerra. Secretario BARRIO DE SANTA CRUZ. D. Tomas Tordesillas. ( Alcalde de barrio BARRIO DE M…</t>
  </si>
  <si>
    <t>Lázaro, Mariano</t>
  </si>
  <si>
    <t>Mariano Lázaro</t>
  </si>
  <si>
    <t>D. José del Valle y D. Vicente Pastor; á los sargentos segundos Eugenio Q ii'cz, Joaquín Jarqué,'Ambrosio Rodríguez y Manuel Oxtis; y á los so'dados D. Mariano Lázaro, Vicente Chueca, Do­ mingo Costa y Joié Tejada. „Eí comandante de artillería recomienda por su parte al capitán D. Fernando L'Traga y al teniente D. Toma Branda…</t>
  </si>
  <si>
    <t>Lciiai, Antonio</t>
  </si>
  <si>
    <t>Antonio Lciiai</t>
  </si>
  <si>
    <t>gd llena López Ca« D- Manuel Ramos, y en su nom­ b-ejdS............................................. 44Í9 * bre D. Santiago Santos..!......... 27o if D. Antonio Lciiai , á 1 ombre de Doña Francisca Rico, y en so su muger Doña María de los nombre D. Santiago Santos..... 631 2&lt;í Doloies Beian lia....................... 11726 26…</t>
  </si>
  <si>
    <t>Ldrénzd, Juan</t>
  </si>
  <si>
    <t>Juan Ldrénzd</t>
  </si>
  <si>
    <t>stico D. Manuel Agu'iUr. 2&gt;. Lorenzo López. Diputado secular Diputados seculares D. Blas de Torres. D. Hilaria Avendaiío. , Los demás están vacantes. D. Juan Ldrénzd.Secretorio QUARTEL DE SAÑ ISIDRO. D. Manuel María ibañez. barrio de la comadrS. QUARTEL DE SAN GERONIMO SARRIO DEL BUEN—SUCESO. Alcalde de barrio . . Alcalde, de…</t>
  </si>
  <si>
    <t>Le-M</t>
  </si>
  <si>
    <t>a á Usagre y la segunda á Bien­ venida ; siendo raí .intento atacar al enemigo con la brigada del ma­ yor general Anson, entre tanto que la del mayor general Le-M&amp;rchant, por medio de un movimiento sobre su íi-meo desde Bienveni­ da, le cortaba la retirarla sobre Llerena. ,,Las avanzadas del mayor general Anson cayeron sobre …</t>
  </si>
  <si>
    <t>Le-Marchant</t>
  </si>
  <si>
    <t>, estaba acariñada entre Usagre y este pueblo, dispuse que la brigada del mayor general Anson, mandada por el teniente coronel Pomonby, y la defmayor general Le-Marchant, se adelantasen en el discurso de la noche des­ de Villatranca y los Santos, midiendo de tal modo el tiempo, que lle­ gasen antes de rayar ei día, la primera…</t>
  </si>
  <si>
    <t>­ ces que el teniente coronel Ponsonby manifestase solo 3 escuadrones, y procurase entretener al enemigo por sq frente hasta que la brigada del mayor general Le-Marchant, á la cual envié al coronel EUey para que la guiase cubierta por las alturas, estuviese pronta á atacar al enemigo por su flanco. Esta combinación tuvo el ma…</t>
  </si>
  <si>
    <t>eneral Jorge Anson , que mandaba una brigada de caballería, al coronel Hiude, al honorable coronel Guillermo Ponsonby, que mandó la brigada del mayor general Le-Marchant des­ pués de la muerte de este oficial, al mayor general Anson , que man­ dó una brigada de la cuarta división, al mayor general Pringle, que mandaba una bri…</t>
  </si>
  <si>
    <t>Le-Marchaut</t>
  </si>
  <si>
    <t>pleton Cotton, cargó tan bizarra como, felizmente á un cuerpo de infantería enemiga, arrollándolo y acuchillándolo» Eu-esta carga fué muerto el mayor general Le-Marchaut á la cabeza de su brigada q oficial muy. hábil, y cuya pérdida me es muy sensible. „Despues que se llegó á la cumbre de las alturas, una división de infanter…</t>
  </si>
  <si>
    <t>Le-Marehant</t>
  </si>
  <si>
    <t>433 „EI teniente coronel Ponsonby siguió al enemigo por Villa garcía poco deapn.es de amanecer, y faé escaramuzando con éi hasta quo el general Le-Marehant, con su brigada, llegó por el otro lado de las alturas de entre el camino de Llerena y Bienvenida. Dispuse enton­ ces que el teniente coronel Ponsonby manifestase solo 3 e…</t>
  </si>
  <si>
    <t>Le-Mirchant</t>
  </si>
  <si>
    <t>472 pleton Cotton, del mayor general Le-Mirchant, y de los oficiales y tropas de su mando (1). „El enemigo se retiró el mismo d‘a de Tderena , y después ente» lamente de la provincia ds Extremadura. No tengo aun la noticia de si el genera</t>
  </si>
  <si>
    <t>Leaky</t>
  </si>
  <si>
    <t>l 40, también herido, tse distinguió mucho, como asimismo los tenientes corone­ les Blakeney de fusileros reales. Knight del 27, Er kine del 40, y el capitán Leaky que mandaba el 23 de fusileros, por haber sido he­ rido ei teniente coronel Ellis durante las operaciones anteriores del sitio. ,,Ea la quinta división debo nombra…</t>
  </si>
  <si>
    <t>Lear</t>
  </si>
  <si>
    <t>putarlo, tanto en calidad como en cantidad, muy inferior á lo que esperaba. En su consecuencia lo hizo volver á bordo, y dio orden al mismo tiempo al coronel Lear y á todos los americanos que saliesen de Ar­ gel, y se embarcaseñ en dicho buque. El 13 de julio salió á cruzar hacia la parte del E. una esquadra argelina, compues…</t>
  </si>
  <si>
    <t>Lebre, Antonio</t>
  </si>
  <si>
    <t>Antonio Lebre</t>
  </si>
  <si>
    <t>tiradores de las que son de poco valor, ó embarazosas para su guardia á D. Juan Luis Bouvard , mayor, á co­ conducirlas á nuestros puertos. ronel ; ¿ D. Antonio Lebre, comandante de bata­ El colegio de los jesuítas de Polocs en la Lt- llón, á mayor; á D. Carlos Charpeney, capitán, tnania ha sido erigido en academia con el tít…</t>
  </si>
  <si>
    <t>Leca, Bernardo</t>
  </si>
  <si>
    <t>Bernardo Leca</t>
  </si>
  <si>
    <t>ócesis de Avila , vacante por S. M. nombrar muerte de D. Diego Merino Molano, en lugar del A D. Pedro Terreros, presbítero, ex-merce­ ex- benedictino D. Bernardo Leca, que pasó á ser nario calzado, para una ración de la santa iglesia racionero de la catedral de Salamanca &gt; y del ex­ de Salamanca*» vacante por fallecimiento de…</t>
  </si>
  <si>
    <t>Lecer</t>
  </si>
  <si>
    <t>su general han dado motives de elegió á S.-E., y últimamente ha sido muy digna la conducta de los tres regimientos de la Beira Basa á las órdenes dei brigadier Lecer ; prestaron atención y obedecieron á sus ofi­ ciales , y de consiguiente se retiraron á presencia de un enemigo su­ perior , sin que este se atreviese á incomoda…</t>
  </si>
  <si>
    <t>Lechuga, Josef</t>
  </si>
  <si>
    <t>Josef Lechuga</t>
  </si>
  <si>
    <t>.... 3200 D. Benito Alonso, residente en Madrid..... 2200 D. Juan Perez, id...................... 2200 D. Márcos Guerra, lego, id. en Alcalá.... non, D. Josef Lechuga , id............. 2200 D. Diego Guerrero, id. eo la Guardia...... 2200 Bx-dominicos. D. Antonio.Guerrero, id. en Cambil........ 2200 D. Isidro del Saz, resident…</t>
  </si>
  <si>
    <t>Ledesma, Felipe</t>
  </si>
  <si>
    <t>Felipe Ledesma</t>
  </si>
  <si>
    <t>s últimos de granaderos ; empleo de alférez de gra­ naderos al de fusileros D. Rodrigo Rodríguez Campcmanes ; y em­ pleos de alféreces de fusileros á D. Felipe Ledesma, ayudante del primer b? tallón de granaderos de Castilla la vieja, B. Diego Orbaneja, ayudante del regimiento de Ciudad Real, y D. Francisco Keyser, ayudante d…</t>
  </si>
  <si>
    <t>Ledesma, José</t>
  </si>
  <si>
    <t>José Ledesma</t>
  </si>
  <si>
    <t>. Francisco Ren­ teros, G. Id. D. Santos Cabrejos, 12. Id. D. Bartolomé Dapelo r6. Id. D. Eulalio Guzman , 4. El alférez D. José Manuel Muro, 12. Id. D. José Ledesma, 2. Id. D. Jacinto Quesada, 6, Id. D. Francisco Barragan, 6. Id. D. Joté Villalobos, 12. El portaguión D. Silvestre Rodríguez, 25. El cadete. Don José María de l…</t>
  </si>
  <si>
    <t>Ledru</t>
  </si>
  <si>
    <t>s socorros que el enemigo enviaba á su retaguardia, hizo avanzar una coluna sobre el centro de la posición del enemigo, auxiliada por la división del general Ledru, y después de una hora se tomo la posición. El general conde Gudin, que llegó con sus divisiones, fue herido al principio de Ja acción por una bala que le llevó un…</t>
  </si>
  <si>
    <t>Lee</t>
  </si>
  <si>
    <t>on las prisiones ^para gserinsr víctimas qiíé estaban baxo- la-protección de las leyesmatando ab general fLingaír , ié hiriendo con otrosí muchos, al general Lee. Según un discurso pronunciado en la asamblea de los habitantes de. Boston, con el fin de formar.una socie­ dad .de piudadanos ^rotados. para manteniec elfocdení y &gt;…</t>
  </si>
  <si>
    <t>Lee, Harry</t>
  </si>
  <si>
    <t>Harry Lee</t>
  </si>
  <si>
    <t>nmediatamente se ha esparcido la proclama del dt su sangre , y comernos su corazón. general TIuli por todos los lugares del contorno. Ya ha muerto el general Harry Lee , y hai trini La milicia canadiense deserta de Malden en par­ poca esperanza de que sobrevivan los demas. El ge­ tidas considerables; al recibir la proclama se…</t>
  </si>
  <si>
    <t>Lef</t>
  </si>
  <si>
    <t>ón próxima. El general Filipon, gobernador que filé de Badajoz , j que se hallaba en Oswestry baxo su palabra de honor, acaba de mular el exemplo del general Lef ihvre, j se ha desaparecido en compañía del espitan de artillería Garnier, prisionero también bnxo palabra. El gobierno ha dado las disposiciones mas eficaces para a…</t>
  </si>
  <si>
    <t>Lef, Francisco</t>
  </si>
  <si>
    <t>Francisco Lef</t>
  </si>
  <si>
    <t>gido á pluralidad de miento 2.° de caladores á caballo; y al subtenien­ votos en estas circunstancias tan honoríficas , que te de caballería de linca D. Francisco Lef.-vre sub­ exigen mucho mas talento y mas luces que en el teniente del mismo regimiento 2.0 de cazadores á curso habitual de las cosas. El dia i.a de enero se ca…</t>
  </si>
  <si>
    <t>Lefebvre</t>
  </si>
  <si>
    <t>en qne se hamadoptado ya definitivamente En esta expedi-ion han acreditado ru valor é los planes para construir un puente en Huninga, inteligencia el capitán Lefebvre y el teniente Sal­ y que se empezará la obra la primavera que viene. món , del 18.0 de dragones; el capitán Di z, del Se construirá en el mismo sitio en que en …</t>
  </si>
  <si>
    <t>Lefond</t>
  </si>
  <si>
    <t>lación haya sido ratificada. De parte del general conde de Wellington.—Firmado— Fitcroy Somerset, teniente coronel , secretario militar. De parte del coronel Lefond.—Firmado — R. de Bruñe.—La presente capitulación queda ratificada por el coronel co­ mandante del fuerte de la China.—Firmado.—Lefond—Ra­ tificada. — Firmado — We…</t>
  </si>
  <si>
    <t>Legrand</t>
  </si>
  <si>
    <t>. El calor es excesivo y mas fuerte que en tallas. El duque de Reggio hace los mayores elogios Italia, pues el termómetro sube á los 2Ó y 27 gra­ del general Legrand, cuya serenidad en el campo dos, y aun las noches ton mui calurosas. de batalla es admirable, También elogia la conduc­ Él general Kamenskl, con dos divisiones d…</t>
  </si>
  <si>
    <t>cluir, situada en la orilla zadas, algunos soldados imprudentes pegaron fue­ izquierda de la Poiota, que era entonces el centro go á las Darracas del general Legrand, el que code la división Legrand. Tres ó quatro veces iñten- • mullicándose rápidamente á toda la línea, hizo eo-</t>
  </si>
  <si>
    <t>i o 14 nocer claramente al enemigo nuestra retirada. Es- he sustituido-en mano^deS-general Legrand, Hago te entonces jugó con toda la artiüerü de sus bate­ ánimo de mantenerme .i la distancia de una marcha rías, y arrojó contra la ciudad una gran, porción del segundo cuerpo pera estar di</t>
  </si>
  <si>
    <t>Leiiiard</t>
  </si>
  <si>
    <t>traba á la derecha é izquierda de los dos reduc­ murieron gloriosamente en el campo de batalla. Al tos , y despejaba la llanura hasta la quebrada del general Leiiiard le mataron el caballo que monta­ pueblo. ba, y le hirieron otros dos. Los generales NhiimujEn este momento S. M. me envió la división ty, Grouchy, Eriant, Borde…</t>
  </si>
  <si>
    <t>Leíral, Antonio</t>
  </si>
  <si>
    <t>Antonio Leíral</t>
  </si>
  <si>
    <t>a de los Dolores B¿Vistas las once con'ultas de la comisión de li­ landia , por mano de su mari­ quidación de la diuda d/l estado; lo expuesto por do D. Antonio Leíral............... 16052 I2 nuestro ministro de Hacienda, y oída la sección D. Rafael M »rtinez de A iz^...... 6885 de Hacienda de nce tro consejo de Estado, hemos…</t>
  </si>
  <si>
    <t>Leith</t>
  </si>
  <si>
    <t>Trinidad, dispuse ei asalto de la plaza para áque¿ lia noche. „Habia dcxado de reserva en las cercanías del campo la quinta división , mandada por el general Leith , la cual no había salido de Castilla hasta mediados de marzo, y acababa por consiguiente de llegar, y la reuní en la misma tarde al exércíto. „El plan del asalto …</t>
  </si>
  <si>
    <t>o en el castillo, dispuse que las di­ visiones cuarta y ligera se volviesen al parage de donde salieron para el asalto. ,,Ai mismo tiempo el teniente general Leith adelantó la brigada del mayor general Walker por la izquierda, sosteniéndola con el re­ gimiento 38, á las órdenes del temen te coronel Nugent., y el regi­ miento …</t>
  </si>
  <si>
    <t>n por el modo con que combiró el ataque del castillo, lo sostuvo , y estableció sus tropas en puerto tan importante. ,,Las disposiciones del teniente general Leith para e1 «taque falso contra Parda leras y para el que hzo el mayor general WdJker, fue­ ron asimismo muy juicio as, y se aprovechó muy b;ea de las cir­ cunstancias…</t>
  </si>
  <si>
    <t>ía, me proporcionó una ocasión para atacarle que deseaba hace ya mucho tiempo. Reforcé nuestra derecha con la quinta cuvision , al mando del teniente general Leith , que coloqué detras del pueblo de Arapiles á la derecha de la cuarta división, con las divisiones sexta y séptima de reserva ; y luego que estas tropas ocuparon s…</t>
  </si>
  <si>
    <t>en esta operación, recibió una herida, que quizá uve payará por algún, tiempo de su atix lio y de sus- consejó*.• Casi al jeismo tiempoel.te­ niente general Leith recibió Una herida, que desgraciadamente le obligó á dexur el campo Mandé qn e la sexta división, al cargo del mayor gener.d Chuto.¡, relevase- á la quarta , y pron…</t>
  </si>
  <si>
    <t>la cuarta división, al mayor general Pringle, que mandaba una brigada de la quinta división , y la división toda des­ pués que fué herido el teniente general Leith ; á los brigadieres ge­ nerales Bradford y Spry, al brigadier general Power y al coronel Stubbs , al servicio de Portugal; al teniente coronel Campbell del 94 que …</t>
  </si>
  <si>
    <t>as dél general España, ínterin que las divisiones quarta y quinta, mandadas la primera por el noble teniente ‘general Colé, y la otra por él teniente general Leith, con la caballería al mando del teniente general sir Stapleton Cotton, al abrigo de un numero proporcionado de tropas ligeras atacaban al enemigo por sü frente , t…</t>
  </si>
  <si>
    <t>samente mucho tiempo hacia. En su consecuencia di las siguientes .disposiciones: reforcé nuestra derecha con la quinta división al mando del teniente general Leith, apostándola detras</t>
  </si>
  <si>
    <t>quierda del enemigo que estaba situada en las alturas: asimismo mandé que la brigada del general Bradford, ia quinta división al mando del te­ niente general Leith, la quarta división mandada por el honorable teniente general Colé, y la caballería al mando del teniente general sir Stapleton Cotton atacasen por el frente; dexa…</t>
  </si>
  <si>
    <t>Léith</t>
  </si>
  <si>
    <t>br por quedar privado por algún tiempo del beneficio de sus consejos y ayuda. El teniente general Léith recibid otra herida, que por desgracia le obligo á retirarse: dispuse entonces que avanzase la sexta división á las or­ denes- del mayor general Clinton, con el objeto de socorrer á la división quarta; con est</t>
  </si>
  <si>
    <t>al: al mayor general W.m Anson, que mandó una brigada en la quarta división: Pringle, que mandaba otra brigada eñ lá división quinta des­ pués que el general Leith fue herido: \í los brigadieres generales Bradford, Spry y Power : al coronel Stubbs, que está ai servicio portugués: igualmente al coronel Campbell del regimiento …</t>
  </si>
  <si>
    <t>LeMarcbant</t>
  </si>
  <si>
    <t>embaxador de Suecia lle­ garon ya á Ccnstantinopla. El gobierno ha concedido una pensión de 1200 libras esterlinas anuales á la familia del valiente general LeMarcbant, que murió gloriosamente en la batalla de Salamanca, habiendo recibido 36 balazos en el ataque que hizo contra los enemigos ai frente de su caballería. S. A. R…</t>
  </si>
  <si>
    <t>Lemarosquier</t>
  </si>
  <si>
    <t>ragata enemiga es la Nereyda, de excelente construcción, hecha hace dos años, de 44 cañones y 470 hombres, de ellos los 200 de tropas, mandada por el capitán Lemarosquier , miembro de la legión dé honor, que pereció en la ac­ ción del 20, en que sufrió mucho la fragata , perdiendo 130 hombres entre muertos y heridos, de resul…</t>
  </si>
  <si>
    <t>Lemaur, Cárlos</t>
  </si>
  <si>
    <t>Cárlos Lemaur</t>
  </si>
  <si>
    <t>Caracas. La Regencia del reyno se ha servido promover á director sub­ inspector del cuerpo de ingenieros de los exércitos nacionales, al bri­ gadier D. Cárlos Lemaur, coronel del mismo cuerpo: á coronel al teniente coronel D. Juan Antonio Cearra : á este empleo al sargento mayor de brigada, graduado de teniente coronel, D. Jo…</t>
  </si>
  <si>
    <t>Lemus, José</t>
  </si>
  <si>
    <t>José Lemus</t>
  </si>
  <si>
    <t>a. Armciiones, 4. Doña Mercedes X i menea, 10. Doña Francisca Berasíegui , 25. — Dependientes de minas. D. José España , 10. D. Francisco Mazorra, 8. D. José Lemus, 25. D. Juan Bautista Pelogui , 25. D. José Minavales , 20. D. Pedro Sierra, G. D. Guillermo Arriaga , G. 1). Joaquín Li.zarnturi, 25. D. Juan Miota, 10. D. José M…</t>
  </si>
  <si>
    <t>Lenguas, Midan</t>
  </si>
  <si>
    <t>Midan Lenguas</t>
  </si>
  <si>
    <t>bagagerós gr cabaHeríus que coiuiucian los efectos. Nuestra pérdida ha consistido en 11 muertos, entre ellos el te­ niente en comisión de caballería D. Midan Lenguas , benemérito y recomendable oficial, y por lo mismo muy sensible su pérdida; 22 heridos, 3 de algu«a consideración , aunque curables , incluso el sub­ teniente d…</t>
  </si>
  <si>
    <t>León</t>
  </si>
  <si>
    <t>548</t>
  </si>
  <si>
    <t>do el miércoles 20 del corriente á las n de la hallará en la librería de Escribano, calle de las Car­ mañana en las puertas de la audiencia de! señor D. León retas. de Sagasta , juez de primera instancia. Quien quisiere hacer postura acuda ante su señoría por Ja escribanía de número de D. Claudio Sanz , que se admitirá siendo…</t>
  </si>
  <si>
    <t>. ,, Asi como S. E. elogia quaodo hai mérito para A consecuencia de providencia dada :por el señor ello, tauabien en el caso contrario desapruehi pú­ D. León deSugasta, del consejo de S. M . caballero de blicamente. A las tropas toca darle'ocasión para la Orden Rea I de España, juez-de primera instancia, de 22 de mayo de este…</t>
  </si>
  <si>
    <t>León, Francisco</t>
  </si>
  <si>
    <t>Francisco León</t>
  </si>
  <si>
    <t>Manuel Rio, 8. D. Luis Gamio , 8, JD. Mariano Albiuri, 8. D. Blas Cabrera, 8.1). Francisco Delgado, 8. Don Manuel Herrera , 6. D. José Amezaga , 35. D. Francisco León , 5. D. Ma­ nuel León, D. Diego Noriega , 8. D. Juan de üfeían, 8. D. Juan José Qui­ ñones, 8. D. Manuel Urquiju, 8. D. Manuel Crias, 8 D. Pedro Truxillo, 12. D…</t>
  </si>
  <si>
    <t>abal, 4. Barto­ lo: 'té López ,'4. Mariano Alocilia, 4. Bernardo Peña , 4. José Espinosa, 4. Feliz*: López, 4. Casimiro Barrios, 4. El guarda almacén D. Francisco León, 2 t con 1. Y el armero Miguel Benavides, 10. — Tropa de infantería. Es ttís individuos han contribuido con 68. Varios particulares lian dado en cortas cantida…</t>
  </si>
  <si>
    <t>León, Josef Miría</t>
  </si>
  <si>
    <t>Josef Miría León</t>
  </si>
  <si>
    <t>........... 2200 D. Lúeas de León , id........................................ 2200 P. Juan de Espejo, id....................................... 2200 D. Josef Miría León , id................................... 2200 D. Josef García , id.......... ............................. 2200 D. Fernando de León, residente en Lu- P. Juan …</t>
  </si>
  <si>
    <t>León, Nicolás</t>
  </si>
  <si>
    <t>Nicolás León</t>
  </si>
  <si>
    <t>scribano, 12 Conductores del número. D. José Marín, 40. D. G regorio Teran , 40. D Bernardo Abregu , 4l&gt;. D. Juan Luis Pere.z , 40. D José Ascue , 40 D. Nicolás León , 40. D. Bern udino groa , 40, Don Melchor Lamas, 4-0'. D. Estanislao Alzamora , 40. i). Manuel Quodros , 40. D. Ignacio Silva, 40. D. José Al gal ovo , 40. D. J…</t>
  </si>
  <si>
    <t>León, Rueda</t>
  </si>
  <si>
    <t>Rueda León</t>
  </si>
  <si>
    <t>­ El mismo y D. Andrés de Aransai. I35IO presa en Francia el año 1797, en la ciudad de Nimes. D. Pedro Cellini y compañía.......... 3. Su autor D. M. D. Rueda León. Véndese en la li­ Aguirre é hijos.................................. 20820 brería de Quiroga, calle de las Carretas, á 14 rs. en D. Lorenzo de Palacio y Gofbea....…</t>
  </si>
  <si>
    <t>Leonardo, Júan Antonio</t>
  </si>
  <si>
    <t>Júan Antonio Leonardo</t>
  </si>
  <si>
    <t>siere hacer joscura á eúa, acuda á dicha es­ D. Ignacio Lerena. /t cribanía, que se le admitirá siendo arreglada. I). Josef Martin. D. Manuel Solana. D. Júan Antonio Leonardo. Municipalidad de Antequeral' , 11BRO. Corregidor. Coróníca de los Reyes de España desde Alaríco hasta D. Juan el Ti , escrita por Saavedra ¡ siete tomo…</t>
  </si>
  <si>
    <t>Leoni, Francisco</t>
  </si>
  <si>
    <t>Francisco Leoni</t>
  </si>
  <si>
    <t>D. Manuel Gutiérrez Rastillos, D. José Venene, D. José Cadenas, D. Miguel E razquio, D. Francisco Ovando, D. R^mon Lavandeyrs, D. Lázaro Viílasante, D. Francisco Leoni, D. Francisco Torrado, D. Joaquín Pczusla, D. Mariano Aznarez, D. Luis Calieron, D. José Salomón y D. Juan Arnaiz ; en atención á la aplicación , aprovechamien…</t>
  </si>
  <si>
    <t>Lerena, Ignacio</t>
  </si>
  <si>
    <t>Ignacio Lerena</t>
  </si>
  <si>
    <t>D- Isidro de Lara._ dos superficiales , tasada'én la cantidad de 118457 «. D. Francisco Conejo. Quien quisiere hacer joscura á eúa, acuda á dicha es­ D. Ignacio Lerena. /t cribanía, que se le admitirá siendo arreglada. I). Josef Martin. D. Manuel Solana. D. Júan Antonio Leonardo. Municipalidad de Antequeral' , 11BRO. Corregid…</t>
  </si>
  <si>
    <t>Lerin, Antonio Castillo</t>
  </si>
  <si>
    <t>Antonio Castillo Lerin</t>
  </si>
  <si>
    <t>Madrid á la Romana y su estado mayor, habla hecho el ja­ 3&gt;. Fulgencio de la Rita Agüero, eo reemplazo de ramente de fi lelidad al Rei nuestro deñor. D Antonio Castillo Lerin ; á D. Juan Cataneo ea S. M., justo apreciadbr del mérito y talentos reemplazo de D. Francisco Antonio Bringas; á de Cibat, y de su constante adhesión á…</t>
  </si>
  <si>
    <t>Lesama, Andrés</t>
  </si>
  <si>
    <t>Andrés Lesama</t>
  </si>
  <si>
    <t>d., 9. D. Manuel Urueta, por 4, 36. D. Francisco Polo , por uno, 9. D. Antonio Duarte , id., 9. D. José Perera, id., 9. D. Bonifacio Tariego, id., 9. D. Andrés Lesama, por 2, 18. D. José Marcial &lt; e Echarri, id., 18. D. Manuel Mas, por uno, 9. D. Do* mingo Cabrera , id., 9, D. Joaquín Goycourva, id,, 9. D. Juan Hernande* Acos…</t>
  </si>
  <si>
    <t>Lesenne, Don Gabriel</t>
  </si>
  <si>
    <t>Don Gabriel Lesenne</t>
  </si>
  <si>
    <t>or la valerosa conducta de ice cuerpos de caballería : efectivamente no puedo alabar bastante el mérito que en esta ocasión ha merecido mi segundo el coronel Don Gabriel Lesenne, que la ceiiduxo á ia carga. Asimismo es señalada la conducta del comandante de coraceros , D. Juan González An’eo, del mayor Dewitte, del capitán Pa…</t>
  </si>
  <si>
    <t>Lesenne, Gabriel</t>
  </si>
  <si>
    <t>Gabriel Lesenne</t>
  </si>
  <si>
    <t>con­ ferido S. A. los empleos que siguen. Comandancias de batallón : del de tiradores de Buza á D Francisco Reding; del de voluntarios de Tarragona á D. Gabriel Lesenne; del de cazadores de Cataluña á 0. José Manso ; del de voluntarios de Cardona á D. Miguel de Córiiobii; y del de tiradores de Cataluña á D. José ríe Casas. Sa…</t>
  </si>
  <si>
    <t>Lessacier, Cirilo</t>
  </si>
  <si>
    <t>Cirilo Lessacier</t>
  </si>
  <si>
    <t>­ sileros á D. Antonio Dubrevii, D. Francisco Cañedo, D. Juan Do­ mínguez , D. J usé Bernardo, D. Pedro Rey-yo , D. Carlos Reggio, D Bernardo Prieto, D. Cirilo Lessacier, í). Juan Galguare, Don Francisco Dalcourt, D. Francisco Devilliers y D. Juan José Bou; á subtenientes de granaderos á D. Arnaido Guillemard , D. Juan Fer­ n…</t>
  </si>
  <si>
    <t>Lesseps</t>
  </si>
  <si>
    <t>kow era el depósito de estos artículos. El 21.0 se puso en la gazeta anterior. ; BOLETIN 2 2.° DEL EXERCITO GRANDE. Moskow 22 de setiembre. Ei cónsul general Lesseps ha sido nombrado intendente de la provincia de Moskow. Ha 'organizado la municipalidad y varias comisiones, compuestas todas de habitantes del país. Los incendio…</t>
  </si>
  <si>
    <t>Let</t>
  </si>
  <si>
    <t>Gaceta de Madrid n.º 183</t>
  </si>
  <si>
    <t>bido exponer sus destrozan telares en Nomngham mientras se ar­ ideas de un modo que pueda interesar ai públi.o, y man en América?__ ¿Cómo qne no, Sr. D. Let­ por eso no se publica. Las palabras que van en bas­ ales? Pues ¿qué oo le íatereia á vmd. *aber cómo tardilla ion steadas de tila al pie de la letra.</t>
  </si>
  <si>
    <t>Leval</t>
  </si>
  <si>
    <t>rtillería que saca­ ron de la Cartuxa , 10 carros de municiones , 50 artilleros , 1500 in­ fantes y ISO caballos, á reforzar el cuerpo mandado por el general Leval, á quien también deben incorporarse otros 2u00 hombres de la parte de Málaga. El 20 pasó Montarco un oficio al consejero de estado Solis, sus­ pendiéndolo de este …</t>
  </si>
  <si>
    <t>en la vacautede Don Josef García, Granada 18 de febrero. ; D.J lian Manuel Mayoralá subteniente, en re­ emplazo de D. Julián González Viejo, El señor conde Leval, general del quarto cuer­ D- Eitéban Peña á subteniente de la quartü po, con fecha de 17 del corriente, da parte ai sé- compañía, éñ'la vacante de'DVRamón Viejo. fio…</t>
  </si>
  <si>
    <t>CIO. Parte del general en gcfe del cuarto exército , D. Fran­ cisco Ballesteros y al seuor'gefe del estado mayor general. «Exorno. Sr.: Convencido el general Leval de" qué no pe­ dia alcanzarme en mi operación sobre Málaga, se propuso envolver la brigada del marques de las Cuevas s que du­ rante este tiempo había maniobrado s…</t>
  </si>
  <si>
    <t>unos ciento y tantos soldados prisioneros, sin contar 9 oficiales, secreta­ rio del gobernador, comisarios y demas dependencia de real hacienda. „E1 general Leval cuando supo esté suceso, vino como un rayo sobre mí, y lo mismo todas las fuerzas de las lla­ nuras. El marques de las Cuevas, segundas órdenes pre­ ventivas que te…</t>
  </si>
  <si>
    <t>siguiente. Parte del general en gefe d. l quarto exército D. Francisco Ballesteros al Sr. gefe del estado mayor general. » Excino. Sr.: convencido el general Leval de que no podia alcanzarme en mi operación sobre.Málaga, se propuso envolver la brigada del marques de las Cuevas, que durante este tiempo había maniobrado sobre s…</t>
  </si>
  <si>
    <t>os ciento y tantos soldados prisioneros, sin contar nueve oficiales, secretario del gobernador, comisarios y demas dependencia de real hacienda. » El general Leval quando supo éste suceso vino como un rayo sobre mí, y lo mismo todas las fuerzas de las llanuras^ El marque** de las Cuevas, se­ gún las ordenes preventivas que te…</t>
  </si>
  <si>
    <t>gió con fecha de 29 de julio al teniente general sir R. Hill, que había entrado el 14 del mismo mes en Málaga , después de una acción que tuvo con el general Leval cerca de Conil. El general Ballesteros se hallaba el 29 de julio en Grazaiema. ,,He recibido carta de sir R. Hill, con fecha de 8 del corriente, y aun­ que el gene…</t>
  </si>
  <si>
    <t>Levís</t>
  </si>
  <si>
    <t>y aoheridos, entre ellos tres oficiales, particularmen­ reno, hará lo posible para sostenerse. te el capitán conde de Branderburg, que recibió una El general Levís es el comandante de las tropas lanzada en el pecho, y dos oficiales del regimiento rusas de este cuerpo. de dragones núm. 1/, que después de ligadas sus Gravert no…</t>
  </si>
  <si>
    <t>Levvis</t>
  </si>
  <si>
    <t>os ascienden á 50000 hombres. El misino general Witgenstein asegura que nos libertará pronto de Macdonald. Los france­ ses han evacuado á Witepsk. El general Levvis se mantiene en las mismas posiciones q sus piquetes se extienden hasta E;ko en el ca­ mino de fiauske, y hasta Oley en la ruta que conduce á MUtau.’* Extracto de …</t>
  </si>
  <si>
    <t>Lez</t>
  </si>
  <si>
    <t>con efectos de artillería y tabaco* Doce barcos de tráfico con efectos de guerra y tabaco. Una tartana-con artillería, y una máquina de la fundición. D Lez faluchos con granadas á balas. Veinte y tres lanchas chatas de las encontradas en este río , que pertenecieron al gobierno intruso. Una tartana con azogue, y otra con efec…</t>
  </si>
  <si>
    <t>Li, MiguA</t>
  </si>
  <si>
    <t>MiguA Li</t>
  </si>
  <si>
    <t>io José Buendia, á cuenta de su oferta de 330 ps. anuales, 110. D. Antonio de O vague, 60. D. Fernando Q-uadrado, oidor de esta real audiencia , 600. D. MiguA Li­ sa guirre , fiscal del crimen de la misma , 334. D. Juan Agustín Santibañez, cura de Pampa de Tangos , 100. D. Miguel Méndez , cura de Cerhuas , 100. Los oficiales …</t>
  </si>
  <si>
    <t>Li, Miguel</t>
  </si>
  <si>
    <t>Miguel Li</t>
  </si>
  <si>
    <t>las 3 cor­ ridas de toros y su encierro destinadas á este donativo , 7774. El regidor Don Tomas Muñoz, 500. — Curas y clerecía del partido de Santo,. D. Miguel Li­ no Montes , 25. El cura de Repeña D. Manuel Castrillon , 17. D. José Ga­ lludo , G. El cura de Moro D. José María fluidobro , 25. D. Tomas Milá, 6. D. Hilaido Diaz…</t>
  </si>
  <si>
    <t>Li, Vicente</t>
  </si>
  <si>
    <t>Vicente Li</t>
  </si>
  <si>
    <t>Hongría ; al misma .audiencia; para fiscal al del crimen D. Juan nirme tiempo se ha mandado reunir no gran cuer­ Alvarez Posadilla , y para jueces á D. Vicente Li­ po de tropas de reserva en los alrededores de Chas- sa , D. Josef A'egre , D. Josef Beneito y Chaume chao , adonde han recibido orden de marchar los y D. Manuel Ch…</t>
  </si>
  <si>
    <t>Lia, Manuel</t>
  </si>
  <si>
    <t>Manuel Lia</t>
  </si>
  <si>
    <t>• i O. Félix Basiane.................... 1 Otro * . . . . D' Jitc Redi... .. ...... l ''Sarg. may» r D. Joré Vidal...................... 1 Captan i.° D. Manuel Lia ño............. .. . 1 Otro • • • • » í). Francisco Csrme;............ 1 Capitán 2.°. D Juan Magrñan. ...... 1 A; udan. 2.° D. Francisco Mertiv.ez..... 1 Carmena- …</t>
  </si>
  <si>
    <t>Liadle, Josef</t>
  </si>
  <si>
    <t>Josef Liadle</t>
  </si>
  <si>
    <t>os precios los &lt; filial segundo del mismo tnmisierio ai teniente que barbechos. Los propietarios de estos los aran dos fue dei regimiento de Castilla D. Josef Liadle. veces, la una por S. Martin, y la otra por p.imavera. Después los arrendadores los esteren .ni coi palomina , y consiguen una excelente cobecha de cáñamo, oblig…</t>
  </si>
  <si>
    <t>Liaguno, Juan Antonio</t>
  </si>
  <si>
    <t>Juan Antonio Liaguno</t>
  </si>
  <si>
    <t>732 Triaiblí’y, 5 y 5. D. Jayrae Tnrab^ey, 20. D. Antonio Glbbs y bu fcíjo, 52 y 10. 13. H :go Bortón , 10. D. Juan Antonio Liaguno *20. JD. R vfceitü Remnuti, 5 y 5. D. R. BiiTchs.ll, 21. Les señores Balkelty, OxenfhrcJ y Al!co¿.k, 3í y 10. Lo* señores H. Hiuckleyy compnñís, 52 y 10. D Jusu Bowle-s, 5 y 5. D. Roberto Wain'</t>
  </si>
  <si>
    <t>Liaño, Antonio</t>
  </si>
  <si>
    <t>Antonio Liaño</t>
  </si>
  <si>
    <t>N BASILIO. D. Pedro Gil y Muro. Alcalde de barrio BARRIO DE SAN MARCOS. D. Fernando Aguado. Alcalde de barrio Diputado eclesiástico D. Josef Laguera. D. Antonio Liaño. Diputado eclesiástico y secretario Diputados seculares D. Josef Antonio lbarrola. D. Juan Bebndia. - Diputados seculares D. Joaquín Sánchez. D. Francisco Perez…</t>
  </si>
  <si>
    <t>Liaño, Francisco</t>
  </si>
  <si>
    <t>Francisco Liaño</t>
  </si>
  <si>
    <t>S. Miguel de Viso, 33 con 1. S. Mateo de Huanchor, 45. S. Lucas de Cachapalca , 20, — Comerciantes y mineros de Irasco Comerciantes , 4905. Mineros ; D. Francisco Liaño, dipu­ tado de primer voto , 300. D. Manuel Santalla , id. de segundo voto , 50. D. Eugenio de Burtubay , 500. D. José Lago y Lemus , 100, y ofrece )o mis­ mo…</t>
  </si>
  <si>
    <t>Líanos, Tomas</t>
  </si>
  <si>
    <t>Tomas Líanos</t>
  </si>
  <si>
    <t>embros del consejo de sorteo del de­ "Por decreto de 17 del corriente S. M. se ha partamento dei Isere, tuvieron que entrar en bar­ servido nombrar á D. Tomas Líanos , juez Je pri­ cos, y las autoridades administrativas que salieron mera instancia de Squilveda, para la ptaz» del á recibirlos tuvieron que hacer lo mismo. mismo…</t>
  </si>
  <si>
    <t>Liar</t>
  </si>
  <si>
    <t>dera en ambos comba t-*-e. — Asimis­ mo han cent raido particular mérito el capitán, de dir-geces D. Juan Soler, el trifente. del cuerpo de veteranos D. Liar-/ lio la Osa, el su biéldente D. Antonio Cuadre, y mi ayubant *. de ó 'tienes y secre­ tarlo , el capitán graduado de exército D. José de (Tazarra, Todos los demas, desd…</t>
  </si>
  <si>
    <t>Liare, Angel</t>
  </si>
  <si>
    <t>Angel Liare</t>
  </si>
  <si>
    <t>ro , D. Benigno Merchau, D. Víctor Casasola , D. Pascual del Rey , D. Miguel Parrales, D. Francisco Ay uso, D. Miguel González, D. Antonio (González, D. Angel Liare, D. José Uiloa,D Francisco Acosta, D. Justo Clemente, D. José Sánchez, D. Eustaquio Hidalgo, D. Basilio Aguado, D. Tomas Aparicio, Don Fernando Villanueva, D. Ant…</t>
  </si>
  <si>
    <t>Liauder, Manuel</t>
  </si>
  <si>
    <t>Manuel Liauder</t>
  </si>
  <si>
    <t>Miró ; y del de Barcelona á D. Jasé Mambrilla. Comandancias de tercer batallón : del regimiento de Gerona á D. Manuel Gonzá­ lez : del de IvX iteró á D. Manuel Liauder; del de Ausona á D, José Mañ-'Z de la Torre; del de S. Femando á D. José de Calva; y del tle Barcelona á D. José Costa. Sargentías mayores : del regimiento do …</t>
  </si>
  <si>
    <t>Liberal</t>
  </si>
  <si>
    <t>y (D. Melchor), tirador de la guardia real. Traxler (D. Jorge), teniente del regimiento Snizo. Onde (D. Xavier), abanderado del regimiento Treilhard (D. Liberal), espitan del regimiento de Real Extrangero. tiradores de la guardia real. Orden (D. Manuel María de la), director de. Treviño ( D. Juan), teniente de húsares de U ma…</t>
  </si>
  <si>
    <t>Lienzo, Manuel</t>
  </si>
  <si>
    <t>Manuel Lienzo</t>
  </si>
  <si>
    <t>ciscoAguileras, id. de Solares.......... 2200 Toraozó......¡.2::..;...:..............................*•••• 2200 D. Ramón Calado l^orrilia, id. de Ca- D. Manuel Lienzo ¿ id. de Santander......... 2200 margo................. ...................... ...................... 2200 D. Lorenzo de Cevallos, id. del lugar de D. Sa utos O…</t>
  </si>
  <si>
    <t>Lieven</t>
  </si>
  <si>
    <t>mas de 80® personas. Bucharest jo de febrero. . .. :,;&gt;J ESTADOS-UNIDOS DE AMERICA. Hemos recibido una relación circunstanciada de la expedición del general Lieven , que salió de Oa&gt; Nueva-Yorck 10 de febrero. latz para la orilla derecha del Danubio. Dicho ge­ neral había reunido las guarniciones de Braila y de Se asegura que…</t>
  </si>
  <si>
    <t>Ligncpckis, Brunswik</t>
  </si>
  <si>
    <t>Brunswik Ligncpckis</t>
  </si>
  <si>
    <t>nte limitado. Si el ataque en la orimerii el puesto de Monasterio en la tarde del i3. El te­ línea á 22 ó á 29 del pasado hubiera tenido bueti niente coronel Brunswik Ligncpckis, que coman- suceso, creo que tomaríamos la plaza, no obsrtmté d.:b &lt; un piquete en Sra. Olalla, desobedeció las la destreza con que el gobernador con…</t>
  </si>
  <si>
    <t>Ligrandfha</t>
  </si>
  <si>
    <t>yan Hecho su juramento , si es de Nuestra pérdida no es mui considerable en com­ fecha posterior.’ paración de la enorme que ha tenido el enemigo. El general Ligrandfha tenido dos contusiones, y muer­ to el caballo que." montaba; también1 Salió herido el coronel Gueheneuc , edecán de S. M. :Yo tengo el TSATlt». honor de preve…</t>
  </si>
  <si>
    <t>Lilis</t>
  </si>
  <si>
    <t>ada de la tercera división ; al teniente coronel William del 60, al teniente coronel Wallace del 88, que mandó una brigada de la tercera división; al teniente coronel Lilis del 23, quemando la brigada del mayor general Packenham, mientras este avanzaba á la cabeza de la tercera división ; al honorable teniente coro­ nel Gievi…</t>
  </si>
  <si>
    <t>Lillo, Ildefonso</t>
  </si>
  <si>
    <t>Ildefonso Lillo</t>
  </si>
  <si>
    <t>primero de Guadix, D. Luis Castilla y O. Julián Lombar­ do , subtenientes de la Corona: á subtenientes, á D. Valentín del Rio, D. Francisco Palacios, D. Ildefonso Lillo, D. Pedro Ortiz de Lequizaman , D. Mateo Masegosa, D. Sebastian Vilches y Don' Antonio María Muñoz, cadetes de la escuela mi-ifar del tercer exército, D. JuEn…</t>
  </si>
  <si>
    <t>Lima, Francisco de Borja</t>
  </si>
  <si>
    <t>Francisco de Borja Lima</t>
  </si>
  <si>
    <t>stian de Espinosa y sus hijos, id., 18. Don José Uz, por un año, por uno, 9 D. Antonio Bocalandro , id. 9. D. Manuel Gómez de las Bárconas, por 2, 13 D. Francisco de Borja Lima, por 4, 36. D. Mateo de Cárdenas, por 2 , 18. D, Juan Vicente Adot, id., 18. D. An­ tonio Brvzon , por uno, 9. D. Domingo del Cueto, id. , 9. Doña Man…</t>
  </si>
  <si>
    <t>Linares, Cristóbal</t>
  </si>
  <si>
    <t>Cristóbal Linares</t>
  </si>
  <si>
    <t>• • Teniente . . O. Joaquín Lucas............... • 1 • Sarg. imyf&gt;r RarhisfrU Capitan&gt; aSre&amp;a:1°g#o• D. F;ancisco Venosa.......... • 1 • í) aro asir D. Cristóbal Linares.......... ♦ • 1 Ajad. l.° . D. Miguel Apolinarío... • 0 • 1 Subteniente O Ramón Ocorio....... • • 1 Cid. aband. O. Rodrigo Perez Pones.. 0 1 • . Cadets . . .…</t>
  </si>
  <si>
    <t>Linares, Henrique de la Mata</t>
  </si>
  <si>
    <t>Henrique de la Mata Linares</t>
  </si>
  <si>
    <t>l ingeniero general lo juzgue conve­ Por otros decretos de la misma fecha ha nom­ niente para tratar de los apuntos fjculcativos y eco­ brado S. M. á D. Henrique de la Mata Linares, nómico* cometidos á su conocimiento. • , gobernador militar y político que fue de la ciu­ art. viix. El archivo general de ingenieros se dad de C…</t>
  </si>
  <si>
    <t>Linhares</t>
  </si>
  <si>
    <t>a, y por mas que digan no pueden sincerarse de complicidad en este horrible atentado. WESTFAL1A. Las cartas de Rio-Janeiro aseguran haber muer­ to el conde Linhares, ministro de Negocios ex­ Cassel 21 de abril. trangeros. En 1S11 votaron á favor de los católicos 62 Todos los que han concurrido á nnestra feria lores, yen 1812'…</t>
  </si>
  <si>
    <t>LinusaGubbio, Manuel</t>
  </si>
  <si>
    <t>Manuel LinusaGubbio</t>
  </si>
  <si>
    <t>s en Roncóle, departa-- promovidos en el regimiento Real Irlandés D. Juan mentó del Tanaro; otro en Fabriano, y otro en Sánchez, teniente, á capitán; D. Manuel LinusaGubbio: á todos ellos se les está formando causa. ya , D. Francisco Casalios y D. Jorge Driget, sub­ Las monedas que han contrahecho están tan mal tenientes , á …</t>
  </si>
  <si>
    <t>Linzoainy, Marcos</t>
  </si>
  <si>
    <t>Marcos Linzoainy</t>
  </si>
  <si>
    <t>ancia , destaqué la compañía de fianqueadores y algunos de mis ordenanzas á las ór­ denes del sargento mayor D. Miguel María Iiibarren , del teniente D. Marcos Linzoainy del alférez D. Francisco Morlones. En el cam­ po de Aríieda se avistaron, y al instante se rompió el fuego , suce­ diendo el aso de la verdadera arma de caba…</t>
  </si>
  <si>
    <t>Lis</t>
  </si>
  <si>
    <t>demás que por qualquier título querida, el' administrador ó recaudador expedirá Se le está debiendo. su apremio , visado antes de notificarle por el juez Lis instancias de pobres de solemnidad decla­ del mismo pueblo. rados por tales en los tribunales. art. clxxxiv. En consecuencia de este apre­ art. cxcvir. Están exentos del…</t>
  </si>
  <si>
    <t>Lisa, Vicente</t>
  </si>
  <si>
    <t>Vicente Lisa</t>
  </si>
  <si>
    <t>si­ guiente : Art. I. ,,Los Sres. D. Manuel Mahamut, D. José Tallejo, Don José Elola, D. Ramón Calvo de Rozas , D. Manuel Morales, D. Ticente Fuster, D. Vicente Lisa, D. Tomas de los Cobos y D. Juan Alvarez Posadilla, jueces presentes en esta ciudad de Valencia, se reunirán el dia 21 de marzo en la sala acostumbrada de audien…</t>
  </si>
  <si>
    <t>Lisarraga, Hipólito</t>
  </si>
  <si>
    <t>Hipólito Lisarraga</t>
  </si>
  <si>
    <t>n Sta. María, 2. — Cirujanos, i). José Gay i no Chacaltana , 25. Tomas Ortigoso , 25. Fabiafi Salas, 25. José Santos Montero , 25. Ramón Castro , 25. D. Hipólito Lisarraga , 17. Felipe Guzman , 17. Domingo Nieto , 12. Antonio Acosta, 10. Ig­ nacio Ratera , 10. José Reynoso , 10. Ignacio'Urias , 10. D. Antonio Agui­ la!*, S. M…</t>
  </si>
  <si>
    <t>Lispcrgucr, Ambrosio López</t>
  </si>
  <si>
    <t>Ambrosio López Lispcrgucr</t>
  </si>
  <si>
    <t>, de cazadores; empleo de alférez de granaderos, al de fusileros D. Antonio María de S. Andrés ; empleos de alféreces de cazadores á los de fusileros D. Ambrosio López Lispcrgucr, D. Jo­ sé Morejon, D. Joaquín Martínez de Medinilla, y D. Juan Ncpumaceno de Mancebo ; y empleos de alféreces de fusileros á los cadetes ¡J. Marian…</t>
  </si>
  <si>
    <t>Lisperguer, Francisco López</t>
  </si>
  <si>
    <t>Francisco López Lisperguer</t>
  </si>
  <si>
    <t>s del tdbnnal supremo de justi­ cia , con el orden de preferencia que sigue, á D. José María Paig, D. Antonio Cartavarrh , D. Antonio López Quintaba, D. Francisco López Lisperguer, D. Gerónimo Diez, D. Ciríaco González Carva­ jal , D. Antonio Cano Manuel, D. Tadeo Segundo Gómez, D. Ma­ nuel dei Castillo Negrete , D. Francisco…</t>
  </si>
  <si>
    <t>Listem, J e Mumei</t>
  </si>
  <si>
    <t>J e Mumei Listem</t>
  </si>
  <si>
    <t>D. -Fernando GB , D. Anastasio Nava, D. Luis Ramírez, D. José Trinidad Guardia, D Pedro María O berta, D. Francisco Manzano, D. J .sé Lorenzo López y D. J é Mumei Listem; y de alférez de las de cabsterí*, á D. M'murí Ferrar, Q Antonio Gutiér­ rez, D. Esteban Gabejo, D. Manuel A ¿dama, D. Joié Ignacio Eca­ saba!, D. Juan Pablo…</t>
  </si>
  <si>
    <t>Litdov</t>
  </si>
  <si>
    <t>el salón donde se hallaban el En el vestíbulo hai dos monges, cuyos nombres Último á que se comunicó el fuego. están grabados igualmente que los del Emperador Litdov. Jtnp. \ y él de otro monge, primer abad SUIZA. del monasterio, Romanas abbas primas. Mas abaxo de los arquitrabes está representada Zutich a de abril. la cesión…</t>
  </si>
  <si>
    <t>Liver</t>
  </si>
  <si>
    <t>ado 35 de enero.) do á cortar masteleros. Sin embargo , á fuerza de mucho trabajo se logró salvarle , y se le conduxo Downhtg-St'reet a5 de enero. El conde Liver­ al paso de VVingo, en donde se le reparó lo mejor pool ha recibido las cartas siguientes del mayor que se pudo, hasta querías oficiales dixerou que general Cooke:</t>
  </si>
  <si>
    <t>Liverpool</t>
  </si>
  <si>
    <t>artillería que teníamos en la»..torres. Soio„Tengo el honor 8cc. = Geo. Cooke, mayor en estos ataques hemos podido hacer d-ño al ene­ general.“Señor conde Liverpool.” migo; pues los muros de la ciudad están dominados! de suerte que coo pocas horas de trab.jo se ha tracto de una carta del mayar general Cooke puesto por . todas…</t>
  </si>
  <si>
    <t>Llano, Bonifacio</t>
  </si>
  <si>
    <t>Bonifacio Llano</t>
  </si>
  <si>
    <t>llegos, el CRpim de granaderos del mismo D. Lorenzo Oitízds Villalba, y el capitán y teniente de cazadores del tercero D. Antonio Portal y Mayorri, y D. Bonifacio Llano. — Ha perdido ei enemigo en estas dos acciones mas de 500 hombres; trmbien yo he perdido algunos, aun­ que pocos respectivamente. — Dios guarde á V, E. muchos…</t>
  </si>
  <si>
    <t>Llanos</t>
  </si>
  <si>
    <t>ivísimo por una y otra parte: hasta que últimamente, suspendiéndolo' nues­ tros soldados, embistieron á la bayoneta, al mismo tiempo que lle­ gaba su comandante Llanos, y obligaron á los enemigos á pasar e! puente atropelladamente, y los persiguieron hasta que se repararon al abrigo de una emboscada ele 100 hombres que tenLiu…</t>
  </si>
  <si>
    <t>rió y aprehen­ del pueblo se reunieron, tomaron las armas, y dió á otro , y cogió dos caballos. habiendo salido en busca de la partida, la ahuyen­ El comandante Llanos ha descubierto en una taron. batida qne ha hecho por ias Alpujarras varios de­ Los vecinos de Cazalla se armaron también pósitos de armas y 22 cargas de pólvor…</t>
  </si>
  <si>
    <t>Llapos</t>
  </si>
  <si>
    <t>a entró en Ximena, entera propiedad de los bienes que poseían , y d; y cometió ignal exceso. todas sus dependencias, salvo cierras reservas y di*— El comandante Llapos, persiguiendo al enemi­ tinciones mencionadas en el decreto. go, encontró una partida en Cassaqarde Portubas, El título 4.0 contiene ciertas disposiciones ge­ …</t>
  </si>
  <si>
    <t>Llave, Angel</t>
  </si>
  <si>
    <t>Angel Llave</t>
  </si>
  <si>
    <t>trero, D. Benigno Merchan, D. Víctor Casasola, D. Pascual del Rey, D. Miguel Parrales, D. Francis­ co Ayuso, D. Miguel González, D. Antonio González, D. Angel Llave, D. Josef Ulloa, D. Francisco Acosta, D. Justo Clemente, D. Josef Sánchez, D. Eustaquio Hidalgo, D. Basilio Aguado, D. Tomas Aparicio, D, Fernando Villanueva, D. …</t>
  </si>
  <si>
    <t>Lló, Juan Antonio</t>
  </si>
  <si>
    <t>Juan Antonio Lló</t>
  </si>
  <si>
    <t>paña sobre las intenciones: de la una-,.y ia suerte ria;,' ."compuesta dé. los Exentos. Srcs. £&gt;. Vicente* de. la otra. Gonzaléz.Arnap , director!, y D. Juan Antonio Lló­ ,, La Inglaterra , sostenida por la.ignorancia de. rente , consejaros'de. Estad.04 del Timo. Sr. D. Félix lardase menos ilustrada , ha caminado constante­ A…</t>
  </si>
  <si>
    <t>Llórente, Juan Antonio</t>
  </si>
  <si>
    <t>Juan Antonio Llórente</t>
  </si>
  <si>
    <t>rmen con las di-posiciones del presente decreto, Excmo. Sr. marqpes de S. Adrián....... ; ZOO 9-° „ lJ«r ultimo declaramos que no asaremos Excmo. Sr. D. Juan Antonio Llórente.. 300 de ningún moco del derecho de investidura en laf Excmo. Sr. general D.........D.iultanne. 800 nuevas soberanías que adquiramos, de qualqújyr Excmo…</t>
  </si>
  <si>
    <t>arques Ga,b¿ll;erp r Dj Maopel. María. '» vv 1 y ~ „ Cambronero , D. Josef Ignacio Jóveo de Salas* ^. En algunas. _g^zet^s. je ha dicho qne había sa­ D. Juan Antonio Llórente-, D. Blas.de A tanza, lido la guarnición de esta capital, y qne la guar­ D. Andrés Romero Valdés y D. Vicente Gonzá­ dia. cínica cubría jpsjps ¿os puest…</t>
  </si>
  <si>
    <t>tes que ..tienen sos almaceoes en las orillas del D. Juan Antonio Llórente, D. Blas de Araoza, Mein. Pera esta próroga no se entiende con lo* D. Andrés Romero Valdés y D. Vicente Gonzá­ pagos que, bien sea por la leí ', ó por contratos lez Arnaoparticulares, ó por</t>
  </si>
  <si>
    <t>Llórente, Juan Ramón</t>
  </si>
  <si>
    <t>Juan Ramón Llórente</t>
  </si>
  <si>
    <t>León, O. Eugenio Carrasco, D Sebastian Villaniieva, D Facundo Arte ga , D. Eulogio Santa Cruz , D. José Acero, D. Juan Tena, Don José López Montoya , D. Juan Ramón Llórente, O J uan Muril!o, O. Francisco Benito, D. Francisco Alameda, D. Pedro Panla­ gua, D. Luis Muñoz?, D. Vicente Ortiz, D. Manuel Benito, D. Pe­ dro Latorre, …</t>
  </si>
  <si>
    <t>Llórente, Manuel</t>
  </si>
  <si>
    <t>Manuel Llórente</t>
  </si>
  <si>
    <t>ciscano descalzo. do D. Dionisio Bueno. Para la de Campotejar, su ú'tiino poseedor Y para el d- IVigrns, vacante por renuncia de D. Juan Fernandez, á D. Manuel Llórente, exD. Julián de H-riera, al ex-tririitario calzado dutninico. D. Baltasar de babzar. Para la de Itrabo, vacante por no h.berse pre­ sentado á servirla D. Carl…</t>
  </si>
  <si>
    <t>ficio, el quat se publicará de siete en siete dias. D. Pedro Irigoen y Almansa, por.. 1Ó80 D. Fsrébande la Torre...................... 47*1 12 SUIZA. D. Manuel Llórente............................. 29203 30 Los reales hospitales civiles por me­ . Berna 21 de febrero. dio de su apoderado D. Juan Crisóstomo de Bustillo.........…</t>
  </si>
  <si>
    <t>Lncy, Luis</t>
  </si>
  <si>
    <t>Luis Lncy</t>
  </si>
  <si>
    <t>regente y la demas familia real fueron á casa de lord Liverpool, donde estaba preparada una suntuosa mesa* ESPAÑA, Berga 9 de O tubre. El Excmo. Sr. D. Luis Lncy, comandante general del primer ejército, ha dirigido á esta junta superior copia de dos partes que lo li í dado el barón de Erales, cuyos extractos son los siguiente…</t>
  </si>
  <si>
    <t>Lnndazuri, Manuel</t>
  </si>
  <si>
    <t>Manuel Lnndazuri</t>
  </si>
  <si>
    <t>sayador segundo , 125. D. Santiago Urquizu , juez de balanza, 116. I&gt;. Manuel de Mena , fundidor mayor, 250. D. Fernando Biiv ca, guarda cuños , 116.-D. Manuel Lnndazuri, guarda materiales , 116. Don Félix Barrete , tallador mayor , 150. D Ravmundo. Marroz., oficia! mayor de; la contaduría , 81. D. Francisco Vega, segundo, 41…</t>
  </si>
  <si>
    <t>Lo, Casimiro</t>
  </si>
  <si>
    <t>Casimiro Lo</t>
  </si>
  <si>
    <t>sioneros.. 3497 y el sitio donde él se hallaba le habían impedido Extraviados, hacerse cargo del orden de oper iciones , y se re­ fiere á !o que diga D. Casimiro Lo i, primer co­ 4848 mandante de la división expedicionaria. Yo me ha­ ( Este estado tío tiene firma.) ( Se conti­ llaba, dice , tan estrechamente reducido al mando…</t>
  </si>
  <si>
    <t>Lo, Manuel</t>
  </si>
  <si>
    <t>Manuel Lo</t>
  </si>
  <si>
    <t>lanes , D, José Marín Zrzcsa, I). José Cabamiltis, O. Joaquín Cisternes, D. José Iribesri, IX Fran­ cisco de Anido, IX Julián Cid, D. Felipe Sobrado, D. Manuel Lo­ sada C&amp;dóraiga, IX Xavier Vázquez Varela, y D. Gonzalo Cruz de Viíches, regente, oidores, alcaldes del crimen y fiscal de !a real au­ diencia de Galicia; del inten…</t>
  </si>
  <si>
    <t>Lo, María del Pitar</t>
  </si>
  <si>
    <t>María del Pitar Lo</t>
  </si>
  <si>
    <t>ascienden X tres millones de rixJar hermano D. Francisco................... . 2434 23 lers. Las hipotecas para el reembolso de lo* capitales La misma Doña María del Pitar Lo­ del empréstito y de los intereses tienen todas las sada , por medio de su apoderado seguridades posibles ; y asi es que tt do el mundo D. Manuel de Ramo…</t>
  </si>
  <si>
    <t>Loaisa, Juan</t>
  </si>
  <si>
    <t>Juan Loaisa</t>
  </si>
  <si>
    <t>280 mío Cnicho , 2. D. Santiago López, 2. D. Juan Navarrete , 2. D. "Martin Fer­ nandez , 2. D. Juan Loaisa, 2. D. Camilo Mariatégui., 2. D. Pablo Manco 2. D. Juan Batalla, 2. D. Tomas Portocarrero , 2. D. Francisco Zandagoza, D. Pedro Omdoranchey &gt; 2. D. Vicente Navarte , 2. D. Manuel Vengocne.a</t>
  </si>
  <si>
    <t>Loarte, Bonifacio</t>
  </si>
  <si>
    <t>Bonifacio Loarte</t>
  </si>
  <si>
    <t>os y D. Lorenzo Robledo , curas rectores , 52 y 4; r\ José Joaquín Lnrriva, sacristán mayor, 12. D. Agustín de Acuña Inter , 2. 1i. ís-inou Muñoz ,1. D. Bonifacio Loarte, 1. D. Francisco Lugo, 1. D. Ge­ rónimo de isla, 1. I). Francisco Escobar, capellán mavnr de! hospital de Sta. An; 9 (Se co;t¿Tiliará.) CADIZ : EN LA IMPRENT…</t>
  </si>
  <si>
    <t>Lobaton, José Reyes</t>
  </si>
  <si>
    <t>José Reyes Lobaton</t>
  </si>
  <si>
    <t>o Reyes, 17. D. Manuel Lobaton, 10. D. José Reges, 13. D. Joaquín Ronceros , 6. D. Manuel Mansilla , 4. D. Mariano Ronceros , 4. D, Fermín Dávila, 1. D. José Reyes Lobaton y su hermano D. Calixto , 25. D. Esteban García , 6. María Torres, 4 rs. D. Ber­ nardo Bahamonde , 2. .Teresa Montoro , 2'. Fermín García, 1. D. Vidal Garc…</t>
  </si>
  <si>
    <t>Lobaton, Manuel</t>
  </si>
  <si>
    <t>Manuel Lobaton</t>
  </si>
  <si>
    <t>omoche, 4 rs. V Ícente Tallo , 1. Aniceto Rosales , 4 rs. Pedro Bertiz , 1. — Pueblo de ¡a Par* ranea. El teniente de milicias D. Atanasio Reyes, 17. D. Manuel Lobaton, 10. D. José Reges, 13. D. Joaquín Ronceros , 6. D. Manuel Mansilla , 4. D. Mariano Ronceros , 4. D, Fermín Dávila, 1. D. José Reyes Lobaton y su hermano D. Ca…</t>
  </si>
  <si>
    <t>Lohluy, Juan O</t>
  </si>
  <si>
    <t>Juan O Lohluy</t>
  </si>
  <si>
    <t>ge que el de la falsedad y U S. M. promover en el regimiento de Madrid, i.° impostura. En Valencia son españoles: se admi­ de infantería de línea , 4 D. Juan O Lohluy , ayu­ nistra en nombre de su R i la justicia: el papel dante mayor, 4 capitán; á D. Antonio Duran, te­ sellado tiene las armas reales y el nombre del So­ nient…</t>
  </si>
  <si>
    <t>Lóíiír</t>
  </si>
  <si>
    <t>. Géh^ro María ), contador de la ptoginner.ro Real 'Irlandei. . , , vincia de Apira'.' , Broux (D. Juan), zapador de tiradores dé la guar-» Gafcía! { D. Lóíiír.zó) , sargento segando de la día real. compañía franca de Cuenca, Brnnet (D, Luis) , gendarme,de la gaardia Teal. t. García.'Gómez (P! Antonio), corregidor de laCaball…</t>
  </si>
  <si>
    <t>Londres</t>
  </si>
  <si>
    <t>Gaceta de Madrid n.º 51</t>
  </si>
  <si>
    <t>blicó et »ño pasadQ en lengua fran­ GR A N B R E T A Ñ A. cesa. El nuevo censpr se entenderá con ja.comisión llamada d? libros» á cuyo frente está el profesor Londres 13 de enero. Beck, v pnó de ios principales iflagistradoí» y cotdar» dé I®* establec.iipictjtos literarios, y de todo El público ha visto * aunque con harto dol…</t>
  </si>
  <si>
    <t>rrotados, y cayó en nuestro poder un grande número de prisioneros.” Noticias de las operaciones del exército ruso, recibidas en Riga, y comu­ nicadas d Londres por el vice-almirante Saumarez. En el primer combate que hemos tenido se declaró la victoria en nuestro favor. El príncipe Bagration, intentando reunirse al exército, …</t>
  </si>
  <si>
    <t>Long</t>
  </si>
  <si>
    <t>s á Llerena ; y entre tanto el teniente general Sir Rowiand Hill con la segunda división y la del teniente general Hamilton y la caballería del mayor general Long, marchó ya hacia 2 meses. Acabado de decir Marmont que no tiene datos para juzgar y y que es incomprehensible la rendición de Ciudad-Rodrigo, no se entiende como pu…</t>
  </si>
  <si>
    <t>añas , par las cuales , una senda difícil y. tortuosa con­ duce por b a'dea de Román Gordo al puente; y la columna del cen­ tro, mandada por el mayor general Long ( ron los regimientos por­ tugueses 6 y 18 4 las órdenes del coronel Ashw:urth, y el 13 de dra­ gones i beros, coa la artillería) avanzó per el camino real para el …</t>
  </si>
  <si>
    <t>diaciones de los vados de Encina y Hu erta; y la tercera y cuarta en Calvarrasa de arriba. El 9 cargó el enemigo á la brigada de caballería del mayor general Long, quien tuvo que retirar sus tropas por Alba la mañana del 10. En este dia, acercándose el enemigo al Tormes, atacó á las tropas que estaban en A bi con 20 piezas de…</t>
  </si>
  <si>
    <t>as á las dos de infantería en la orilla izquierda del Tormes, consideraba el general Hamilton seguros sus flancos.. ,,En la mañana deL 10 le avisó el general Long, comandante de la caballer a del frente, que el enemigo avanzaba en gran fuerza; por lo cual hizo retirar su caballería. En efecto , ¿ eso de las JO se pre­ sentó a…</t>
  </si>
  <si>
    <t>Long, Carlos</t>
  </si>
  <si>
    <t>Carlos Long</t>
  </si>
  <si>
    <t>ando visible mas que la armazón volcada de arriba á abaxo , de Viernes 10 de enero de ¡8r2. El honorable modo que desde lejos parecía una iglesia. El capitán Carlos Long era presídele de la comisión. Atkins logró á fuerza de trabajo llegar á tierra con El doctor Mathew Baillie fue introducido eo seis marineros; pero espiró á …</t>
  </si>
  <si>
    <t>Longa</t>
  </si>
  <si>
    <t>te de Castro, y echó á tierra un ca­ ñón de á 24 y una compañía de soldados de marina de la Suroeliante ¿ mandada por Sír G. Cafiier * para ayudar al coronel Longa en su ataque contra aquella villa; pero viniendo á socorrerla 25% franceses, se retinó Longa, y se reembarcaron sin pérdida los des­ tacamentos de la escuaúia. Ei …</t>
  </si>
  <si>
    <t>Longa, Francisco</t>
  </si>
  <si>
    <t>Francisco Longa</t>
  </si>
  <si>
    <t>o solo despidiéndome de vosotros, ruego á Dios que os libre de tan inminentes peligros.” Ceruña 4 de enero. Según una nota comunicada por el caudillo D. Francisco Longa, desde el 19 de octubre hasta el 10 de noviembre han pasado de Miranda á Burgos las fuerzas eneiüigas que siguen : 3 coroneles , 7 te­ nientes coroneles, 115 …</t>
  </si>
  <si>
    <t>5 me trasladé á Santibañsz, con los esquadrones de húsares de Cantabria, al mando de su coronel D. Juan de la Ríva; los de Iberia, al de igual clase D. Francisco Longa, los de la Rioja al del mismo empleo D Francisco Salazar, y los cazadores de Castilla de á caballo mandados por el teniente coro­ nel D. Santos Padilla ; y en …</t>
  </si>
  <si>
    <t>co Solazar.— Sedaño 18 de mayo de 1812. — ^Noticioso de que un convoy francés estaba detenido en Pancoibo por ia división de Iberia, á las órdenes de D. Francisco Longa, y que salía de Bribiesca una partida ene­ miga á socorrerle, sa!í al encuentro de esta con mi caballería, y la batí persiguiéndola dos leguas por la calzada …</t>
  </si>
  <si>
    <t>Longchatnp</t>
  </si>
  <si>
    <t>eralmente como vamos á hacerlo, excusando re­ flexiones y notas, de que no necesita, y que quizá debilitarían el efecto de su lectura. coronel mayor, barón Longchatnp , comandante del primer hatallón de tiradores de la guardia imperial.—A los habitantes de Torde­ sillas.— El indómito carácter, la obstinación que demostráis , …</t>
  </si>
  <si>
    <t>Lop, Antonio</t>
  </si>
  <si>
    <t>Antonio Lop</t>
  </si>
  <si>
    <t>1030</t>
  </si>
  <si>
    <t>s grandes deseos que la animaban de avistarse con los franceses, y en su virtad dispuse el 5 que ía mitad de mi división, á las órdenes de mi segundo D. Antonio Lop:z Angulo, marchase sobre Mencerreyes , y la otra mitad á las mías inmediatas sobre Quiutonilla del Agua. Antes de llegar á este pueblo descubrí como 600 enemigos …</t>
  </si>
  <si>
    <t>Lope, JnSian Bartolomé</t>
  </si>
  <si>
    <t>JnSian Bartolomé Lope</t>
  </si>
  <si>
    <t>ari 28 de esta capital tas 7892 de á 12 onzas de pan ca­ Sr. D. Pedro Fort................. 200 da una , y las 7700 de cinco quarterones de pota- Sr. D. JnSian Bartolomé Lope®., por ge en la forma siguiente : 11455 á los pobres de uoa vez...... ......................................... los barrios, 525 á los indigentes destin…</t>
  </si>
  <si>
    <t>Lope, Martin Tadeo</t>
  </si>
  <si>
    <t>Martin Tadeo Lope</t>
  </si>
  <si>
    <t>z , 12. Fr. Carlos Sánchez ,1?. D. José González , G. D. Luis del ( "arpio y (i. t) José Herrera , (&gt;. Fr. Antonio Buvungaiay , G. D. José So!is , G. D. Martin Tadeo Lope-. 4. 1). 'ÍV.deo Miranda, 4. D. Lucas Fg' avil ,1. f). Mi­ guel de la O, 4. D. \í ría o Martínez, 2. D. Manuel de la Rocha ,-2 D. Mumu 1 Arancivia , 2. D. M…</t>
  </si>
  <si>
    <t>López</t>
  </si>
  <si>
    <t>, amigo de Solis, y el empleo de presidente del tribunal criminal, formado por los franceses, á D. Timoteo Escudero, por no haber querido condenar al sargento López de miqueletes , el mismo que fué ajusticiado el 29 de noviembre. Se dice que quitan también á Huertos y al adminis­ trador de la fábrica para dar su empleo á un f…</t>
  </si>
  <si>
    <t>López, Andrés</t>
  </si>
  <si>
    <t>Andrés López</t>
  </si>
  <si>
    <t>defon­ so Sierra, D Vicente Herrera, D. José C.uóps, D. Manuel L no, D. Pedro Rueda, D. Santiago B-dhmia , O. José Clemente, D. Jo­ sé Me-reno Muñoz, D. Andrés López, D. Baldomcro Espartero, D. Jo&amp;é Sema , D. Fernando Borrero, y D. Francisco Cortazar.</t>
  </si>
  <si>
    <t>López, Antonio</t>
  </si>
  <si>
    <t>Antonio López</t>
  </si>
  <si>
    <t>, 6. D. Juan José Herdoyza, 4. D. Andrés Orive , 4. D. J*sé Alien , 4. D. Juan Laisequilla , 4. D. Pedro Delgado Alférez., 6. D. Florencio López , 2. D. Antonio López , 2 y 2. D. Manuel de Villar, 1Q0O. D. Antonio Alvarez de Villar, alcalde ordi­ nario de -esta ciudad , 1000. El marques de Casa Dávila , 1000. El mismo, a nomb…</t>
  </si>
  <si>
    <t>López, Antonio Regino</t>
  </si>
  <si>
    <t>Antonio Regino López</t>
  </si>
  <si>
    <t>n Antonio García. D. Mariano López. D. Josef Rico Pablo. D. Juan P.trdo. D. Josef Prado. D. Manuel de Venayas. Secretario Secretario D. Josef Mendez. D. Antonio Regino López. BARRIO DE. XA PLAZUELA DEL GATO. BARRIO DE SAN ILDEFONSO. Alcalde de barrio Alcalde de barrio D. Juan López Arias. , D. Ramón Royo y Puello.</t>
  </si>
  <si>
    <t>López, Basilio</t>
  </si>
  <si>
    <t>Basilio López</t>
  </si>
  <si>
    <t>argento primero del mismo cuerpo D. Ignacio Calan ; de espitan de milicias disciplinadas de infantería á 6. Francir.cn Garcés * D. Francisco Manzano, D. Basilio López, D. Jacobo Garcés, D. R-amon Roa, D. Xavier Morios, D. Pedro Astarloa, D. Juan Esteban Cueto, Don Manuel Carrera, D. José María Medina, D. Podro Jo mi Alcina, D…</t>
  </si>
  <si>
    <t>López, Calixto</t>
  </si>
  <si>
    <t>Calixto López</t>
  </si>
  <si>
    <t>, 10. D. Mariano Lucar, 6. D. Toribio Echeverría, 6. D. Lino Figueroa , 2. D. Tomas Collas, 2. D. Domingo Sánchez , 6. D. Feliciano Eche­ varría , 2. D. Calixto López , 2. D. Gaspar de Castilla , 6. D. José Arana , 2. D. Benito Lacea, 2. D. Jorge Gadea, 6. D. Manuel Bergara, 2. — Regi~ miento de milicias de Ferreñafe. El coro…</t>
  </si>
  <si>
    <t>López, Diego Ventara</t>
  </si>
  <si>
    <t>Diego Ventara López</t>
  </si>
  <si>
    <t>ldan, id...... ................................ 2200 D. Ignacio María Bcteta, id. en Alcalá..... 2200 D. J uan de Dios Perez de Ja Cerda, id.... 2200 D. Diego Ventara López» »d. en Madrid. 2200 D. Pedro Sabariego, id................................ 2200 D. Pedro I’ascnal de Sierra, id. en ArjoBx-carmelitas calzados. nilla,...…</t>
  </si>
  <si>
    <t>López, Florencio</t>
  </si>
  <si>
    <t>Florencio López</t>
  </si>
  <si>
    <t>o, 6. D. Narciso Aponte , 6. D. Juan José Herdoyza, 4. D. Andrés Orive , 4. D. J*sé Alien , 4. D. Juan Laisequilla , 4. D. Pedro Delgado Alférez., 6. D. Florencio López , 2. D. Antonio López , 2 y 2. D. Manuel de Villar, 1Q0O. D. Antonio Alvarez de Villar, alcalde ordi­ nario de -esta ciudad , 1000. El marques de Casa Dávila …</t>
  </si>
  <si>
    <t>López, Francisco</t>
  </si>
  <si>
    <t>Francisco López</t>
  </si>
  <si>
    <t>....................... 2200 VUlacastin....................................................... 2200 D-,Domingo Suarez, id. de Sautillana........ 2200 D. Francisco López, id. enAbades.......... 2200 D. Victor de Arce, id. de Angaaciana de D. E1Í3S García, id. en Segovia.................. 2200 la Rioja..........................…</t>
  </si>
  <si>
    <t>................... 2200 D. Pablo González , id...................................... 2200 P. Francisco Solano García, id....................... 2200 D. Francisco López , residente en Rambla. 2200 D. Cristóbal Josef de Zafra , id...................... 2200 P. Anselmo de Reyes, subdiácono, id. en D. Ju ande Salas, id..........…</t>
  </si>
  <si>
    <t>López, Hermenegildo</t>
  </si>
  <si>
    <t>Hermenegildo López</t>
  </si>
  <si>
    <t>Toledo quedan promovidos poniente con tierra que fue de D. Ventura Montene­ D. Miguel Gómez, subteniente) á teniente ea gro , y al norte con otra de D. Hermenegildo López reemplazo de D. Manuel Menoyo. Sandoval; su caber cinco fanegas, nueve celemines y D. Santiago Yepes, sargento primero, ¿subte­ 20 estadales, y su valor á 5…</t>
  </si>
  <si>
    <t>López, José</t>
  </si>
  <si>
    <t>José López</t>
  </si>
  <si>
    <t>me veía precisado. A la media le­ gua de camino encontré las tropas del Pedregal, compuestas de 100 infantes , al mando del subteniente de Puertorico D. José López, y 18 caballos al del capitán D. Pedro Luis Inchauspe ; y poco des­ pees se observó que el enemigo venia marchando en nuestro alcan­ ce. Con esta novedad me dirigí…</t>
  </si>
  <si>
    <t>López, Josef</t>
  </si>
  <si>
    <t>Josef López</t>
  </si>
  <si>
    <t>. I'defonso Arévalo , id............................... 3200 D. .Rafael Serrano ,Id.............. 2200 D. Isidoro Bujalance, residente en Bacna. 2200 D. Josef López, id............. .......................... 2200 D. Pedro Rodríguez , id............................... 2200 D. Joief González, id................................…</t>
  </si>
  <si>
    <t>Garrido, id. en Baena..... ................ 2200 D. Josef Colorado y Delgado, id...,.......... 220O D. Jacinto Gómez, id. en Benamexí........... 2200 D. Josef López , id............................... ;............. 2200 D. Josef Castellón, id. en Ecija................... 2200 D. Antonio Casaubon, id..........................…</t>
  </si>
  <si>
    <t>López, Juan</t>
  </si>
  <si>
    <t>Juan López</t>
  </si>
  <si>
    <t>un destacamento se encaminó enfermo como estaba á la hacienda de la Huerta, en donde había un piquete de caballería , á las órde­ nes del subteniente D. Juan López, y reunido con él, marchó en busca del enemigo, que encontró situado en una altura inaccesible, y que no pudo hacerle abandonar por mas que lo intentó ; por lo que…</t>
  </si>
  <si>
    <t>Rio. .' . t Diputados seculares Diputado eclesiástico D. Angel Rorherosa. D. Clemente Antonio Uribarren. D. Francisco de Torre*. Diputados ‘seculares D. Juan López. D. Estéban Rodríguez. Secretario D. Antonio Febrer. L. ' D. Simón Péricibho. D. Francisco Redondo. j Secretario BARRIO DE SANTA ISABEL. D. Francisco Jaracho. T ' …</t>
  </si>
  <si>
    <t>endo se sacan los principios Plano de Madrid, dividido en 10 quarleles: publí­ solubles en ella , ios quales no se han sacado lavan­ cale el geógrafo D. Juan López. Se hallará con las de­ do las hojjs con agua fría. mas obras del autor en la calle de Atocha, núm. 1, £1 ácido descompone las combinaciones qne la quarto segundo:…</t>
  </si>
  <si>
    <t>López, Juan Antonio</t>
  </si>
  <si>
    <t>Juan Antonio López</t>
  </si>
  <si>
    <t>opoldo D-„z. al fia desaparecieron á las nueve. Y para la de Fondas , vacante por no estar or­ denado con ella Su poseedor, al ex-franciscano ESPAÑA. D. Juan Antonio López. Y sobre ia posesión de estos interesados se ob­ Granada ¿o de enero. servará lo prevenido en el referido decreto de La junta establecida en esta ciudad co…</t>
  </si>
  <si>
    <t>López, Manuel</t>
  </si>
  <si>
    <t>Manuel López</t>
  </si>
  <si>
    <t>7 y 4 rs. Id. del místico , 5/Los 3 individuos de la lancha-balandra Mercedes , 3 v 2. El piloto I). Antonio Leo, 4. El joven de la escuela náutica, D. Manuel López ,2.— Real casa de moneda. El suoerintendente I). José de la Rivay Agüero, 500. El contador L&gt;. Eugenio Valdivieso, 350. D. Juan Ranas , ensayador primero , 250. D…</t>
  </si>
  <si>
    <t>López, Mariano</t>
  </si>
  <si>
    <t>Mariano López</t>
  </si>
  <si>
    <t>............. Diputado eclesiástico . Diputados seculares D. Juan Mauuul Domínguez. D. Ventura Alcalde. -.Diputados seculares D. Juan Antonio García. D. Mariano López. D. Josef Rico Pablo. D. Juan P.trdo. D. Josef Prado. D. Manuel de Venayas. Secretario Secretario D. Josef Mendez. D. Antonio Regino López. BARRIO DE. XA PLAZUE…</t>
  </si>
  <si>
    <t>López, Martiu Josef</t>
  </si>
  <si>
    <t>Martiu Josef López</t>
  </si>
  <si>
    <t>............. 2200 caracejos.................. 22CO D. Fernando Cabrera, id.............................. 2200 D. Juan Eulogio Rodríguez, subdiáconp, D. Martiu Josef López , id......................... 2200 idem...... ............................................. 2200 D. Francisco Ñarerró , id...;................ . 2200 D. Ju…</t>
  </si>
  <si>
    <t>López, Matías Elias</t>
  </si>
  <si>
    <t>Matías Elias López</t>
  </si>
  <si>
    <t>Rafael Echartea. . D. Clemente Rubio. D. Josef Aldavez. Diputados seculares D Manuel Nieto. D. A ntonio Laiidaluce. Secretario D. Agustin Viilánuéva. D. Matías Elias López. Secretario D. Pedro NoLsco Escribano. BARRIO SSL EtOSUfrAL GÍWlRAL, BARRIO I)E SAN ANTONIO ABA». v . Alcaide de barrio D. Luis Ginf.s Fernandez. Alcalde d…</t>
  </si>
  <si>
    <t>López, Miguel</t>
  </si>
  <si>
    <t>Miguel López</t>
  </si>
  <si>
    <t>delegarán las fun­ la compañía de escopeteros de Andalucía; al sub­ ciones de landamann de la confederación helvética teniente de infantería de línea D. Miguel López al señor Burkard , qne en el dia es el primer bur­ Marentes subteniente del regimiento de Murria, gomaestre de esta ciudad. Este respetable magistra­ 2;° de infa…</t>
  </si>
  <si>
    <t>Baltasar de Ostabat............ 4093 27 Estado. D. Manuel Pavía................................... 913 10 En nuestro palacio de Madrid á 20 de junio D. Miguel López................................... 3*5* f de 1812. D. Antonio Perez..........i.......... . 649 2t Don JoseF Napoleón por la gracia de Dios y D. Rafael Fausto Flor…</t>
  </si>
  <si>
    <t>López, Pedro José</t>
  </si>
  <si>
    <t>Pedro José López</t>
  </si>
  <si>
    <t>atriotas de todos los pueblos de los curatos de Lauda y Xalpan , le encargó la prisión del coronel de rebeldes Jóse de Jesús, de Remigio Bisueta, dci capitán Pedro José López, y de los seductores José Ramón Vargas, Cecilio Gal van, Luis Tabera, José Antonio B aneo y Antonio Luciano Rosende, ios cuales fueron apre­ hendidos y …</t>
  </si>
  <si>
    <t>López, Samiago</t>
  </si>
  <si>
    <t>Samiago López</t>
  </si>
  <si>
    <t>alle­ mas sin embargo el brigadier Wibon informó. á ría de línea , á capitán de ja segunda compañía. S. E. qué los dos batallones de la Union se com­ D. Samiago López , subteniente agregado , á portaron bien ; y parte del regimiento de Braga, teniente de la primera compañía. siendo el coronel Sebastian Pcreira, comandante D. …</t>
  </si>
  <si>
    <t>López, Santiago</t>
  </si>
  <si>
    <t>Santiago López</t>
  </si>
  <si>
    <t>280 mío Cnicho , 2. D. Santiago López, 2. D. Juan Navarrete , 2. D. "Martin Fer­ nandez , 2. D. Juan Loaisa, 2. D. Camilo Mariatégui., 2. D. Pablo Manco 2. D. Juan Batalla, 2. D. Tomas Portocarrero , 2. D. Francisco Zandagoza,</t>
  </si>
  <si>
    <t>López, Tadeo</t>
  </si>
  <si>
    <t>Tadeo López</t>
  </si>
  <si>
    <t>de él el ex-agonizante D. Josef te , á teniente cu reemplazo de D. Luis Molí; Don Pando y Bracha. 1 Renato Meiito, subteniente agregado, subtenien­ Y D. Tadeo López, presbítero, ex-mítiimo, | te en reemplazo de D. Pedro Milliard, y D. Hngó para que sirva en encomienda y, por iguales partes D’Hame, sargento primero, á subtenie…</t>
  </si>
  <si>
    <t>López, Tomas</t>
  </si>
  <si>
    <t>Tomas López</t>
  </si>
  <si>
    <t>ta primero D. Matías Zapater, 58. Id. segun­ do X). Juan de Unanue , 50. Ayudante D. Juan Díaz del Campo , 25- — Ron­ da de vista y administraciones. D. Tomas López , visitador de almacenes, 100. Id. segundo 1). Francisco Erazu , 100. D Bernardo Cerran . guarda, 50. Id. D. Mateo Calero, 41, Id D. José Antonio Bustamante , 41.…</t>
  </si>
  <si>
    <t>López, Veotura</t>
  </si>
  <si>
    <t>Veotura López</t>
  </si>
  <si>
    <t>Don Josef Napoleón por la gráéla de Dios y D. Juan Aguado. por la constitución del estado, REI de las Españas D. Santiago Infanzón. y de las Indias. D. Veotura López. » Visto el informe de nuestro ministro de lo Secretario' Interior, hemos decretado y decretamos lo si­ D. Nicolás de Cilla. guiente : articulo r. ,, Habrá en Ma…</t>
  </si>
  <si>
    <t>López, Vicente</t>
  </si>
  <si>
    <t>Vicente López</t>
  </si>
  <si>
    <t>uel de Sarratea y el Dr. D. Juan José de Paso; y ioak segundos D. José Julián Pérez, secretario de gobierno, O. Bernardina de Rivadavia, de guerra, y D. Vicente López , de hacienda.. El nuevo gobierno tomó, como era de esperar, un rumbo dife­ rente del que había seguido el gobierno antenor. Una de sus. prime­ ras operaciones …</t>
  </si>
  <si>
    <t>LopezG, MaríaTeresa</t>
  </si>
  <si>
    <t>MaríaTeresa LopezG</t>
  </si>
  <si>
    <t>término prescri­ villa de Sotoval, en Castilla la vieja, vecino que tue to, pondrá en cxecucion el auto pronunciado; pero sí de esta corte, viudo de Doña MaríaTeresa LopezG&lt;nlas partes apelasen, ya sea por escrito, ó ya de palabra, zalo, para que en el término de 30 dias, contados des­ el juez conciliador admitirá la apelació…</t>
  </si>
  <si>
    <t>Loproux</t>
  </si>
  <si>
    <t>d y el ejército que aparenta sitiar a Cádiz, a cuya medida? le habían provocado mis últimos movimientos. . „ Parad leñar-esté proyecto , sé dieron al general Loproux las ordenes mas positivas de fortificar á Bornos , y se pusieron á. su disposición, 4a00 ■ hom­ bres de todas armas y 6 'pieSzas de artillería que sostuviesen lo…</t>
  </si>
  <si>
    <t>Loptz, Lúeas</t>
  </si>
  <si>
    <t>Lúeas Loptz</t>
  </si>
  <si>
    <t>inmensa de espec­ oficiales que han «ido de la compañía de cazado­ tadores, de las aclamaciones del pueblo, y en pre­ res de caballería de Salamanca, D. Lúeas Loptz y sencia de la guarnición, que esraba sobre las ar­ D. Antonio Rodríguez , subtenieutes de caballe­ mas, y de los destacamentos de los lugares mas ría delinea. in…</t>
  </si>
  <si>
    <t>Lorcna</t>
  </si>
  <si>
    <t>419 Elche de la Sierra, provincia de la Moncha, 18 de abril. Noticioso el comandaste de infantería D. Lorcna:» Cerezo de ene se adelantaban 300 franceses h¿cia Vi'dncarri lo con el or j to de ata­ carle, pasó aviso al de caballería D Bernardo Márquez, y salieron reunidos el 22 de marzo á recib* ai</t>
  </si>
  <si>
    <t>Loren</t>
  </si>
  <si>
    <t>á V. E. muchos años. Carrejo y Mayo. — Lorenzo Herrero*—? Continúan los donativos del Perú, D. Manuel Quesada, 4 pesos fuertes. D. Nicolás Castro, 30 D. Loren­ zo Bodero, G. D. Santiago Serón, G. El ayudante de gobierno y varios i ndtviduos , 7$ y 4. Pedro José Vargas , 25. D. Alexo Guiraldez, 25. D. Gaspar Casanova , 25. D. …</t>
  </si>
  <si>
    <t>Lorenzo</t>
  </si>
  <si>
    <t>¿arzobispado".^To­ A D. Alonso Roldan para el de la villa de Vi- ledo, vacante por muerte de D. Tomafe MerltidJ’1 ‘ tigudino, vacante por xnuerte de D. Lorenzo Y al: ex-gerónimo D. Josél- Burtlfo para^óffo Sacchez. beneficio'en encomienda de SrBtas dé ÁlbotñozV A D. Agnstin González para el de Pelabravo,’ en el obispado' de C…</t>
  </si>
  <si>
    <t>ucional l&gt;. Maiíuel de líibacoba, D. Pedro Uñarte y 13. Lucas de Carranza• y de k&gt;* municipa­ les D Ju ati Antonio Pico , IX Genaro Faustino Rincón , D. Lorenzo früegas , D. Diego Barredayid José Ocharán y O. Manuel'de la Veñá, D. Antolin .M un arria y D. Pedro Pimtiós, todos baxo la preBideuciá del expresado D. Pedro Sáinz d…</t>
  </si>
  <si>
    <t>los Dolores, Luisa María de</t>
  </si>
  <si>
    <t>Luisa María de los Dolores</t>
  </si>
  <si>
    <t>sigue : do á ,,Todo trabajo merece una recompensa. Vmd. D. Manuel López Arias por............ 476 17 merece pues que le paguen el quejáa tenido en la Doña Luisa María de los Dolores declaración que ha hecho el 30 del corriente sn «1 Duraq...... ........................... ................... 2817 21</t>
  </si>
  <si>
    <t>los Reyes, JoscfLopcz de</t>
  </si>
  <si>
    <t>JoscfLopcz de los Reyes</t>
  </si>
  <si>
    <t>ados, id. en Pezuelo de D. josef Santa Cruz, id............................. • 2200 Calat ra*a'........ ...................................... . 22CO D. JoscfLopcz de los Reyes, id....... ...... 2200 D. Juau Hidalgo, lego-, id. en Córdoba..., neo D. Josef cíe G. ivez, id.............................. 22ÓÓ D. D ego Montosa y N…</t>
  </si>
  <si>
    <t>los Reyes, Juan de</t>
  </si>
  <si>
    <t>Juan de los Reyes</t>
  </si>
  <si>
    <t>................ 2200 D. F rancisco Fuilierat, id.............................. 2200 D. Francisco de Soto, id................................... 22^0 D. Juan de los Reyes, id.................... ............ 2200 P. Francisco Carrasco , id......................... 2200 D. Francisco Perez , id..................................…</t>
  </si>
  <si>
    <t>los Ríos, Agustín de</t>
  </si>
  <si>
    <t>Agustín de los Ríos</t>
  </si>
  <si>
    <t>gio de abogados de Lima, 1000. D. Fran­ cisco de la Guarda , cura de Pararin , 50. El sub lelegado de Santa , de lo co­ lectado er» su partido , 212. D. Agustín de los Ríos, cura de la parroquia de Sta. Ana, 100. — Real cara de Pasco. D. Juan Agustín Morales, ministro contador, 159 con 2 y medio. D. José Cevallos , ministro t…</t>
  </si>
  <si>
    <t>los Ríos, Domingo de</t>
  </si>
  <si>
    <t>Domingo de los Ríos</t>
  </si>
  <si>
    <t>8T4 D. Francisco Bermodez, id...i........ 2200 D. Domingo dé los Ríos , id....... 2200 D. Mirüno Jungaitu, íd...... ¿.u............ 2200 D. Juan Batjacoba , id........I...'...... ,... 2200 D; Narciso deiZeq , id..................................... '220a *&gt;• J</t>
  </si>
  <si>
    <t>los Ríos, Manuel de</t>
  </si>
  <si>
    <t>Manuel de los Ríos</t>
  </si>
  <si>
    <t>ncisco López Gamuza, por «no , 9. D. Pió Miliar, id., 9. D. Martin Domínguez, id. 9. D* Joaquín de Cárdenas, id., 9. I), José Mrgiu Tarrafa , id., 9. D. Manuel de los Ríos, id., 9. D. Manuel de Urrua, id. , 9. D. José María de Urrua y D, Domin­ go Bernaola, id. , 9. D. Felipe Fernandez de Silva, por uno, 9. D. Juan Kohli, id!…</t>
  </si>
  <si>
    <t>los Ríos, Manuel Fernandez de</t>
  </si>
  <si>
    <t>Manuel Fernandez de los Ríos</t>
  </si>
  <si>
    <t>e , por sí como mayordomo de la compañía de Jesús Na­ zareno , 500. D. José de Gorosabel , mayordomo de la purísima de S. Fe­ lipe Neri, por sí, 200. D. Manuel Fernandez de los Ríos , mayordomo de las cofradías de Remedios , de Burgos y Piedad , por sí, 400. D. Pedro Al­ ta ro y Aiquedas , mayordomo de la de Soledad y Tránsit…</t>
  </si>
  <si>
    <t>los Santos, Micaela de</t>
  </si>
  <si>
    <t>Micaela de los Santos</t>
  </si>
  <si>
    <t>dministra­ á la música, se ha extendido muchísimo. Casi to­ dor de D. Buenaventura , D. Jo­ dos los dias dan los aficionados excelentes concier­ sef, Doña Micaela de los Santos, tos en sus casas; por lo regular la música está Doña Maria Dolores y Doña Ma­ compuesta por profesores alemanes domiciliados ría de la Soledad Piñeir…</t>
  </si>
  <si>
    <t>Losa</t>
  </si>
  <si>
    <t>riesgaban mucha gente; de­ terminaron reunir lo escogido de todas sus fuerzas, para poder obrar á lo menos con alguna libertad contra la división del general Losa­ da, alejando ó destruyendo la mia. Tengo lu fortuna, Excmo. Sr., de anunciar á V. E. que el éxito no correspondió á sus esperanzas ni aparato, y que los enemigos h…</t>
  </si>
  <si>
    <t>Losada</t>
  </si>
  <si>
    <t>últimamente recibidas, los enemigos ocupan la villa de Orado, y extienden sus avanzadas y puestos de observa­ ción hasta el Fresno y las Dorigas. El general Losada tiene sil cuartel general en Mr» Hez a , exten­ diéndose sus tropas á las orillas del Narcea, del Pigüeña y del baxo 'Nalon, donde hicieron algunos prisioneros á l…</t>
  </si>
  <si>
    <t>an la columna que decidieron la acción con Krúker ODonnell, v los capitanes de ellas D. Ramón Tabeada y D. Antonio de Pazos.” Posteriormente avisa el general Losada con fecha del 9, que se­ gún noticias positivas , la pérdida del enemigo en la acción de ‘ Otero fue de 116 hombres entre muertas y heridos, incluso* 4 oficia­ le…</t>
  </si>
  <si>
    <t>Losaek</t>
  </si>
  <si>
    <t>fragatas á su socorro; en consecuencia la Frbe se vio precisa­ da á seguir á la Galatea, que el viento había acercado á la mía. Entonces supe por el capitán Losaek que la Galatea había pade­ cido mucho, y cuando pasó á sotavento mió, tuve el sentimiento de ver crer varios de sus masteleros. Habia recibido algunos baga­ zos á …</t>
  </si>
  <si>
    <t>Loschkatev</t>
  </si>
  <si>
    <t>l, que queda encargado de Negocios de Aus­ satisfacción al coronel Hdberti , comandante del tria cerca de ouestra corte. ■regimiento de Wilna, y . al coronel Loschkatev», comaodáñte’del regimieoto de infantería de Sim— AUSTRIA. birsk, pór el bben estado'en que se hallan los re­ gimientos qué se les ha mandado organizar. Vuna …</t>
  </si>
  <si>
    <t>Loughnan, Andrés</t>
  </si>
  <si>
    <t>Andrés Loughnan</t>
  </si>
  <si>
    <t>as esterlinas. D. Ma­ nuel de la Torre, 210. El cónsul general de España, 50. D. Vicente Duvango, 50. D. Ricardo Sbield, 100. D. Jayme Campbell, 100. D. Andrés Loughnan, 50. Los Sres. Gordon, Murfiy compañía, 105. D. José Moreno de Mora, ¿0. Un patriota español, 100 y 120 cami­ sa?. D. Jorge Sacdcman, 100. D. Antonio Gower, 2…</t>
  </si>
  <si>
    <t>Lowis</t>
  </si>
  <si>
    <t>s y rusas saldrá de Riga, y pasará á Liebau á desembarcar tropas en la retaguardia del enemigo. Fn una de las salidas que hizo la guarnición cogió el general Lowis 600 soldados y ocho oficiales enemigos. También fue escalado y tomado un re­ ducto de siete cañones, y el resto de la artillería volante prusiana que esta­ ba en K…</t>
  </si>
  <si>
    <t>Loy</t>
  </si>
  <si>
    <t>, y sin que séá posible hincarle el diente? Paes veso Sacco , de Múa.j, repitieron ios experimentos del vmds.'lo que á mí me está pasando machos diae doctor Loy, y obtuvieron los mismo* resultados basé con púa .de estas ¡deas duendes, que no me que é!. dexa descansar, dando continuamente porrazos ea Este era el estado de la c…</t>
  </si>
  <si>
    <t>Loza, Antonio</t>
  </si>
  <si>
    <t>Antonio Loza</t>
  </si>
  <si>
    <t>1805 los sugetos siguientes. D. Joan Bautista de Palacio...... 5054 Rs. vn. Mr». D. C .milo de los Toeror.......... 36 r Doña María de (a Encarnación D. Antonio Loza.......................... 2263 17 Esmo'ieu...,,.............................. 1225a D. Julián Ruiz................ 361 D. Santiago de Anarráregui......... 35°° D…</t>
  </si>
  <si>
    <t>Loza, Juan Manuel</t>
  </si>
  <si>
    <t>Juan Manuel Loza</t>
  </si>
  <si>
    <t>12 y 4. Doña Feliciana de la Fuente y Arce, 100. Los vecinos déla villa de Hmmoavéíica, GÜ^ó.—— Administración de tabacos de Santa. El administrador D. Juan Manuel Loza• 110,26. Ei guarda 1). José Ramón V cnña, 10 D Francisco Barrera, estanque­ ro, 6. D Toribio Herrera! 4. El colegio de abogados de Lima, 1000. D. Fran­ cisco …</t>
  </si>
  <si>
    <t>Lozano, Adrián</t>
  </si>
  <si>
    <t>Adrián Lozano</t>
  </si>
  <si>
    <t>ron los enemigos, ede­ cía.......................... ....................................... . 2 200 cán del general. Esto hemos visto, y hemos visto D. Adrián Lozano, id. en Segovia............... 2200 una relación mui diferente en un periódico de esa D. Miguel Nicasio Galvez , id.............. í...... 2200 ciudad.___Piensen…</t>
  </si>
  <si>
    <t>Lozano, Fernando Gómez</t>
  </si>
  <si>
    <t>Fernando Gómez Lozano</t>
  </si>
  <si>
    <t>....... *99° 2 mediatamente á sus voces. D. Juan Nepomuceno de Arauda....... 2087 16 D. Julián de Otarte.............................. 1148 4 ESPAÑA. D. Fernando Gómez Lozano............... sí. 5 73 9 D. Manuel López Ccrredo.................. 744 24 Madrid 03 de junio. D. Josef Vigil............ ........................... 72…</t>
  </si>
  <si>
    <t>Lozano, José</t>
  </si>
  <si>
    <t>José Lozano</t>
  </si>
  <si>
    <t>el sargento primero de mis or­ denanzas D. Manuel Sahagun , que murieron en la acción ; y el capi­ tán , teniente de cazadores del primero cántabro , D José Lozano, que fné herido.—Nuestra pérdida asciende á 40 heridos y 10 muertes: la de los enemigos ha sido de 100 heridos, entre ellos un teniente coronel que llevaban en una…</t>
  </si>
  <si>
    <t>Lozano, Josef Joaquín</t>
  </si>
  <si>
    <t>Josef Joaquín Lozano</t>
  </si>
  <si>
    <t>primero» sión de la fecha de los reales decretos en qne ha­ á subteniente de ia novena compañía. yan sido agraciados hasta la citada época de fin de D. Josef Joaquín Lozano» sargento primero» á diciembre de i8tr» y b de los fallecidos , ó qne subteniente de la octava compañía. hubiesen ascendido á oficiales» para el aju:te de…</t>
  </si>
  <si>
    <t>Lozano, Manuel</t>
  </si>
  <si>
    <t>Manuel Lozano</t>
  </si>
  <si>
    <t>en-suceso ; D. Pablo F guerea , cfíckl retirado de merma , natu­ ral de Vi 'lacenas ; D. Joté Amat, teniente coronel retirado, satura! de Bi*rce!ona; D. Manuel Lozano, oficial de la secretaría del pa­ tronato de Nueva-.España, natural de Borja; D. José Naxera , Ha­ cendado , natural de Viiloslada ; D. Manuel López Barajas, di…</t>
  </si>
  <si>
    <t>Lsbrua</t>
  </si>
  <si>
    <t>as leen «líos mis­ París 2j de mayo. mos si están presentes. El dia 20 pasó por Bru:éJa$ para Amsterdaa Ultimamente, se distribuyen los premios, y «1 príncipe Lsbrua, duque de Placeada.</t>
  </si>
  <si>
    <t>Lticeño, A-ífonso</t>
  </si>
  <si>
    <t>A-ífonso Lticeño</t>
  </si>
  <si>
    <t>Mano. BARRIO DE LEGA MITOS. Diputado eclesiástico D.................. .. .. ............... Alcalde- .de barrio Diputados seculares D. Juan Tarquis. D. A-ífonso Lticeño. Diputado eclesiástico D. Gregorio Sánchez. .be'»' . ,-•/ . D. Antonio G-ircía Cano. D. Roque de Lema. ,j\ , , ; ‘ , Diputados seculares Secretario ¡ D. Manue…</t>
  </si>
  <si>
    <t>Lttdd</t>
  </si>
  <si>
    <t>. El de la isla de Java al ooeste del Licribsn. que ¡as ro nda , sea quien quiera, se llama siem­ ,,Las tropas inglesas desembarcaron el 12 da pre el general Lttdd, y sus órdenes son executa- agosto á 12 millas de Batavia, que capituló el 8. das con tanta puntualidad, como si salieran de la El 10 las tropas inglesas tuvieron …</t>
  </si>
  <si>
    <t>Lubomirska</t>
  </si>
  <si>
    <t>qae la de centeno. El cultivo de pata­ las vocales de esta asociación , de la condesa Rze- tas va aumentándose todos los días en este país. El waska, princesa Lubomirska , que está al frente obispo de Montenegro protege este ramo de indus­ de la sociedad de Badén, y de la baronesa de Al— tria rural por todos los medios posibl…</t>
  </si>
  <si>
    <t>Lucar, Mariano</t>
  </si>
  <si>
    <t>Mariano Lucar</t>
  </si>
  <si>
    <t>io Ramírez, 2. D. José Mexia, 2. D. Hilario Olivera, 10. D. Ma­ nuel de Torres, 10. D. Carlos Villa-Chica, 8. D. José Sánchez, 6. D. José Alegre, 10. D. Mariano Lucar, 6. D. Toribio Echeverría, 6. D. Lino Figueroa , 2. D. Tomas Collas, 2. D. Domingo Sánchez , 6. D. Feliciano Eche­ varría , 2. D. Calixto López , 2. D. Gaspar d…</t>
  </si>
  <si>
    <t>Lucas, Donvngo</t>
  </si>
  <si>
    <t>Donvngo Lucas</t>
  </si>
  <si>
    <t>todas las ciencias, excep- í teniente; y al sargento primero D. Pedro Monto la de medicina y la de las leyes penales. El plan tagne, á snbteniente: á D. Donvngo Lucas, sub­ del nuevo reglamento de la academia se ha remiti­ teniente que fue de caballería , á subteniente de la do para su exámen y aprobación al general de ia com…</t>
  </si>
  <si>
    <t>Lucena, Josef</t>
  </si>
  <si>
    <t>Josef Lucena</t>
  </si>
  <si>
    <t>nuación del decreto de S. M. del 14 del D. Aifonso Ruiz, id....... ................................. 22co corriente, en que se declaran acreedores al D. Josef Lucena, id........................................... 22c® erario público varios ex-regulares por las can­ D. Florentino Perez, id................................... at…</t>
  </si>
  <si>
    <t>Lucero, Faustino</t>
  </si>
  <si>
    <t>Faustino Lucero</t>
  </si>
  <si>
    <t>5. Los cabos y peones de dicha matrícula , 100. El teniente da dicha José Espejo , 15. El capataz de carpinteros D. Nicolás Noé , 20. El de calafates D. Faustino Lucero , 20. Los demas carpinteros y calafates del CaUao , 72 y 6. Ei piloto de la fragata Trinidad D. Domiago Mesquia, 10. Los demas individuos de la tripulación da…</t>
  </si>
  <si>
    <t>Luchesi</t>
  </si>
  <si>
    <t>tos y .7 heridos. De los enemigos quedaron prisioneros 4 oficiales y 30 soldados de artillería del regimiento tercero , y ademas se nos pasaron 3. El teniente coronel Luchesi y el capitán Nstíoli se mostraron muy activos, y el coronel Tfobinson. lanzó cohetes de Congreve contra la caballería con grande efecto. Eas cañoneras p…</t>
  </si>
  <si>
    <t>Luco</t>
  </si>
  <si>
    <t>-resal de xe? vi­ cio ; del general Guy y del n •erque» de Palacio, ayudantes de Jceó* de D. Joan de Faria, inspector de ¡Vfí trepes es pañetes ; del general Luco* te, caballerizo de servicio ; del conde de- S. Anastasio, secre­ tario; del conde de Metilo, aposentador ; de.Ofiairill, ministro déla guerra; de Urqnijo, ministro…</t>
  </si>
  <si>
    <t>Ludd</t>
  </si>
  <si>
    <t>su padre.. ¡Quiera Dios que asi encuentran algunos mapas mui hermososdel Orien­ suceda I te, hechos á mano, y varias obras alemanas, fran­ Carta del general Ludd. cesas , italianas, inglesas ,~ traducidas ea lenguas He aquí la copñ Je una carta que dicen se bz orientales. 1 encontrado entre unos efcqjos restituidos, que ESPAÑ…</t>
  </si>
  <si>
    <t>Luden</t>
  </si>
  <si>
    <t>rra y sus habitantes según los descubrimientos mas recien­ Leipsick í.° de enero. tes. También son «preciables en su clase el C001pendio político del profesor Luden , de Jeoa; el He aqni un resumen de las obras históricas qoe Compendio completo de la administración del ce bao publicado en Alemania en el año de itíti. conde So…</t>
  </si>
  <si>
    <t>Ludlow</t>
  </si>
  <si>
    <t>te, se halla parcido en toda la ciudad una tristeza, que se ad­ en Washington. vierte en todos los semblantes, yes un presenti­ El John Adams\ de 24, capitán Ludlow, y miento de los males que debemps esperar,, Las pri­ el Nantitius, Bergantín de 12 cañones, capitán meras ideas que se ofrecen á la imaginación son la Crane, est…</t>
  </si>
  <si>
    <t>Luego, Antonio Duran</t>
  </si>
  <si>
    <t>Antonio Duran Luego</t>
  </si>
  <si>
    <t>9 envió un parlamentario con la tarde en su posada para celebrar junta general de un tambur y una bandera blanca. acreedores á los bienes del difunto D. Antonio Duran Luego que el oficial español se presentó erí el y Calderón, maestro que fue de coches de la real casa; puente que va al fuerte , para comunicar las in­ y á fin …</t>
  </si>
  <si>
    <t>Luengo, Juan de Ortega</t>
  </si>
  <si>
    <t>Juan de Ortega Luengo</t>
  </si>
  <si>
    <t>zalo de Valenznela, de granaderos. D. Juan Martin de la Torre, de tiradores. Subtenientes. D. Pedro Morales. D. Josef Ximenez. D. Estanislao Agnilar. D. Juan de Ortega Luengo. D. Miguel Parraverde. art. v. En la villa de Espejo se formarán dos D. Josef Joaquín de Priego. compañías. D. Gerónimo Montilla. Quedaa nombrados para …</t>
  </si>
  <si>
    <t>Lugo, Francisco</t>
  </si>
  <si>
    <t>Francisco Lugo</t>
  </si>
  <si>
    <t>, curas rectores , 52 y 4; r\ José Joaquín Lnrriva, sacristán mayor, 12. D. Agustín de Acuña Inter , 2. 1i. ís-inou Muñoz ,1. D. Bonifacio Loarte, 1. D. Francisco Lugo, 1. D. Ge­ rónimo de isla, 1. I). Francisco Escobar, capellán mavnr de! hospital de Sta. An; 9 (Se co;t¿Tiliará.) CADIZ : EN LA IMPRENTA REAL.</t>
  </si>
  <si>
    <t>Lugo, Mariano</t>
  </si>
  <si>
    <t>Mariano Lugo</t>
  </si>
  <si>
    <t>á las órdenes de su sargento mayor D. Santiago Jl añez, 150 dragones de S. Carlos al cargo de D. Valentín Soberon , y 50 de Mé­ xico con el teniente D Mariano Lugo y 2 obuses con los artilleros corres| ondier 1/s , mandados por el teniente D. José Roca , con ei objeto de entrar en Temmoingo en busca de rebeldes. En el trán­ s…</t>
  </si>
  <si>
    <t>Luí</t>
  </si>
  <si>
    <t>estinando para el genera-, du­ que de Ciudad-Rodrigo, una rica y magnífica insignia de la orden del Toyson de ora, que fué de sa padre el Sr. infante D. Luí*,co­ mo una mocd'a de ia gratitud que le cabe en la general de la na­ ción , por lo que han centnbnico las hazañas de aquel insigne ca­ pitán á afianzar el triunfó de ¡a …</t>
  </si>
  <si>
    <t>Luis</t>
  </si>
  <si>
    <t>. Don Faustino Perez , id. de Concepción , 50. D. Manuel llamos, 30.* 1). Francisco Benito Suarez , 12. Fr. Carlos Sánchez ,1?. D. José González , G. D. Luis del ( "arpio y (i. t) José Herrera , (&gt;. Fr. Antonio Buvungaiay , G. D. José So!is , G. D. Martin Tadeo Lope-. 4. 1). 'ÍV.deo Miranda, 4. D. Lucas Fg' avil ,1. f). Mi­ g…</t>
  </si>
  <si>
    <t>llas en d micbío de P¡edad. Los primeros que se descubrieron en las lomas de Ñusna­ ran , fueron unos ¿00, que accmctidos por 2 puntes cor e! cauilaa D. Luis ce QuÍHÍanar y el tenieeG D. Magín Gaili, se retómon con 'bastante orden ; lo cual cbbgó á Negrete á s^lir con todas sus fue&amp;!» *as , bien persuadido de que no lejos hab…</t>
  </si>
  <si>
    <t>as últimos. niente de caballería de linea, y al teniente del re­ U i rayo ha caído en la fragata la Franqueza, gimiento de infantería Real Extrangcro D. Luis y ha muerto muchas personas de la tripulación. Gavet ayudante de segunda d«se de la plaza da Las baterías de Toion han hecho mucho daño al Guadalaxara. Conquistador, nav…</t>
  </si>
  <si>
    <t>apitán del regimiento de caba-" Darau (D. Casimiro), sargento d« caballos ligero) líos ligeros de. la gaardia real. de la guardia real. : Letbufñéur (D. Luis), capitán de tiradores de la Daubenton (D. Pedro Josef) , teniente de grana­ guardia real. . . . deros de i» gaardia real. López Montero. (D. Ventora), ¿apitan de caba­ …</t>
  </si>
  <si>
    <t>S. M.. Moner (D. Guillermo), granadero,de la guardia Toledano (D. Francisco Xavier), ayudante pri­ real. mero de ia guardia cívica de Madrid. Morln (D. Luis), ayudante mayor dd regimieu- Torralbo ( D. Antonio Vicente), corregidor de la ta de caballas ligeros de la guardia real. _ villa, de Priego. Náchon ( D. Nicolás), ayudan…</t>
  </si>
  <si>
    <t>caxita con los huesos credeocia ó mesa de mármol destinada á recibir del Papa S. Clemente, en actitud de presentárse­ las oblaciones sagradas. los al Emperador Luis, dirigiéndole las siguientes Acaso no habrá en ninguna parte un monu­ palabra* , que se ven grabada* allí mismo: mento tan bien conservado como el de Casaura, ó C…</t>
  </si>
  <si>
    <t>o Vicario, oficial de la La pra; mítica de, 171.6, á qce dió ocasión el conraduri.í d - propio'......................... 2 ICO matrimonio Jel infante D. Luis, se escribió preci­ D. Julián Martínez de Torres, em­ samente para remediar est s abusos. Pero iuí au­ pleado en la antigua real Casa........... 2200 tores, llevados de …</t>
  </si>
  <si>
    <t>o ..... D. Matías (garrote...... 1 v_Síibtemente D. Juan Nuncí/...«;(. . • t 1 í Tea lente .. D. Antonio (jóme*.. .., I CABALr.. ?r(?T!A Alférez . .. D. Luis del pasíiilo, • « deMadT,i\oírof.... D. Juan S atroz... • .&gt; ‘r. 1 1 U(ñique.. Teniente . . D. Jose JEsaobar*....j. *. % 1 I Total |, . 6 | 12 | 7 | 2 Cual tí! gen: ral …</t>
  </si>
  <si>
    <t>alcalde del barrio de las Vistillas de esta corte á D. Die- • &gt; En medio de los horrores y de la anarquía en o Blanco; para la de primer substituto i D. Luis que por nna fatalidad, envolvieron á machos in­ f ernandez Ribero; para la de segundo á D. Mi­ cautos, la pcrádia de unos , el egoísmo de otros, guel de Aza, y para la d…</t>
  </si>
  <si>
    <t>894</t>
  </si>
  <si>
    <t>Ciudad-Rodrigo, á quien S. A. se sirvió condecorar con el Toyson. de oro, una insignia de esta orden que perteneció al padre de V, E. el Sr. infante D. Luis. ■ „Los incalculables bienes que debe prometerse la nación espado* la de la actividad y talentos militares de e»te valeroso caudillo, le basen muy acreedor á la gratitud …</t>
  </si>
  <si>
    <t>o, destinando para el general duque de Ciudad-Rodrigo una rica y magnífica insignia de la orden del Toyson de oro, que fue de su padre el Sr. infante D. Luis, como una muestra de la gratitud que le ca­ be en la general de la nación, por lo que han contribuido las hazañas de aquel insigne Capitán á afianzar el triunfo de la in…</t>
  </si>
  <si>
    <t>anejo de compañías , batallones , i mea», reí vio i o de trepas ligeras, reglas para apuntar con bala; b xo la direccon de les profesores si teniente D. Luis l a y el a^ udante mayor D. Jocó Entrena. bax ra; y de lo que deb? saber un oficial eo su compañía y cuerpo; baxo hi del profesor el espitan D. Jnar Sanchas: Parra. El d…</t>
  </si>
  <si>
    <t>9, cuyo conte­ j&gt; energía de sus habitantes.” nido es el siguiente : \ „ Por decreto superior de i.° del corriente, y Copia de tina carta dirigida al conde Luis dé conforme á sus disposiciones ¿ se manda á las gober­ Saint-Priest, en Drissa 3 fecha en Oureschi el naciones, y entre otras álas dos de la Rusia Blanca, i$ de juli…</t>
  </si>
  <si>
    <t>Luis, Federico</t>
  </si>
  <si>
    <t>Federico Luis</t>
  </si>
  <si>
    <t>A. T)el 2 &lt;T. 'Berlín i.° de febrero. El edicto que se publicó aquí el 7 de este mes sobre los billetes de Latería , ha sido bausa de que S. A. R. el príncipe Federico Luis, sobrino algunos agiotadores que habian comprado una gran del Rei, hizo ayer públicamente yen presencia porción'de ellos, con lo que se habían puesto mui …</t>
  </si>
  <si>
    <t>Luis, Mariano</t>
  </si>
  <si>
    <t>Mariano Luis</t>
  </si>
  <si>
    <t>cho prisionero el dia ai en Tamajon al llamado El Excmo. Sr. D. Pedro Echeverría,. ijO el Manco con i.n rfifial, 54 hombres, y 80 caba^ El Excmo. Sr. D. Mariano Luis de lio» de su partida. E,. resto de ella, compuesto de Urqutjo.................................. 500 un oficial y 40 hombres, quedaron mu-1 tos en el campo de ha…</t>
  </si>
  <si>
    <t>Luisa, María</t>
  </si>
  <si>
    <t>María Luisa</t>
  </si>
  <si>
    <t>Hungría ha concedido al emperador de Austria 80 millones de flo­ rines, y la íTransilvania 20, para restablecer el crédito público. — Bóná parte y la princesa María Luisa habían vuelto á París. S. M, B. continuaba en el mismo estado de salud; y se daba por cierto que habría grandes mudanzas en el ministerio. El 8 det corrient…</t>
  </si>
  <si>
    <t>Luna, Francisco</t>
  </si>
  <si>
    <t>Francisco Luna</t>
  </si>
  <si>
    <t>macenes, 100. Id. segundo 1). Francisco Erazu , 100. D Bernardo Cerran . guarda, 50. Id. D. Mateo Calero, 41, Id D. José Antonio Bustamante , 41. Id. D. Francisco Luna, 41. Id. D. Juan Bonanza , 41. Jd. D. Francisco Celeueyra, 41, Idem D. Santiago del Aguila, 41. — Almacenes de pólvora. Fiel de almacenes Don Luis Drliz , 66. …</t>
  </si>
  <si>
    <t>LunnUon</t>
  </si>
  <si>
    <t>lo que tuve ¿a hor ra de hacer presente el lunes á S. M., agí como antes ’o había hecho a V. £.: es á saber, qne si tengo el disgusto de caber qce el conde LunnUon ha salido de S. PetcrsbuTáro, creeré de mi obligación el p.xFr luego mi pasa­ porte y salir de Ibirís. — Firmado — El príncipe Kurckin '* ESPAÑA. Santacrux de Camp…</t>
  </si>
  <si>
    <t>Luque, Francisco</t>
  </si>
  <si>
    <t>Francisco Luque</t>
  </si>
  <si>
    <t>e León ; D. Miguel A fouso Villagomez, cadete de Or­ denes Militares y alumno de la referida academia ; D. Diego Galvez cadete y alumno de la misma ; D Francisco Luque, cadete del regimiento infantería del infante D. Carlos; D. José Segundo Carbnjal cailete del de Cantabria: D. José Aparici y García , cadete de reales guardia…</t>
  </si>
  <si>
    <t>Luxan, Francisco</t>
  </si>
  <si>
    <t>Francisco Luxan</t>
  </si>
  <si>
    <t>e® cuya plaza se hallaba. formada la mi­ licia patriótica. Se entonó una misa ío eicre, y al ofertorio el se­ gundo secretario de la junta superior, D. Francisco Luxan, leyó en alta y clara voz la constitución. Siguió la mita , y concluida , el presidente de la junta, comandante general de la provincia, y íes vocales de la mi…</t>
  </si>
  <si>
    <t>Luxan, Manuel</t>
  </si>
  <si>
    <t>Manuel Luxan</t>
  </si>
  <si>
    <t>n Martínez de Medinilla, y D. Juan Ncpumaceno de Mancebo ; y empleos de alféreces de fusileros á los cadetes ¡J. Mariano del Pino, I&gt;. José de Osea y D. Manuel Luxan. El Consejo de Regencia se ha servido promover á subtenientes del real cuerpo de ingenieros, á D. Fernando Carnicero subtenien­ te agregado al regimiento segundo…</t>
  </si>
  <si>
    <t>Luzeaudo, José María</t>
  </si>
  <si>
    <t>José María Luzeaudo</t>
  </si>
  <si>
    <t>0. El ttNÍente co­ ronel D José Carbó , 200. D Dionisio Fascardo , ,6. ©. Bernardo Roca, 500. T). Domingo Ordeñana, 500. D. Santiago Víctores , .500. D. José María Luzeaudo , auditor de guerra, 200. D. Martin de Icasa, 1000 Doña Jacin­ ta Olave, 50. D. José Crespo, 25. D. Manuel Franco , 60. D- Juan Carcioli , 25. D Ignacio H…</t>
  </si>
  <si>
    <t>Luzoa, Gerónimo</t>
  </si>
  <si>
    <t>Gerónimo Luzoa</t>
  </si>
  <si>
    <t>909</t>
  </si>
  <si>
    <t>idos y extraviados, por una y otra parte, ha sido de entidad. „Con fecha del 9 de julio dice el mismo gefe desde Tcrrelaguna, que el mayor de brigada D. Gerónimo Luzoa , noticioso de que ha­ bían pasado por Lozoya 100 infantes de ia guarnición de Buy trago, los atacó, y á pepnr de haberse metido en la espesura, hizo 45 pri li…</t>
  </si>
  <si>
    <t>Luzuriaga, Ignacio María</t>
  </si>
  <si>
    <t>Ignacio María Luzuriaga</t>
  </si>
  <si>
    <t>an fuerza para hac.er executar, ni aun do regidores de Madrid al Excmo. Sr. marques de poder para promulgar, introduciendo el terror y la Canillejas, D. Ignacio María Luzuriaga, D. Ma­ desolación en el seno de todas las familias, y reti­ nuel de Rivacoba y Gorbea, D. Nicolás García Ca­ rándose luego cobardemente á su madrigue…</t>
  </si>
  <si>
    <t>M'reno, Fedro</t>
  </si>
  <si>
    <t>Fedro M'reno</t>
  </si>
  <si>
    <t>r sus ap-eciables circunstancias , y por D. Vicente de Funes, id............ ................ 2200 su peso en la balanza política de. Europa, ha sido D. Fedro M'reno, id. en Porcuna............. . 2200 dominada por todas aquellas nació-tes que han pre­ Jj. Jacinto Ginztiez, id................ .'............. 2aoo ponderado en…</t>
  </si>
  <si>
    <t>M, Alonso</t>
  </si>
  <si>
    <t>Alonso M</t>
  </si>
  <si>
    <t>nza y entusiasmo. Los conscriptos ruanitestaban Para la de Santa Crnz de Alhama, sn último el buen espíritu de que estaban animados con can­ poseedor D. Alonso M.dendez , á D. Francisco Veciones alegres, con repetidas aclamaciones de viva lasco, ex-franciscano observante. el Emperador , con b.iles y otras demostraciones Para …</t>
  </si>
  <si>
    <t>M, Amonio</t>
  </si>
  <si>
    <t>Amonio M</t>
  </si>
  <si>
    <t>s y ciscano «ib.etv.-nte. soldados que están baxo sus órdenes por su buena Para la ie lluetor de Santillan , sn último po­ y vigorosa defensa. seedor D. Amonio M.rtinez, á D. Mariano Pcrez Arrcyal, ex mercenario caizjdo. Madrid 2¡ de marzo. Para lad.. Velez de Benauddla , su ú'tiino po­ seedor D. Wenceslao Kreisler, á D. Jose…</t>
  </si>
  <si>
    <t>M, Antonio</t>
  </si>
  <si>
    <t>Antonio M</t>
  </si>
  <si>
    <t>ar í y D. Josef saben sin ser abogados, que toda la vida en Espa­ P-* riiucci. ña ha sido menesrer estar bien con Ftancia . por­ En la arquitectura : D. Antonio M.cizaga, que al qtic puede mas, no hai que gruñirie, y D. jn.n M reno, D. Maitm berapio de Ufiarte que en to.l.s Us tierras del mundo en materia d# y D. Jfoscf de Vc…</t>
  </si>
  <si>
    <t>M, Emito</t>
  </si>
  <si>
    <t>Emito M</t>
  </si>
  <si>
    <t>odrigo, á quien recibió con toda su trepa, á la que S. E. pasó revista, ofreciendo dar un vestuario completó ala infantería. Qm habiéndole presentado D. Emito M&amp;rqui-nez las llaves de la ciu­ dad 9 se las devolvió S. E. encargándole que le diese una razón exacta de cuanto se encontrarse en ios almacenes. En el último parís di…</t>
  </si>
  <si>
    <t>M, Franci-scso</t>
  </si>
  <si>
    <t>Franci-scso M</t>
  </si>
  <si>
    <t>n á hacer alto en el pueblo de Puddht de abaxo, y eac -rgar el marido de las tropas al teniente coronel y sargeo-to mayor del regimiento de mi cargo. D. Franci-scso M ría F-*rraan:!ez, que continuó la marcha. A poco de haber 'degado á - Vi la M ye-r, se descubrió una coturno i la de caballería sobre la parte de ^asuman , que …</t>
  </si>
  <si>
    <t>M, Francisco García</t>
  </si>
  <si>
    <t>Francisco García M</t>
  </si>
  <si>
    <t>mandante , 250. El mismo por tres meses de su oferta de 50 ps. durante la guerra, 150. El teniente coronel D. Tomas Costa , J50. El de la misma clase D. Francisco García M i ra­ lles, 150, El mayor de brigada D. Francisco Mendizabal, 110. El capi­ tán Don Manuel León , 90. —- Real aduana de esta capital. — Ministras principal…</t>
  </si>
  <si>
    <t>M, Ignacio</t>
  </si>
  <si>
    <t>Ignacio M</t>
  </si>
  <si>
    <t>se ha servido la Regen­ cia del reyno nombra?, á consulta del consejo de estado, para la pla%&amp;. tía decano del tribuna! especial de guerra y marina á D. Ignacio M aria de Alava, tenients general de la armada nacional. Para las ds ks 4 miniát-os de continua asistencia de la clase de generales , á D. J.sé Be:mudtz, teniente gen…</t>
  </si>
  <si>
    <t>M, José</t>
  </si>
  <si>
    <t>José M</t>
  </si>
  <si>
    <t>anuel Carrera, D. José María Medina, D. Podro Jo mi Alcina, D. Manuel U&amp;bina, D. José Díaz Ace vedo v D. J nan Cádos nez ; el mismo ele caballería, á D José M dalles, D. Podro Luís Icteupi, D. Miguel Primero, D. Antonio Urblna, D. Earique Fu­ rias, D. Juan Dionisio Arcaya, D. Pablo Hernández, D. José Ma­ ría Telíería, D. Juan…</t>
  </si>
  <si>
    <t>incia, y la noticia positiva de que han abendensdo el de Infartes, adeude han llegado parte de las tropas de la división mandada peí el co» mandant í D. José M&amp;rtinez de S. Martin. No es inverosímil que es­ te movimiento tenga por objeto el rtíhrzir al exéicií© de M^rmont en Castilla. Cádh \0 de julio. La división del general…</t>
  </si>
  <si>
    <t>M, José Xímenez y Don Francisco</t>
  </si>
  <si>
    <t>José Xímenez y Don Francisco M</t>
  </si>
  <si>
    <t>*, recomienda particularmente á los capitanes Don Manual. Blanco Rielera, D. Ramón Araos, D. José Gándara, Don Antonio Herrara, D. Antonio Fernandez, D. José Xímenez y Don Francisco M alano; á I03 tenientes D. Domingo Pallete, y D. Ro­ que B rrasie y D. Juan Rutista Roche; al subteniente D. Tadeo Saiesa ; al arquitecto D- Dom…</t>
  </si>
  <si>
    <t>M, Josef</t>
  </si>
  <si>
    <t>Josef M</t>
  </si>
  <si>
    <t>r inmensos preparativos pa­ quinta compañía en la vacmte de D. Juan Ortega; ra construir navios de línea ; tenemos abundancia al subteniente agregado D. Josef M..rí.t Saavedra á de materiales; no nos faltan marineros ni dinero, subteniente de la expresada compañía , en reem­ y á vuelta de pocos años podrán los Estados Uni­ pl…</t>
  </si>
  <si>
    <t>ibis, D. Pedro comprar ni negociar armas usadas. Bermudez y Riobó, D. Antonio Pellico, D. Pedro 10. Las personas particulares que hubieren P.-iItco , D. Josef M ogauti, D. Alexo D iz, D m obtenido la competente licencia para poder osar Tomas O-Scanian . D. Pedro Maií i Morales Portoarmas , na podrán venderlas por sí á ninguna…</t>
  </si>
  <si>
    <t>.. 3158 Teresa U &lt; aza„................................... 192 &lt; D m. M .ría Adeiaiua Rouyer......... 1049 6 Total....................... 52454o toff D. Josef M .reo.................................... 64869 13 D. Juan Felipe Gui de Paroi, por Que á una suma importan quinientos veinte y . medio de su apoderada Doña Ber­ quatr…</t>
  </si>
  <si>
    <t>M, Máximo</t>
  </si>
  <si>
    <t>Máximo M</t>
  </si>
  <si>
    <t>ro, sufrieron ios tiros de las hateras de Cuma, pero consiguieron re­ unirse á la guerrilla de Fardo. Desde aquel punto destacó Beistegui al teniente D. Máximo M ran con 14 dragones para que si­ guiese el alcance por el Veladero, quienes mataron mas de 70 in­ surgentes, entre ellos al coronel Navnrrete , haciendo prisioneros …</t>
  </si>
  <si>
    <t>M, Rafael</t>
  </si>
  <si>
    <t>Rafael M</t>
  </si>
  <si>
    <t>mari­ quidación de la diuda d/l estado; lo expuesto por do D. Antonio Leíral............... 16052 I2 nuestro ministro de Hacienda, y oída la sección D. Rafael M »rtinez de A iz^...... 6885 de Hacienda de nce tro consejo de Estado, hemos D. Manuel Sixto Espinosa........... decretado y decretamos lo que sigue : 3375 D. Antonio …</t>
  </si>
  <si>
    <t>M, Vicente</t>
  </si>
  <si>
    <t>Vicente M</t>
  </si>
  <si>
    <t>D. Juan Meti&gt;'a. . .. D. Angel de Di-go. Diputados seculares D. Francisco de Santiago. D. Félix A var z VilLt. .ó. Secretario . D. Juan Josef Rubio. D. Vicente M., ri* Teraya. D. Jostf Carranza. .. ; . &gt;4 ¿j. Secretario BARRIO DB MIRA Mí RIO. D. Lúeas Escolar. ••• •• Alcalde de barrio ' BARRIO DEL HUMILLADERO. , D. Francisco …</t>
  </si>
  <si>
    <t>M-iscaró, Manuel</t>
  </si>
  <si>
    <t>Manuel M-iscaró</t>
  </si>
  <si>
    <t>'Z de la Torre; del de S. Femando á D. José de Calva; y del tle Barcelona á D. José Costa. Sargentías mayores : del regimiento do Leales Manresanos á D Manuel M-iscaró ; del de Palma á Don Francisco Piadas; del de Baza á D. José Mogollon; del de Barce­ lona á í). Victorino B.imbier: del de S. Fernando á D. José Boix; del de G…</t>
  </si>
  <si>
    <t>Ma, Antonio</t>
  </si>
  <si>
    <t>Antonio Ma</t>
  </si>
  <si>
    <t>ente, D. Josef Sánchez, D. Eustaquio Hidalgo, D. Basilio Aguado, D. Tomas Aparicio, D, Fernando Villanueva, D. Antonio Ansaldo, D. Sebastian de Moya, D. Antonio Ma­ ría Portaz, D. Antonio Moreno, D. Andrés Rodríguez, D. Josef Martínez, D. Josef Muñoz Silleros, D. Agustín Molina, D. Asensio Cabrera y Gonzá­ lez, D. Carlos Marí…</t>
  </si>
  <si>
    <t>Ma, Claudio</t>
  </si>
  <si>
    <t>Claudio Ma</t>
  </si>
  <si>
    <t>iburcio ZuUieta, por ano , 9. D. Manuel Diaz de Castro, id., 9. D. Pedro Boyer y su es­ posa , id., 9. El teniente D. Agustin de Cárdenas, por 3, 27. D. Claudio Ma­ teo , por uno, 9. D. Francisco Gómez, mientras pueda , id, 9. D. Antonio Bustamante, por 2 durante la guerra, 18. D. Francisco López Gamuza, por «no , 9. D. Pió M…</t>
  </si>
  <si>
    <t>Ma, Jacobo</t>
  </si>
  <si>
    <t>Jacobo Ma</t>
  </si>
  <si>
    <t>oviden­ cia del señor juez de primera instancia D. León de SaEl director del seminario de esta villa noticioso gasta, por la escribanía del número de D. Jacobo Ma­ de que en mochas provincias del reino se estaba nuel Manrique , y á voluntad de su dueño, se subasta en la persuasión de que se había cerrado dicho se­ por el térm…</t>
  </si>
  <si>
    <t>Ma, José</t>
  </si>
  <si>
    <t>José Ma</t>
  </si>
  <si>
    <t>illo, agregación de co­ ronel de dragones; á los demás oficiales un grado sobre el que tenían;' ai patriota D. Domingo Marañou, grado de alférez; y á D. José Ma­ rañen Zornoza lo ha integrado en su empleo de teniente de dragones. Ademas concederá escudos de distinción y de premio á los soldados y .patriotas, que seguji los in…</t>
  </si>
  <si>
    <t>D. José Mogollon; del de Barce­ lona á í). Victorino B.imbier: del de S. Fernando á D. José Boix; del de Gerona á O. Alfonso Herrero; del de Mataró á D. José Ma­ já a Colubi; y del de Ausona á D. Fermín de Mozarena. En les cuerpos de infantería ligera del mismo exército ha con­ ferido S. A. los empleos que siguen. Comandancia…</t>
  </si>
  <si>
    <t>ía, á D José M dalles, D. Podro Luís Icteupi, D. Miguel Primero, D. Antonio Urblna, D. Earique Fu­ rias, D. Juan Dionisio Arcaya, D. Pablo Hernández, D. José Ma­ ría Telíería, D. Juan Agustín Oberfco, D. Esteban Pe tí, D. Manuel Osteycochea y D. Manuel E ysaga; de teniente de las mismas milicia» de infantería, á D. Torlbio Bs…</t>
  </si>
  <si>
    <t>D. Vicente de la Mata, 10. D. Jacinto de la Mata, 10 D Francisco Paredes, 200. D. Mi­ guel Navarrete , 4. D. Miguel Camino , 30. D. Joaquín Malo, 6. D. José Ma­ ría Tello , 6. D. Juan Silvestre Touroi , 20. D. Lorenzo Espinosa , 30. D. Jo­ sé Ramón Menendez, 25. D. Félix de la Cruz, 4. D. Cristóbal Barragan, 10. D. Ramón Córd…</t>
  </si>
  <si>
    <t>iar de su instituto, atendió desmontado á otros encar­ gos importantes que puso á su cuidado; al ingeniero de la división Roche , y á los arquitectos D. José Ma­ ría Cartagena y D. Dionisio Baldiola. Tabuenca dis­ tingue entre los que estuvieron á sus ordenes , á los capitanes de Rioja D. Ramón Arroz, D. Juan Bueno, D. Antoni…</t>
  </si>
  <si>
    <t>Salvador, nombrado por el Excmo. Sr. presidente á solicitud del ayuntamiento y vecindario, ei otro comisionado para la pacificación de esta provincia D. José Ma­ ría Peynado; de cuyo celo, integridad y acierto con que se ha con­ ducido , satisfecha la Regencia del rey no , se sirvió conferirle en SO de Setiembre último aquel …</t>
  </si>
  <si>
    <t>Ma, Josef</t>
  </si>
  <si>
    <t>Josef Ma</t>
  </si>
  <si>
    <t>reyó no acarrearía ios disturbios que las D. B ien.v - tan A’esort, id........................ 2200 dos anteriores mudanzas de dinastía. Ei suceso de D Josef Ma í i Rodríguez, id..................... 2200 Bailen trastornó las cabezas de la mayor parte de D. Cristóbal de Arjona, iJ. en Bedaiar.... 2200 los españoles; y los ing…</t>
  </si>
  <si>
    <t>Ma, Justo</t>
  </si>
  <si>
    <t>Justo Ma</t>
  </si>
  <si>
    <t>, alférez real de la ciudad de Veraeruz; á D. Pedro Ce bailes ; á D. Bernardo Roa, marques de Piedras-blancas, regente de la audiencia de Caracas; á D. Justo Ma­ ría Ibar-Navarro , d'l consejo de Castilla ; á D- José Aycinena , co­ ronel de milicias de Goatemala ; á D. Antonio Ranz Rornauiilos, de­ cano del consejo de haciend…</t>
  </si>
  <si>
    <t>Ma, Maria Dolores y Doña</t>
  </si>
  <si>
    <t>Maria Dolores y Doña Ma</t>
  </si>
  <si>
    <t>entura , D. Jo­ dos los dias dan los aficionados excelentes concier­ sef, Doña Micaela de los Santos, tos en sus casas; por lo regular la música está Doña Maria Dolores y Doña Ma­ compuesta por profesores alemanes domiciliados ría de la Soledad Piñeiro............... 1073 aquí, á quienes se les fomenta por todos los me­ El mi…</t>
  </si>
  <si>
    <t>Mabi</t>
  </si>
  <si>
    <t>438</t>
  </si>
  <si>
    <t>lo. En virtud dé estos bilis se destinan manetls, efectuaron su retirada conforme á las ór­ para el servicio de 1812 mas dr. 15 millones de denes dei general Mabi por Betera á, Rivarrocha. «Juros. A una media legua de alli la caballería francesa Del ig. volvió á atacar , y la caballería española , ó mas Se leyó por segunda ve…</t>
  </si>
  <si>
    <t>Mac</t>
  </si>
  <si>
    <t>zado i y habien­ do acelerado su marcha en el discurso de la noche, se hallaban al amanecer mucho mas allá del terreno que tenían orden de ocupar. El mariscal Mac­ donald, persuadido de que esta marcha procedia de haber equivocado sus ór­ denes, envió un ayudante de campo para que los detuviera; pero ellos no, quisieron obede…</t>
  </si>
  <si>
    <t>Mac-Donald</t>
  </si>
  <si>
    <t>brigadier general D’Urban con la caballería portuguesa, el primer batallón ligero de la real le­ gión alemana, y la tropa de artillería á caballo del capitán Mac-Donald habían pasado ya ai puerto de Guadarrama el 9* La- mañana del 11 adelantó aquel brigadier desde las cer­ canías de Galapagar, y sostenido por la caballería de…</t>
  </si>
  <si>
    <t>948</t>
  </si>
  <si>
    <t>que cayó prisionero* La conducta de la valiente ca­ ballería alemana sé que fue excelente , así como la de la tro­ pa de artillería de á caballo del capitán Mac-Donald. La bri­ gada de infantería ligera no tuvo parte en el combate: ,¿E1 exército avanzó ayer mañana , y su izquierda tomó posesión de Madrid , habiéndose retirado…</t>
  </si>
  <si>
    <t>Macarenas, Juan Manuel</t>
  </si>
  <si>
    <t>Juan Manuel Macarenas</t>
  </si>
  <si>
    <t>electo de Narva-Cácerrs. Eí 15, de los prelados regulares de los cenvn tos de Cádiz , y d« tes miimtros de la audiencia .de Extrema­ dura. El 22 , de D. Juan Manuel Macarenas , comisionado del coto de Gonduifts, en Galicia, y de la jarte super cr de Avi u. El 23, del intendente de la provincia de León, D. J-zó JBteeza. El 27,…</t>
  </si>
  <si>
    <t>Macaya, Francisco</t>
  </si>
  <si>
    <t>Francisco Macaya</t>
  </si>
  <si>
    <t>te dei cuarto, y D. Miguel Cerain y D. Florencio Olave, subtenientes dei mismo, mereciendo un lugar distinguido el subteniente abanderado del tercero D. Francisco Macaya, que por no caer en manos del enemigo , prefería raoTir ahoga­ do tirándose al rio. En justicia hago presente á V. E. que de toda la comitiva mia y del coron…</t>
  </si>
  <si>
    <t>Maccdah, Ramón</t>
  </si>
  <si>
    <t>Ramón Maccdah</t>
  </si>
  <si>
    <t>e­ BARRIO DEL SACRAMENTO. neral de caridad , compuesra del patriarca de las In­ Alcalde de barrio dias, de un consejero de Estado , del vicario ecle­ D. Ramón Maccdah i • siástico , de dos propietarios de conocido zeio, de Diputado eclesiástico un tesorero y un secretario. D. Ambrosio González Sierra. art. II. Las sesenta y q…</t>
  </si>
  <si>
    <t>Macdonal</t>
  </si>
  <si>
    <t>nos, uno de caballería y otro de infantería. Estos cuerpos pertenecían á la tuerza que pasó el Niemen el 24 de junio por Tilsit, baxo las órdenes del mariscal Macdonal. Formaban el cuerpo avanzado;, y habiendo acelerado su marcha en el discurso.de la^ no­ che, se hallaban al amanecer mucho mas allá del terreno que tenían orde…</t>
  </si>
  <si>
    <t>Macdonald</t>
  </si>
  <si>
    <t>tes con la pérdida de cinco hombres y dos caba­ llos muertos. El general Crewert, que manda las tropas del enemigo cerca de la plaza, en ausencia del mariscal Macdonald, mandó el 27 intimar la rendición al ge­ neral Essen, alegando que dentro de 15 dias le llegaba la artillería de batir. „ Ha habido una acción muy viva entre …</t>
  </si>
  <si>
    <t>Macdónald</t>
  </si>
  <si>
    <t>los quales se han enfcontrado los equipages de un oficial general. Quando haya arrojado este cuerpo al otro lado del Dwina me propongo atacar el del mariscal Macdónald, y con la ayuda de Dios y el ardor que inspira á nuestras tropas sus ventajas,, espero hacer alguna cosa digna de la causa que defendemos, y tras­ pasar la lín…</t>
  </si>
  <si>
    <t>isioneros. Desde luego que me hallé con el exército enfrente de Polostk, resolví liacer un moviiiiiénto, á fin de observar el cuerpo man­ dado por el mariscal Macdonald. Al mismo tiempo el mariscal Oudinot ha­ bla recibido un refuerzo de tropas bávaras, mandadas por el general Wrede, y otro después, también de las mismas trop…</t>
  </si>
  <si>
    <t>tirada yen el combate hicimos mas de S000 prisioneros. H aliándome cerca de Polotsk con mi cuerpo, re­ solví hacer un movimiento para observar el del mariscal Macdonald: entre tanto , el mariscal Oudinot habiendo recibida , ademas del cuerpo bávaro á las órdenes del general Wrede, otro refuerzo de (1) He aquí pintada en breve…</t>
  </si>
  <si>
    <t>s prusianos, uno de caballería y otro de infantería. Estos cuerpos, que pertenecían á la división que pasó el Niemen por Tilsit, baxo las órdenes del mariscal Macdonald, formaban el cuerpo avanzado i y habien­ do acelerado su marcha en el discurso de la noche, se hallaban al amanecer mucho mas allá del terreno que tenían orde…</t>
  </si>
  <si>
    <t>e dia en dia noticias de haber sido enteramente derrotado aquel cuerpo enemigo , pues se halla muy debilitado con motivo de haber mandado Napoleón al mariscal Macdonald que vaya á refor­ zarle con la mayor parte de sus tropas.”</t>
  </si>
  <si>
    <t>Macho, Juan</t>
  </si>
  <si>
    <t>Juan Macho</t>
  </si>
  <si>
    <t>y D. Pedro Espejo , 100 y lo mismo cada año que dure la guer­ ra. El conde de las Lagunas , 200. El común de indios del pueblo de Layhuaytambo , -38. D. Juan Macho y su hermano D. Antonio , 1000. D. Fran­ cisco Roxas , 50. D. Agustín Al vare Apuninahuacra , 12. — Varios indivi­ duos de artiUeria fuera de Lima. El capitán I). …</t>
  </si>
  <si>
    <t>Machuca, Joaquín</t>
  </si>
  <si>
    <t>Joaquín Machuca</t>
  </si>
  <si>
    <t>comba­ D. Bernardo GumeZ. te naval, ganado por ía esqnadra francesa deToloa D. Josef del Moral. sobre la esquadra inglesa en las alturas de las islas D. Joaquín Machuca; Baleares. (Gazetd de Sevilla.) Igualmente el REI se ha servido aprobar la Madrid i o de marzot elección de individuos municipales de la ciudad de Santander p…</t>
  </si>
  <si>
    <t>Macieod</t>
  </si>
  <si>
    <t>ión: el primero fué herido en el asalto. „V. S. verá en la lista de muertos y heridos una lista da los oficiales que mandaban los regimientos. fin el teniente coronel Macieod del 43, que murió en la brecha, ha perdido S. M. un oficial que era la honra de su profesión, y capaz de hacer á su patria los servicios mas importantes…</t>
  </si>
  <si>
    <t>Mackinnon</t>
  </si>
  <si>
    <t>que se hiciese una representación á S. A. R. el prín­ cipe regente, para suplicarle que mandase levantar un monumento á la memoria del valiente mayor general Mackinnon, muerto desgra­ ciadamente por la explosión de un repuesto de pólvora al tiempo de asaltar á Ciudad-Rodrigo Después de haber hecho una comparación del sitio de…</t>
  </si>
  <si>
    <t>Mackinson</t>
  </si>
  <si>
    <t>stas 5 co­ lumnas, el regimiento 94, perteneciente á la tercera división , des­ cendió al fose en 2 columnas por la'derecha de !a brigada del ma­ yor general Mackinson para proteger el descenso de aquel cuerpo al foso y su ataque por la derecha en la falsabraga, contra todos los obs­ táculos que se suponía habrían opuesto los…</t>
  </si>
  <si>
    <t>Maclean</t>
  </si>
  <si>
    <t>Alten, el mayor general Anson, el teniente coronel Arentschiklt del cuarto de húsares, y el teniente coronel Iíervey del 14 de dragones ligeros , el teniente coronel Maclean del 27 y el mayor Archdall del 40 , el coronel Stubbs , el teniente coronel Anderson, que manda el 11, y el mayor de Acereda, que manda el re­ gimiento p…</t>
  </si>
  <si>
    <t>Macleod</t>
  </si>
  <si>
    <t>rd , del mayor general Bandeleur, del teniente coronel Barnard del 95, del tenieute coronel Colborne, del mayor Gibbs, del mayor Napier del 52, y del teniente coronel Macleod del 43. El capitán Divfféy del 43, y el teniente Garwood del re­ gimiento 52 , que fué herido, me han sido señaladamente recomenda­ dos. El teniente coj…</t>
  </si>
  <si>
    <t>osiciones , y á la madrugada siguiente dio el asalto. Eos coroneles Gillcspie y Gibbs fueron encargados de darlo por el lado del canal ; el tenienjte coronel Macleod por el del rio, y el mayor Tule fué destinado á atacar el cuerpo situado en Campong-Maylay al O. del rio : el resto del exército, á las órdenes del mayor general…</t>
  </si>
  <si>
    <t>Madan, Joaquín</t>
  </si>
  <si>
    <t>Joaquín Madan</t>
  </si>
  <si>
    <t>el D. José Ovando , sargento mayor de esta plaza , por uno, 9. D. Joaquín Recio y Torio por 2, 18. El teniente coronel D. Pedro Valverde por uno , 9. D. Joaquín Madan por uno , 9. Doña María Dolores Velez por uno, 9. D. Luis Amedey por uno , 9. D. Ramiro Hervías por 2 , 18. Doña Monserrate Chacón por uno , 9. D. José Matías d…</t>
  </si>
  <si>
    <t>Maden</t>
  </si>
  <si>
    <t>las guar­ dias; Bans del 4ó. Los coroneles Inglis y Wilson sirvieron mucho tiempo en Portugal, y ambos fueron heridos en la batalla de la Albuera. El general Maden vuelve también á fe península. Corre como cierta la noticia de haber llegado á esta capital un particu­ lar con despachos de la corte de Vdena. Como el objeto de s…</t>
  </si>
  <si>
    <t>Madriñan, Juan</t>
  </si>
  <si>
    <t>Juan Madriñan</t>
  </si>
  <si>
    <t>sargentos , cabos y dragones voluntarios de dicho cuerpo , 1023. El pro­ curador D. Manuel de Aguirre,(i. D. José Correa, 30, D. Nicolás Angulo, 25. D. Juan Madriñan, 30. D. Manuel Ignacio Aguirre, 10 D. Francisco Ortias , 20. D. Miguel Guerrero , 10. D. Pedro Díaz, 25 D. Juan Bautista Sán­ chez, 6. Juan Al varado, 8. D. Vice…</t>
  </si>
  <si>
    <t>Madroñ, Manuel Xitnenez</t>
  </si>
  <si>
    <t>Manuel Xitnenez Madroñ</t>
  </si>
  <si>
    <t>d. en Guadal- D. Francisco García, id................................... 2100 cazar............................... ,•*.......................... ItOO D. Manuel Xitnenez Madroñ.-ro , id............ 22co D Pedro Ruiz Misas, id................................ 2200 Ex-mercenarios calzados. D. Ignacio Requera, id. en Montilla.....…</t>
  </si>
  <si>
    <t>Magnamara, Timoteo</t>
  </si>
  <si>
    <t>Timoteo Magnamara</t>
  </si>
  <si>
    <t>Gandanillo*. D. Juan MonSalve.' D. Antonio G..rcíj de la Pedrosa, D. Josef L chambre. D. Ignacio G irmcndia. D. M:ga.l Crok. D. Sar.ti ,go Polidura. D. Timoteo Magnamara.' D. Ignacio' Hermosa. D. Lu ¡s Caballero. D. Joan de Camuo. D. Juan Ahumada.D. Juan de la Torre Pner. Contador. . . D. Josef Molina Fernandez. D. Francisco …</t>
  </si>
  <si>
    <t>Magny</t>
  </si>
  <si>
    <t>res de este dis­ Un barco que ha llegado de la Isla de Sto. Do­ trito el día del aniversario de la independencia ame­ mingo trae la noticia de que el general Magny se ha ricana. rendido á Petion con toda la ala derecha de Cris­ i.° A Jaime Maddison j presidente de los Es­ tóbal, que se oomponia de los regimientos 3.7.“ tados-…</t>
  </si>
  <si>
    <t>Magrñan, Juan</t>
  </si>
  <si>
    <t>Juan Magrñan</t>
  </si>
  <si>
    <t>D. Joré Vidal...................... 1 Captan i.° D. Manuel Lia ño............. .. . 1 Otro • • • • » í). Francisco Csrme;............ 1 Capitán 2.°. D Juan Magrñan. ...... 1 A; udan. 2.° D. Francisco Mertiv.ez..... 1 Carmena- 4 T nií nte . • D. Jé sé Lluri&amp;t...................... 1 O &gt; TO • • • • • O. Mnoel Faxrnío...... • ’l…</t>
  </si>
  <si>
    <t>Maguido, Tomas</t>
  </si>
  <si>
    <t>Tomas Maguido</t>
  </si>
  <si>
    <t>. José Ga­ lludo , G. El cura de Moro D. José María fluidobro , 25. D. Tomas Milá, 6. D. Hilaido Diaz , 6. El cura de Casraa D. Manuel José Voto, 25. D. Tomas Maguido ,4. — El gremio de carniceros de . carnero del abasto de Lima , 10 y 4 rs. Julián (duispe , indio tributario de Jauyos, 3. D. Francisco Tello &gt; 25. El monasteri…</t>
  </si>
  <si>
    <t>Mahamut, Manuel</t>
  </si>
  <si>
    <t>Manuel Mahamut</t>
  </si>
  <si>
    <t>usticia, é instalar la audiencia y tribunales de pri­ mera instancia en este reyno; hemos decretado y decretamos lo si­ guiente : Art. I. ,,Los Sres. D. Manuel Mahamut, D. José Tallejo, Don José Elola, D. Ramón Calvo de Rozas , D. Manuel Morales, D. Ticente Fuster, D. Vicente Lisa, D. Tomas de los Cobos y D. Juan Alvarez Posa…</t>
  </si>
  <si>
    <t>Mahi</t>
  </si>
  <si>
    <t>ue tenían gra­ 15 de noviembre de 1811. nos , se contentaron con robar telas y oíros efec­ tos. Las autoridades obraron con prudencia y con Parte del general Mahi al general en gefe Bla­ firmeza: tomaron noticia de los principales faccio­ ke sobre la acción del de octubre. sos , y por entonces se limitaron á esrar en obser­ v…</t>
  </si>
  <si>
    <t>150 hom­ virtiendo que la caballería francesa volvía á atacarle, bres de tropas ligeras .detras de una tapia, y las se dirigió .hácia donde estaba el general Mahi, y demas se desplegaron, apoyándose en el convento. en el camino.se ie incorporaron el conde de Mou- Per o'el desorden de la caballería puesta en «ijo y algunas tro…</t>
  </si>
  <si>
    <t>los miembros del consejo pastor con dos vacas j pero por fortuna el hombre fundaron so dictamen fueron las siguientes t te ha salvado. i.1* ,aQae el general Mahi se habia retirado cbn sus tropas, sin que sé supiese su paradero; y IMPERIO FRANCES, que estando por consiguiente cortada del todo la comunicación con este general, …</t>
  </si>
  <si>
    <t>Mahy</t>
  </si>
  <si>
    <t>á nuestro exército, forzapdoien ra^ou de la superioridad desús fuerzas los puestos que cabria, y defendió bizarramente nuestra izquierda al mando del general Mahy : el cual, separado del grueso de sus tropas^ que hubieron de replegarse á Valencia, se retiró con parte de su in­ fantería y su caballería á Alcira, punto de reuni…</t>
  </si>
  <si>
    <t>unas proposiciones, cuyo preám­ bulo era notable, é indicaba la pronta rendición dé qne os encontráis, porque parte de las cartas qae es­ cribíais al general Mahy, han venido á mis manos.” la plaza. En ana conversación bastante animada manifestó el gobernador sus verdaderos sentimien­ tos , y su odio contra los ingleses, los …</t>
  </si>
  <si>
    <t>te, se han visto ahora precisados á confesar que en Ali­ cante , Murcia , Lorea y Caravaca había tropas de insurgentes , co­ mo dicen ellos, y que el general Mahy había mandado, con fecha del 30 de enero , que se reuniesen á estos p-untos los dispersos. — Ya de noche ha entrado el mariscal Bel i une , y en su compañía dos ge­…</t>
  </si>
  <si>
    <t>Va­ lencia , que la plaza de su cargo sé hallaba sin guarnición, y que coav nidria se le enviasen unos 500 ó 600 hombres con alguna artille­ ría. El .general Mahy , que trataba conservar en lo posible las posi­ ción ea de las sierras de Alcoy , creyó oportuno mandar á dicha pla­ za 200 hombres dei regimiento de la Princesa pa…</t>
  </si>
  <si>
    <t>Maículm</t>
  </si>
  <si>
    <t>o por el teniente Lawrance, perteneciente á la artillería de marina, cu­ yas piezas se colocaron en una colina al O. de Guetaria, ¿ las órde­ nes del capitán Maículm, comandante del Rhin, mientras que el honorable capitán Bouverie, comandante de la Medusa, desembar­ có de su buque dos piezas de arthlma (on cañón de á 24 y una…</t>
  </si>
  <si>
    <t>Maií, Pedro</t>
  </si>
  <si>
    <t>Pedro Maií</t>
  </si>
  <si>
    <t>personas particulares que hubieren P.-iItco , D. Josef M ogauti, D. Alexo D iz, D m obtenido la competente licencia para poder osar Tomas O-Scanian . D. Pedro Maií i Morales Portoarmas , na podrán venderlas por sí á ninguna otra carrero , D Josef M..rtinez Campo, D. Martin Fo­ persoga, sino que la venta ha de hacerse por me­ …</t>
  </si>
  <si>
    <t>Maikinon</t>
  </si>
  <si>
    <t>s y 12 caballos ligaros. Las partidas fueron ham y otros , qúe han venido enfermoi á Inglater­ dispersadas, y tuvieron cinco hombres muerto?-, ra. El general Maikinon ha muerto. 1 ocho heridos y dos prisioneros, de los quhs uno Entre los generales ingleses y la factoría de es sargento, y caballero de la estrella del. Norte; L…</t>
  </si>
  <si>
    <t>Maimónt</t>
  </si>
  <si>
    <t>conocimientos s* b*e la posición dei exército aliado, pero el general en gefe se lo hizo im­ pedir constantemente. La opinión dei exército era que el mariscal Maimónt atacarla al exército aliado, y que daría una batalla gene­ ral. Ei 22, el enemigo intentó po&amp;e&amp;Umars* de una, altura hácia ía</t>
  </si>
  <si>
    <t>Mainedijanow</t>
  </si>
  <si>
    <t>gozamos de un hermoso tiempo, y el dia 1.* él del estado mayor Grodnitzkji, en caídad de ca­ termómetro subió á medio día a ió grados. ballero , y el consejero Mainedijanow como in­ térprete. GRAN DUCADO DE VARSOVIA. Ttbolsk 28 de marzo. Varsovia 11 de mayo. A principios del mes de marzo llegó á la for­ Espe-. mos aqui-con la…</t>
  </si>
  <si>
    <t>Maison</t>
  </si>
  <si>
    <t>ante .saqué un regimien­ Tuilerie, defendida por las tropas de la octava di­ to de cada una de las tres' divisiones del segundo visión , al mando del general Maison , fue tomada y cuerpo , prefiriendo aquellos que mas fácilmente se recobrada sucesivamente por tres ó quatro veces. podían retirar sin ser vistos del enemigo; pue…</t>
  </si>
  <si>
    <t>Maisor</t>
  </si>
  <si>
    <t>o del segundo y sexto cuer­ po. El 17 en la tarde el enemigo se retiró por el desfiladero: el general Verdisr fue herido, y le sucedió en el mando el general Maisor, que fue reconocido como general de división. Nuestra perdida se computa en 1® hombres entre muertos y heridos; Ja de los rusos es triple: tomamos 500 prisioneros…</t>
  </si>
  <si>
    <t>Maitland</t>
  </si>
  <si>
    <t>ado de cualquiera empresa que emprenda. Cádh 10 de agosto. Ya ha cesado la irtcertidumbre acerca del destino de la expe­ dición inglesa del miedo do! general Maitland, que dio la vela de Paiermo, Mesina y Malta á primeros d? junio. Creíase comunmen­ te en Sicilia que el obj sto era sitiar á Corfú, porque se había embarcado ar…</t>
  </si>
  <si>
    <t>urgentes mas de ocho millones de pesos. . ESPAÑA. Mahon 24 de julio. Han llegado á este puerto 7® ingleses, que pasan á Cataluña baxo las órdenes del general Maitland, á los quales deben unirse 3® españoles, que el general VV ittíagham ha estado disciplinando aqui, y compondrán en todo</t>
  </si>
  <si>
    <t>a cubrir la marcha del exér— cito aliado. Cádiz jo de agosto. Ya ha cesado la incertidumbre acerca del destino de la expedición inglesa del mando del general Maitland, que dio la vela de Palermo, Mesina y Maita á primeros de junio. Creíase comunmente en Sicilia que el objeto era sitia* á Corfú , porque se había embarcado arti…</t>
  </si>
  <si>
    <t>orriente, y de la pérdida en d ataque de las obras del Retiro.” P. D. „Despues de escrito este despacho he recibido una carta de 10 del corriente del general Maitland, desde Alicante, en la cual me informa de que habia desembar­ cado allí aquel dia.” Copia de la capitulación, concedida por el Excmo. Sr. conde de Wellington, g…</t>
  </si>
  <si>
    <t>y extravia­ dos en el combate doi 11 en Majadahonda, y de nuestra pérdida en el ataque del Retiro. ,, Después de escrito este oficio recibo carta del general Maitland, escri­ ta en Alicante el 10 , por la qual me informa este general que había desem­ barcado aquel dia en dicha plaza.’* Capitulación ofrecida por S, E. el gener…</t>
  </si>
  <si>
    <t>taba en Almansa con 15000 hombres para unirse con el mariscal Soult, que marchaba por las montañas de Murcia. ,, La última carta que lie recibido del general Maitland es del 21 del pasado. ,,EJ teniente general Hill está en el Tajo entre Aranjuez y Toledo. ,,Por las últimas noticias que he recibido del general Ballesteros, sé…</t>
  </si>
  <si>
    <t>Maitlaud</t>
  </si>
  <si>
    <t>te superior de la tabla to mas que el poder militar en los condados sedi­ del pecho. Muchas personas vieron el fogonazo de ciosos ha sido ennñ.ido al general Maitlaud, cuya la pistola ; pero la execucion del crimen fue tan firmeza y sagacidad deben inspirar una entera conpronta, que nadie pudo impedirla. Hacia ya un lianxu. E…</t>
  </si>
  <si>
    <t>Maitm</t>
  </si>
  <si>
    <t>a sido menesrer estar bien con Ftancia . por­ En la arquitectura : D. Antonio M.cizaga, que al qtic puede mas, no hai que gruñirie, y D. jn.n M reno, D. Maitm berapio de Ufiarte que en to.l.s Us tierras del mundo en materia d# y D. Jfoscf de VclauuJe. g'bier.'o, no hai mas parientes que mi* dier.te», e toes, que no hai mas gu…</t>
  </si>
  <si>
    <t>Maíz, Miguel Francisco</t>
  </si>
  <si>
    <t>Miguel Francisco Maíz</t>
  </si>
  <si>
    <t>de la opinión de dicho general. Continúan los dona ticos del Perú. D. Miguel Maturana, lUOps. fs, , y io mismo cada año ele lo5* que dure la guerra. D. Miguel Francisco Maíz, 100, D. .Martin Maricluz, 20í&gt;. D. Ca­ yetano Vülarmeva, 100. D. Isidro Crespo , 50. O, Manuel González Matos, 200. O. Ignacio Beistogui, 200. 1). J'osó…</t>
  </si>
  <si>
    <t>Majan</t>
  </si>
  <si>
    <t>ridad del eneirigo , en atacarle, fiado en que tenía mas caballería; y el éxito, si bien no fea correspondido enteramente á sus esperanzas, poique el general Majan, que el día ántes había llegado á Baylen cen 137 hombres, la mayor parte de esta arma , salió á sostener á los suyos , y no pudo cogerse todo el convoy , á lo meno…</t>
  </si>
  <si>
    <t>Mal, José</t>
  </si>
  <si>
    <t>José Mal</t>
  </si>
  <si>
    <t>aa compañía de granaderos y otra de tiradores que conservo cerca do mí., y todos baxo ls?s órdenes del comandan­ te del citado batallen de I) 3 roca, D. José Mal leu , á quien fixé la ru­ ta que debía seguir sin detenci &gt;n. Yo con ei resto de la división mar­ chaba interponiéndome -entre Cuenca y los prisioneros, situándome</t>
  </si>
  <si>
    <t>Mal, Melchor</t>
  </si>
  <si>
    <t>Melchor Mal</t>
  </si>
  <si>
    <t>ndez, 25. D. Nicolás Berrocal , 25. D. Francisco Xavier de Arias , 25. D. Dionisio Mesedua , 25. D. Manuel Salcedo , 12. D. Juan de la Cruz Mesa, 12. D. Melchor Mal partida, 25. D. Juan Antón o Gaona, cu­ ra de Carhuamayo , 100. D. Mariano Avellaneda, cura de Yanahuanca, 100. Fr. José Contreras , cura de Tarma, por sí y su cl…</t>
  </si>
  <si>
    <t>Malarin, Juan</t>
  </si>
  <si>
    <t>Juan Malarin</t>
  </si>
  <si>
    <t>ción del corsario Flecha, 18. D. Joaquín Millet, capitán de la fragata corsaria Cantabria , 20. Su contador D. Lorenzo Aramburu, 10. Su tercer piloto D. Juan Malarin, 4. El contramestre y de­ más tripulación del buque , 18 y 4. D. Sebastian Malarin , cura de Yungay, 50. D. Esteban Arescurrenaga, cura de Pisco, por sí y su cle…</t>
  </si>
  <si>
    <t>Malarin, Sebastian</t>
  </si>
  <si>
    <t>Sebastian Malarin</t>
  </si>
  <si>
    <t>a Cantabria , 20. Su contador D. Lorenzo Aramburu, 10. Su tercer piloto D. Juan Malarin, 4. El contramestre y de­ más tripulación del buque , 18 y 4. D. Sebastian Malarin , cura de Yungay, 50. D. Esteban Arescurrenaga, cura de Pisco, por sí y su clerecía , 84. Don Francisco Medina y Lanas , 25. — Curas y clerecía del partido …</t>
  </si>
  <si>
    <t>Malcohn</t>
  </si>
  <si>
    <t>dos prisioneros. EL mayor Williams salió con un numeroso piquete para reco­ nocer el país; pero el enemigo volvió á Bilbao durante la noche. Mandé ai capitán Malcohn que tomase cantidad de pólvora y un destacamento de hom­ bres para hacer volar el castiljo dei Moro de la misma suerte que lo había­ mos hecho en Portugalete y s…</t>
  </si>
  <si>
    <t>Malcolim</t>
  </si>
  <si>
    <t>Inglaterra, y á punto de volver á la ron á él como parte sir Roberto Calder, el almi­ América, renueva sus instancias al lord Liver­ rante Dutham, el capitán Malcolim, capitán de la pool &amp;c. &amp;c. esquadra, y los capitanes Liogee, Baker, Dundas, Acompañaban á estos documentos dos cartas de Lloyd , Jorge Collier , Ljke , Plampin…</t>
  </si>
  <si>
    <t>Maldonad, Antonio</t>
  </si>
  <si>
    <t>Antonio Maldonad</t>
  </si>
  <si>
    <t>nardo Tortosa, el co­ misario D. Eugenio Perez, el director de las obras de fortificación de las for­ talezas de Tarancon y Cuenca D. Mariano Inza, y D. Antonio Maldonad, individuo de la junta criminal; los quales y un soldado juramentado han sido pasados por las armas, porque ademas de los servicios que han hecho á los enemi…</t>
  </si>
  <si>
    <t>Maldonado</t>
  </si>
  <si>
    <t>Gaceta de Madrid n.º 49</t>
  </si>
  <si>
    <t>y mezquina. Cree que Mons. Amoretti, de esta ciudad , acaba de pu­ siendo los Estados-Unidos Jas úuicos que podrían blicar la relación del viage del capitán Maldonado al comerciar con la Francia, la utilidad seria pera rededor de la América dél Norte. Es mui singular ellos solos, y no para nosotros; pero ni aun esto es esta r…</t>
  </si>
  <si>
    <t>Maldonado, Francisco Jares</t>
  </si>
  <si>
    <t>Francisco Jares Maldonado</t>
  </si>
  <si>
    <t>p3ra acabar de restablecerme. Bautista Guitart, por la escribanía del número de esta ,,He aconsejado muchas veces á Ignacia qne se villa He cargo de D. Francisco Jares Maldonado, en término de 1 5 dias. vaya á Mallorca; pero nunca ha querido. Le he A la casa labor extramuros de la puerta de Reco­ dado siempre quanto he pedido…</t>
  </si>
  <si>
    <t>Maleo</t>
  </si>
  <si>
    <t>El cap kan Bouverie destruyó entonces les dos cañones pertenecientes á la Medusa, y se reembarcó con todo su destacamento y todas las municioaes. El capitán Maleo!m se detuvo mas tiempo por un mensage que recibió de un ayudante de¡ campo de D. Gaspar Jáuregui, qae le suplicaba que se mantuviese en la batería porque el enemigo…</t>
  </si>
  <si>
    <t>Mallín</t>
  </si>
  <si>
    <t>zanjas , solo se les persiguió 3 leguas , dexando en mi poder el ene­ migo 17 caballos, sin contar los que han caído en poder ü ^ i a l \ i— sien del brigadier Mallín. Del brigeditr D. José Duran al general en gefe. del segundo y tercer exército.—Cuartel general de Ateca 10 de noviembre de I8tl, K «ar del mal estado de mi sal…</t>
  </si>
  <si>
    <t>Malo, Joaquín</t>
  </si>
  <si>
    <t>Joaquín Malo</t>
  </si>
  <si>
    <t>. Manuel Ramos , 25. D. Vicente de la Mata, 10. D. Jacinto de la Mata, 10 D Francisco Paredes, 200. D. Mi­ guel Navarrete , 4. D. Miguel Camino , 30. D. Joaquín Malo, 6. D. José Ma­ ría Tello , 6. D. Juan Silvestre Touroi , 20. D. Lorenzo Espinosa , 30. D. Jo­ sé Ramón Menendez, 25. D. Félix de la Cruz, 4. D. Cristóbal Barrag…</t>
  </si>
  <si>
    <t>Mambrilla, Jasé</t>
  </si>
  <si>
    <t>Jasé Mambrilla</t>
  </si>
  <si>
    <t>; del de Fernando VII á D. Diego Alvatez; del de Ausoim á D. Mariano Villaespesa ; del de Leales Manresanos á D. Pa­ blo Miró ; y del de Barcelona á D. Jasé Mambrilla. Comandancias de tercer batallón : del regimiento de Gerona á D. Manuel Gonzá­ lez : del de IvX iteró á D. Manuel Liauder; del de Ausona á D, José Mañ-'Z de la …</t>
  </si>
  <si>
    <t>Manbuy</t>
  </si>
  <si>
    <t>o en todo lo concerniente al comer­ mentos de la nueva artillería de á caballo inventa­ cio de medias de telar; pero de lo resuelto aun na­ da por el capitán Manbuy. Los cañones están da se ha publicado de oficio. montados en los aparejos , y se disparan sobre ;el Se asegura (pero nosotros no respondemos de mismo caballo: cad…</t>
  </si>
  <si>
    <t>Manchado, Antonio</t>
  </si>
  <si>
    <t>Antonio Manchado</t>
  </si>
  <si>
    <t>al de nuestras reportaciones. del Rincón , teniente del regimiento de infantería ,1X316$ son los efectos de las órdenes del conse­ Real Irlandés} y á D. Antonio Manchado, subte­ jo con referencia al enemigo,- á los neutrales, á niente de la compañía de cazadores de montaña de □uestrS sistema marítimo y á nuestros recursos na­…</t>
  </si>
  <si>
    <t>Manco, Pablo</t>
  </si>
  <si>
    <t>Pablo Manco</t>
  </si>
  <si>
    <t>280 mío Cnicho , 2. D. Santiago López, 2. D. Juan Navarrete , 2. D. "Martin Fer­ nandez , 2. D. Juan Loaisa, 2. D. Camilo Mariatégui., 2. D. Pablo Manco 2. D. Juan Batalla, 2. D. Tomas Portocarrero , 2. D. Francisco Zandagoza, D. Pedro Omdoranchey &gt; 2. D. Vicente Navarte , 2. D. Manuel Vengocne.a , 2. D. José Marlategui, 2. D…</t>
  </si>
  <si>
    <t>Mandaya, Ventura</t>
  </si>
  <si>
    <t>Ventura Mandaya</t>
  </si>
  <si>
    <t>c2,op, ti D. Juan de Soto. uno rodó por urv-precipicio , y el otro íe^jíevó Diputado eclesiástico unas grandes pilas de J«:ña-, dos cabañas, 12 gran­ D. Ventura Mandaya. jas con todo el forrage , donde por fortuna no; ha­ Diputadas seculares bía nadie,y repentinamente se detuvo eT) forma de D. Angel María Tadei. mnrallayá dis…</t>
  </si>
  <si>
    <t>Mane, Marcos Antonio</t>
  </si>
  <si>
    <t>Marcos Antonio Mane</t>
  </si>
  <si>
    <t>mayor en comisión del regimiento infantería de Almansa : á capitanes á D. Manuel Vicente y D. Bartolomé Ruiz, tenientes del regimiento de la Corona, D. Marcos Antonio Mane so, teniente del primero de Gnariix, D. Antonio Bravo , teniente de Aimansa , y D. José María Ponce, teniente de Guadalaxara: á ayu­ dante mayor segundo, á…</t>
  </si>
  <si>
    <t>Manes, Nicolás</t>
  </si>
  <si>
    <t>Nicolás Manes</t>
  </si>
  <si>
    <t>udante meyor Don Francisco -X buenoai subteniente D. Francisco Martínez, ai según» do ayudante D. Francisco Sancho, al cabo primero Angel Solía, y al soldado Nicolás Manes, que se distinguieron.” (Boletín del sexto exército.) ValhidoHd 6 de marzo. Las fuerzas enemigas que hay aquí y en estas cercanías, perma­ necen en la mism…</t>
  </si>
  <si>
    <t>Manhes</t>
  </si>
  <si>
    <t>traía las cartas, lugano con dinero, y por su medio se informó de todo el plan que se habían p opuesto los con­ jurados , y de to los los. pasos del general Manhes, de los franceses y de sus emisarios. En pocos meses creció tanto la conjuración, que no pudo ya dexarse de atajar sin peligro de la tranquilidad pública. Luego qu…</t>
  </si>
  <si>
    <t>Manlics</t>
  </si>
  <si>
    <t>M2 lia y la mina de la escuadra ingle», prometiéndole en premio de tan inicuos servicios el favor del general Manlics, la protección del rey M urat, un grado elevad# en el exército francés y grandes ri­ quezas. listas afrentosas ofertas movieron el ánimo de Rosar#11; res­ pondió á su hermano que aceptaba e</t>
  </si>
  <si>
    <t>Mánnel</t>
  </si>
  <si>
    <t>miento de granaderos ue la guardia Pacón (D. Emmeri), tirador de la gaardia real. rea!. ': Palacio (D. Joaquín), consejero de ia prefectura Truxillo (D. Mánnel)., subteniente del regimien­ de Córdoba. to de Castilla, i.° de infantería ligera. Parejo (D. Alfonso), sargento de'húsares de la Vellart ( D. Santiago), sargento segu…</t>
  </si>
  <si>
    <t>Manrique</t>
  </si>
  <si>
    <t>y á pesar de ser de noche, y estsi ai pie de una montaña muy fragosa , cogí hasta 50 prisioneros, escapándose los demás por el bosque, catre ellos el gobernador Manrique, el teniente Gómez, que iba preso, y otros oficiales. Después he Logrado coger á Blasco, y tengo co­ misionados bnsoando el rastro de otro? cabezas; y muy de…</t>
  </si>
  <si>
    <t>Manrique, Juan</t>
  </si>
  <si>
    <t>Juan Manrique</t>
  </si>
  <si>
    <t>.............. 2200 D. Melchor Palomares , id.,........................... 220® D. Juan Cortés, id............................. .. ............. 2200 D. Juan Manrique, residente enCañcte de D. Juan Perez, id............................... ............... 2200 las .Tor&gt;es........................................................…</t>
  </si>
  <si>
    <t>Manrique, Juan del Pino</t>
  </si>
  <si>
    <t>Juan del Pino Manrique</t>
  </si>
  <si>
    <t>, 25. Su primer teniente D. Rafael Larragoin, 12. Su escribano D. Miguel Polo, 10. Su tripulación , 93 y G. La dotación del corsario Flecha, 76 y 4. D. Juan del Pino Manrique , oidor de esta real audiencia, 395.— Curas y feligresía de Huanaco. D. José Vergara , cura de Sta. María del Valle, 100. JA Gaspar Aynath , cura de Hua…</t>
  </si>
  <si>
    <t>Manrique, Juan Francisco</t>
  </si>
  <si>
    <t>Juan Francisco Manrique</t>
  </si>
  <si>
    <t>guerra, 18. D. Pascual Pluma, por uno id., 9. D. José Na­ ranjo , por uno, por el tiempo que le sea posible ,9. El marques de CasaPeñalver, 4000 ps. D. Juan Francisco Manrique y su esposa, 160. (Se continuará.) ' CADIZ : EN LA IMPRENTA REAL</t>
  </si>
  <si>
    <t>Mansarrin</t>
  </si>
  <si>
    <t>o la noche del 15 de setiembre de 1812. = Juan Antonio Barutell.” P. D* „Sondas quatro de la mañana de hoy 16,y acabo de saber po­ sitivamente que el general Mansarrin con 20 infantes ocupa desde anoche á la una el campo. de Huetor t cuy as ^avanzadas caen sobre Veas, medio quarto-</t>
  </si>
  <si>
    <t>Mansilla, Manuel</t>
  </si>
  <si>
    <t>Manuel Mansilla</t>
  </si>
  <si>
    <t>tiz , 1. — Pueblo de ¡a Par* ranea. El teniente de milicias D. Atanasio Reyes, 17. D. Manuel Lobaton, 10. D. José Reges, 13. D. Joaquín Ronceros , 6. D. Manuel Mansilla , 4. D. Mariano Ronceros , 4. D, Fermín Dávila, 1. D. José Reyes Lobaton y su hermano D. Calixto , 25. D. Esteban García , 6. María Torres, 4 rs. D. Ber­ nard…</t>
  </si>
  <si>
    <t>Mansilla, Pedro</t>
  </si>
  <si>
    <t>Pedro Mansilla</t>
  </si>
  <si>
    <t>nio Yelazquez y D. José Yelazquez; subtenencia de granaderos á D. Mi­ guel Vaienza, y de fusileros á D. Francisco Xavier Vargas , D. Eusebio Teiíez , D. Pedro Mansilla , D. Jacinto Toro, y de bandera á D. Federico de Vera. En la compañía veterana de infantería de Maynas, el empleo de capitán á D. Manuel Fernandez Á^varez ; te…</t>
  </si>
  <si>
    <t>Manso, Basilio</t>
  </si>
  <si>
    <t>Basilio Manso</t>
  </si>
  <si>
    <t>el D. Juan dé Dios Pastor", id...... .................. 2200 Buei...................... 2200 D. Miguel de Flores, idí.I......................... 2200 D. Basilio Manso, diácono, id. en Espiel. 2200 D. Antonio Ortiz, id................... ................ 2200 Dt Francisco Gregorio de Osuna, lego, id. D. Luí- Bastillo, resident…</t>
  </si>
  <si>
    <t>Manso, Manuel</t>
  </si>
  <si>
    <t>Manuel Manso</t>
  </si>
  <si>
    <t>sileros D. Francisco de Paula ele Marimon ; compañías de fusileros al primer teniente con grado de coronel D. Antonio Miró y al primer ayudante mayor D. Manuel Manso; primera ayudantía mayor al primer teniente y segundo ayu­ dante D. Pedro de Alcántara Musso ; primera tenencia de fusileros al teniente coronel D. Manuel Cavale…</t>
  </si>
  <si>
    <t>Mantilla, Francisco Xavier</t>
  </si>
  <si>
    <t>Francisco Xavier Mantilla</t>
  </si>
  <si>
    <t>btenientes. y gomo tales , juzgados por Ies consejos de guerra D. Domingo Antonio G.ui. , de granaderos. pcrí&gt;.!.*í.cntes que se hallen establecidos. D. Francisco Xavier Mantilla, de tiradores. j.° Las justicias darán á los individuos disperD. Josef López. SOi , que se presenten y pidan retirarse á sus casas, D. Ramón A i uro…</t>
  </si>
  <si>
    <t>Manue</t>
  </si>
  <si>
    <t>ndrían quizá por fabulosas, ó ai menos por exa­ En At-rfe D. l’abio Ximenez de Cisneros ca­ geradas las relaciones que se encuentran en mu­ pitán . y D. Manue. Fernandez y Fernandez sub­ chos escritores antiguos sobre los estragos horribles teniente. hechos por estos insectos ea ciertas épocas y paí­ En Arbolete D. Antonio An…</t>
  </si>
  <si>
    <t>Mánuei</t>
  </si>
  <si>
    <t>Nicolás Rúiz' García), consejero dé cícrdád de Cuéncá,y presidente déla dipotala prefectura de Madrid. r . cion preseiitadí. últimamente. Caballero (D. Mánuei ) , sargento segundo de la Gard'( D.- Mauricio")’, capitati de tiradores del re-" gendarmería real. „ giniieoto Real ExtcaDgero. , . Cambronero (P. Josef María), comisa…</t>
  </si>
  <si>
    <t>Manuel</t>
  </si>
  <si>
    <t>D. Faustino Marrez , ter-, cero , 41. D. José Ramón Texcro , oficial de la tesorería, 25. •£). Antonio' Prieto, id. ,25. D. Mariano Cruceta, id., 12. D. Manuel. Carasás , guardavista de la fundición , 83. D. Antonio Gaicano , 83. I). Ignacio Aillori Sala-, zar , escribano, 83. D. Antonio Baeza , teniente de juez de balanza, 6…</t>
  </si>
  <si>
    <t>cía urbana: municipalidad de Madrid , executada el di.i 4 del declaración mui honrosa para Madrid , y no menos corriente, el corregidor de esta viila D. Manuel útil al bien e&lt;tar de sus moradores. García de la Prada pronunció el siguiente dis­ ,,Es cierto que h municipalidad ha correspon­ curso : dido digaatnepte á la confian…</t>
  </si>
  <si>
    <t>e remolachas dan nisio Sobrinos; para ayudante seguedo á D. Amo­ la misma cantidad Je azúc.r, ni cor» tanta facili­ nio Molinero, y para abanderado á D. Manuel dad. En los ensayos que se bao h cho en París la Tuero. remolacha empleada por Mr. Achard y Koppi, Asimismo quedan nombrados para capitanes y</t>
  </si>
  <si>
    <t>caFa , 50. D. Juan Evangelista Espejo, id. de Sapallanga, 50. D. Xavier Aguinacable , id. de Jauja , 50. Don Faustino Perez , id. de Concepción , 50. D. Manuel llamos, 30.* 1). Francisco Benito Suarez , 12. Fr. Carlos Sánchez ,1?. D. José González , G. D. Luis del ( "arpio y (i. t) José Herrera , (&gt;. Fr. Antonio Buvungaiay , …</t>
  </si>
  <si>
    <t>Entonces , haciendo Truxi­ llo un falso ataque , hizo que el comandante de dragones de 8. Car­ los, D. M guel de Michelena y el capitán de patriotas, D. Manuel, de Arce, Ioiñ embistiesen por ei centro: los rebeldes que vieron el ar­ resto con que la caballería trepaba por una altura, al parecer inac­ cesible, reforzaron consi…</t>
  </si>
  <si>
    <t>Azfor (D. Manuel), mayor c‘ gra­ presentante dejas demás en la diputacioa pr«dos^' do coread. ' ' Bírcen.i ( D. Tomas), sargento jv, rv ■+ . -Vsgif erttada'últímaménté. Estrada (D. Esteban), capitán .del nú</t>
  </si>
  <si>
    <t>(D. Juan), cabo del regimiento 4.0 de ca* naderos de la guardia real. zadores á caballo. Oels (D. Juan ), soldado del regimiento Real Ir­ Tramarría ( D. Manuel), subprefecto de Alcalá de landés. ; Henares. Olivary (D. Melchor), tirador de la guardia real. Traxler (D. Jorge), teniente del regimiento Snizo. Onde (D. Xavier), ab…</t>
  </si>
  <si>
    <t>s en tres Para otro Igt'al en la pairoqaia de la villa de actos titulada el Sepulcro de Adelaida, con tonadilla Cantaiapisdra » v.cante por muerte de D. Manuel y sainete. EN LA IMPRENTA REAL.</t>
  </si>
  <si>
    <t>linas; y es regular que no executivo compuesto de tres individuos, qpe enenentre otras j© Ijbras pata volver á compr.irío. spn D. Feliciano Chiclana, D. Manuel .de Sarra- ¡ Oxalá que en otros casos de esta naturaleza hu­ jtea, y el doctor í&gt;. Juan Josef Paso, que antes biese manifestado I3 cámara mayor cuidado y zeio .era sec…</t>
  </si>
  <si>
    <t>40. D. Francisco Merino, 25. D. Ce&gt;areo Sanor, 50. D. Juan González , 35. D, Patricio Bermudez, 12. D. Ignacio Monteros, l. D. Francisco Lavado, 12. D. Manuel * ’astro monte, G. 15. Fermín Ace ved o, 12. D. Bernardo Soto, 10. D. Juan Falencia, 50. D. Pedro Montaivo , 10. D. Antonio Hernández , 10. B. Domingo Palacios, 10. D. …</t>
  </si>
  <si>
    <t>1 D. Manuel^cHoa, snbteniente» á tenj^rife de morra!, lío ‘pensaría vmd. tal disparate ,• si me cono-* la primera*,. cjo.gjpafiíadeLpr^inec batallón &gt; ¿ti la cíese.‘¿Cómo ha de reñir un hombre de^buaYi cuaj</t>
  </si>
  <si>
    <t>ano Avellaneda, cura de Yanahuanca, 100. Fr. José Contreras , cura de Tarma, por sí y su clerecía, 169. D. Manuel Corbalan , cura de Ninacaca, 24 y 6 D. Manuel de 3as Casas, 12. D. Manuel Santos Nuñez, 25. — El M. R. arzobispo de Lima D. Bartolomé María de las lleras, para auxilio de las familias de Ja ciudad de Carmona su pa…</t>
  </si>
  <si>
    <t>dice al gefe dei estado mayor general de los rxércitos lo siguiei te: — ,,Excm;/. Sr.: El sargento mayor interino dsl batallón de la Hoya de Málaga, D. Manuel c^e Lanchas, me comunica con fecha de 19 de este mes cVsde Ah au¡dn el parte que siguí : Excuh?. Sr.: Habiendo tenido noticia de que los enemigos que</t>
  </si>
  <si>
    <t>pregonado como necesario para proteger y Por decreto del mismo día ha tenido á bíeQ Conservar en España la religión católica? ; Quál S. M. conceder á D. Manuel &lt;fel Rio, hijo legíti­ es vuestra condición, españoles? ¿ Será posible que mo de D. Manuel , comandante de batallón del entre vosotros no puedan juzgarse los delitos d…</t>
  </si>
  <si>
    <t>.... D. Valentín García .. .f. • « 1 ' \ * abielden te D. José VilIaviuoY; . • ... * * &lt; 1 \ ídem... .. D. Manuel Alonso. • o1 Coronel, el brigadier. D. Manuel uatDpn.... '* • , 1 Capitán. • . D. Francisco Soto.. ... f t 9 » 1 Lena . .. ^ Teniente . . D. Francisco Diaz...... * » , O ro ««.»• D José CatbaHc.c... .. , ? 9 . Otr…</t>
  </si>
  <si>
    <t>I...'...... ,... 2200 D; Narciso deiZeq , id..................................... '220a *&gt;• J uan Fernandez , id......... "..................... 2200 D. Manuel £seo¡iar ; id.i..-;...... ................... 22co D., Manuel García , residente en Santa Ella. 22c» D. Bernardo de Cáceres, id........................ 2200 D. Francis…</t>
  </si>
  <si>
    <t>y no sabe Casasus ( D. Francisco de Paula), caballero maes­ uno...... trante de dicho real cuerpo. D. B. Cierto , no sabe uno donde meterse, Chiva ( D. Manuel) , alcalde del crimen de la real qne esté fresco. Y digo , p ira ponerse un hombre audiencia de Valencia. en camino con este tieinpedllo , ¿ qué tal ? Vaya, Escrig (D, …</t>
  </si>
  <si>
    <t>de esta ultima ciudad. Para ello, dispuse el 10 de junio que el segundo batallón de voluntarios de Aragoa, al mando acsidentai del capitán del mismo, D. Manuel La* tre, atacase la guarnición de Tcrasl, y procurase coger los emplea­ dos del gobierno intruso, que sacrifteaban á los pueb os ea obsequio délos franceses. El éxito …</t>
  </si>
  <si>
    <t>lado. Por el mismo señor juez se cita, llama y emplaza á los herederos abintestat© de- D. Félix Josef de la Avecilla, natural de esta corte , hijo de D. Manuel y Do­ ña Juana Navarro, asimismo difuntos, y de la misma naturaleza, para que dentro del término de 30 dias, contados desde el 25 del pasado, comparezcan ante dicho se…</t>
  </si>
  <si>
    <t>Manuel, Antomo Cano</t>
  </si>
  <si>
    <t>Antomo Cano Manuel</t>
  </si>
  <si>
    <t>918</t>
  </si>
  <si>
    <t>. — Joaquín de Mosquera ?/ Figueroa, — Juan Vitlavicendo* — Ignacio Rodríguez de Rizas. — El conde del Ábubal. — En Cádiz á 12 de agosto de 1812. — A D. Antomo Cano Manuel. En consecuencia de lo prevenido en el citado decreto, se ha ser­ vido S. A. autorizar ai intendente respectivo de cada provincia pa­ ta los efectos que in…</t>
  </si>
  <si>
    <t>Manuel, Antonio Can</t>
  </si>
  <si>
    <t>Antonio Can Manuel</t>
  </si>
  <si>
    <t>1133</t>
  </si>
  <si>
    <t>Joaquín de Mos­ quera y Figucrca.— Juan ■ Viilavicet¿cio. — Ignacio Rodrigues de Rivas. — El conde dei AhisbaL — En Cádiz á É3 de Agesto de lsl£.— A D. Antonio Can© Manuel.”</t>
  </si>
  <si>
    <t>Manuel, Antonio Cano</t>
  </si>
  <si>
    <t>Antonio Cano Manuel</t>
  </si>
  <si>
    <t>José María Paig, D. Antonio Cartavarrh , D. Antonio López Quintaba, D. Francisco López Lisperguer, D. Gerónimo Diez, D. Ciríaco González Carva­ jal , D. Antonio Cano Manuel, D. Tadeo Segundo Gómez, D. Ma­ nuel dei Castillo Negrete , D. Francisco Ibañez de Ley va , D. Ma­ nuel'Antonio de la Bodega y Moliinedo, O. Francisco Die…</t>
  </si>
  <si>
    <t>consejo de estado se ha servido S. A. nombrar á D José Návarro Vidal para la plaza que en el tribunal de justi­ cia se halla vacante por promoción de D. Antonio Cano Manuel al ministerio de gracia y justicia, v para las secretarías del mismo cojiscj j á D. José Layando, y á D. Juan Madrid Dávila. Avisos, Por decreto del real …</t>
  </si>
  <si>
    <t>—Joa• quin de Mosquera y Ftgueroa. —- Juan ViMavicencio. — Ignacio fíodriguez de Riñas. — El conde del Abisbal. — En Cádiz á 30 de julio de 1812. — A D. Antonio Cano Manuel. Buques que kan recogido correspondencia en la administración dé correos de Cádiz durante la semana finalizada en 8 del corriente. Para Poniente : falucho…</t>
  </si>
  <si>
    <t>976</t>
  </si>
  <si>
    <t>. — Joaquín de Mosquera y Figueroa. — Juan Villavicencio. — Ignacio Rodrí­ guez de Rivas.— Ei conde del Abisbal.— En Cádiz á 1$ de ag sto de 1812. —A D. Antonio Cano Manuel. Circular del ministerio de guerra. „Ea consideración á los dfr-’nguidcs servicios y conocimientos mUitarf s del margal de campo C. Tomas O -Don jú , ss h…</t>
  </si>
  <si>
    <t>. = Joaquín de Mosquera y Figueroa. = Juan Villavicencio. = Ignacio Rodríguez de Rivas. = El conde del Abisbal.= Ea Cádiz á 12 de agosto de 1812. = A D. Antonio Cano Manuel.’* EN LA IMPRENTA REAL.</t>
  </si>
  <si>
    <t>Mañüel, Antonio Cano</t>
  </si>
  <si>
    <t>Antonio Cano Mañüel</t>
  </si>
  <si>
    <t>rdenes militares de Santiago , Calñtrava , Alcántara y Montesa. Tendreislo entendido para su cumplimiento.—.En Cádiz á i;° de setiembre de 1812.__ ,A D. Antonio Cano Mañüel.” Proclama de la Regencia. Españoles: él Emperador de las Rusias, Alexandro, aquel príncipe qué en pocos años se habia hecho célebre en las artes de la pa…</t>
  </si>
  <si>
    <t>— El duque del Infantado. — Joaqmn de Mosquera y Figueroa. — Juan ViUavicencio. —Ignacio Rodriguen de Rivas. —En Cádiz á 27 de Setiembre de 1812. — A D. Antonio Cano Manuel. El general en gefe del segundo y tercer exército , desde su cuar­ tel general ds Hellin, con fecha 29 de Agosto, dice al señor gefe del estado mayoT gene…</t>
  </si>
  <si>
    <t>Orden española de Carlos 111, ministro del tribunal supremo de Justicia, y Gefe político en comisión de esta capital y su provincia &amp;c. El Excmo. Sr. D. Antonio Cano Manuel, secretario del despacho de Gracia y Justicia, me ha remitido la orden siguiente: La Regencia del reyno se ha servido dirigirme el decreto que sigue:</t>
  </si>
  <si>
    <t>e. —Joaquín de Mosquera y Figueroa. = Juan Villavícencio. = Ignacio Rodrieuez de Rivas. = El conde del Abisbal. = En Cádiz á 12 de agosto de 1812. =A D. Antonio Cano Manuel.” De orden de la Regencia de¿ reyno lo comunico á V. para que, te­ niéndolo entendido, lo guarde y. cumpla, en la parte que le corresponda, baxo la mas es…</t>
  </si>
  <si>
    <t>302</t>
  </si>
  <si>
    <t>­ blos del mismo orden. ix. Los conventos de monjas se restablecerán en los mismos términos , (1) El público oyó esta juiciosa memoria del Excmo. Sr. D. Antonio Cano Manuel con aquel ínteres que precisamente debía inspirar una ptopuesta fundada en los verdaderos principios de religión , de justicia y de prosperidad nacional*</t>
  </si>
  <si>
    <t>115</t>
  </si>
  <si>
    <t>e del Infantado —- Joaquín de Mosque­ ra y Figueroa. — Juan Vitlavicencio. — Ignacio R*.úrtguc% de Ri­ tas. — En Cádiz á 81 de Setiembre de 1812. — A D. Antonio Cano Manuel.”</t>
  </si>
  <si>
    <t>o.—Joaquín de iteosquera y Figutroa. — Juan Viliavicencio. — Ignacio Rodríguez de Hi­ ñas.— Juan Perez VdlamÜ.— En Cádiz á 7 de Octubre de 1812. —• A D. Antonio Cano Manuel. Segunda. Da Regencia del reyno se ha servido expedir el decreto que sigue: D. Fernando vii , por la gracia de Dios y por la constitución de la monarqu a …</t>
  </si>
  <si>
    <t>1225 Joaquín de Mosquera y Figuerou. — Juan Villavicencio. — Ignacio Rodríguez de Rivas. — Juan Feroz Villamil. — En Cádiz á 9 de Octubre de 1812.— A D. Antonio Cano Manuel.” Segundo. „D. Fernando vit, por la gracia de Dios y por la Constitución de la monarquía española, rey de las Españas, y en su ausencia y cautividad la Re…</t>
  </si>
  <si>
    <t>1271</t>
  </si>
  <si>
    <t>o —^Joaquín de Mosque­ ra y Figueroa.—Juan Villavicencio.— 'Ignacio Rodríguez de Rivas.— Juan' Pere% VillamiL — En Cádiz á 10 de Octubre de 1812. — A D. Antonio Cano Manuel. Circular del ministerio de Hacienda. El señor secretario del despacho de Marina me ha participado e» oficio de 6 del actual lo siguiente: * ,,La Regencia…</t>
  </si>
  <si>
    <t>—Joaquín de Mosque­ ra y Figueroa,— Juan Vztfavicencio.— 'Ignacio Hoáriyvez de 11ivas.— Juan Perez Villamil. — En Cádiz á 14 de Noviembre de 1812. —A D. Antonio Cano Manuel.” En la secretaría del despacho de Marina se han recibido los siguientes documentos relativos á ¿os sucesos de Venezuela. Primero. Circidar que el comanda…</t>
  </si>
  <si>
    <t>~ Joaquín de Mosquera y Figueroa. = Juan Villavicencio. =Ignacio Rodríguez de Rivas. = Juan Perez Villamil. = En Cádiz á 10 de oc­ tubre de 1812. = A D. Antonio Cano Manuel.” DC'N FERNANDO VII, por la gracia de Dios y por la Constitu­ ción de la monarquía española, Réy de las Españas, y en sn ausencia y cautividad la Regencia…</t>
  </si>
  <si>
    <t>1310</t>
  </si>
  <si>
    <t>untado. — Joaqttm de Mosquera y Figüeros.— Juan Vil.'avicencio.— Ignacio Rodriguen de Micas.—Juan Peres VUíamiL—-En Cádiz á 24 de Octubre de 1812.— A D. Antonio Cano Manuel.” Circulares del ministerio de Hacienda» J*rimcr&amp;. Las varias contribuciones impuestas por diferentes autoridades y corporaciones , han llamado ia atenció…</t>
  </si>
  <si>
    <t>o, y dispondréis lo conveniente á su cumplimiento. — Siguen las rúbricas de ios cinco señores regentes. — Dado en Cádiz á 15 de Diciembre de 1812. —A D. Antonio Cano Manuel. El mariscal de campo D. Pedro Agustín Girón, gefe del estado mayor del cuarto exército , remite al del estado mayor general el si* guíente parte del gobe…</t>
  </si>
  <si>
    <t>Manuel, Antonio Cauo</t>
  </si>
  <si>
    <t>Antonio Cauo Manuel</t>
  </si>
  <si>
    <t>1375</t>
  </si>
  <si>
    <t>—Joaquín de Mosque­ ra y Figueroa uan¿ Vitlavypencio. -r Ignacio Rodríguez, de; Rivas.— Juan Pere% Yi\táwiif.— En Cádiz á 13 de Noyiemíire de 1812* A D. Antonio Cauo Manuel.” Circulares •• v r«- * del -ministerio (. . • de •*. Hacienda. •&lt; * . ■&lt;. V • Primera.í • * ‘ ■ Al subdelegado de rentas de esta provincia digo conista L…</t>
  </si>
  <si>
    <t>Manuel, Antonio Ciño</t>
  </si>
  <si>
    <t>Antonio Ciño Manuel</t>
  </si>
  <si>
    <t>1094 Cm fecha de 27 de Setiembre ha expedido la Regencia al señor D. Antonio Ciño Manuel el decTeto siguiente: D. Fernando yii , por la gracia de Dios y por la constitución de la monarquía española, rey de las Españas, yema ausencia y cautividad la Regencia del reyno, nombrada por las Cortes genera</t>
  </si>
  <si>
    <t>Manuel, Antonio Gano</t>
  </si>
  <si>
    <t>Antonio Gano Manuel</t>
  </si>
  <si>
    <t>oaquin de Mosquera y Ftgueroa. — Jua7i Villa-tic enció. — Ignacio Ha* driguez de Ritas. "■— El conde del Jéis bal. —-En Cádiz á 11 de julio de 1812.A D. Antonio Gano Manuel. : D. Fe rnando vir, por la gracia de Dios y por lá constitución dé la monarquía española , rey de las Españas-, y ea su ausencia y</t>
  </si>
  <si>
    <t>Manuel, Antonio'Cano</t>
  </si>
  <si>
    <t>Antonio'Cano Manuel</t>
  </si>
  <si>
    <t>fantado.—Joaquín de Mosque­ ra y ligueroa.—Juan Villavicencio.—Ignacio Rodrigue* de Rivas.-— Juan Peres Villamil. — En Cádiz á 10 de Octubre de 1812. D. Antonio'Cano Manuel.” CADIZ i EN LA IMPRENTA REAL.</t>
  </si>
  <si>
    <t>Manuel, Blas</t>
  </si>
  <si>
    <t>Blas Manuel</t>
  </si>
  <si>
    <t>n­ dos sombreros qoe este gefe llevaba á Morillo, to tiúm. 3.® de cazadores á caballo. a habido varios hombres y caballos moe» tos Je Sánchez Valles (D. Blas Manuel), tesorero de (a esta partida , y en la confosion qne resulta de una santa iglesia catedral de Queñca, y presidente sorpresa logró Fermín escaparse con uno de rus…</t>
  </si>
  <si>
    <t>Manuel, Cano</t>
  </si>
  <si>
    <t>Cano Manuel</t>
  </si>
  <si>
    <t>del «JSrrsii; D. J sé cíe Leen y Pizarro, secretario que fué del consejo cf esta.do; U. Tema» González Caldero» , regente de la audiencia de Mé xico; D. Cano Manuel, ministro del supremo tribunal de jns&amp;aia; Ú» Luis M-siL. Solazar, qus ío lia sido del interino con-</t>
  </si>
  <si>
    <t>Manuel, José</t>
  </si>
  <si>
    <t>José Manuel</t>
  </si>
  <si>
    <t>ero; se ha servido nom­ bra? á. D. Lorenzo Luis de Robles, D Ramón Masía de Lleopart, D. Antonio José Gallado, D. Tomas Pelegrin, D. Ertaaislao Fita, D. José Manuel de loa Senderos y D. Manuel Antonio Rodrigo por jueces de primera instancia interines de Xerez, Puerto de Sta. María, Medina, Ssniucar, Puerto Real, Rota y Chic-a…</t>
  </si>
  <si>
    <t>Manuel, Juan</t>
  </si>
  <si>
    <t>Juan Manuel</t>
  </si>
  <si>
    <t>niente 2.° D. Pedro Miigarola. Guardias j Otro.......... D. Manüeí Mendez Vr¿t'des.... l Español.. lOtro ».. •. D. José de las Guebas.... .. l \ O rí D. Juan Manuel, Cogitan... l fSarg.rnivyo? í ti ten. cor. O. Pedro d ? la Yega.. . . ■ * 1 Imne- | Tríente ..' D. Manuel Santos.......... . * f I mortal dd&lt; Otro .,. .. D. Juan …</t>
  </si>
  <si>
    <t>ManuelTaboada</t>
  </si>
  <si>
    <t>itán de la tercera de cazadores de Ausona Santamaría y su subteniente Cervera. Nuestra pérdida consiste en 17 muertos, incluso el subteniente de Basa D. ManuelTaboada, 48 heridos, 2 caballos muertos y 3 he­ ridos ; y 7 sóida dos y un subteniente que no han comparecido. La del enemigo debe necesariamente haber sido de mayor co…</t>
  </si>
  <si>
    <t>Manzanares, Francisco de Paula Díaz</t>
  </si>
  <si>
    <t>Francisco de Paula Díaz Manzanares</t>
  </si>
  <si>
    <t>mo que tuvieron las guerras de las comunidades D. Manuel Santiago, id. en Porcuna.......... 2200 y d - sucesión , esto es, ceder por último , después D. Francisco de Paula Díaz Manzanares, de haber padecido todo género de calamidades. id. en Baeza.............................. ................. 2200 Los motivos que tuvieron l…</t>
  </si>
  <si>
    <t>Manzanares, Ramón</t>
  </si>
  <si>
    <t>Ramón Manzanares</t>
  </si>
  <si>
    <t>, 6. D. Manuel Villar, 25. D. Pió Garrido, 12. Don Pedro Tr el les , 12. D. Pedro Ruesta , 1. D. Gregorio Palacios, 25. D. José Antonio Miehilon , 1. D. Ramón Manzanares , 2. I). Gaspar Silva , 2. Don Francisco ligarte, 2. D. Matías Cuello , 2. D. Francisco Siadas , 4. 1&gt;. Fran­ cisco Figueiras, 2. Manuel Artiaga , 1. Doña Ca…</t>
  </si>
  <si>
    <t>Manzaneque, Alfonso Martin</t>
  </si>
  <si>
    <t>Alfonso Martin Manzaneque</t>
  </si>
  <si>
    <t>ato Negro , id. en i i....................... 2200 de 1812. D. Manuel Antonio Castañon, id. en id.... 2200 Don Joief Napoleón por la gracia de Dios y D. Alfonso Martin Manzaneque , id. en id. 2200 por la coostirucion del estado, REI de las Espa­ D. Josef Martioez, id. en id............ ............. 2200 ña* y de las Indias. …</t>
  </si>
  <si>
    <t>Manzanilla, Josef</t>
  </si>
  <si>
    <t>Josef Manzanilla</t>
  </si>
  <si>
    <t>l de S. Isidro, al cargo del Sr. D. Joaquín Domeneeh. A Quartel de la Plaza, al cargo del Sr. D. Francisco Sosa. Quartel de Palacio, al cargo del Sr. D. Josef Manzanilla. Quartel del Barquillo, al cargo del Sr. D. Francisco Marchámalo. , Quartel de Afligidos, al cargo del Sr. D. Pedro Uriarte. Quartel de Maravillas , al cargo…</t>
  </si>
  <si>
    <t>Manzano, Agustín</t>
  </si>
  <si>
    <t>Agustín Manzano</t>
  </si>
  <si>
    <t>ristian!, Suare?, Avecilla y Casanova. D. Ramón Godoi queda nombrado abanderado, En el de la Cruz, á las quatro y media de la tarde, en la vacante de D. Agustín Manzano. 3» exectitará la comedia de magia Nadie es mas grande art. v. Nuestro ministro de la Guerra queda hechicero que Brancanelo el Herrero, con usa tonadi­ encarg…</t>
  </si>
  <si>
    <t>Manzano, Francisco</t>
  </si>
  <si>
    <t>Francisco Manzano</t>
  </si>
  <si>
    <t>ivo de artillería al sargento primero del mismo cuerpo D. Ignacio Calan ; de espitan de milicias disciplinadas de infantería á 6. Francir.cn Garcés * D. Francisco Manzano, D. Basilio López, D. Jacobo Garcés, D. R-amon Roa, D. Xavier Morios, D. Pedro Astarloa, D. Juan Esteban Cueto, Don Manuel Carrera, D. José María Medina, D.…</t>
  </si>
  <si>
    <t>Mapent</t>
  </si>
  <si>
    <t>io de la parroquia de San Pa­ dexaJo el mando, y ha salido para la Havana. Du­ blo de Ubeda , diócesis de Jaén , vacante por fa­ rante so ausencia ei coronel Mapent hace fas veces llecimiento de D. Aligue, de Agu..yo. de gobernador. {The Observer.) D. Manuel Orozco , pre .bíiero y ex- mercenario descalzo, el beneficio de ia. …</t>
  </si>
  <si>
    <t>Maqueda, Alonso</t>
  </si>
  <si>
    <t>Alonso Maqueda</t>
  </si>
  <si>
    <t>uan José Leuro, contador general de tributos, 318 y 4. El fiscal D. José Pareja, por sí y á nombre de su esposa Doña María Falipa Perez de lia, 1000. D. Alonso Maqueda , ayuda de cámara del Sr. virey, 30. Doña Juana María de Jáuregui, 20. D. Juan Quiñones , 25. — Ministe­ rio de real hacienda. El ministro contador D. Fernando…</t>
  </si>
  <si>
    <t>Mar</t>
  </si>
  <si>
    <t>vero en la catedral de Mondcñedo; al marques de Astorga, conde de Altanaba; al marques del Castelar, teniente general de los exércitos nacionales ; á D Mar­ tin de Garay ; á D. Melchor José de Foncerrnda, oider de la au­ diencia de México ; á D. Francisco X avicr Castaños, capitán ge­ neral de los exércitos nacionales; á D. J…</t>
  </si>
  <si>
    <t>ncia sobre la gendarmería sé divi­ enero , dicen lo siguiente: dirá entre el ministro de la Policía y el de lo In­ ,, Anteayer llegó aquí el teniente general Mar- terior. lccff, y en pocos diasrhan llegado varios oficiales 4.a La vigilancia Sobre laS cárceles, casas dé superiores del excrcitQ. Gon este motivo se ha reclusión …</t>
  </si>
  <si>
    <t>s gene,** ma expedición de la orilla derecha del Danubio rales y-,oficiales superiores rusos ios tratan cpn jtjja*» están ya aquí de vuelta, meoos el general Mar- cha consideración* ¡, , , -... .¡t knw, que se halla con su cuerpo de exército en la , El deshielo de lo?;ríos ha hecho suspender á pequeña Valáquia. lo? rusos su e…</t>
  </si>
  <si>
    <t>Mar, Diego</t>
  </si>
  <si>
    <t>Diego Mar</t>
  </si>
  <si>
    <t>iente del re­ guia y sin sello. gimiento 4.0 de cazadores á caballo; al capitán de 11. Todos los barcas que pasen &lt;5 no lleguen á cabullería de línea D. Diego Mar(úuz capitán de 30 toneladas , c:on tal que 110 naveguen mas que la compañía de caballería de cazadores de monta­ por ias agti.is de Holanda , están exceptuados del …</t>
  </si>
  <si>
    <t>Mar, Francisco</t>
  </si>
  <si>
    <t>Francisco Mar</t>
  </si>
  <si>
    <t>es de aqnella capital para y D. At.masio Romeo; y se han conducido mui nombrarnos por sus diputados cerca de V. M. , bien los caballeros gefede trozo D. Francisco Mar­ á fin de qoe presentemos á sus reales pies e! hotínez; seminaristas D. Luis Colina , D. Joan Josef menage de sumisión y respeto que deben á V. M. Cámara, D. Ma…</t>
  </si>
  <si>
    <t>Mar, Pío</t>
  </si>
  <si>
    <t>Pío Mar</t>
  </si>
  <si>
    <t>del reyno se ha servido promover en el regi­ miento de infantería de México á capitán de granaderos á D. Bru­ no de Elias y Larrazabal; á ayudante á D. Pío Mar.a Ruiz ; á teniente á D. Nicolás Gasas ; á subtenientes de granaderos á D. Juan de Castro Palomino y D. José Pinera ; á subteniente de fusileros á D. Ventura de Mora ;…</t>
  </si>
  <si>
    <t>Mar-rufo, Juan</t>
  </si>
  <si>
    <t>Juan Mar-rufo</t>
  </si>
  <si>
    <t>allón íixo de Guatemala. En el ba­ tallón de Castilla, íixo de Campeche, tenencia de fusileros á D. An­ tonio Cuatreras ; subtenencia de granaderos á D. Juan Mar-rufo, y de bandera á D. José Ancona. En el batallón veterano de Chiloe, compañía de granaderos á D. Francisco Arenas, y de fusileros á D. Juan José Huidobro ; ayudan…</t>
  </si>
  <si>
    <t>Marancin</t>
  </si>
  <si>
    <t>Gazeta de la Regencia de las Españas n.º 24 (extraordinaria)</t>
  </si>
  <si>
    <t>209</t>
  </si>
  <si>
    <t>yer, nuestras valientes tropas se han cubierto de honor en las inmediaciones de Cártama. Dos mil infantes y 400 caballos enemi­ gos , mandados por el general Marancin , gober­ nador de Málaga, han sido derrotados completa­ mente. Nuestra infantería, con un denuedo que</t>
  </si>
  <si>
    <t>Marañon, Francisco</t>
  </si>
  <si>
    <t>Francisco Marañon</t>
  </si>
  <si>
    <t>ava, quanto su conducta los ha hecho indignos de la vacante por muerte de D. G.cgorio Calleja , á confianza de la Inglaterra, y pidiéndole llame á su D. Francisco Marañon, beneficiado de quarta ra­ lado á hombres de luces y probidad notorias, que ción de la misma iglesia. promuevan Ja reforma del parlamento. (The Star.) Para …</t>
  </si>
  <si>
    <t>Marañou, Domingo</t>
  </si>
  <si>
    <t>Domingo Marañou</t>
  </si>
  <si>
    <t>do ; al teniente coronel I). Torcuato Truxillo, agregación de co­ ronel de dragones; á los demás oficiales un grado sobre el que tenían;' ai patriota D. Domingo Marañou, grado de alférez; y á D. José Ma­ rañen Zornoza lo ha integrado en su empleo de teniente de dragones. Ademas concederá escudos de distinción y de premio á lo…</t>
  </si>
  <si>
    <t>Maransin</t>
  </si>
  <si>
    <t>sioneros. no'podían'presentarse ‘para hacer este servicio! También se le han cogido 120 caballos. pqrque se ‘ exponían á perder todos los bienes y El general Maransin elogia mucho la conducta presiones qiíe tenían* en Francia, si tomaban las de los soldados que han entrado en la acción. Cira amas contra los franceses. El gobe…</t>
  </si>
  <si>
    <t>Maransio</t>
  </si>
  <si>
    <t>de dragones, se le cita también honoríficamente. Ei señor coronel Berton se ha ORDEN DEL DIA. conducido con la mayor serenidad y valor. El ge­ '* El general Maransio avisa á 3. E. el general en neral Reí cita al gefe de csqnadmn Lepge, del gefe que el 14 hizo Ballesteros un movimiento ít.° de dragones, que fue quien dirigió ¡…</t>
  </si>
  <si>
    <t>MarAnteayer</t>
  </si>
  <si>
    <t>r para Pequales te la aprontaron inmediatamente que la tersburgo.. El nuevo get&gt;eral-eo-gefe tiene todavía pidió. su quartel general ea Giurgevvo. El general MarAnteayer prestaron Juramento de fidelidad los kow mandará e! centro del exército baxo sus ór­ ouevos boyardos del divan en manos del senador denes inmediatas ;• el. '…</t>
  </si>
  <si>
    <t>Marbenff</t>
  </si>
  <si>
    <t>truyendo li­ BOI-ETIN 17.° DEl.^X£RpXXa. oaA.tíD?. ncas delante de Moskow. : Ghjat de setiembre.-&lt; El quarteb imperial ha En el combate de Krasnoi el coronel Marbenff, estado el 31 de agosto enVelitcneto ,el tAy 2 de del 6." de caballería ligera, fue herido de un bayo­ setiembre en Ghjat. ’m ' '.n ; • netazo á la cabeza 'de. …</t>
  </si>
  <si>
    <t>Marc, Saint</t>
  </si>
  <si>
    <t>Saint Marc</t>
  </si>
  <si>
    <t>icia 'prolífica ha producido desas­ tue lleva consigo at príncijw Leopoldo,-al duque tres t crímenes y óalámid des, hasta que al fin'in­ c Gesto y al mariscal Saint Marc. ' ¡: &lt; numerables majes han llegado al extremo dé anun­ ciar', si no se pone un pronto remedio, el extermi­ 1MPERIO FRANCES. 1^ ' nio de los restos.de; a li…</t>
  </si>
  <si>
    <t>Marchámalo, Francisco</t>
  </si>
  <si>
    <t>Francisco Marchámalo</t>
  </si>
  <si>
    <t>eral. Diputados seculares D. Ramón Ballesteros. ! D. Lorenzo A raín.yo.'D. Gregorio Espala. D. Miguel Calderón. Secretario Secretario D. Manuel Arce. D. Francisco Marchámalo. BARRIO DEL AMOR D« DIOS* BARRIO BE SAN PASCUAL. Alcalde de barrio Alcalde de barrio D. Fraacisco Carreño. D. Pedro de loio.</t>
  </si>
  <si>
    <t>Rivacoba y Gorbea* El Sr. D. Josef de Manzanilla. El Sr. D. Francisco Gutiérrez Sossl El Sr. D. Agustín de Goicoechea. El Sr. D. Pedro Uñarte. El Sr. D. Francisco Marchámalo. El Sr. D. Mariano de San Juaa. El Sr. D. Josef de Arratia. El Sr. D. Domingo DutarL El Sr. D. Lúeas de Carranza. El Sr. D. Saturio Cantabrana. El Sr. D.…</t>
  </si>
  <si>
    <t>el de la Plaza, al cargo del Sr. D. Francisco Sosa. Quartel de Palacio, al cargo del Sr. D. Josef Manzanilla. Quartel del Barquillo, al cargo del Sr. D. Francisco Marchámalo. , Quartel de Afligidos, al cargo del Sr. D. Pedro Uriarte. Quartel de Maravillas , al cargo del 'Sr. D. Miguel Calderón de Ja Barca. Quartel de S. Gerón…</t>
  </si>
  <si>
    <t>Marchamalo, Francisco</t>
  </si>
  <si>
    <t>Francisco Marchamalo</t>
  </si>
  <si>
    <t>Sr.- D. Francisco Cándido Paz. = Sr. D. Ramón Satue. =Sr. D. Josef García de la Torre. = Sr. D. Ra­ món Macia Lleopat. = Sr. D. Manuel Lartiga. = $r. D. Francisco Marchamalo. Fiscales. Sr. £&gt;. Mateó Zendoqui. = 5r. D. Mateo Valdemoro. Deseoso el tribunal de Apelaciones y Vigilancia de esta corte de llenar los deberes de su ca…</t>
  </si>
  <si>
    <t>Marchecaballos, Josef</t>
  </si>
  <si>
    <t>Josef Marchecaballos</t>
  </si>
  <si>
    <t>rmas de Al­ La Escuela de las mugeres , comedia en cinco acto* calá, había presq á 4resv b^$j$qi yeon sus armas y en verso de Moliere , traducida por D. Josef Marchecaballos, los que queriendo escaparse, fueron muer­ ua. Se hallará en el despacho de Ja imprenta real á 4 rs. tos en el iBDroetiíoj:. Habiendo.entrado en San Seba…</t>
  </si>
  <si>
    <t>Marco, FrápcjscO</t>
  </si>
  <si>
    <t>FrápcjscO Marco</t>
  </si>
  <si>
    <t>tinndáhte general de tiempo. : la primera diviskufdél qharto cuerpo de exército; SUIZA. D. A amón Pirez, gefe del estado mayor del se-^ gondo7cuerpo; D. FrápcjscO Marco d¿l Ponr, Berna jS de marzo. subinspector de la irifánfe^ía del mismo cuerpo; y D. J'osdf Lardizabal, comandante gphcrál de la Hemos vuelto á recibir del país…</t>
  </si>
  <si>
    <t>Marcos, Antonio Josef</t>
  </si>
  <si>
    <t>Antonio Josef Marcos</t>
  </si>
  <si>
    <t>1087 26 Doña María Petra de Lanz , hija heredera de D. Vicente de EL ESPEJO DE LA TIA JUSTA, anz....... *................................... 3*y« 3* D. Antonio Josef Marcos............. 35 5 1 3* Cuento arábigo-manehego. D. Juan Moliner..................... . 1091 y 19 D. Modesto Belben...................... 602 26 En los tie…</t>
  </si>
  <si>
    <t>Marcos, Francisco</t>
  </si>
  <si>
    <t>Francisco Marcos</t>
  </si>
  <si>
    <t>ro» sargento i.°, á subteniente: Londres.......... 7000 4 D. Juan Antonio Lafuente , sargento i.°, á sub­ W estminster.......... 10000 2 teniente ; y D. Francisco Marcos, sargenta i.°, á Middlessex.............. 3500 2 subteniente; y nombrado ai teniente que fue de Surrey..................... 4íoo 2 caballería J¡X Manuel de l…</t>
  </si>
  <si>
    <t>Marcow</t>
  </si>
  <si>
    <t>ado : nmui® isla del Danubio, que tiene una augusta común teac;on con V alaquia; pero habiéndose reforzado los rusos con una di ve ion que conduxo el general Marcow , atacaron á los turcos , y se apoderaron de la isla y de cuanto había ew su campo. El resultado de la acción fuá haber perdido el Gran-Visir de 20 á 28000 hombre…</t>
  </si>
  <si>
    <t>Mardos</t>
  </si>
  <si>
    <t>a y de vigilancia Las tropas rusas que habia en Belgrado se han para cuidar de que se observen y cumplan eo to­ reunido con el cuerpo de exército del general Mardos los puertos y radas las leyes existentes sobre koíf, acantonado en la pequeña Valaquia. El gran el comercio, y para proteger al mismo tiempo el quartel general de…</t>
  </si>
  <si>
    <t>Mareno, Carlos</t>
  </si>
  <si>
    <t>Carlos Mareno</t>
  </si>
  <si>
    <t>Pedro Vega Ley va , 5. Id. segundo Pedro Pagan y Arango,5. Di stinguido I). Gaspar Bastamante, 4. Id. D. Carlos Moreno, 4. Id. D José Gamarra, 4. Id. D. Carlos Mareno, 4. Antonio Feé , 4. Ignacio Vicuña, 4. Alexamlro Eclaves , 4. José López Vega, 4. Mariano Carreño, 4. Francis­ co Machuca, 4. Santos Gallardo , 4. Francisco Ga…</t>
  </si>
  <si>
    <t>Maret</t>
  </si>
  <si>
    <t>85</t>
  </si>
  <si>
    <t>intereses que resultan de su sistema político ; han nombrado por sus plenipo­ tenciarios : S. M. ti emperador de les franceses á Mr. Hugo Ber­ nardo, conde Maret, duque de Bissano &amp;c.; y S. M. el emperador de Austria al príncipe Cirios de Sehvyattzenberg, duque de Ktuman, quienes después de haberse comunicado sus plenos poder…</t>
  </si>
  <si>
    <t>900</t>
  </si>
  <si>
    <t>no dio socorro alguno á V. M.; y en S. M. el Emperador de los franceses &amp;c. al tevez de los 150© hombres que podía hacer marchar, ñor Hugo Bernardo, conde Maret, duque de Bas?t debian ayudar al excrcito francés, solos i,© sa- sano Scc.; ¡eron á campaña, y aun esos hablan pasado ape­ Y S. M. el Emperador de Austria &amp;c. al prín…</t>
  </si>
  <si>
    <t>. Ai- pidió explicacio­ plenipotenciarios, S. M. el K-operador de Instruí— nes sobre tan extraordinarios armamentos j y al mis­ ceses al señor H. B., conde Maret, Juque de Bassamo tiempo hubo de acontar ni Rei de baxor.ia no &amp;c. concentrara sobre el Vístula las tropas del ducado Y S. M. el Rei de Prusia al señor Federico Gui­…</t>
  </si>
  <si>
    <t>Marfil, Cristóbal</t>
  </si>
  <si>
    <t>Cristóbal Marfil</t>
  </si>
  <si>
    <t>quín Quiroga y D. Aíitonio Boan, como igualmente el teniente y comandante de la compañía de cazadores, D. José Fcminaya, y el subteniente de la misma D. Cristóbal Marfil. La pérdida de ios individuos de estas compañías ha consistido en 6 muertos y 23 heridos. La de les ene­ migos pasa de 30 muertos, inclusos 2 oficiales, segú…</t>
  </si>
  <si>
    <t>Marfori, Bartolomé</t>
  </si>
  <si>
    <t>Bartolomé Marfori</t>
  </si>
  <si>
    <t>a llegado el caso de finali­ zarse la compañía, y habiéndose repartido los capitales y las cortas ganancias que han resultado, entre los accionistas, D. Bartolomé Marfori, uno de ellos, ha cedido las suyas, que ascienden á 4620 reales, en beneficio de este exército, de la división del general Ba­ llesteros, de este departamen…</t>
  </si>
  <si>
    <t>Mari, Antonio</t>
  </si>
  <si>
    <t>Antonio Mari</t>
  </si>
  <si>
    <t>ento de infantería real de Lima, subte­ nencia de bandera á D. José Veiazquez. Ea el mencionado batallón veterano de Chiloe, compañías de fusileros á D. Antonio Mari?; Aivarez y I). Pedro Andrade ; tenencias de fusileros á D. Francisco Xavier Vargas y D. Jacinto Toro, y subtenencias á D. Manuel Gó­ mez y D. Fermín Perez ; ten…</t>
  </si>
  <si>
    <t>Mari, Bernardo</t>
  </si>
  <si>
    <t>Bernardo Mari</t>
  </si>
  <si>
    <t>yudantes mayores á D Francisco Ca­ rayaca y D. Juan Bautista Cabaleri; los de tenientes á D. Gregorio Domínguez. D. José Martínez, D. Juan Matalobos, D. Bernardo Mari ño, Id. Manuel Iglesias y Vázquez, D. Manuel Perez, í&gt;. Ma­ teo Pi con , D. «luán de Neyra y D. Esteban González ; y los de subtenica íes á D. Joaquín San Marrt…</t>
  </si>
  <si>
    <t>Mari, Josef</t>
  </si>
  <si>
    <t>Josef Mari</t>
  </si>
  <si>
    <t>trabajadas, que á primera vista se conoce desde D. Tomas Balocco y D. Josef María Nuñez, sar­ luego que son falsas. gentos primeros, á subtenientes; D. Josef Mari— ner , teniente de carabineros del regimiento de REINO DE ÑAPOLES. Castilla, i.® de infantería ligera, á capitán del mismo cuerpo; D. Miguel González , subteniente …</t>
  </si>
  <si>
    <t>María</t>
  </si>
  <si>
    <t>98</t>
  </si>
  <si>
    <t>os cu la isla agua para muchos dias.—El enemigo á pesar d* su continuado fuego no consigue destruir nuestras obras, y la guarnícío» está muy animosa. Doña María. Armengual (mugar del coman­ dante Masmnés) continúa sirviendo en la batería de pimiento de la isla, dando fuego á las piezas, y exemplo de valor y serenidad á los so…</t>
  </si>
  <si>
    <t>100, la qual S. M. I., acompañado de su corte, dio ayer tieae de sitio 1728 pie» qu adrad 01 superficiales, tasada con las solemnidades de estilo al arzobispo María en la cantidad de 13967 raí ve,; y la otra con el nú­ Tadeo, conde de Trautzmaonsdorff-Weíusberg, mero 4 de la propia man2ana, que comprehendc 2p7S la iuvest idur…</t>
  </si>
  <si>
    <t>t......................... ' 1805 los sugetos siguientes. D. Joan Bautista de Palacio...... 5054 Rs. vn. Mr». D. C .milo de los Toeror.......... 36 r Doña María de (a Encarnación D. Antonio Loza.......................... 2263 17 Esmo'ieu...,,.............................. 1225a D. Julián Ruiz................ 361 D. Santiago d…</t>
  </si>
  <si>
    <t>54. D. Juan Antonio Cordero, id., 54. D. Do­ mingo Urquijo, id., 54. D. Pedro Benitez, id. , 54. D. Juan Nadin , id., 54. D. Manuel Gualda, id., 34. Doña María de la.Concepción González, en agosto de 1811 por una vez, 11. D,oña Teresa de ¿ayas, id., SCO. D. Pe­ dro Sotolongo, id., 17. El licenciado D. José María Éncinoso de A…</t>
  </si>
  <si>
    <t>María, An Ionio</t>
  </si>
  <si>
    <t>An Ionio María</t>
  </si>
  <si>
    <t>a, y el de ayudante á D. Juan Cesar. Asimismo S. A. se ha servido conceder en el batallón de in« fardería íixo de Go&amp;temala , compañía de ganaderos á D. An« Ionio María, y de fusileros á D. José María Palomar ; tenencia de granaderos á D. José Garci- Aguirre, y de fusileros á O. Maca* rio Sánchez; subtenencia de granaderos á …</t>
  </si>
  <si>
    <t>María, Andrés</t>
  </si>
  <si>
    <t>Andrés María</t>
  </si>
  <si>
    <t>4i t de registrar en las oficinas de aduanas cantidades tura en la de Cuenca á I&gt;, Vicente del Castillo, mucho mayores qae las que realmente han sido D. Andrés María fcerdan y D. Feliciano Grande. exportadas} pero ef resultado cierto es que en el Por decretos de, i,° del corriente ha nombrado año último ha ha xado por el valo…</t>
  </si>
  <si>
    <t>María, José</t>
  </si>
  <si>
    <t>José María</t>
  </si>
  <si>
    <t>milicias D. Atanasio de la Canal, 12. D. Mariano Goichi, 17. D. Antonio Senadel, G. D. Pablo Rubi­ nes , 50. D José Gabriel Gómez , por sí y su hijo D. José María, 100. Don José Donaires , G. D. Francisco Boladeras, 12. D. José González , G. D. Fran­ cisco Hurtado , 6. D. Antonio Le goma , por sí y su padre D. Juan , 50. Don …</t>
  </si>
  <si>
    <t>de Mosquera y Figueroa, presidente. — Juan Villa-ricen rio. — Ignacio Rodríguez de Rivas. — El conde del Abisbal. — En Cádiz *3 de junio de 1812. — A D. José María d* Carvajal* ■3 CADIZ s EN LA IMPRENTA REAL.</t>
  </si>
  <si>
    <t>el del mismo cuerpo: á coronel al teniente coronel D. Juan Antonio Cearra : á este empleo al sargento mayor de brigada, graduado de teniente coronel, D. José María Da­ na ; á sargento mayor de brigada al capitán , graduado de teniente coronel, D. Joaquín Ortiz de Zarate i y á capitanes á los tenientes D. Pablo Ruiz de la Bast…</t>
  </si>
  <si>
    <t>María, Josef</t>
  </si>
  <si>
    <t>Josef María</t>
  </si>
  <si>
    <t>iieo, y á los conseje­ do D. Manuel Carrera, para teniente D. Ju..n An­ ros de Estado conde de Melito y D. Andrés Ro­ drés Fascio, y para subteniente D. Josef María mero Valdés. Marzan. Para comandante del batallón D. RafaelLopez Alfaro, y para abanderado D. Antonio Torres de ja Cerda. Extracto de ¡as minutas de la secretaría…</t>
  </si>
  <si>
    <t>María, Manuel</t>
  </si>
  <si>
    <t>Manuel María</t>
  </si>
  <si>
    <t>. Onde (D. Xavier), abanderado del regimiento Treilhard (D. Liberal), espitan del regimiento de Real Extrangero. tiradores de la guardia real. Orden (D. Manuel María de la), director de. Treviño ( D. Juan), teniente de húsares de U maestrazgos y encomiendas en .Jaén. goardia real. Ortega ( D. Jaao), comandante del batallón de…</t>
  </si>
  <si>
    <t>do secular Diputados seculares D. Blas de Torres. D. Hilaria Avendaiío. , Los demás están vacantes. D. Juan Ldrénzd.Secretorio QUARTEL DE SAÑ ISIDRO. D. Manuel María ibañez. barrio de la comadrS. QUARTEL DE SAN GERONIMO SARRIO DEL BUEN—SUCESO. Alcalde de barrio . . Alcalde, de, barrio D. Feliz Alvarez de Alvarez. D. Francisco…</t>
  </si>
  <si>
    <t>áquina ,, y los moti -os al que Se lt¿ dignado convocar á los consejeros de que á cada uno le.hacen obrar, pasando una vida Estado marques Caballero, D. Manuel María obscura , pero tranquila, si es que puede haberla Cambronera , D. Josef Ignacio Jóven de Salaj, para nn ciudadano honrado que ve su patcueotrer</t>
  </si>
  <si>
    <t>María, Víctor Santa</t>
  </si>
  <si>
    <t>Víctor Santa María</t>
  </si>
  <si>
    <t>deros á D. Juan de Castro Palomino y D. José Pinera ; á subteniente de fusileros á D. Ventura de Mora ; y á subtenientes de bandera á D. Juan Urkina, D. Víctor Santa María, D. Remigio Izaguirre y D. Feman­ do Beato. En 15 de Julio último salió de este puerto para el de la Habana la goleta mercante española nombrada Venturosa …</t>
  </si>
  <si>
    <t>Mariano</t>
  </si>
  <si>
    <t>sobre las armas; que el coronel D. Juan Ramírez con los batallones de los beneméritos, coronel Don ablo Astete y tenientes coroneles D. Luis Astele y D. Mariano</t>
  </si>
  <si>
    <t>es : los sol­ neral de los reales exércitos D. Gonzalo O-Farrill, dados van abriendo los ojos , y están acechando nuestro ministro de la Guerra ; y á D. Mariano un momento favorable para poder escapar, y aban­ Luis de Urquijo, nuestro ministro secretario de donar un partido de que conocen que han de ser Estado. víctimas tarde…</t>
  </si>
  <si>
    <t>.. itoo D. Gregorio flores, id.............. 2200 D. Francisco Medel, id. id.^en Morara..... % 1100 Ex-bernardos. Ex-hospitalario de S. Juan de Dios. D. Mariano clel Amo , residente en S. Mar­ D. Manuel Gallegos, resideute eoXerez... 2200 tin de Valdeiglesias.......................... 2200 Ex-agustinas recoletas. Ex-premostra…</t>
  </si>
  <si>
    <t>l turquí abrochada Saochez (D. Carlos), cazador de montaña de por delante -hasta la cintura, coa cuello , vuelta y Avila. •vivos amarillos. 'Tamarit (D. Mariano), comerciante. Pantalón .ancho de paño axul turquí con bota Teofel (D, Rafael), teniente de cazadores de moafigurada , y vivos amarillos á los costados. taña de. Avil…</t>
  </si>
  <si>
    <t>Mariano, José</t>
  </si>
  <si>
    <t>José Mariano</t>
  </si>
  <si>
    <t>n sus gefes , el teniente coronel gra­ duado D. Juan Vildosola, y el capitán graduado D. Domingo Ugarte 5 y la de México , mandada por el subteniente D. José Mariano .Lugo; la infantería de marina al mando del impávido alférez de navio D. 1) ionisio Guiral ha sostenido su merecida reputación ; los tenien­ tes D. José Mu ñoz y…</t>
  </si>
  <si>
    <t>Mariatégui, Camilo</t>
  </si>
  <si>
    <t>Camilo Mariatégui</t>
  </si>
  <si>
    <t>280 mío Cnicho , 2. D. Santiago López, 2. D. Juan Navarrete , 2. D. "Martin Fer­ nandez , 2. D. Juan Loaisa, 2. D. Camilo Mariatégui., 2. D. Pablo Manco 2. D. Juan Batalla, 2. D. Tomas Portocarrero , 2. D. Francisco Zandagoza, D. Pedro Omdoranchey &gt; 2. D. Vicente Navarte , 2. D. Manuel Vengocne.a , 2. D. José Marlategui,</t>
  </si>
  <si>
    <t>Marin, Carlos</t>
  </si>
  <si>
    <t>Carlos Marin</t>
  </si>
  <si>
    <t>recía de la parroquia de S. Lázaro. D. Anselmo Perez de la Canal , cura de S. Lázaro, 100. D. Nicolás Rueda, capellán del hospital de S. Lázaro, 12. D. Carlos Marin , 12. D. Félix Egusquiza , 12. D. Juan Prada, 25. D. Fer­ nando Quirós , 25. D. José Antonio Fuente, 4. D. Francisco Cavero , 2. Don Silvestre Peñaranda, 2. D. Se…</t>
  </si>
  <si>
    <t>Marin, Francisco Torre</t>
  </si>
  <si>
    <t>Francisco Torre Marin</t>
  </si>
  <si>
    <t>tci mes perpetuas en la rent dsl tabaco al j por 100, Yt se ha abierto en los estajos de los antiguos panes saxones el empréstito que habían resuelto D. Francisco Torre Marin , por me­ abrir para el pago de los impuestos. Los comer­ dio de su apoderado D Francisco ciantes y las demás personas acaudaladas han acu­ Carrion.....…</t>
  </si>
  <si>
    <t>Marín, José</t>
  </si>
  <si>
    <t>José Marín</t>
  </si>
  <si>
    <t>Bazan , séptimo, 4-1. Don Santiago Carrasco, octavo, 41. D. Eugenio Galarza, portero , D. Ig« O tiacio Ayllon , escribano, 12 Conductores del número. D. José Marín, 40. D. G regorio Teran , 40. D Bernardo Abregu , 4l&gt;. D. Juan Luis Pere.z , 40. D José Ascue , 40 D. Nicolás León , 40. D. Bern udino groa , 40, Don Melchor Lamas…</t>
  </si>
  <si>
    <t>Marin, Juan</t>
  </si>
  <si>
    <t>Juan Marin</t>
  </si>
  <si>
    <t>n D. Clemente Tixero, 6. El futurario D. Manuel Pereas Vuelta, 15. Los tres curas rectores del sagrario de esta catedral D. Juan An­ tonio Iglesias , D. Juan Marin, y D. Mariano Tagle, 500. Real Convictorio Carolina, Rector D. Toribio Rodriguez de Mendoza ofrece 100 pesos en cada -tir: año de ios que dure la guerra, y ha entr…</t>
  </si>
  <si>
    <t>Marine</t>
  </si>
  <si>
    <t>dé Málaga; Alcalde ordinario. D. Juan de S, Pedro; Corregidor; D. Manuel Ordoñez.' Procurador general alférez mayor i D. Amonio Gordei. - Regidoresá D. Marine! Re«?g?I. .Regidores, D. Josef de Eduberri/ D. Pedro Daripe. ’ D. Nicolás Muñoz. D. Jnan Manuel Nobal. D. Manuel de Cárdenas. D. Ramón Escudero. D. Francisco Vasco. D. …</t>
  </si>
  <si>
    <t>Marino, Vicente</t>
  </si>
  <si>
    <t>Vicente Marino</t>
  </si>
  <si>
    <t>tin Salas , 100. El segundo D. Saturnino Escuti ,70. El contramaestre y primer teniente D. José Candarías, 50. La tripulación de dicho corsario, 302. D. Vicente Marino , 153. (Se continuará.) CADIZ : EN LA IMPRENTA PtEAL.</t>
  </si>
  <si>
    <t>Mariñon, Josef Gómez</t>
  </si>
  <si>
    <t>Josef Gómez Mariñon</t>
  </si>
  <si>
    <t>os años, según resulta de las listas provincia, vacante por fallecimiento de D. Pedro de los nacidos, cuyo número ha sido durante el de Estrada ; y á D. Josef Gómez Mariñon , medio año último mucho mayor que el de los muertos. beneficiado de la parroquial del Valle de GordoYa se sabe que la mortalidad es sitmpre á propor­ jue…</t>
  </si>
  <si>
    <t>Marinont</t>
  </si>
  <si>
    <t>177</t>
  </si>
  <si>
    <t>ESPAÑAS DEL SABADO 15 DE FEBRERO DE 1812. PORTUGAL. Lisboa 30 de enera de 1812. Según noticias auténticas del cuartel general de lord Welííngtoa, el general Marinont llegó á Vaiiadolid el 11 de enero: el 15'tuyo noticia de las operaciones del exército sitiador de Ciudad-Rodrigo, yrdió sus órdeues para que el 21 se hallase reu…</t>
  </si>
  <si>
    <t>Mario, Bartolomé</t>
  </si>
  <si>
    <t>Bartolomé Mario</t>
  </si>
  <si>
    <t>rados. Para la deHuecijt,su último poseedor D. Ma­ Para el u.ain de Alcázar, vacante por moer- riano Bcltran, á D. Manuel Gómez, ex-franciscano te de D. Bartolomé Mario, al presbítero D. Fran­ del orden tercero. cisco Pv/ez Armijo. Para la de Hnadaortuna, sn último poseedor Para el de Portubns, vacante por muerte de D. Fernan…</t>
  </si>
  <si>
    <t>Mario, Gaspar</t>
  </si>
  <si>
    <t>Gaspar Mario</t>
  </si>
  <si>
    <t>la primera petición, relativa á la deposición de los vocales del poder executivo, y subrogación de D. José Miguel Carrea, Don Bernardo O’ higgins, y D. Gaspar Mario. Ignoramos los últimos resultados de esta convulsión, aunque es de creer haya terminado felizmente.” „Chile.— Peticiones del pueblo, hechas en la revolución de 15…</t>
  </si>
  <si>
    <t>Mark</t>
  </si>
  <si>
    <t>meza,,su integridad, la impar­ y 14.0, y que entre los oficiales que se han entre­ cialidad de su administración , y sus conatos por gado se halla el coronel Mark. Eñ vista de este conservar ilesa la dignidad de la nación, le hacen acontecimiento Cristóbal se retiró al día .siguitnte digno de que continuemos dándole nuestra c…</t>
  </si>
  <si>
    <t>Markoff</t>
  </si>
  <si>
    <t>uutencioQ de sus compa­ do Swiatri-Noss, y podrá tener mas de ío millas ñeros de armas. alemanas de longitud y tres de anchura. La segun­ El teniente general Markoff ha vuelto ya ú da isla, que está titilada cerca de tres millas mas Jatsy de su expedición militar. á norte , es mucho «as pequeña. £0 lo interior de la primera i…</t>
  </si>
  <si>
    <t>o eseocial del convenio que Se ha recibido aqni la noticia de qoe el cuerpo debia hacerse entre los dos gobiernos, y del qne de tropas mandado por el general Markoff, que sacaban grandes ventajas los americanos; y que las hizo la última expedición en Ja orilla derecha del cuestiones relativas al comercio y á todos los de­ Dan…</t>
  </si>
  <si>
    <t>MarkolF</t>
  </si>
  <si>
    <t>librado una cantidad de $0 escudos para comprar una biblio­ Jassi 8 de entro. teca de obras de teología para los pastores de la Selaudia. El teniente general MarkolF fia pasado por aqni lio detenerse para Stephanistía, y su división ha 1 HUNGRIA. entrado en quarteles de invierno eti las inmedia­ Presburgo ai de enero. ciones …</t>
  </si>
  <si>
    <t>MarkoW</t>
  </si>
  <si>
    <t>o en que se hallan las El exército ruso ha mudado sus posiciones pa­ negociaciones entre Rusia y Turquía; y quanto ra tomar qnarteles de invierno. El general MarkoW te ha publicado hasta ahora acerca de este particu­ ha ido coa su cuerpo de exército á la Moldavia ; el lar está fundado únicamente en conjeturas. del general Sas…</t>
  </si>
  <si>
    <t>Marlategui, José</t>
  </si>
  <si>
    <t>José Marlategui</t>
  </si>
  <si>
    <t>2. D. Juan Batalla, 2. D. Tomas Portocarrero , 2. D. Francisco Zandagoza, D. Pedro Omdoranchey &gt; 2. D. Vicente Navarte , 2. D. Manuel Vengocne.a , 2. D. José Marlategui, 2. D. 'Francisco Roxas, 2. D. Gerónimo Larriva, 2. D. Manuel Zarate, 1. D. Pedro ÍJuidrobo , 2. D. Pedro González, 2. D. José Pac hoco , 2. D. Antonio Córdob…</t>
  </si>
  <si>
    <t>Marmcnt</t>
  </si>
  <si>
    <t>805</t>
  </si>
  <si>
    <t>guerra surtos en la bahía , íes indicó el re­ gocijo universal, producido per la noticia de la derrota del exér­ cito grande francés, mandado por el mariscal Marmcnt. EAe gene­ ral , que había reunido cuantas fueras a había podido, para resistir al exército aliado del msndo del inmortal duque de Ciudad-Ro­ drigo , evacuando c…</t>
  </si>
  <si>
    <t>Marment</t>
  </si>
  <si>
    <t>ral Chauvell había Rega­ do á Pollos en el dia anterior con la caballería y artillería de á .caballo del exército del Norte con el fin de reunirse al mariscal Marment. Durante la noche del dia 21 el enemigo se situó en el lugar llamado Cabvarrasa de arriba, en una altura inmediata llamada nuestra Señora de la Pe­ ña: nuestra …</t>
  </si>
  <si>
    <t>Marmoiit</t>
  </si>
  <si>
    <t>Valencia, se retiró con parte de su in­ fantería y su caballería á Alcira, punto de reunión señalado al exér­ cito.—-Aparentemente el movimiento del general Marmoiit, que el mes pasado abandonó parte de los terrenos ocupados por sus tropas hacia la frontera de Portugal, retrocediendo algún tanto á lo interior del país, tuvo p…</t>
  </si>
  <si>
    <t>Marmol, Juan Luque</t>
  </si>
  <si>
    <t>Juan Luque Marmol</t>
  </si>
  <si>
    <t>s. I). Juan Peña , 168 y 3. Don Miguel Cebrian , 143 y 3. D. Pablo Teion, 120 y medio reai. D. Miguel Vega, 120 y medio real. D. Pedro Ruiz, 166 y 5. D. Juan Luque Marmol, jubilado , 95 y medio real. Contadores ordindrios. D. Pedro Grillo , 87 y 7. J). Manuel Dufoo , 87 y 7. D. Lino de la Barrera, 83 y 2 y medio. D. Ja­ sé Mu…</t>
  </si>
  <si>
    <t>Marmont</t>
  </si>
  <si>
    <t>rometida y proclamada independencia. — ,,Parece, dice, que todo el pais por donde corre el Tajo desde Arar.juez, ha sido cedido por el empera­ dor al mariscal Marmont para la subsistencia del exército de Portu­ gal. Esta disposición ha reducido á José Bonn porte al mayor apuro, porque los productos de este país eran el único …</t>
  </si>
  <si>
    <t>ra á S. Clemente, volvieron á Toledo á principio de este mes, y están actualmente en marcha , se z^egura que hacia Valladolid, á cuya ciudad llegó el mariscal Marmont el 5 desde Talavera. — Una división de infantería permanecía aun el 12 del corriente en Navalmoral, con destacamentos hasta Talavera ; á cuyas inmediaciones, añ…</t>
  </si>
  <si>
    <t>yra Forjas, su fecha en Ytlves á 13 de marzo de ISIS. „Moví mi cuartel general de Freineda el 6 del ^corriente y lle­ gué á esta plaza el día 11. „E1 mariscal Marmont entró en Salamanca el mismo día 6. No existen en territorio de Extremadura tropas enemigas, excepto la parte del 5.° cuerpo que no está de guarnición en Badajoz…</t>
  </si>
  <si>
    <t>lla plaza. ,,Parece que el dia 7, el mayor n rimero de las tropas que ha­ bía allí, levantaron el campo y marcharon hacia Sabugal, adonde creo que el general Marmont fue en persona. „Ei mayor general Alten, á quien yo había mandado permtnecer en frente de Ciudad-Rodrigo con el regimiento primero de húsares hacía ti es de maiz…</t>
  </si>
  <si>
    <t>es de vanguardia pasaron por el puente de Villar y por los vados y puntos altes del Agueda, y la reta­ guardia por el que habían reparado. „Cuando el mariscal Marmont hizo marchar sus tropas sobre Sabugal, el teniente general vizconde de Moníealegre ordenó que las milicias portuguesas del mando de ios brigadieres Trant y Will…</t>
  </si>
  <si>
    <t>pue­ blos de la Beyra , que ya habían sufrido anteriormente I03 efectos de las devastaciones del enemigo, son los únicos frutos de la expedición del mariscal Marmont de la parto de acá de las fronteras del rey no, cayo objeto era distraer nuestra atención del sitio de Badajoz. ,,Interin se reunían para esta operación las trop…</t>
  </si>
  <si>
    <t>REGENCIA DE LAS ESPAÑAS DEL JUEVES 23 DE MAYO DE 1812. ESPAÑA. Madrid 5 de mayo, Del 2. Corre muy valida entre los mismos franceses la voz de que el mariscal Marmont va á trasladar su cuartel general á Tala* vera de la Rey na, y aun se añade que se han pasado ya para ello los avisos correspondientes; y que el general Lafoy de…</t>
  </si>
  <si>
    <t>no podía r ¿conocer su fuerza ni colocación. Al ponerse e! sol en dicho dia hubo un cañoneo entre las 2 posiciones &amp;1 frente de Castellanos. El 21 oí mariscal Marmont fi-é reforzado por el camino de Toro por un cuerpo de infantería y caballería, regulándose su fuerza con este aumento en unos 30000 hombres de todas armas. Quis…</t>
  </si>
  <si>
    <t>s favorables, avanzar y principiar el sitio de Astorga; y el cuartel general del ge­ neral Santocildes estaba en Santa Catalina el dia 22. Cartas del general Marmont al gober­ nador, que han sido interceptadas .contienen las órdenes mas positivas de defenderse hasta el 7 de julio. «Habiendo quedado así enteramente aban­ donad…</t>
  </si>
  <si>
    <t>a­ no fué tomado por asalto, y el otro se rindió á discreción la mañana del 27. La guarnición, compuesta de 700 hombres, es prisionera de guerra. „E1 mariscal Marmont, que habia avan­ zado entre tanto á Fuente del Saúco, v habia maniobrado con la mira de rodear la derecha de los aliados, retrocedió inmediatamente por el camin…</t>
  </si>
  <si>
    <t>mayor general por el mariscal de campo 1). Car­ los España. „ Excmo. Sr. : Tengo el honor de infor­ mar á Y. E. que el exército enemigo del mando del mariscal Marmont ha empren­ dido en el dia de aj^er su retirada hacia Alaejos , y parte en dirección de Fuente-Sanco, dexando en todas partes restos cíe su vanda­ lismo. „E1 Exc…</t>
  </si>
  <si>
    <t>796</t>
  </si>
  <si>
    <t>nunciar á V. E. que la Providencia se ha dignado bendecir con una completa victoria el valor y los esfuerzos deí exército aliado en el dia de hoy. El mariscal Marmont habia concebido el proyecto de repasar el Duero, y cortar el exército aliado antes de lle­ gar al Tórmes; pero viendo frustrado este plan por ta mar­ cha pruden…</t>
  </si>
  <si>
    <t>797</t>
  </si>
  <si>
    <t>a y algunas águilas; pero no puedo fixar el número. He sabido por los oficiales prisioneros que se hallaban heridos varios generales , entre ellos el mariscal Marmont.—La división de mi mando ha executado durante la batalla varios movimientos, la primera sec­ ción, al mando del brigadier D. Ignacio Francisco Cepeda, y la segu…</t>
  </si>
  <si>
    <t>Marmónt</t>
  </si>
  <si>
    <t>808</t>
  </si>
  <si>
    <t>pren­ dido su retirada en la noche del 22 ai^23, después de haber perdido la batalla. Al entrar en Alba con la división de mi cargo, he sabido que el mariscal Marmónt se halla herido de un casco de metralla en un brazo, de modo «pie ha sido preciso secarlo en andas, conducido por 4 granaderos, y ha^ salido de esta villa hacia…</t>
  </si>
  <si>
    <t>illa ; pero las particulares están contestes en que con­ tinua el exército aliado persiguiendo á los enemigos y ha­ ciendo muchísimos prisioneros. El mariscal Marmont es muy probable haya muerto de las heridas recibidas en la acción del 22; igualmente han si­ do heridos una porción de generales, entre ellos Bónnet. El general…</t>
  </si>
  <si>
    <t>s indudables de que el general Clausel había llegado á Pollos el 20 con la caballería y ar­ tillería volante del exército del; Ñort^ para reunirse al mariscal Marmont, y estaba cierto de que estas tropas se le incorporarían el 22 ó el 23 lo inas tarde. ,,Darante la noche del 21 , el enemigo se apoderó de la aldea de Calvarras…</t>
  </si>
  <si>
    <t>0 soldados, y nuestros destacamentos nos están enviando mas prisioneros á cada instante, fil número de muertos en el campo es muy crecido. „Sé que el mariscal Marmont va mal herido, y ha perdido un brazo, y que cuatro generales del enemigo lian sido muertos, y otros varios, heridos.</t>
  </si>
  <si>
    <t>s hasta de la misma camisa , como ha sucedido en Alcazaren y otros pueblos. „EI rey intruso , viendo4 no era posible su reunión con el exér­ cito del mariscal Marmont, se ha replegado de Segovia á Madrid. ,,Incluyo á V. E. copia de una comunicación interceptada del secretario de estado de José al ministerio de la infame polic…</t>
  </si>
  <si>
    <t>o el exército francés á un corto número de tropasi quando obligados de la necesidad se retiraron los franceses á Castilla, y iueron reforzados por el mariscal Marmont, se lisonjearon canamente de po­ der hacer otras tentativas, y lavar la mancha con que se habían cubierto por el mal éxito de su decantada empresa de la ocupaci…</t>
  </si>
  <si>
    <t>904</t>
  </si>
  <si>
    <t>a del oficio pasado di gobernador del castillo de Consuegra. „■Gobernador del castillo de Consuegra : La suerte de las armas decidió de la de vuestro mariscal Marmont y su exército. N j os con sitiero tan indolente que carezcáis de la noíísia de su desgracia: si queréis evitarla y á vuestra tropa, á nombre de mi generoso Go­ …</t>
  </si>
  <si>
    <t>ioneros, sin otros que nuestros destacamentos nos remiten de continuo. El número de los muertos en el campo de batalla lia sido muy grande. Sé que el mariscal Marmont ha sido gravemente herido y ha perdido uat brazo, y que han muerto quatro generales, quedando heridos otros varios. Semejante ventaja ño podía conseguirse sin u…</t>
  </si>
  <si>
    <t>Ildef^m;o.,, Extracto de una carta del conde de Wellington al conde de Batkurst, fecha en Madrid á 13 de agosto de 1812. „Viendo que el exército del mariscal Marmont continua­ ba su retirada sobre Burgos ea estado de no poder volver á entrar en campaña durante algún tiempo, determiné em­ peñar á José en una acción general, 6 …</t>
  </si>
  <si>
    <t>sYedras 5 dirigidos al limo. y Exento. Sr. D. Miguel Pereyra Forjaz. Quartel general de Madrid 13 de agosto de 1812. „ Conociendo que el exército del general Marmont continuaba su retirada sobre Burgos en tal estado que no podría por algún tiempo emprender operaciones activas, deter­ miné procurar obligar ai Rey intruso á una…</t>
  </si>
  <si>
    <t>uena ya por toda la península, y ella sola ha dis­ pertado el entusiasmo de lós españoles. El dia 14 del corriente salieron de Burgos para Francia el mariscal Marmont, el general Bonét y varios coroneles: esta salida debió verificare en el dia anterior; pero se suspendió por haber muerto un edecán mayor de Marmont. Este á su …</t>
  </si>
  <si>
    <t>Marmout</t>
  </si>
  <si>
    <t>.. Tengo aviso-positivo coro fecha del 29 dé diciem­ bre último de que el 25 entró en-la Puebla de Mirotaivan ua tren de artillería del; exército del mariscal Marmout, compuesto: de 14. caño­ nes de diversos calibres-, un obús,.300 carros-y 90 muías, escoltado por 400 infantes- del número 70, quedándose en dicha villa hasta n…</t>
  </si>
  <si>
    <t>Maro, Francisco Perez</t>
  </si>
  <si>
    <t>Francisco Perez Maro</t>
  </si>
  <si>
    <t>D. Pedro Roia, B. Juan Moreno, O. Francisco Hevia , D. Antonio Gayarre y D. Francisco Martínez; á ayudantes á D. Luis Daunoy, Don ■Cirilo de Mor&amp;nt y D. Francisco Perez Maro; á tenientes de grana­ deros k D. José Alpanscque y D. José Declouuf; á tenientes de fu­ sileros á D. Antonio Dubrevii, D. Francisco Cañedo, D. Juan Do­ …</t>
  </si>
  <si>
    <t>Maroto, Manuel</t>
  </si>
  <si>
    <t>Manuel Maroto</t>
  </si>
  <si>
    <t>n. qüé'el que cdla daba á la mia, porque la santa ben­ D.. Jpsef Jáuregui, D. Antonio dé la Rocha, dita se empeñó en que habia d; inocularme su locu­ D. Manuel Maroto, D. Juan Plowes , D. A.ntonio ra ; y como yo soi asi, y que no hai quien me sa­ Mendiverri, D. Cayetano O.duña, D. Baltasar de qúe , aunque me prediquen frailes…</t>
  </si>
  <si>
    <t>Marouez, Josef</t>
  </si>
  <si>
    <t>Josef Marouez</t>
  </si>
  <si>
    <t>reras. este exército bán llegado á Cádiz el dia' 20 iie éste' D. M.»oueT Qúiróz. mes. D. Juan del Viso. Han llegac^ á Gibraltar tres navios de guerra D. Josef Marouez. ingleses mui destrozados de resultas de un comba­ D. Bernardo GumeZ. te naval, ganado por ía esqnadra francesa deToloa D. Josef del Moral. sobre la esquadra in…</t>
  </si>
  <si>
    <t>Marqninez, Benito</t>
  </si>
  <si>
    <t>Benito Marqninez</t>
  </si>
  <si>
    <t>372</t>
  </si>
  <si>
    <t>conferencias de TJrquijo y OrVrrill con José por la noche, suelen prolongarse mucho mas de lo acostumbrado. Escriben de Patencia , que la partida de D. Benito Marqninez lia destruido en tierra de Campos un destacan.!" uto de 200 franceses, de que apenas escaparon 30 sin ser prisioneros ó ra tertos. De la cár­ cel de aquella c…</t>
  </si>
  <si>
    <t>Marqueta, Lorenzo</t>
  </si>
  <si>
    <t>Lorenzo Marqueta</t>
  </si>
  <si>
    <t>'de Rozas. Diputados seculares Diputados seculares D. Manuel Moreda. D. Fernando dél Sotiibo. D. Pedro Bazo. D. Pedro Madrid. D. Severiaoo Xaramillo. D. Lorenzo Marqueta. , Secretario ‘ Secretario D. Juan Roiz Divila. D. Luis López de Castro. BARRIO DE LAS BARONESAS. BARRIO DE LAS NINAS DB LA PAl. Alcalde de barrio Alcalde de…</t>
  </si>
  <si>
    <t>Márquez, Bernardo</t>
  </si>
  <si>
    <t>Bernardo Márquez</t>
  </si>
  <si>
    <t>te de infantería D. Lorcna:» Cerezo de ene se adelantaban 300 franceses h¿cia Vi'dncarri lo con el or j to de ata­ carle, pasó aviso al de caballería D Bernardo Márquez, y salieron reunidos el 22 de marzo á recib* ai en; migo. Se rompió ti fuego de las guerrillas por ambas pavtes; pero los franceses no se empe­ ñaron mucho, y…</t>
  </si>
  <si>
    <t>sostenerse y adsiantorse; pero ha­ biendo avanzado por el frente la caballería que tenia Posta á las ór­ denes da su c amandante el tentante oorosel'D. Bernardo Márquez, iosteted* de do? compañías ds fusileros, y el reato de la infantería, mandada por el teniente coronel D. Lorenzo Zñrezo, se consiguió por ei vivo fu go de un…</t>
  </si>
  <si>
    <t>Márquez, José</t>
  </si>
  <si>
    <t>José Márquez</t>
  </si>
  <si>
    <t>25. — Dirección de tabacos. El director general D. Miguel de Otermin , 500. I). Marcos de Torres, escribiente , 41. 1). Martin Morel, escribano , 50. D. José Márquez, portero, 41. — Corita* daría. El contador D. Pedro Fernando Truxillo , 416. El oficial primero Don. Félix Saenz de Tejada, 200. El segundo D. Francisco Torres E…</t>
  </si>
  <si>
    <t>Márquez, Salvador</t>
  </si>
  <si>
    <t>Salvador Márquez</t>
  </si>
  <si>
    <t>................... 2200 D A ndres Viliatoro , id............... ............. 2200 D. Jo'ef de Castro, id...................................... 2200 D. Salvador Márquez , id............................... 2200 D. Juao Mateos, residente en Fuente-Ove­ D. F rancisco María de Castro , ¡d........ 2200 juna.......................…</t>
  </si>
  <si>
    <t>Marquina, León</t>
  </si>
  <si>
    <t>León Marquina</t>
  </si>
  <si>
    <t>oportunos para cortar toda comunicación , y el sar­ gento segundo Agustin Jarque, con el soldado León Marquina , ambos del batallón de Rioja, fueron los primeros que entraron en la plaza. Murcia recomienda á todos los individuos de su compañía , y nombra al subteniente D. Antonio Calahorra y cadete D</t>
  </si>
  <si>
    <t>Marquines, Besito</t>
  </si>
  <si>
    <t>Besito Marquines</t>
  </si>
  <si>
    <t>1011</t>
  </si>
  <si>
    <t>lo es­ pañol. Oviedo 4 de agosto. El coronel D. Juan de Sairalde, gobernador de León, dirige á esta junta superior ele Asturias copias de 4 partes de D. Besito Marquines, fechos en Cigaies y en Vailadoiid el 89, 30 y 31 de julio, cuyo contenido se reduce á avisar que á las 11 de la roche de; 29 los enemigos abandonaren á VaUa…</t>
  </si>
  <si>
    <t>Marquinex, Benito</t>
  </si>
  <si>
    <t>Benito Marquinex</t>
  </si>
  <si>
    <t>749 Jos granaderos de á caballo ha entrado en Rioseco, y el teniente co­ ronel D. Benito Marquinex con les húsares de Castilla en Patencia, por haber los enemigos evacuado diches pueblos, y retmidose en Vallad olid. Losada y Cordero, han entrado en V disipando y León, habiendo marchado estas guarniciones á Zamora la primera, y</t>
  </si>
  <si>
    <t>Marquinez, Benito</t>
  </si>
  <si>
    <t>Benito Marquinez</t>
  </si>
  <si>
    <t>.Q 3o arrojo con que se metió en medio de los enemigos. — Juan Díaz Portier''' Con fecha de 18 del pasado avisa al general Méndizaba! el co­ mandante D. Benito Marquinez, que el 29 del anterior por mas que provocó á 500 enemigos, que se hallaban en la villa de Pr ñafie! co­ metiendo los estragos y tropelías que acostumbran, s…</t>
  </si>
  <si>
    <t>Marqulnez, Benito</t>
  </si>
  <si>
    <t>Benito Marqulnez</t>
  </si>
  <si>
    <t>s fastos cíe niicLti'a historia;Lugo 2 de agosto. Estado mayor general del quinto, sexto y séptimo exérdio. — 6usríei general de Lugo 2 de agesto. —• D. Benito Marqulnez comu­ nica desde Cabezón al Excmo. Sr. general en ge fe : q*e.c h* liándose e! 22 de julio ccn 2-escuádreles"en Gígnies, se oizigió á FuensaIdaña, donde c;te…</t>
  </si>
  <si>
    <t>Marr</t>
  </si>
  <si>
    <t>llos , y que dirigió su marcha por el Escorial so­ bre Alba de Tormos. Llegó á Blasco-Sancho, entre Avila y Arávalo, el 25, donde supo la derrota del mariscal Marr^ont, y f&gt;s retiró por la noche, pasando por Yillacastin y Espinar. Una patiulla del regimiento 14 de dragones-y deí l.° de húsares, mandada por un ofi­ cial inferi…</t>
  </si>
  <si>
    <t>Marransin</t>
  </si>
  <si>
    <t>sembrado de cadáveres, el espectáculo mas horroroso, no retirándose 600 infantes ilesos. La caballería enemiga por libertar este triste res­ to y al general Marransin , que con 2 balazos de muerte se retiraba, atacó la nuestra, inferior en calidad y número , logrando hacerla ce­ der su posición ; pero el esforzado regimiento …</t>
  </si>
  <si>
    <t>Marraont</t>
  </si>
  <si>
    <t>ho descontento en la tropa y oficialidad de este exército. Están estableciendo telégrafos desde Ta­ layera á Toledo, de donde ha marchado á Madrid el mariscal Marraont; y lian disminuido la guarnición de Miravete.n Continúan los donativos del Perú. Julián Muía , 4 ps. Juan Astudillo, 4. Los demas individuos de este gre­ mio ,…</t>
  </si>
  <si>
    <t>Marrazi, Gerónimo</t>
  </si>
  <si>
    <t>Gerónimo Marrazi</t>
  </si>
  <si>
    <t>iputAdo eclesiástico Diputado eclesiástico D. Fermín Blanco. D. Jnlian Caín pe lo. Diputadas seculares Diputados seculares D. Tomas San* de Xbarrola. D. Gerónimo’Marrazi, D. Francisco Alvares de Santullar. D. Bonifacio Cabañas;. D. Fausto Blanco. Secretario Secretario D. Bernardo Casio. D. Antonio Villaducva. BARRIO DB XAS MO…</t>
  </si>
  <si>
    <t>Marrez, Faustino</t>
  </si>
  <si>
    <t>Faustino Marrez</t>
  </si>
  <si>
    <t>ateriales , 116. Don Félix Barrete , tallador mayor , 150. D Ravmundo. Marroz., oficia! mayor de; la contaduría , 81. D. Francisco Vega, segundo, 41,'D. Faustino Marrez , ter-, cero , 41. D. José Ramón Texcro , oficial de la tesorería, 25. •£). Antonio' Prieto, id. ,25. D. Mariano Cruceta, id., 12. D. Manuel. Carasás , guarda…</t>
  </si>
  <si>
    <t>Marrinez, Blas</t>
  </si>
  <si>
    <t>Blas Marrinez</t>
  </si>
  <si>
    <t>nde se admitirán las que se hicieren La compañía de Pozuelo.................. 2183 II siendo arregladas. Do ña Juana López........................... D. Blas Marrinez.............................. D. Santiago Urizar............................ 91 I 16 García y Villanoeva........................ 981 I7| irBROS. D. Miguel Sanch…</t>
  </si>
  <si>
    <t>Marrtin, Joaquín San</t>
  </si>
  <si>
    <t>Joaquín San Marrtin</t>
  </si>
  <si>
    <t>ardo Mari ño, Id. Manuel Iglesias y Vázquez, D. Manuel Perez, í&gt;. Ma­ teo Pi con , D. «luán de Neyra y D. Esteban González ; y los de subtenica íes á D. Joaquín San Marrtin , D. Juan Perez y Barros, D. Ma­ nuel Fifgueyra , O. Bartolomé Gómez, D Simón Antonio Martínez, D. Juan San Martin, D. José Iglesias y Vázquez, D, Juan Ga…</t>
  </si>
  <si>
    <t>Marstrand</t>
  </si>
  <si>
    <t>vio de liosa y dos fiagatas inglesas cerca de de Bucharest. El exército del gran visir está bácia Gotenburgo. Schumla, y espera grandes refuerzos. Ei consejero Marstrand ha inventado nn me­ dio de dar mayor pureza á los semitonos de la AUSTRIA. arpa. Los instrumentos perfeccionados de este modo son prefcrib.es i los qne se co…</t>
  </si>
  <si>
    <t>Martel, Santiago</t>
  </si>
  <si>
    <t>Santiago Martel</t>
  </si>
  <si>
    <t>D. José Bravo de Rueda, 20. El cuarto D. Baltasar Maza, 15. El quinto D. Francisco Barron, 15. El amanuense D. Bernardino Albornoz , 8. El escribano D. Santiago Martel, 17. D. Andrés Gallo, comandante de resguardo del Callao, 500. El intendente de esta provincia D. Juan María Galvez, 500. D. Juan de Aguilar, por sí y su espos…</t>
  </si>
  <si>
    <t>Marthod</t>
  </si>
  <si>
    <t>siempre de sus posicio­ nes al enemigo. Los cosacos hacen correrías sobre nuestros flancos* Una patrulla de 150 dragones de la guardia, al mando del coronel Marthod, na caido en una emboscada de cosacos entre la ruta de Moskow y Kaíouga. Los dragones acuchillaron á 300 de ellos, y se abrieron paso;^jpero quedaron en el campo …</t>
  </si>
  <si>
    <t>y cogido con sus dos criados por una cos. Una patrulla de 150 dragones de Ja guardia, partida de'los lanceros de D. Julián , mandada por al mando del coronel Marthod, ha caido en una el capitán Alvarez , bien conocido en el pais : otro emboscada de cosacos entre la ruta de Moskow y oficial del estado mayor de la misma divisió…</t>
  </si>
  <si>
    <t>Martí, Domingo Fernandez</t>
  </si>
  <si>
    <t>Domingo Fernandez Martí</t>
  </si>
  <si>
    <t>ocas del Elba.) denas, alcalde mayor, juez de primera instancia de la ciudad de Cuadix, y al alcalde mayor d* París j&gt; de diciembre. Molina de Aragón D. Domingo Fernandez Martí­ nez , juez de primera instancia dé Btihnega y m Observatorio imperial_p de diciembre de 18ir. partido. Acaba de descubrirse otro cometa en la conste­…</t>
  </si>
  <si>
    <t>Martí, Manuel</t>
  </si>
  <si>
    <t>Manuel Martí</t>
  </si>
  <si>
    <t>erida que recibió su general haciendo un manos, del pórtico, del proscenio &amp;e. Véase la reconocimiento, contribuyó á aumentar su dascarta que el deán D. Manuel Martí escribió en 8 aliento, y durante algunos dias toda» las oper..'io­ de enero de 1707 al señor Zondodati, arzobispo nes se reduxeron á estar á la vista de la plaza…</t>
  </si>
  <si>
    <t>Martí, Pedro</t>
  </si>
  <si>
    <t>Pedro Martí</t>
  </si>
  <si>
    <t>de oro con peso de 4 onzas y 4 adarmes , donativo para el exército del Sr. brigadier D. Francisco Rovira á entregar á D. Juan Rovira, registrado por D. Pedro Martí, Argüe y compañía. D. Angel Francisco Neto, natural del reyno de Galicia, lugar de Noya y vecino de Xerez de la Frontera, de edad de 60 años, color regular, barba …</t>
  </si>
  <si>
    <t>Martin</t>
  </si>
  <si>
    <t>U4 Martin se hallaba parlamentando con la guarnición enemiga, com­ ía mia , que lo necesitaban mucho : pero el dia inmediato 7 me avisó el brigadier Martin de que se aproximaban los enemigos al punto que ocupaba. Marchó rápidamente, y encontró que la división de Guadalaxara, acometida por 3000 infantes y 250 caballos con 3 pi…</t>
  </si>
  <si>
    <t>284</t>
  </si>
  <si>
    <t>a­ cificación de Cataluña. Aseguran que e! general Mendízabal ha atacado y derrotado en Poza, cerca de Burgos , una división francesa. Sabemos que el brigadier Martin (el Empecinado) so halla ya restablecido de su caída , y que está hacia Medinaceli con unos 3U0 caballos y de 500 á 600 infantes. Por una persona, que llegó la …</t>
  </si>
  <si>
    <t>a caiíe de S. Juan el comisario regio barón Nardon, y fueron presos por los nuestros varios empleados, entre ellos el decano de la junta crimina!. El brigadier Martin, noticioso de que los franceses habían pe­ dido socorro á las guarniciones de Horsajada y Requena, y á la co ­ lumna que estaba hácia Hiniesta, salió de la ciud…</t>
  </si>
  <si>
    <t>mente se asegura que e! contraempecinado Viilagarcía ha muerto en Guodalaxara c?e reru'tas de las heridas que recibió en ia última acción que tuvo ei brigadier Martin junto á Masegoso. Del 19. Se asegura que en Rusia se ha descubierto una conspi­ ración, tramada por Napoleón para apoderarse de ía persona del emperador A le xa…</t>
  </si>
  <si>
    <t>mando del general Gruí, después de un corto tiroteo en aquel sitio, entraron en es­ Ex-gerotiimos. ta ciudad con 1200 prisioneros de la división del brigadier Martin, en la que ios moertos llegarían D. Matías Gómez, residente en Sari-Gar­ á 30. Un solo muerto tuvieron los enemigos, ede­ cía.......................... .........…</t>
  </si>
  <si>
    <t>Martin, Antonio</t>
  </si>
  <si>
    <t>Antonio Martin</t>
  </si>
  <si>
    <t>a Pertsiivania , cuyos habitantes sacan Vainis y D. Josef Araujo , subtenientes , a teSos subsistencias de ia América ? En la situación niei-tet; y a D. Antonio Martin , sargento primero, acturl de los m godos generales, la política de la á subteniente. Inglaterra debe ser proteger á los neutrales, pues­ Kr: ti regimiento Rea…</t>
  </si>
  <si>
    <t>Martin, Diego</t>
  </si>
  <si>
    <t>Diego Martin</t>
  </si>
  <si>
    <t>do nombrar para los curatos vacantes Para la de ísnalloz, vacante por no haberse en el arzobispado de Granada á Jos sugetos si­ presentado á servirla D. Diego Martin , ex- francis­ guientes ; cano observante , á D. Josef María Castreño , exPara el beneficio patrimonial servidero de la franciseaao descalzo, sacristán de la de …</t>
  </si>
  <si>
    <t>iso López 4 fanegas de it!.................... 4 Custodio Ramos 3 celemines de id.............. . 3 D. Josef de Mesa 6 celemines de trigo........i. 6 D. Diego Martin 40 arrobas de paja......... . 40 Basilia Aguado 6 celemines de cebada............ 6 Eulogia Galeote 2 celemines de id................ 2 Benito Ruiz 8 arrobas de …</t>
  </si>
  <si>
    <t>Martin, Francisco</t>
  </si>
  <si>
    <t>Francisco Martin</t>
  </si>
  <si>
    <t>ión , delineacion de plano y perfil, y de la construcción , de­ fensa y ataque de los fuertes de campan*; bsx.r la dirección del ex­ presado prefesor D. Francisco Martin* z de la Escalera. Ademas de estos exámenes, que fueron comunas á todos los alum­ nos in distintamente, los de la ciar.e de dibuxo, presentaron diferen­ tes …</t>
  </si>
  <si>
    <t>Martin, Francisco Xavier</t>
  </si>
  <si>
    <t>Francisco Xavier Martin</t>
  </si>
  <si>
    <t>n de D. Jo­ articulo i. ,1 En cada uno de ios pueblos sef Bernardo Echagüe á vicaría de la primera, i que á continuación se expresan se formará media D. Francisco Xavier Martin. compañía de milicia cívica con los oficiales que se designan. En Otura D. Josef Bnrdalonga teniente. De las langostas, y de los medios de destruirlas…</t>
  </si>
  <si>
    <t>Martin, Gerónimo Hernández</t>
  </si>
  <si>
    <t>Gerónimo Hernández Martin</t>
  </si>
  <si>
    <t>o,’ en el obispado' de Cúenc3’, vacamé' por faliecivacante por fallecimiento de D. Andrés León Polo.- miento de D. Lorenzo Ramírez. ........... ' ” A D. Gerónimo Hernández Martin para el de Canillas de abaxo , vacante por muerte de D. Ga­ briel Domínguez. A D. Juan Tebarnedo para el de Calvarrasa de En la extracción de la rea…</t>
  </si>
  <si>
    <t>Martin, Gesaro</t>
  </si>
  <si>
    <t>Gesaro Martin</t>
  </si>
  <si>
    <t>on un valor dig­ no de todo elogio. Dos oficiales heridos, que son el cápitan Don Manuel Sevillano, el teniente ?■). José Barcenas, y él subtcniéidor D. Gesaro Martin , son acreedores á la protección de V. E. : los ayudantes del .batallón 'de cazadores de Castilla, D- Vicénte Gonzá­ lez y D. José González., y el teniente del …</t>
  </si>
  <si>
    <t>Martin, Joaquín María</t>
  </si>
  <si>
    <t>Joaquín María Martin</t>
  </si>
  <si>
    <t>do eclesiástico ■ Alcalde de barrio D. Saturnino bea¡ y Díaz. D. Matías Gutiérrez. Diputados seculares Diputado eclesiástico D. J uan Bautista Nieto. D. Joaquín María Martin.</t>
  </si>
  <si>
    <t>Martin, Juan</t>
  </si>
  <si>
    <t>Juan Martin</t>
  </si>
  <si>
    <t>nes, me T'Tí pnré para esperar al enemigo , remitiendo oficio- á 0. Gerónimo Duzon , interinamente encargado del mando de la división del bri­ gadier D. Juan Martin, situada en Used, en el que le decía cayese sobre Manchones á cortar la retaguardia al enemigo. A las 6 de la mañana se rompió el fuego, y dispuse que los batallo…</t>
  </si>
  <si>
    <t>garcía y el Manco (que así llaman á los que habiéndose pasado á nuestros ene­ migos han concebido ei proyecto de destruir la división del briga­ dier D. Juan Martin, en donde antes hablan servido) han reñido en­ tre si hasta venir á las manos, de cuyas resultas ha habido algunos</t>
  </si>
  <si>
    <t>e! mismo regi­ las tropas de su mando, y el valor distinguido de miento. varios de sus.oficiales. art, ir. Nuestros gran canciller y gran teso­ Nota. D. Juan Martin, qne se firma el Em­ rero de la Orden Real de España cuidarán de la pecinado, aparece de nuevo en el teatro de la execucion del presente decreto.= Firmado = YO gu…</t>
  </si>
  <si>
    <t>1013</t>
  </si>
  <si>
    <t>Conduce para el Go­ bierno y las tropas deí mando de los mariscales de campo D. Ma­ riano Renovales y D. Francisco Espoz y Mina, y de lo# fcrigadkies D. Juan Martin ei Empecinado y D. Francisco Revira, 761J6 pe­ sos fue-:-tes; y para p&amp;rticul&amp;ies 2095013 y otros varíes efectos. Igualmente conduce al general de marina D. Ignac…</t>
  </si>
  <si>
    <t>Martin, Juan San</t>
  </si>
  <si>
    <t>Juan San Martin</t>
  </si>
  <si>
    <t>lez ; y los de subtenica íes á D. Joaquín San Marrtin , D. Juan Perez y Barros, D. Ma­ nuel Fifgueyra , O. Bartolomé Gómez, D Simón Antonio Martínez, D. Juan San Martin, D. José Iglesias y Vázquez, D, Juan García, D. Domingo de Alonso y D. José Leston. En virtud de providencia del real tribunal del consulado de co­ mercio de …</t>
  </si>
  <si>
    <t>Martin, Juana</t>
  </si>
  <si>
    <t>Juana Martin</t>
  </si>
  <si>
    <t>1. D. Y. Pa- y&amp;rt, 50. Los se ñores Paiyart, 10 docenas de camisas. Los señores Mirtinez , Tnnubey yBitke, 100. Doña Jan na Gmzalez Martínez , 6 y 5. Doña Juana Martin:z. 1 r J. D ña Arta Ma­ ría Martínez, 1 y 1. Doña Cuta i na Josefa González Martínez, 1 y 1. D. Sebastian González Martin **, l y J. D. Sobar lian Mardne*z G a…</t>
  </si>
  <si>
    <t>Martin, Marta</t>
  </si>
  <si>
    <t>Marta Martin</t>
  </si>
  <si>
    <t>z 30 arrobas de id............... 3° D. Diego López Yeia 2 fanegas de trigo y 2 de cebada............... ............................... *..... . 2 2 Doña Marta Martin 3 fanegas de cebada....... 3 Manuel López de Yela, mayor, una fanega de trigo........... ..................... ............... ........... x Wenceslao Burgos 3…</t>
  </si>
  <si>
    <t>Martin, Sebastian González</t>
  </si>
  <si>
    <t>Sebastian González Martin</t>
  </si>
  <si>
    <t>Doña Jan na Gmzalez Martínez , 6 y 5. Doña Juana Martin:z. 1 r J. D ña Arta Ma­ ría Martínez, 1 y 1. Doña Cuta i na Josefa González Martínez, 1 y 1. D. Sebastian González Martin **, l y J. D. Sobar lian Mardne*z G adame, 1 y 1. Daña M. de P. Bi .ke, 5 j 5. D. C. de Hemy</t>
  </si>
  <si>
    <t>Martines, Gerónimo</t>
  </si>
  <si>
    <t>Gerónimo Martines</t>
  </si>
  <si>
    <t>de barrió Alcalde de barrio D. Alfonso dé Pinos. D. Joah Antonio de AlisedO-,» Diputado eclesiástico Diputado eclesiástico D. Josef llar! Fernandez. D. Gerónimo Martines. Diputados seculares Diputados seculares D. Fermín Zéldót. D. Estiban Corones. D. Bernardo García. D. Francisco Antonio Martínez. D. Joan Bautista Lasa. D. M…</t>
  </si>
  <si>
    <t>Martínez, Adrián Márcos</t>
  </si>
  <si>
    <t>Adrián Márcos Martínez</t>
  </si>
  <si>
    <t>uvo esperando todo el dia, y quando llegó, le D. Blas Ra*,con Cornejo....................... 2870 9 acometió con un martillo , y le dio varios golpes D. Adrián Márcos Martínez................. 1436 3 en la cabeza; pero Feret tuvo bastante fuerza pa­ D. Manuel María Bueno...................... 1904 *8 ra poder escapar de manos…</t>
  </si>
  <si>
    <t>Martinez, Adrián Marcos</t>
  </si>
  <si>
    <t>Adrián Marcos Martinez</t>
  </si>
  <si>
    <t>30 dos íe lo pidieron á la tia Justa. Ella, como eran D. Miguel García Sacristán......... 6595 24 ricas, por no quedar mal con ninguna, decia: Yo... D. Adrián Marcos Martinez........ *3593 *4 el espejo es mió.....; lo que mas cuenta me tenga. D. Manuel Cándido Moreno, ¡ Cierto, que el tal espejo era alhaja! El no era muí cond…</t>
  </si>
  <si>
    <t>Martínez, Ambrosio</t>
  </si>
  <si>
    <t>Ambrosio Martínez</t>
  </si>
  <si>
    <t>se han hecho acreedores, ha mandado que te pu« b ijue en la gaceta. Aviso. H abiendo frile oido en el lugar de Sierraquemada , pro­ vincia de Soria, D. Ambrosio Martínez dri Olmo, y no sabiéndose el paradero de su hija D. Antonio , cue á ia entrada da los enemi­ gas abandonó el país, los legítimos heredero* de crie lo avisan …</t>
  </si>
  <si>
    <t>Martínez, Antonio</t>
  </si>
  <si>
    <t>Antonio Martínez</t>
  </si>
  <si>
    <t>moneém. D. Pedro Vaivevde , 45 y 6 y medio. D. Tiburcio Roklarv, 41 y 5. D. Ma­ tías Alvarez , 41 y 5. —Escribanos. D. Amonio Somoza, 53 y 2 y medio. D. Antonio Martínez ,41 y 5. — Merinos y porteros. D. Manuel Otaroza, 45 v 6 y medio. D. Francisco de Paula Figueroa , 45 y 6 y medio. D. Antonio Perez , 45 y 6 y medio. D. Migu…</t>
  </si>
  <si>
    <t>uien pido á Y. E. la propiedad de teniente coronel, á que sé ha hecho muy acreedor: le he concedido un escudo de honor, lo mismo que al de artillería D. Antonio Martínez, y á los oficiales Castrillon , Herrera é 11 inojosa, teniendo Y. E. presente que León estuvo á mi lado en las lloras del fuego y del riesgo. — Igualmente me…</t>
  </si>
  <si>
    <t>Martínez, Benito Francisco</t>
  </si>
  <si>
    <t>Benito Francisco Martínez</t>
  </si>
  <si>
    <t>............................ 2200 D. Marcelino Gil, id..................................... 2200 D. Pedro Herrera, id. de Herrera............... 2200 D. Benito Francisco Martínez, ex carme­ D. Francisco Boi, id. de Santander............ 2200 lita descalzo................................................ 2200 D. Segundo de Quin…</t>
  </si>
  <si>
    <t>Martínez, Constancio</t>
  </si>
  <si>
    <t>Constancio Martínez</t>
  </si>
  <si>
    <t>atallón de Cataluña, aí mando de su segun­ de mayor D. Francisco Clor, y la columna formada de varias com­ pañías de todos los cuerpos al del primero D. Constancio Martínez, se unieron á la de cazadores y aumentaron sus ventajas. Mi segundo el coronel de Cataluña D. Antonio Sola , maniobró sagazmente con la reserva , é impuso…</t>
  </si>
  <si>
    <t>Martínez, Cosme</t>
  </si>
  <si>
    <t>Cosme Martínez</t>
  </si>
  <si>
    <t>8. D. José María Torres, 8. D. Ignacio Icaza, 8. D. Manuel Icaza, 8. D. Carlos Icaza, 8. D. Manuel Solar, 8. D. Juan Garro, 8 D. Joaquín Jordán , 8. D. Cosme Martínez , 8. D. Manuel Muelle, 8. D. José María Murga , 8. D. Antonio Urrutia , 8. D. Manuel Rio, 8. D. Luis Gamio , 8, JD. Mariano Albiuri, 8. D. Blas Cabrera, 8.1). F…</t>
  </si>
  <si>
    <t>Martínez, Eustasio</t>
  </si>
  <si>
    <t>Eustasio Martínez</t>
  </si>
  <si>
    <t>'imtos tro­ pas , particularmente á su segundo O. Manuel Toraz y al sargento mayor D. Múreos Tarrero, que mandaron las guerrillas', á los capita­ nes D. Eustasio Martínez, D. Julián Pérez, al ayudante meyor Don Francisco -X buenoai subteniente D. Francisco Martínez, ai según» do ayudante D. Francisco Sancho, al cabo primero A…</t>
  </si>
  <si>
    <t>Martínez, Francisco</t>
  </si>
  <si>
    <t>Francisco Martínez</t>
  </si>
  <si>
    <t>e su cuerpo , pues todos cumplieron bien con sus deberes: hace mención déla eficacia desús oficiales, y* muy distinguida de la de su sar­ gento mayor D. Francisco Martínez, quien me consta es un gefe muy recomendable. — El comandante de tiradores de Cádiz mani­ fiesta que la tropa y oficialidad del corto batallón de su mando …</t>
  </si>
  <si>
    <t>arrero, que mandaron las guerrillas', á los capita­ nes D. Eustasio Martínez, D. Julián Pérez, al ayudante meyor Don Francisco -X buenoai subteniente D. Francisco Martínez, ai según» do ayudante D. Francisco Sancho, al cabo primero Angel Solía, y al soldado Nicolás Manes, que se distinguieron.” (Boletín del sexto exército.) V…</t>
  </si>
  <si>
    <t>edro de Vegas, D. Martin Palmo, D. Juan Itobayna, D. Bernardo Domínguez, D. Jacobo Dubreuü, 1). Luis Pana, Don 3JabIo de Ltrin, D. Juan María Grifón, D. Francisco Martínez, D. J osé de Vegas, D. Antonio de Vegas, D. Mariano Lktadi y Don Marcee Morejon ; y á subtenientes de bandera á D. Buenaventura Dubreuil, D. Miguel Orioñez…</t>
  </si>
  <si>
    <t>stía, que ha sido oponer la mas obstinada re­ D. Gil de Gamez, id. en Jaén................... 2200 sistencia al nuevo orden de cosas, sin escarmentar D. Francisco Martínez, id. en AicauJete.. 2200 con lo pasado, ni pararseá cxámitiar si les era ven­ D. Jaan de Aranda, i L en J len................. 2 200 tajoso ó perjudicial. …</t>
  </si>
  <si>
    <t>ncepta de ios mismos alumnos.! Pagaron , pue?, ett&gt;s á hacer !a graduación, y á pluralidad de y t ?s fueron elegidos para ios momios de primera clase D Francisco Martínez dele. Es­ calera y D. JÍ aymundo Mario ; para los de segunda clase D. José Le z , D.'Domingo del Valta y O. Jocó Fernandez de los Muros; m¡r&gt;i r* ira los de…</t>
  </si>
  <si>
    <t>Martínez, Francisco Antonio</t>
  </si>
  <si>
    <t>Francisco Antonio Martínez</t>
  </si>
  <si>
    <t>ico D. Josef llar! Fernandez. D. Gerónimo Martines. Diputados seculares Diputados seculares D. Fermín Zéldót. D. Estiban Corones. D. Bernardo García. D. Francisco Antonio Martínez. D. Joan Bautista Lasa. D. Miguel Wranderoih. • Secretario Secretario D. Pedro Grigoén y Almousa. D, Felipe Gutierre*. BARRIO DE JESUS. BARRIO DB L…</t>
  </si>
  <si>
    <t>Martínez, Jíiar</t>
  </si>
  <si>
    <t>Jíiar Martínez</t>
  </si>
  <si>
    <t>hizo 2' prisioneros con su? caballos y armas, se Ies matsroa 3 hombres é hlri ron 2, teniendo 3 nosotros de estos últisgsjg , entre ellos el teniente D. Jíiar- Martínez. „Dese:¿íbar3zado de estorbos, seña-é' la msdrogada del 18 del próxi no pa.-ad.') para el asaHo, y reunidas todas las tropas que fe hallaban acantonadas á la …</t>
  </si>
  <si>
    <t>Martínez, José</t>
  </si>
  <si>
    <t>José Martínez</t>
  </si>
  <si>
    <t>brelo y D. Manuel Fernandez; los de ayudantes mayores á D Francisco Ca­ rayaca y D. Juan Bautista Cabaleri; los de tenientes á D. Gregorio Domínguez. D. José Martínez, D. Juan Matalobos, D. Bernardo Mari ño, Id. Manuel Iglesias y Vázquez, D. Manuel Perez, í&gt;. Ma­ teo Pi con , D. «luán de Neyra y D. Esteban González ; y los de…</t>
  </si>
  <si>
    <t>D. Juan Bautista Pelogui , 25. D. José Minavales , 20. D. Pedro Sierra, G. D. Guillermo Arriaga , G. 1). Joaquín Li.zarnturi, 25. D. Juan Miota, 10. D. José Martínez, 8. D. Tibureio Ribe­ ra, lO. . (Se continuarán.) CADIZ : EN LA IMPRENTA REAL.</t>
  </si>
  <si>
    <t>aber por la gaceta el justo reconocimiento con que mira los sacrificios de ios fidss ciuda­ danos que ansian la salvación de la patria. Manuel Lobo y D. José Martínez, vecinos del Puerto de Santa María, han presentado gratuitamente el primero tres potros, y el segundo das, todos útiles para el servicio. Y ia Regencia del reyn…</t>
  </si>
  <si>
    <t>omas Aparicio, Don Fernando Villanueva, D. Antonio Ansaldo , D. Sebastian de Moya, D. Antonio María Portaz, D. Antonio Moreno, D. Andrés Rodrí­ guez, D. José Martínez, D. José Muñoz Silleros, D. Agustín Moli­ na, IX Asensio Cabrera y González., D. C irios María Godinez, Don Rafael Piñuela, y á los subtenientes graduados D. Ju…</t>
  </si>
  <si>
    <t>Martínez, Josef</t>
  </si>
  <si>
    <t>Josef Martínez</t>
  </si>
  <si>
    <t>Tomas Aparicio, D, Fernando Villanueva, D. Antonio Ansaldo, D. Sebastian de Moya, D. Antonio Ma­ ría Portaz, D. Antonio Moreno, D. Andrés Rodríguez, D. Josef Martínez, D. Josef Muñoz Silleros, D. Agustín Molina, D. Asensio Cabrera y Gonzá­ lez, D. Carlos María Godinez, D. Rafael Piñuela, y á los subtenientes gra­ duados D. Ju…</t>
  </si>
  <si>
    <t>Martínez, Josef Hernández</t>
  </si>
  <si>
    <t>Josef Hernández Martínez</t>
  </si>
  <si>
    <t>rada, juez mayor de Viz­ caya, de la misma; D. Lorenzo Gotaredona, D. Francisco Assin y D. Juan de Quesada, abogados en esta corte. Por fiscal al Sr. D. Josef Hernández Martínez, igualmente abogado. Por agentes fiscales á D. Simeón García Pericacho y D. Francisco Mariano Bustamante. Por relator á D. Benito Sán­ chez Parga: y …</t>
  </si>
  <si>
    <t>Martinez, Josef María</t>
  </si>
  <si>
    <t>Josef María Martinez</t>
  </si>
  <si>
    <t>dió art. v. En las compañías de la ciudad de en rezar y encender veütas 1 un S. Antonio que Moíitilla. tenia con su bastón y sombrero de general, y á D. Josef María Martinez á subteniente de la una virgen con bandolera , pidiéndoles , ya con rue­ quarta compañía de infantería. gos , ya con amenazas , que traxesen quanto anres…</t>
  </si>
  <si>
    <t>Martínez, Leonor</t>
  </si>
  <si>
    <t>Leonor Martínez</t>
  </si>
  <si>
    <t>s calzados. IREFECTTJRA DE JAEN. D. Deogracias de la Morena, residente en Colmenar viejo........................................... 2200 Ex-basilios. D. Leonor Martínez, id. en esta corte...... 2200 D. Pedro Estéban del Campo, residente en Cimbil............................... 22co Ex-agustinos descalzos. D. Melchor Izquierdo…</t>
  </si>
  <si>
    <t>Martínez, Manuel</t>
  </si>
  <si>
    <t>Manuel Martínez</t>
  </si>
  <si>
    <t>. 2200 toro....... ................................................ ............ 2200 D. Manuei Gircía, id...................................... 2200 D. Manuel Martínez , lego , id. en Guadal- D. Francisco García, id................................... 2100 cazar............................... ,•*.......................... ItO…</t>
  </si>
  <si>
    <t>Martínez, Manuel Antonio</t>
  </si>
  <si>
    <t>Manuel Antonio Martínez</t>
  </si>
  <si>
    <t>8cc&gt; Ex-agustinos,. D. Ramón Gafan , ¡d.,de Snances....,........ . 2200 D. Amonio de Lallata, i,d. de S. Rogian...... 2200 D. Manuel Antonio Martínez, residente en Segovia..........................„............................ 2,200 ... Ex-premostr atenses. D. Angel Fernandez, id. en id............. . 2200 D. Pedro González N…</t>
  </si>
  <si>
    <t>Martínez, Pedro</t>
  </si>
  <si>
    <t>Pedro Martínez</t>
  </si>
  <si>
    <t>é Saez , 1. D. Manuel Rizo, capellán mavor del hospital de S. Bartolomé , 1. D. Manuel Mira, id., 2. IX F ornando Mestas , I. D. Gavino Villegas , 2. D. Pedro Martínez , 1. Don Gerónimo Arnal, capellán del monasterio de Sta. Clara , 17. D. Manuel de A iba , 2. D. José AUuzarra , 2. D. José Calixto Alzamora , 2, D. Miguel IraT…</t>
  </si>
  <si>
    <t>Martínez, Simón Antonio</t>
  </si>
  <si>
    <t>Simón Antonio Martínez</t>
  </si>
  <si>
    <t>e Neyra y D. Esteban González ; y los de subtenica íes á D. Joaquín San Marrtin , D. Juan Perez y Barros, D. Ma­ nuel Fifgueyra , O. Bartolomé Gómez, D Simón Antonio Martínez, D. Juan San Martin, D. José Iglesias y Vázquez, D, Juan García, D. Domingo de Alonso y D. José Leston. En virtud de providencia del real tribunal del c…</t>
  </si>
  <si>
    <t>Martínez, Tomas</t>
  </si>
  <si>
    <t>Tomas Martínez</t>
  </si>
  <si>
    <t>iácono, id................. 2200 D. I tdjro Rubio, id.......................................... 2200 1). Diego Rafael Márquez, id................2200 D. Tomas Martínez, id... ........... .................. 2 2CO D. Patricio Nuñi-z Nieto, id.......................... 2200 D. Juan Perez, residente en Montilla......... 2200 D. P…</t>
  </si>
  <si>
    <t>Martínez, Vicente</t>
  </si>
  <si>
    <t>Vicente Martínez</t>
  </si>
  <si>
    <t>ba­ tallón de Guadalaxara; y empleos de alícreces de fusileros á D. An* tonio Torres , teniente del regimiento provisional de ¿infantería li* gera , D. Vicente Martínez, teniente clcl de Baylen, y á los cade­ tes del mismo real cuerpo D, Pablo Antonio de Vuda, D. Bartolo­ mé Llanderal y D. Aniceto Lizana. Se previene al públi…</t>
  </si>
  <si>
    <t>Martioez, Josef</t>
  </si>
  <si>
    <t>Josef Martioez</t>
  </si>
  <si>
    <t>d.... 2200 Don Joief Napoleón por la gracia de Dios y D. Alfonso Martin Manzaneque , id. en id. 2200 por la coostirucion del estado, REI de las Espa­ D. Josef Martioez, id. en id............ ............. 2200 ña* y de las Indias. D. Juaa Trota, id. en id., lego................... noc&gt; En conformidad á nuestros decretos de 27…</t>
  </si>
  <si>
    <t>Mas, Joaquin</t>
  </si>
  <si>
    <t>Joaquin Mas</t>
  </si>
  <si>
    <t>octoral de la cadentro de pocas dias .lomaría la .cámara da los re- •' ■ tedrai de; Valencia. - -- presentantes una resolución para declarar la guer­ D. Joaquin Mas, canónigo penitenciario de la ra á la Gran Bretaña. misma, y director del colegio de nobles de aque­ Ei S-xv.1 nmih advertiser del 26 de marzo avi­ lla ciudad. sa…</t>
  </si>
  <si>
    <t>Mas, Josef</t>
  </si>
  <si>
    <t>Josef Mas</t>
  </si>
  <si>
    <t>y beneficiado honores deja guerra, y después deh.bcr dexado de la catedral de la ciudad de Valencia. «US armas darán palabra de no voivér á tomarlas D. Josef Mas , presbítero y beneficiado de la conira.los revolucionarios mientras dure la guerra parroquia de S. .Joan de la mistng. . actual. Veinte y qoatro horas, después de l…</t>
  </si>
  <si>
    <t>Mas, Manuel</t>
  </si>
  <si>
    <t>Manuel Mas</t>
  </si>
  <si>
    <t>D. Antonio Duarte , id., 9. D. José Perera, id., 9. D. Bonifacio Tariego, id., 9. D. Andrés Lesama, por 2, 18. D. José Marcial &lt; e Echarri, id., 18. D. Manuel Mas, por uno, 9. D. Do* mingo Cabrera , id., 9, D. Joaquín Goycourva, id,, 9. D. Juan Hernande* Acosta, id., 9. (Se continuará.) CADIZ: EN LA IMPRENTA REAL.</t>
  </si>
  <si>
    <t>Masañes, Jasé</t>
  </si>
  <si>
    <t>Jasé Masañes</t>
  </si>
  <si>
    <t>jo, espitan del se­ gundo de Soria, D. Melchor Andarlo, tenients con gr&amp;do de espitan de! de Navarra, D. Francisco Amores, capitán del de Chinchilla, D. Jasé Masañes, capitán ccn grado de teniente coronel de las com­ pañías de zapadores de Cataluña, D. Ramón González, capitán del segundo del batallón de voluntarios de Santiag…</t>
  </si>
  <si>
    <t>Mascare, Miguel</t>
  </si>
  <si>
    <t>Miguel Mascare</t>
  </si>
  <si>
    <t>ga, id., 12. D. José Beltran, id., 6. D. Redro Rolando., id* 6. D. José Navarrete , id. , 6. D. José Tacaño, id., 12. D. Felipe Cárdenas, 4 y 2- rs?. D. Miguel Mascare, S. I). Manuel Tejada, '8. D. Antonio Amezaga , 35. D. José Peña, 13. D. José Dámaso Árgueda, 8. D. Matías pastor, 8. D. Manuel Fuente, 8. D. Isidro Guillen, 8…</t>
  </si>
  <si>
    <t>Mascóte, Gregorio</t>
  </si>
  <si>
    <t>Gregorio Mascóte</t>
  </si>
  <si>
    <t>rra, 200. D. Martin de Icasa, 1000 Doña Jacin­ ta Olave, 50. D. José Crespo, 25. D. Manuel Franco , 60. D- Juan Carcioli , 25. D Ignacio Hidalgo, 50. D Gregorio Mascóte, 10. D. Francisco Carbajai , 30. Vicente Pacheco, 10. D. Ramón Calvo, 100. D. Miguel Isusi, 1Ó. D. Vtcente Chacón, 30. D. Manu-1 Rodríguez Plaza, 10. D. Maria…</t>
  </si>
  <si>
    <t>Masegosa, Mateo</t>
  </si>
  <si>
    <t>Mateo Masegosa</t>
  </si>
  <si>
    <t>bar­ do , subtenientes de la Corona: á subtenientes, á D. Valentín del Rio, D. Francisco Palacios, D. Ildefonso Lillo, D. Pedro Ortiz de Lequizaman , D. Mateo Masegosa, D. Sebastian Vilches y Don' Antonio María Muñoz, cadetes de la escuela mi-ifar del tercer exército, D. JuEn Escolar , D. José Pareja y D. Higinio Fernandez , …</t>
  </si>
  <si>
    <t>Masseua</t>
  </si>
  <si>
    <t>oche mismo se abrió la trinchera , dirigiéndose el ataque por el trente de la catedral, el mismo por cpi¡* atacaron los enemigos baxo las órdenes del mariscal Masseua. El sitio se hace por divisio­ nes. El cuartel general se ha establecido en Gallegos. „E1 señor mariscal general lord Weiimgton, creo que se halle sa­ tisfecho …</t>
  </si>
  <si>
    <t>Massieu, Pedro</t>
  </si>
  <si>
    <t>Pedro Massieu</t>
  </si>
  <si>
    <t>s, del batallón del general del cuarto exército, D. Joaquín Jurado Valdelomardel de Guadalaxara, Don Juan de Arcos y Gallego, del segundo de Sevilla, D. Pedro Massieu, del de granaderos de Canarias, y al subteniente con grado de teniente, del segundo de León, D. Jorge de Frías y Altamiráno ; al alférez de navio de la armada n…</t>
  </si>
  <si>
    <t>Mat</t>
  </si>
  <si>
    <t>miseria crece , el reino se despuebla de espa­ Se hace saber á todos los acreedores del difunto ñoles, las Indias se las llevó el diablo, las cortes D. Mat ías de Llanos, marques que fue de este título, no son cortes, ni aunque lo fueran, podrían hacer y á qualquicra otra persona que pueda tener derecho á nada, desacreditadas…</t>
  </si>
  <si>
    <t>Matalinares, Henrique</t>
  </si>
  <si>
    <t>Henrique Matalinares</t>
  </si>
  <si>
    <t>ería existentes en la plaza de Valen­ D. Pedro Vicente, el conde de Peñaslote, el cia al tiempo de su rendición en $ de enere de marques de Crnillas, D. Henrique Matalinares. j8i 1. Coroneles ir, tenientes coroneles 14, un mayor, capitanes 29, tenientes 5 , subtenientes 4. Piezas de artillería 374., entre ellas 64 cañovtt.es …</t>
  </si>
  <si>
    <t>Matalobos, Juan</t>
  </si>
  <si>
    <t>Juan Matalobos</t>
  </si>
  <si>
    <t>Fernandez; los de ayudantes mayores á D Francisco Ca­ rayaca y D. Juan Bautista Cabaleri; los de tenientes á D. Gregorio Domínguez. D. José Martínez, D. Juan Matalobos, D. Bernardo Mari ño, Id. Manuel Iglesias y Vázquez, D. Manuel Perez, í&gt;. Ma­ teo Pi con , D. «luán de Neyra y D. Esteban González ; y los de subtenica íes á D…</t>
  </si>
  <si>
    <t>Matamoros, Dionisio Vicente</t>
  </si>
  <si>
    <t>Dionisio Vicente Matamoros</t>
  </si>
  <si>
    <t>ervías por 2 , 18. Doña Monserrate Chacón por uno , 9. D. José Matías de Azebal por 2 , 18. D. Ignacio Pedroso , durante la guerra por 4 , 36. El Dr. D. Dionisio Vicente Matamoros por uno , 9. El capitán D. José Urquidí por 2,18. El marques de Villalta por 10,90. El comisario ordenador D. José de Juertes por 6,54. El secretar…</t>
  </si>
  <si>
    <t>Mateo'Tóppi</t>
  </si>
  <si>
    <t>ón al estado ea qne se hallaba Al capitán de caballería de línea y oficial de la plaza, al cansancio de las tropas, á la repugnan­ ordenanza de S. M; D. Mateo'Tóppi comandante cia del pnebto á continuar defendiéndose, y sobre de esqoadron de caballería de línea. todo á los grandes males que se ocasionarían á los Al capitán ha…</t>
  </si>
  <si>
    <t>Mateos, Juao</t>
  </si>
  <si>
    <t>Juao Mateos</t>
  </si>
  <si>
    <t>... ............. 2200 D. Jo'ef de Castro, id...................................... 2200 D. Salvador Márquez , id............................... 2200 D. Juao Mateos, residente en Fuente-Ove­ D. F rancisco María de Castro , ¡d........ 2200 juna.................................................................... 2200 D. Juan Jo…</t>
  </si>
  <si>
    <t>Matheson</t>
  </si>
  <si>
    <t>instante para ex­ tí todavía quales son los buques que han perecido; tender que la mitad del reino estaba reducido á tolo tengo noticia de la Diana, capitán Matheson. cenizas. Se ha tomado la precaución de acantonar Del 27. El desgraciado convoi que escoltaba Ja milicia de Berk hire en Jas aldeas inmediatas á •1 S. Jo ge ha e…</t>
  </si>
  <si>
    <t>Mathieu, Mauricio</t>
  </si>
  <si>
    <t>Mauricio Mathieu</t>
  </si>
  <si>
    <t>ario enemigo! y conducida á Por decreto de 13 del corriente se ha servido Mataró. S. M. nombrar para la plaza de examinador de ci­ Sabedor de esto et general Mauricio Mathieu! rugía , vacante por fallecimiento de D. Gínes Lagobernador de Barcelona, mandó á Mr. Laugier, rio, al supernumerario D. Pedro Irigoyen : para teniente …</t>
  </si>
  <si>
    <t>Matías</t>
  </si>
  <si>
    <t>2. D. Felipe Cárdenas, 4 y 2- rs?. D. Miguel Mascare, S. I). Manuel Tejada, '8. D. Antonio Amezaga , 35. D. José Peña, 13. D. José Dámaso Árgueda, 8. D. Matías pastor, 8. D. Manuel Fuente, 8. D. Isidro Guillen, 8. í). Santiago León , 6. D. Jacinto Ríos , 8. D. Miguel Rodríguez , 8. Don Fernando Urtiaga, 8. D. José Antonio Enr…</t>
  </si>
  <si>
    <t>jor estado posible. y Lizana y D. Francisco Béseos, y para subte­ Los quartos batallones de los regimientos 6o.° nientes D, B.mito González del Rio y D. Matías y 103.0 han recibido orden de embarcarse para la Gallo. América septentrional. art. 11. En la villa de Arganda se formará uca El depósito del regimiento 41.° va tambié…</t>
  </si>
  <si>
    <t>án. • . D. Francisco Soto.. ... f t 9 » 1 Lena . .. ^ Teniente . . D. Francisco Diaz...... * » , O ro ««.»• D José CatbaHc.c... .. , ? 9 . Otro ..... D. Matías (garrote...... 1 v_Síibtemente D. Juan Nuncí/...«;(. . • t 1 í Tea lente .. D. Antonio (jóme*.. .., I CABALr.. ?r(?T!A Alférez . .. D. Luis del pasíiilo, • « deMadT,i\…</t>
  </si>
  <si>
    <t>Matiz</t>
  </si>
  <si>
    <t>d de la revocación de los de­ El 28 de enero fue á visitar la biblioteca que cretos de Beríiu y Je Milán, prueba claramente acaba de abrirse S. M. ia Emperatriz Matiz en lo poco depuesto que se halla el gobierno ingles á compañía de bS. A A. los grandes duques Nicolás revocar las órdenes de¡ consc joa La declaración del y Mig…</t>
  </si>
  <si>
    <t>Matos, Fermín</t>
  </si>
  <si>
    <t>Fermín Matos</t>
  </si>
  <si>
    <t>. El capitán D. Manuel Bracamente , 25. El capitán D. Juan An­ tonio Bracarnoiífce , 25. El ayudante mayor D. Laureano de la Barrera, 10. El teniente D. Fermín Matos ha ofrecido 30 pesos en cada un año de los que dure la guerra, y servir á su costa, 30. El de la misma clase Don Francisco del Corral , cri cada año de los que d…</t>
  </si>
  <si>
    <t>Matthcw</t>
  </si>
  <si>
    <t>terior se someta á S.A.R. á pesar de todo no se unan á la Inglaterra para pro­ ei Príncipe Regente. tegerla contra los enemigos exteriores En España, general Matthcw divo que considerando la el país mas supersticioso de toda Europa, se ha importan Ja de este grave expediente, le era impo­ creído necesario precaverse contra el…</t>
  </si>
  <si>
    <t>Matthew</t>
  </si>
  <si>
    <t>ios liberales, y afectos á los ca­ Se pasó) á votar la cuestión : la enmienda pro­ tólicos; sin embargo, tan justas esperanzas han sido puesta por el general Matthew tue desechada ; y vanas. El orador está persuadido que S. A. R. ha. discordando la cámara sobre la cuestión primitiva, amado siempre de corazón á la Irlanda; per…</t>
  </si>
  <si>
    <t>Mattland</t>
  </si>
  <si>
    <t>periódicos in­ gleses aseguran que no tenia resentimiento ninguno Londres 5 de mayo. con Mr. Perceval en particular , sino solo contra el E! teniente general Mattland salió Je Londres ministerio, y ha querido vengarse en el gefe. Ha-</t>
  </si>
  <si>
    <t>Maturana, Miguel</t>
  </si>
  <si>
    <t>Miguel Maturana</t>
  </si>
  <si>
    <t>circularla á los exércitos y provincias, como se ha exe.cutado, para indemnización de la opinión de dicho general. Continúan los dona ticos del Perú. D. Miguel Maturana, lUOps. fs, , y io mismo cada año ele lo5* que dure la guerra. D. Miguel Francisco Maíz, 100, D. .Martin Maricluz, 20í&gt;. D. Ca­ yetano Vülarmeva, 100. D. Isid…</t>
  </si>
  <si>
    <t>Matute, Juan Ramón</t>
  </si>
  <si>
    <t>Juan Ramón Matute</t>
  </si>
  <si>
    <t>54 Procuradores síndicos generales. El Sr. D. Antonio González Calderón. El Sr. D. Juan Ramón Matute. Secretario de Ayuntamiento. El Sr. D. Angel González Barreyro. Señores regidores comisarios de ios altárteles en que está dividido Madrid. Quartel de S. Isidro, al cargo del Sr. D. Joaquín</t>
  </si>
  <si>
    <t>Maulin, Jo'é</t>
  </si>
  <si>
    <t>Jo'é Maulin</t>
  </si>
  <si>
    <t>go quií le vieron, sc'pukífcrorí -en retirada hácía Valíadoiid, -sinpoáer caries alcance mrs que una guerrilla de 20 hombreo ai mando del subteniente D. Jo'é Maulin , quien espada en mas© atacó en el arrabal dei Puente á i&amp; guerrilla enemiga, degollando 19 hombre?, entre ellos un oüoial y d&gt;a&gt;genttar, quedando prisioneros otr…</t>
  </si>
  <si>
    <t>Maupouit</t>
  </si>
  <si>
    <t>ESTAÑA. COMPARACION DE LAS OPINIONES DIFERENTES Madrid jo de julio. SOBRE EL HONOR Y KL INTERES DE LA PATRIA. ( Véase la ¿azeta, de ayer. ) El señor general Maupouit, que acaba de He£ar de Cuenca al frente de un cuerpo de infante­ Salas populi, suprema ¡ex. ría , caballería y artillería , ha comunicado a! Pero tratemos del ot…</t>
  </si>
  <si>
    <t>Mauri</t>
  </si>
  <si>
    <t>haya reparado en ello. ,.El Papa había dirigido un breve al cabildo de Florencia, pero filé interceptado, y nadie ha traslucido lo que contenía. ,,E1 cardenal Mauri habia enviado al Pipa, por medio del prefec­ to de Saboya, un pliego que contenia un acta de sumisión y obedien­ cia; pero el pliego fue devuelto sin haberse abie…</t>
  </si>
  <si>
    <t>sente nuestras voluntades, promueva nuestra felicidad, y oponga un dique á los extravíos del Gobierno. (Se continuara,) Confesión de Bonaparte con el cardenal Mauri, dedicada al general JCleber por el general Sarrazin, gefe que fue del estado mayor del general Bernadotte en los exércitos de Alemania é Italia: un tomo en 4.0 S…</t>
  </si>
  <si>
    <t>Mauusi</t>
  </si>
  <si>
    <t>nte , desde el cuartel g?nerai de U arique con fecha de 4 de es­ te mes. ,,Excmo. Sr. : E3 comandante del escuadrón de la columna mó­ vil de Cártama, D. Mauusi (&gt;:tiz, me da parte coa fecha de 2 del corriente de haber sido acometido por mas de 150 caballos enemi­ gos del regimiento núm. 27 en el cortijo del Pozuelo, á una leg…</t>
  </si>
  <si>
    <t>Mavettbach</t>
  </si>
  <si>
    <t>c&gt;t l egó- cerca de la tarde, a a redó la cabeza de las colimas ene­ de Ruhenth.il; pero al mismo tiempo recibió la noti­ migas, v atacó) al teniente general Mavettbach» cia de que un considerable cuerpo enemigo estaba que se h.M-ia quedado con la caballería y do? hue­ pasando el A.t, no lejos de Dravem.tl , v que te rtas de …</t>
  </si>
  <si>
    <t>Mavten, Luisa</t>
  </si>
  <si>
    <t>Luisa Mavten</t>
  </si>
  <si>
    <t>e , por recoleic on en ios barrios de la casa de gobierno, Sto. Domingo , Sra. Teresa y Ursulinas . in­ cluso el valor de 2 botones de oro, dados por Doña Luisa Mavten , o;&lt; 79. Los empleados en real hacienda de la ciudad de Matanzas , por 6 soldados durante la guerra, 54. Los vecinos de la ciudad dé Trinidad , por 3 durante …</t>
  </si>
  <si>
    <t>Maxi</t>
  </si>
  <si>
    <t>a el Levante de gé­ Ayer salieron de aquí para Inspruck el prín­ neros coloniales y de mercancías de sus fábricas; cipe y la princesa herederos; y el príncipe Maxi­ pero que son muí pocas las utilidades que sacan miliano. • : '■ -'t de este comercio, porque tscasea atli tanto el di­ Para el 6 de marzo debía estar de vuelta.de…</t>
  </si>
  <si>
    <t>Maximi</t>
  </si>
  <si>
    <t>zo ver la false­ provincias que vienen á felicitar al Rei y al Prín­ dad Je su creencia, y ¡e persuadió á que le ayu­ cipe Real por ct nacimiento del príncipe Maximi­ dase á convertir i los habitantes del desierto. En liano. efecto, propagaron sus opiniones, ya valiéndose Cada día se halla en mejor pie el estado da de maña, y…</t>
  </si>
  <si>
    <t>Maximiliano</t>
  </si>
  <si>
    <t>e Munich i ca y económica de las diferentes especies de peces SS. A A. el príncipe heredero, á la princesa su es­ de las costas de Noruega. posa y al príncipe Maximiliano su hijo. ■ HUNGRIA. Munich jo de marzo. Semlm _p de marzo. Por decreto de 20 de febrero se ha dignado S. M. confiar la dirección de la biblioteca central H …</t>
  </si>
  <si>
    <t>Maxwell, Murruy</t>
  </si>
  <si>
    <t>Murruy Maxwell</t>
  </si>
  <si>
    <t>capitán Gordon, de ía fragata de S. M. la Activa, fecha á bordo del mismo buque, al ancla delante de Ragosniza, á 27 de julio de 1811, y dirigida al capitán Murruy Maxwell, del Alcestes, u Me sirve de mucha satisfacción el comunicaros que las lanchas del buque de S. M. que tengo el honor de mandar, con los fusile­ ros y solda…</t>
  </si>
  <si>
    <t>May</t>
  </si>
  <si>
    <t>guió en el ataque de la noche del 23, y eonduxo voluntariamente la partida avanzada en el ataque del 27. „ Así mismo recomienda con particularidad al teniente coronel May , que mandaba la artillería , baxo la dirección del coronel Franningham, y los cficiaies y soldados de la artillería reai y portuguesa de su mando, y al ten…</t>
  </si>
  <si>
    <t>Mayo, León</t>
  </si>
  <si>
    <t>León Mayo</t>
  </si>
  <si>
    <t>nte á la nación, salló dei coche vestida de paisano , y fugándose pre­ cipitadamente sin ser conocido, fié muerto á golpe de sable por el subteuieute D. León Mayo. Seguramente se le- hubiera reservado la vida, habiendo sabido la ciase i su señora, Doña Cariota Aranza,</t>
  </si>
  <si>
    <t>Maza, Baltasar</t>
  </si>
  <si>
    <t>Baltasar Maza</t>
  </si>
  <si>
    <t>. 40. —Contaduría de tribíitos. El oficial mayor, 83 y 2 y medio. El segundo D. José Gutiérrez , 50. El tercero D. José Bravo de Rueda, 20. El cuarto D. Baltasar Maza, 15. El quinto D. Francisco Barron, 15. El amanuense D. Bernardino Albornoz , 8. El escribano D. Santiago Martel, 17. D. Andrés Gallo, comandante de resguardo d…</t>
  </si>
  <si>
    <t>Maza, Manuel</t>
  </si>
  <si>
    <t>Manuel Maza</t>
  </si>
  <si>
    <t>co Roxas, 2. D. Gerónimo Larriva, 2. D. Manuel Zarate, 1. D. Pedro ÍJuidrobo , 2. D. Pedro González, 2. D. José Pac hoco , 2. D. Antonio Córdoba , 2. D. Manuel Maza , 2. Don Mariano Hurtado, 1 y /i. D. José Perez, 1. I&gt;. Manuel Chacal tana, 2. Pon Francisco Aguirre, 2. FU mismo real Convictorio en plata labrada del uso de los…</t>
  </si>
  <si>
    <t>Maza, Pedro</t>
  </si>
  <si>
    <t>Pedro Maza</t>
  </si>
  <si>
    <t>se secuestrarán los bienes de todos los que han abandonado el puebla, así como ya lo están de su orden los de D. Pedro Aceytuno, Doña Antonia Coca , D. Pedro Maza y ca­ nónigo Ubago. Alicante 7 de febrero. Según una relación que acaba de recibirse, habiendo entrado el brigadier Espoz y Mina en el arrabal de Zaragoza á primero…</t>
  </si>
  <si>
    <t>Maza, Victorino</t>
  </si>
  <si>
    <t>Victorino Maza</t>
  </si>
  <si>
    <t>ento primero, á sub­ al papel del estado y al papel-moneda. Siempre teniente de ia primera compañía. y qoando lo tengáis por conveniente podréis nom­ D. Victorino Maza, sargento primero, á sub­ brar dos asesores de esta junta, eligiéndolos enere teniente de la séptima compañía. los representantes del país, y otros dos elegido…</t>
  </si>
  <si>
    <t>Mazarredo</t>
  </si>
  <si>
    <t>alet dores de rtloxes marines, con un instrumentado de sus semejantes. al Cargo de artistas , enviados también á propuesta La historia de la vida del general Mazarredo suya á formarse con ios mejores maestros de Patit está íntimamente unida con la de la marina espa­ y de Londres. ñola durante el último reinado, y será asunto …</t>
  </si>
  <si>
    <t>Mazet</t>
  </si>
  <si>
    <t>a M. Federico Guillermo Luis , barón de Krutetiiatkj» mayor genera! &amp;c. &amp;c. y S. M* el emperador de los franceses, rey de Italia, á M. Hugo Bernardo, conde Mazet; duque de B&amp;saanp &amp;c. 9 su ministro de relaciones extrangeras , los cciaies , después de haber­ se comunicado sus plenos poderes respectivokyhan convecidoen los artí…</t>
  </si>
  <si>
    <t>Mazon, José</t>
  </si>
  <si>
    <t>José Mazon</t>
  </si>
  <si>
    <t>s á los déla misma clase D. Juan Nepomuceno de Mancebo, cazadores, y D. Joaquín Escrbi de fusileros ; y empleos de alféreces de fusileros ai teniente D. José Mazon, subtepíente del batallón de voluntarios de Campomayor, D. Jo&amp;é Ignacio de Alava, teniente del regimiento de Si¿üenza y D. Antonio Rome­ ro , teniente del de Jaen.…</t>
  </si>
  <si>
    <t>Mazon, Rafael Antonio</t>
  </si>
  <si>
    <t>Rafael Antonio Mazon</t>
  </si>
  <si>
    <t>siástico D. Francisco Moreno. D. Tomas Conde. D. Fernando G.ilan. Diputados seculares D. Eugenio Diai. D. Manuel Lázaro. Secretario D. Antonio Neyra. D. Rafael Antonio Mazon. D. Pedro Ezquerra. Secretario BARRIO DE SANTA CRUZ. D. Tomas Tordesillas. ( Alcalde de barrio BARRIO DE MORIANAD. Blas Martínez. 1 Diputado eclesiástico…</t>
  </si>
  <si>
    <t>Mazorra, Francisco</t>
  </si>
  <si>
    <t>Francisco Mazorra</t>
  </si>
  <si>
    <t>udia, 12. Do­ ña Margarita. Armciiones, 4. Doña Mercedes X i menea, 10. Doña Francisca Berasíegui , 25. — Dependientes de minas. D. José España , 10. D. Francisco Mazorra, 8. D. José Lemus, 25. D. Juan Bautista Pelogui , 25. D. José Minavales , 20. D. Pedro Sierra, G. D. Guillermo Arriaga , G. 1). Joaquín Li.zarnturi, 25. D. …</t>
  </si>
  <si>
    <t>Mcoche, Luis</t>
  </si>
  <si>
    <t>Luis Mcoche</t>
  </si>
  <si>
    <t>iguel Ruiz £1 abad y cabildo de la iglesia de la de Zeiada........................ ................... O*,. OG*3 *■ Sangre de Cristo, de la ciudad de D. Luis Mcoche.................................... 7581 . Tmxiiío...,.............................. .... 16425 5 Los señores Ardanaz , hijo, y BenPeña Margarita Macarti.........…</t>
  </si>
  <si>
    <t>Mcrino</t>
  </si>
  <si>
    <t>abandonaron en el mes de iiciembre el cantillo de Btboa y la villa de L ir;na : &lt; n la cuesta d * esta hubo el 21 una acc on , en que la división del coronel Mcrino,que por ausencia de e'-te mandaba el sargento mayor A'£¡do , mató 52 franceses é hirió ¿o! , de ios cuides murieron 7 luego que los llevaron á Aranda : un», niebl…</t>
  </si>
  <si>
    <t>Me, Jesús</t>
  </si>
  <si>
    <t>Jesús Me</t>
  </si>
  <si>
    <t>­ guel Gil y D. Ignacio Xavier ¿e Eni&amp;savel. „La misma distinción del propio escudo ha ccc cedido !&amp; Regen­ cia &amp;1 oficial real de esas reales caxr-s D. Jesús Me. íe. F:rncu; y gracias en nombre de S. A. ai vicario ec:e¿ idílica D. Juan Francis­ co Yarda, recomendándolo á la real cámara, como ai cu-a deca­ no D. Pedro Perez d…</t>
  </si>
  <si>
    <t>Me, Pedro Muñoz</t>
  </si>
  <si>
    <t>Pedro Muñoz Me</t>
  </si>
  <si>
    <t>..... . 22050 plantas y de semillas para dicho j rdines. Doña Ramona Moreno por medio de En el palacio imperial, en la iglesia de S. Pe­ su apoderada D. Pedro Muñoz Me­ dro y en otros varios templos se están haciendo rino.............................................................. 54000 obras de consideración. D. Diego de C…</t>
  </si>
  <si>
    <t>Medel, Francisco</t>
  </si>
  <si>
    <t>Francisco Medel</t>
  </si>
  <si>
    <t>........................................ 2200 go, id. en Madrid....................................... itoo D. Gregorio flores, id.............. 2200 D. Francisco Medel, id. id.^en Morara..... % 1100 Ex-bernardos. Ex-hospitalario de S. Juan de Dios. D. Mariano clel Amo , residente en S. Mar­ D. Manuel Gallegos, resideute eoXe…</t>
  </si>
  <si>
    <t>Media, Gerónimo</t>
  </si>
  <si>
    <t>Gerónimo Media</t>
  </si>
  <si>
    <t>p. D. Luis Huerga........ 1 • • ■\ | ídem. . . . D. Francisco Lacón*.... Idem 2.a . . D. Pedro G jrae* de la Pena D. Anselmo May té...... '-"•¡.'Sr:: D. Gerónimo Media?......... &gt;• 7 • 8 abteniente D. Angel Calbelo.............. Otro . . . . D. G maro Vinaeía.............. O iro.. . . . D. José Ginuz Amigo.... J. /i i. . i Ca…</t>
  </si>
  <si>
    <t>Medina, José María</t>
  </si>
  <si>
    <t>José María Medina</t>
  </si>
  <si>
    <t>Francisco Manzano, D. Basilio López, D. Jacobo Garcés, D. R-amon Roa, D. Xavier Morios, D. Pedro Astarloa, D. Juan Esteban Cueto, Don Manuel Carrera, D. José María Medina, D. Podro Jo mi Alcina, D. Manuel U&amp;bina, D. José Díaz Ace vedo v D. J nan Cádos nez ; el mismo ele caballería, á D José M dalles, D. Podro Luís Icteupi, D.…</t>
  </si>
  <si>
    <t>Medina, Juan Antonio</t>
  </si>
  <si>
    <t>Juan Antonio Medina</t>
  </si>
  <si>
    <t>o de Vicente Perez.............................. 1848 Lope............................................... 5956 17 DI Josef García , por medio del ci­ D. Juan Antonio Medina................ 1534 tado Perez........................................ 924 Y D, Formetio Ignacio de Eche­ D. Cayetano de la Lana.................. 26718 …</t>
  </si>
  <si>
    <t>acio de mas de 40 hora». Quando lo* enemigos se pusieron á competente distancia rom— Primer batallón. pier.on; uufuego mui vivo de artillería, al que D. Juan Antonio Medina * -subteniente, i te­ nuestras embarcaciones correspondieron con igual niente de la tercera compañía. vigor. El combate doró desde las siete hasta las D. …</t>
  </si>
  <si>
    <t>Medrano, José</t>
  </si>
  <si>
    <t>José Medrano</t>
  </si>
  <si>
    <t>es D. José Cano, D. José Zurita y D Tomas Suero Taviel ; al sargento distinguido de dragones Don Manuel José de Salas y al cabo Francisco Méndez ; al sargento José Medrano , al cabo Felipe Moncayo y al soldado José Vega, de in­ fantería de Nueva libpaña. D Miguel Ignacio B istegui da cuenta con fecha del mismo dia 0 , que se …</t>
  </si>
  <si>
    <t>Medrano, Tomas</t>
  </si>
  <si>
    <t>Tomas Medrano</t>
  </si>
  <si>
    <t>Procurador de la ciudad-IX Pe­ dro Espinosa , 10. Capitán D. .Esteban Solis , 2. Id. D. Esteban Ximenez , 6. Teniente D. Juan Manuel O cito a, 2. id. D. Tomas Medrano, 2. Id. IX Eulalio Egoavil, 4. Id. TX José Xarvarte , 2. Id. D. Antonio Zavala , 2 Subteniente IX Diego Adalid, 25. Jd. D. José Espinosa, 25. Id. D. Manuel Aida…</t>
  </si>
  <si>
    <t>Megino, Alberto</t>
  </si>
  <si>
    <t>Alberto Megino</t>
  </si>
  <si>
    <t>­ servancia los españoles que accidentalmente'se encentraren en esta isla. En efecto, el dia señalado se juntaron todos en la cfcsa del misrao cónsul D. Alberto Megino, el cual les notificó con tedas las for­ malidades posibles cuanto le había comunicado-su gobierno, ha­ ciéndeles conocer la importancia, del acto solemne para…</t>
  </si>
  <si>
    <t>Megiuo, Alberto</t>
  </si>
  <si>
    <t>Alberto Megiuo</t>
  </si>
  <si>
    <t>n Extremadura. Massena no ha sido empleado : los. diarios franceses cuentan que ha ido á tomar b..ñoj á los Pirineos. Malla 24 de junio. ,..Luego que D. Alberto Megiuo, cónsul de S. M. C. oí Señor D. Fernando vii en esta isla, recibió de su gobierno la orden de dar la mayor publicidad al código constitucional que las Cortes g…</t>
  </si>
  <si>
    <t>Meguie, Pedro</t>
  </si>
  <si>
    <t>Pedro Meguie</t>
  </si>
  <si>
    <t>, subteniente, á unirse , no seria ciertamente para prestar su apo­ teniente de l.i quarta compañía. yo á la corrupción y á la venalidad. En este in­ D. Pedro Meguie, sargento primero, á subter tervalo se imprimieron y aparecieron fizados en la niente de la octava compañía. ciudad de Mauchester y en sus contornos muchos Sexto…</t>
  </si>
  <si>
    <t>Meigs</t>
  </si>
  <si>
    <t>un armisticio de 30 dias. ESTADOS-UNIDOS DE AMERICA. Chilicoe 25 de Julio. El sábado en la noche llegó un expreso con una carta del general, Hull al gobernador Meigs, participándole que el exército padecía una grande escasez de víveres; que M. Plat-estaba autorizado para proveerle por espacio de dos meses ; y que si la milici…</t>
  </si>
  <si>
    <t>Meiuiizabal</t>
  </si>
  <si>
    <t>Saltona, Guetaria; y S.,Sebastian. .Las* fuerzas; cpn sp -hadan ven dichos puntos ascienden á ¿JO ó S5000 hombre^, , i ; ; i r ;■ •, D ícese qiie.el general Meiuiizabal ha hecho ún desembarco,y ha ocupado el punto de Deba, adonde parece se encaminan*tropas des­ de Valladolid. ...... ..... , , ; ■ t 3Ic^id 7 de Oct^re^ ^ ■ . ■…</t>
  </si>
  <si>
    <t>Mejorada, Alfonso</t>
  </si>
  <si>
    <t>Alfonso Mejorada</t>
  </si>
  <si>
    <t>tán D. Antonio Lafurt, 10. Id. D. Manuel Andrea, 10. Id. D. Juna José Ruiz, 4. Id. D. Manuel Talancha, 6. Teniente B Martin Arquiseña, G. Subteniente D. Alfonso Mejorada,. 100. TX José González, 12. D. Jo­ sé Baldisan, 25. D. José Gregorio de la Mata, 10. D.Felipe Sánchez, 1 y 4. Don Manuel Marín , 16. D. Vicente Caballero, 2…</t>
  </si>
  <si>
    <t>Mel</t>
  </si>
  <si>
    <t>ex-fran­ ciscano , el beneficio de ia parroquia de v miago Nos tiene desde ayer en gran sobresalto la suer­ de Andújar, vacante por fallecimiento de D. Mel­ te de Torre del Greco , porque el torrente mas con­ chor de ¡a Cuesta. siderable de la Eva que esta arrojando el Vesubio de algunos dias á esta parte ha tomado la direcci…</t>
  </si>
  <si>
    <t>Melchor</t>
  </si>
  <si>
    <t>eal. zadores á caballo. Oels (D. Juan ), soldado del regimiento Real Ir­ Tramarría ( D. Manuel), subprefecto de Alcalá de landés. ; Henares. Olivary (D. Melchor), tirador de la guardia real. Traxler (D. Jorge), teniente del regimiento Snizo. Onde (D. Xavier), abanderado del regimiento Treilhard (D. Liberal), espitan del regim…</t>
  </si>
  <si>
    <t>Melchor, Gaspar</t>
  </si>
  <si>
    <t>Gaspar Melchor</t>
  </si>
  <si>
    <t>anza publica de su infórme sobre d expediente de ley agraria, han venido: l.° en declarar y como por ei presante declaran , tenemérito de la patria á D. Gaspar Melchor dt Jovellanos ; y ere mandar que el informe que extendió el mismo sobre el expediente de ley agraria, se tenga presente i-n la comisión de agrien!* tira f?e la…</t>
  </si>
  <si>
    <t>Melendez, Andrés</t>
  </si>
  <si>
    <t>Andrés Melendez</t>
  </si>
  <si>
    <t>lás Milla, 1. Don Antonio Ortega, T. D. Valentin Hurtado , 2. D. Francisco Perez , 2. D. Ma­ riano Tello, 1. D. Sebastian Daga, 2. IX Ramón Acuña, 4. D. Andrés Melendez, 1. D. Pablo Piñan, 1. D. José Serna, l. D. Manuel Acdsta, 1. Teniente de milicias de Tarma IX Juan Echevarría, 100. Procurador de la ciudad-IX Pe­ dro Espino…</t>
  </si>
  <si>
    <t>Melgar, Juan</t>
  </si>
  <si>
    <t>Juan Melgar</t>
  </si>
  <si>
    <t>rberto Ve­ ga , 4. D. Isidro Andrade , 4. D. Ramón Anderos, 4. D. José Pequeño , 4. D. Juan Fernandez, 2. D. José Gordilio , 2. D. José Cañizares, 2. D. Juan Melgar , 2. D. Lorenzo Vargas , 2. D. José Ramírez , 2. D. Juan Sta. María, 2. — Cirujanos, i). José Gay i no Chacaltana , 25. Tomas Ortigoso , 25. Fabiafi Salas, 25. Jo…</t>
  </si>
  <si>
    <t>Melgarejo, Joaquín</t>
  </si>
  <si>
    <t>Joaquín Melgarejo</t>
  </si>
  <si>
    <t>Diputado eclesiástico Diputado eclesiástico D. Baltasar García. D. Joaquín Melgarejo. Diputados seculares '-Diputados seculares D. Angel Sahun. D. Domingo Antonio de la Osaña.' D. Mariano Sopeña. D. Juan de Barreiieche. D. Viceote Espel. D. Josef Arandilla. - . Secretario D</t>
  </si>
  <si>
    <t>Melgarejo, Josef</t>
  </si>
  <si>
    <t>Josef Melgarejo</t>
  </si>
  <si>
    <t>media: Señoras Ro­ guez, párroco de Genave, para el curato de la villa sario García , Maqued» , Torres y Baus. Señrres in­ de Aldea del Reí} y ai Dr. D. Josef Melgarejo fantes, Caprara , Avecilla , Suarez, Alverá y Fabiani. para el de la villa de Almedioa, ambos en el arzo­ hn el de la Cruz, á tas quatro y media de la tarde, …</t>
  </si>
  <si>
    <t>Meló, Tomas</t>
  </si>
  <si>
    <t>Tomas Meló</t>
  </si>
  <si>
    <t>go Campino , con­ tador de la fragata Astrea, 140. El oficial mayor de la comisaría de guer­ ra y capitán de milicias D. Juan Bailera, 50. El segando D. Tomas Meló, 45 y 6 y medio. El tercero D. José Plaza, 40. — Cuerpo de ingenieros. El coronel D. Pedro Antonio de Molina, comandante , 250. El mismo por tres meses de su ofert…</t>
  </si>
  <si>
    <t>Melquía</t>
  </si>
  <si>
    <t>inistrador general, des jueces que había de confiscos, el encargado de ía contaduría, un ofi­ cial j varios dependientes y algunos toldados. El vocal D. Melquía­ des Ortiz estaba ausente : lo estaba también , pero en las ii media­ ciones, el vocal secretario D. Francisco García Sair;z,y á su dili­ gencia se debió que se salva…</t>
  </si>
  <si>
    <t>Men, Manuel</t>
  </si>
  <si>
    <t>Manuel Men</t>
  </si>
  <si>
    <t>anceses , y mandó recoger sus caballos que estsban en el prado, como se hizo. Recomienda por su valor é intrepidez al subteniente Fresno, al teniente D. Manuel Men ndez, al cadete D. Andrés Re­ vuelta y al sargento segundo Juan Blanco.” Puebla de Sanabria 23 de junio. Por conducto fidedigno se sabe que el coronel D. José Mans…</t>
  </si>
  <si>
    <t>Mena, Manuel</t>
  </si>
  <si>
    <t>Manuel Mena</t>
  </si>
  <si>
    <t>cívica de la villa de y prudencia de estos hombres , no acabo de enten­ Dos Hermanas quedan promovidos: der cómo han podido durar tanto tiempo , y no D. Manuel Mena , subteniente , á teniente de parece sino que han dado á la Inglaterra algún he­ la primera compañía. chizo para que los quiera. ¿Pues qué no tiene la D. Manuei B…</t>
  </si>
  <si>
    <t>Mena, Ventura</t>
  </si>
  <si>
    <t>Ventura Mena</t>
  </si>
  <si>
    <t>ntre nuestras filas duran­ te los movimientos que ha tenido que executar. Debo elo­ gio particular á los señores comandantes de sección; al co­ ronel D. Ventura Mena, gefe del estado mayor de la divi­ sión, y á los ayudantes generales que me han asistido en esta ocasión como en todas aquellas en que ha habido la esperanza de …</t>
  </si>
  <si>
    <t>Menacho, Francisco</t>
  </si>
  <si>
    <t>Francisco Menacho</t>
  </si>
  <si>
    <t>uirre y D. Pedro Morales , id., 9. D. Blas Fuertes , id. , 9. Don Juan Madrazo, por 2,18. I). Hermenegildo Gaíeano, por uno ,9. D. JuaRuiz, por 2; i8 D Francisco Menacho, por uno-, 9. D. Tiburcio ZuUieta, por ano , 9. D. Manuel Diaz de Castro, id., 9. D. Pedro Boyer y su es­ posa , id., 9. El teniente D. Agustin de Cárdenas, …</t>
  </si>
  <si>
    <t>Mencliaca, Juan</t>
  </si>
  <si>
    <t>Juan Mencliaca</t>
  </si>
  <si>
    <t>tripulación , 18 y 4. La de i a fragata Bárbara Bostonesa . 15 y 6. La de la fragata Bretaña, 22 y 2. La de! bergantín corsario rey Fernando, 24 y 4. D. Juan Mencliaca , capitán de la fragata corsaria, 40. Su segundo D. Luis Ruem , 25. Su primer teniente D. Rafael Larragoin, 12. Su escribano D. Miguel Polo, 10. Su tripulación…</t>
  </si>
  <si>
    <t>Méndez, Carlos Francisco Abad y Doña Vitoria</t>
  </si>
  <si>
    <t>Carlos Francisco Abad y Doña Vitoria Méndez</t>
  </si>
  <si>
    <t>vecina que fue de esta corte, de estado honesto, que vivía en la calle deSilva, casa número 19, manzana 456, natura! que era de esta corte, é hija de D. Carlos Francisco Abad y Doña Vitoria Méndez, difuntos. Si alguna persona se creyese con derecho á los bienes qnedados por su fallecimiento, podrá deducirle ante dicho señor j…</t>
  </si>
  <si>
    <t>Mendez, Francisco'de Paula</t>
  </si>
  <si>
    <t>Francisco'de Paula Mendez</t>
  </si>
  <si>
    <t>rt. iv. En el e.squadron de guardia de ho­ cuyo cumplimiento han mostrado los actuales tal nor de Sevilla quedan igualmente promovidos : ineptitud ?” D. Francisco'de Paula Mendez á subteniente El orador concluyó su discurso leyendo parte de la primera compañí i. de la representación, que propone al consejo que ü. Angel Gamboa…</t>
  </si>
  <si>
    <t>Mendez, José Benito</t>
  </si>
  <si>
    <t>José Benito Mendez</t>
  </si>
  <si>
    <t>brosio Agustín, D. José de los Ríos y D. Manuel Aivarez de Navia; subtenencia de granaderos á D. José: González; de fusileros á D. José Ramón Moreno, D. José Benito Mendez, D. José García Cárdenas, D. Antonio Quintana, D. Anto­ nio Villegas, D. Pedro Perez Uriondov D. José Guerra y D. José María Celada; y de bandera á D. Juan…</t>
  </si>
  <si>
    <t>Mendez, Josef</t>
  </si>
  <si>
    <t>Josef Mendez</t>
  </si>
  <si>
    <t>n Lu­ D. .Ambrosio López, id..................................... 2200 cena.......................... ................ ........... ............. 2200 D. Josef Mendez, id.......................................... 2200 D. Josef Qnesada, id.......................... 2200 Ex-carmelitas descalzof. D. Josef Alcoba, id..............…</t>
  </si>
  <si>
    <t>Mendez, Julián</t>
  </si>
  <si>
    <t>Julián Mendez</t>
  </si>
  <si>
    <t>rdiendo mas de 200 hombres; y se habla de venta­ jas posteriores, cuya confirmación se aguarda. ARTICULO DE OFICIO. Continúan los donativos del Perú, D. Julián Mendez , 2 pesos fuertes. D. José Muñoz Rubio , 2. D. Vi­ cente Gago , 2. D. Adrián Sta. Cruz , capellán mayor del hospital de San Andrés , 2. D. Miguel Rotalde , id.,…</t>
  </si>
  <si>
    <t>Méndez, Miguel</t>
  </si>
  <si>
    <t>Miguel Méndez</t>
  </si>
  <si>
    <t>e esta real audiencia , 600. D. MiguA Li­ sa guirre , fiscal del crimen de la misma , 334. D. Juan Agustín Santibañez, cura de Pampa de Tangos , 100. D. Miguel Méndez , cura de Cerhuas , 100. Los oficiales y soldados milicianos del regimiento de caballeó.; de la villa de Chancas, 4-00. D. Casimiro Sotomayor, relator de la jun…</t>
  </si>
  <si>
    <t>Mendía, Josef</t>
  </si>
  <si>
    <t>Josef Mendía</t>
  </si>
  <si>
    <t>an ,,Vuestra villa de Requena, comprehendida Antonio Ozamiz, D. Juan Achucarro, D, Josef en la prefectura de Valencia, no ha esperado ni Colmenares , D. Josef Mendía , D. Pablo Romeo el exemplo ni las órdenes de aqnella capital para y D. At.masio Romeo; y se han conducido mui nombrarnos por sus diputados cerca de V. M. , bien…</t>
  </si>
  <si>
    <t>Mendibur, Juuut</t>
  </si>
  <si>
    <t>Juuut Mendibur</t>
  </si>
  <si>
    <t>rrell, S. El portero del colegio Carolino , 2. El mayordomo , 4, El refitole­ ro, 4. Lo* 2 guardias , 2. Estudiantes manteistas. D. Matías Olalla, 2. D. Juuut Mendibur, 2. D, Francisco Maniategui., 2. X&gt;. Manuel Jaras , 2 i X), Amo—</t>
  </si>
  <si>
    <t>Méndizaba</t>
  </si>
  <si>
    <t>echo prisionero por el derr* asi LU.Q 3o arrojo con que se metió en medio de los enemigos. — Juan Díaz Portier''' Con fecha de 18 del pasado avisa al general Méndizaba! el co­ mandante D. Benito Marquinez, que el 29 del anterior por mas que provocó á 500 enemigos, que se hallaban en la villa de Pr ñafie! co­ metiendo los estr…</t>
  </si>
  <si>
    <t>Mendizaba</t>
  </si>
  <si>
    <t>n el norte, desde que dirigí á Y. E. mi oficio de 13 del poniente. — WellingtonP' ESPAÑAMontes de Burgos 7 de mayo, El séptimo exército del mando del general Mendizaba! se au«menta y reí berza consiierphlement*. Es-e general se ha aproximado estos días pasados can 6000 infantes y 2000 caballos á-las ciudades de Burgos y Falen…</t>
  </si>
  <si>
    <t>Mendizabal</t>
  </si>
  <si>
    <t>ial de policía. Toda la,juventud de Vizcaya se agrega á las guerrillas, ó se enca­ mina á Asturias á alistarse en el séptimo exército, mandado por el general Mendizabal. Espoz manda un cuerpo respetable en Navarra^ y está apostado, como ántes, en las inmediaciones de Pamplona. Longa discurre j&gt;or las sierras de Alava, y ha co…</t>
  </si>
  <si>
    <t>T5 llamarla atención del enemigo; y se habían pasado avisos al general Mendizabal, que se baila en Castilla, para que concurriese por su par­ te al mismo objeto. De Valencia no habia noticias: mas parece que se defendía vigorosamente. Se ha extinguido totalmente el conta</t>
  </si>
  <si>
    <t>s despojos, ar­ mas, municiones , víveres &amp;c. A este tiempo supo el brigadier Espoz, que habia llegado á San­ güesa, distante 20 leguas de Huesca, el general Mendizabal. Mien­ tras le liegalra este aviso, un destacamento de 2000 á 2500 hombres de la guarnición de Pamplona ocupó el pueblo alto de Rooafort, á cuyo píe está Sang…</t>
  </si>
  <si>
    <t>r liiaiUUAUG ^ \\ ll KJJ OW 1) o 1AU oniini&gt;lo tAllUUOUiUV ro O.K vlui A ti» Jta^ vor de las tropas del séptimo exército que manda en la península el general Mendizabal, para la cual han contribuido con 5000 pesos fuertes y 30'1 tercios de azúcar los comisionados para ella í). Gabriel' de Iturbe é íraeía. D Gabriel de Yermo, …</t>
  </si>
  <si>
    <t>Mendízabal</t>
  </si>
  <si>
    <t>ueblos , los ha incomodado sobremanera, pues desmiente las noticias que hablan intentad o esparcir de. la pa­ cificación de Cataluña. Aseguran que e! general Mendízabal ha atacado y derrotado en Poza, cerca de Burgos , una división francesa. Sabemos que el brigadier Martin (el Empecinado) so halla ya restablecido de su caída …</t>
  </si>
  <si>
    <t>darin á preguntar sobre el estado de las Anda­ lucías y las posiciones de los ingleses. Se asegura mucho que parte del séptimo exército del mando del general Mendizabal ha entrado en Santander, y hecho alli muchos prisioneros. De¿3. El coronel renegado Franco, á quien se había mandado reforzar los puntos de Guadalaxara y Brih…</t>
  </si>
  <si>
    <t>556</t>
  </si>
  <si>
    <t>ñoles puestos en libertad aquel mismo dia. Se sabe de positivo, par carta escrita desde Potes, que han llega­ do allí muchos prisioneras enviados al general Mendizabal por el co­ ronel Merino. Se asegura también que la partida de M^rquinez sorprehendió en A*x.u:co, no lejos de Ásíudiüo, otra de franceses que iba á exigir •con…</t>
  </si>
  <si>
    <t>rde á Y. E. mu» ch‘- 8 «ñ K. A gustina 29 de mayo de 18 2. — Exorno. Sr.— Erancis* co Espoz y Mina.— Exorno. 3r. I&gt;. Gabriel de Mendizabal.” Mota dei general Mendizabal. Después de la f-oha que tiene'este</t>
  </si>
  <si>
    <t>ancisco Xavier Castaños la importante noticia de que el 27 de agosto evacuaron ios franceses la ciudad de Zamora, y que el 18 se hallaba en Bilbao el general Mendizabal. El dia 23 del pasado atacó el general Mina á un cuerpo de tropas ene­ migas , compuesto de 3© infantes y 200 caballos; la batalla se dio en la car­ retera re…</t>
  </si>
  <si>
    <t>, con el objeto de coger la correspondencia interceptada allí desde 25 de julio. Ei dia 5 paió á Poza con paite de sus tropas, en virtud de órden del general Mendizabal. Allí supo la marcha de una división enemi­ ga de 6000 infantes y 400 caballos, cuya retaguardia, atacada en Gamonal por un destacamento de húsares de Iberia,…</t>
  </si>
  <si>
    <t>ra su liberalidad , dando cuenta dedas .cantida­ des que se. recauden. tu ; ; Idem 8 de Diciembre. Las últimas noticias dé Galicia aseguraban qu.e él general Mendizabal continuaba ert Bilbao, y parte de su exército en las inmedia­ ciones de Agilitar de Campó y Reynosa. Parece indudable la separación de los exércitos .francese…</t>
  </si>
  <si>
    <t>e había tenido S. A. al saber , .aunque no de oficio, que habían sancionado y ju­ rado la constitución. El 25, se leyeron la proclama dirigida por él general Mendizabal á los habitantes de las provincias vascongada* con motivo de la publicación de la constitución, y los testimonios de haberla jurado la junta de cuenta y razón…</t>
  </si>
  <si>
    <t>Mendizabal, Antonio</t>
  </si>
  <si>
    <t>Antonio Mendizabal</t>
  </si>
  <si>
    <t>adinamente se les miente, y se les ponen de batallón del de Granada , 4.°de infantería de lí­ hechos tan contrarios á la verdad? Infames. ,,Nanea ; á D. Antonio Mendizabal, sargento primero «poleon ni quiere agregar los valencianos á la gran -de la compañía He húsares de Guadalaxara, á sub­ «familia, ni privarlos hasta del no…</t>
  </si>
  <si>
    <t>Mendizabal, Francisco</t>
  </si>
  <si>
    <t>Francisco Mendizabal</t>
  </si>
  <si>
    <t>ps. durante la guerra, 150. El teniente coronel D. Tomas Costa , J50. El de la misma clase D. Francisco García M i ra­ lles, 150, El mayor de brigada D. Francisco Mendizabal, 110. El capi­ tán Don Manuel León , 90. —- Real aduana de esta capital. — Ministras principales. El administrador 1). Antonio Izquierdo Martínez , 333 y…</t>
  </si>
  <si>
    <t>Mendizabal, Juan Ignacio</t>
  </si>
  <si>
    <t>Juan Ignacio Mendizabal</t>
  </si>
  <si>
    <t>Francisco Antonio Goy tá­ salo, O- Dámaso Ar as y D. Fernando Dueñas; subtenencias de ban­ dera á D. Ramón deErrea, D. Manuel del Valle, D. Juan Gil, D. Juan Ignacio Mendizabal, D. Rafael Palomeque y D. Juan Pa­ nero; compañías de granaderos, al marques de la Celada déla Fuen­ te , al marques de Valdcliiios y á D. Gaspar Rico…</t>
  </si>
  <si>
    <t>MendizüvJ</t>
  </si>
  <si>
    <t>sde esta parte de la provincia los sucesos ocurridos últimamente por aquella costa de Cantabria: un buen español dice asi: Anoche se quedó en esta el general MendizüvJ, y en la madrugada de este dia se ha diri­ gido á Santander, de donde recibió pliego del general ingles que se halla en ella por haberla evacuado los enemigos,…</t>
  </si>
  <si>
    <t>Mendoza, Francisco</t>
  </si>
  <si>
    <t>Francisco Mendoza</t>
  </si>
  <si>
    <t>G&amp;rate, D Manuel T jada y Cuadra y D. José de Xazartc ; de cazadores, á D Julián García Montarroso; y de fusile­ ros, á D. Manuel Ortiz de Villa te, D. Francisco Mendoza, D. Ra­ fael López, D Manuel C &gt;h?.ro y T^gle, D. Andrés Sánchez de Q iros, D. José A nez-aga, D. Manuel'Antoai© de P.;ctido, D, Fraacisco de la Casa y Piedr…</t>
  </si>
  <si>
    <t>Mendoza, Josef Sánchez</t>
  </si>
  <si>
    <t>Josef Sánchez Mendoza</t>
  </si>
  <si>
    <t>se quejan de esto mismo ! Déxense re y Guarinos, fiscal de lo civil en la chancille- pues de continuar obrando de uo modo tan contra­ ría de Granada, D. Josef Sánchez Mendoza , de­ rio á los fines qne se proponen, y para que al me­ cano de las salas de alcaldes de corte, y D. Ma­ nos entre los muchos males que padece la patri…</t>
  </si>
  <si>
    <t>Menendez, Ramón</t>
  </si>
  <si>
    <t>Ramón Menendez</t>
  </si>
  <si>
    <t>erno y varios i ndtviduos , 7$ y 4. Pedro José Vargas , 25. D. Alexo Guiraldez, 25. D. Gaspar Casanova , 25. D. Isidro Arauz, 6. D. José Bernal , 25. D. Ramón Menendez , 25. D. Sebastian Puga, 50. El comendador de la Merced , 50. D. Dio-, go Granados , 20. D. Luis Noli, 10. Teodoro Garóes , 4. Tomas Duarte , 4. D. Manuel Brav…</t>
  </si>
  <si>
    <t>Mengod, Roque</t>
  </si>
  <si>
    <t>Roque Mengod</t>
  </si>
  <si>
    <t>tropa conseguí tlcErzsrlcs á las 5 de la tsrde, media hora ántea de llegar al pueblo, rompiendo el fuego Is pi rüda de caballería á cargo del espitan D. Roque Mengod , que dispuse se adelantara á estorbar el que entraran en Aranda, antes de presen te rae la infantería, y se hicieran dueños de les ranches y equiprgea que á mi …</t>
  </si>
  <si>
    <t>Mengs, Rafael</t>
  </si>
  <si>
    <t>Rafael Mengs</t>
  </si>
  <si>
    <t>nte, si del poeta por no faltar á Jas reglas dei arte. Asi fuese de tiempos tan antiguos? pues cree que estos escultores vivieron en tiempos El sabio D. Rafael Mengs, al ver esta pieza admi­ mas cercanos á Plinio, que fixa hacia los reinados rable de escultura concluida con solo el cincel , ob­ de los primeros Césares. Los ar…</t>
  </si>
  <si>
    <t>Menor, Juan Dages</t>
  </si>
  <si>
    <t>Juan Dages Menor</t>
  </si>
  <si>
    <t>o í). Josef y D Manuel Galarza...... 12274 secretario de Estado = Firmado = Mariano Luis D. Gerónimo de Bringas................ 5595 »7 de Urquijo.’’ D. Juan Dages Menor..................... 3429 *7 D. Joan López de Guznian............ 1263 *7 Por decreto de i» del corriente el REI se ha D. Juan Piedramillera....... .........…</t>
  </si>
  <si>
    <t>Merchan, Benigno</t>
  </si>
  <si>
    <t>Benigno Merchan</t>
  </si>
  <si>
    <t>uan Burguillos, D. Santiago López Ruiz, D. Pedro Fernandez, D. Josef Muela, D. Josef Mafia XimenezDon Domingo Draper, D. Manuel Guio, D. Juan Utrero, D. Benigno Merchan, D. Víctor Casasola, D. Pascual del Rey, D. Miguel Parrales, D. Francis­ co Ayuso, D. Miguel González, D. Antonio González, D. Angel Llave, D. Josef Ulloa, D.…</t>
  </si>
  <si>
    <t>Merchau, Benigno</t>
  </si>
  <si>
    <t>Benigno Merchau</t>
  </si>
  <si>
    <t>irguiilos, D. Santiago López Ruiz, D. Pedro Fernandez, D.'José Muela , D. José María Ximcnez , D. Domingo Draper , D. Ma­ nuel Guio, D. Juan Utrero , D. Benigno Merchau, D. Víctor Casasola , D. Pascual del Rey , D. Miguel Parrales, D. Francisco Ay uso, D. Miguel González, D. Antonio (González, D. Angel Liare, D. José Uiloa,D …</t>
  </si>
  <si>
    <t>Merdel</t>
  </si>
  <si>
    <t>iente á las órdenes del general V icenti; pero los suizos reunidas contra el segundo cuerpo todas las tuerzas de la tercera división, mandados por el general Merdel mando del condeVde W ittgensteim Ya os hablo le, y el regimiento 3.0 decioatos se lanzaron, con­ de los refuerzos que se le habian enviado de Pe- tra las disposic…</t>
  </si>
  <si>
    <t>Meri, ZX Gerónimo</t>
  </si>
  <si>
    <t>ZX Gerónimo Meri</t>
  </si>
  <si>
    <t>cación, á costa de los vecinos, porque según dicen los íranceses, son para ponerlos á cubierto de todo insulto. Extracto de un pai te dirigido por el coronel ZX Gerónimo Meri­ no á esta junta superior» — Campo del honor 11 de mayo de Ib 12. — „Had&amp;ndome e* 9 de este mes en el pueblo de Arcos, me avisó mi avanzada de que venia…</t>
  </si>
  <si>
    <t>Merino</t>
  </si>
  <si>
    <t>Corre la voz de que el coronel Merino lia sorprchendido una es­ colta de 300 hombres en las inmediaciones de Burgos. Días pasados una col mime francesa Isa incendiado y destruido enteramente el pueblo do C&amp;nlalojas. Ecire otras cosas ardió un de­ pósito de 2000 fanegas de trigo, que en la actual escasez</t>
  </si>
  <si>
    <t>REGENCIA DE LAS ESPAÑAS DEL SABADO 30 DE MAYO DE 1812. ESPAÑA. Montes de Villacadima, provincia de Burgos, 24 de abril. Un oficial de la división del coronel Merino escribe desde Co &gt; ruña del Conde con fecha del 16 lo siguiente: ,}Lcs 550 franceses que había ayer tarde en Peñaranda, han caido, sin quedar uno, en nuestro pede…</t>
  </si>
  <si>
    <t>de la justicia y la unión sincera con la me­ trópoli. Montes de Burgos 7 de mayo* (Continuación dél artículo del número anterior.) Parte segundo del coronel Merino á la junta superhr de Burgos. „Excnio. ;Sr. : Por los partes que recibí de......... en la ma­ ñana del 15 , supe que los enemigos habían salido de Aranda con el ob…</t>
  </si>
  <si>
    <t>ncia, do. de hubo grande alarma.—A RIvadeseila ha llegado un surtida de 5000 fusiles , destinóles mismo exército. En una acción ventajosa que tuvo el coronel Merino con los fran­ ceses 5 al tiempo de cor-docii á Potes los prisioneros hechos en la de Citoria di ValdearadcB, la obscuridad de la noche, le puso en pe­</t>
  </si>
  <si>
    <t>593</t>
  </si>
  <si>
    <t>ser pasada por las armas, siempre que el ge­ neral francés no entregue al impío Moreno, autor de la sorpresa del 21, á cuyo intento se cfició por el coronel Merino, esforzando esta solicitud los mismos comandante y oficiales prisioneros, con aquel interes que dicta el de la vida. Se hallan en este pueblo hasta la rea puesta d…</t>
  </si>
  <si>
    <t>ste movimiento tiene relación con la necesidad de reforzar á Marmcnt con las guarniciones de Castilla, y la de reemplazar á estas en sus destinos. El coronel Merino consiguió una nueva ventaja el 9 de msyo cerca de Vuniel y Celada, matando 60 enemigos. El 17 de mayo salió Suchet de Valencia para Cataluña con SOCO hombres : se…</t>
  </si>
  <si>
    <t>deras gran número de enemigos. Al co­ mandante Abril se le han presentado 60 de una vez ; de las Huelgas de Burgos se han pasado 45 á la división del coronel Merino, y no cesan de presentarse á esta junta superior desertores de diversas guar­ niciones de Castilla. El 30 del pasado salió de Burgos para Francia un convoy bas­ t…</t>
  </si>
  <si>
    <t>1125</t>
  </si>
  <si>
    <t>acto se entonó el Te Deum entre los armoniosos ecos de Ja música, y el militar estruendo de las salvas que hacían fuera de la iglesia las tropas del coronel Merino. - ■ p ; .^f. :..j Terminóse !a función ccu un alegre festín en que se brindó por la constitución, libertad de nuestro anudo mosaica &amp;s. . AUTinin o nF nrmn JL IV …</t>
  </si>
  <si>
    <t>Merino, Francisco</t>
  </si>
  <si>
    <t>Francisco Merino</t>
  </si>
  <si>
    <t>vestre Pon ce de León , 25. D. Francisco González, 50. D. Simón Muñoz, 25. D. Manuel Miranda, 12. D. José María Viso, 25. D. Francisco de Otero , 40. D. Francisco Merino, 25. D. Ce&gt;areo Sanor, 50. D. Juan González , 35. D, Patricio Bermudez, 12. D. Ignacio Monteros, l. D. Francisco Lavado, 12. D. Manuel * ’astro monte, G. 15.…</t>
  </si>
  <si>
    <t>Merino, Gerónimo</t>
  </si>
  <si>
    <t>Gerónimo Merino</t>
  </si>
  <si>
    <t>rán á proteger la paz y seguridad de la villa de Madrid, sino que por último establecerán, la independencia, prosperidad y felicidad de la Es­ paña.” D. Gerónimo Merino (el cura de Vilíoviado) ha perseguido encarniza­ damente á parte de los restos fugitivos del exército de Marmont, y ha con­ seguido matar y coger mas de i© ho…</t>
  </si>
  <si>
    <t>Merino, José</t>
  </si>
  <si>
    <t>José Merino</t>
  </si>
  <si>
    <t>que se sirva hacerlo pre­ sente a S. A.” íContinúan los donativos del Perú. El coronel de ingenieros D. Luis Rícj, 300 ps. fs. D. Manuel Uojia, 406. D José Merino , 200. Doña Teresa Ortega y 'Páralos, J00. El ttNÍente co­ ronel D José Carbó , 200. D Dionisio Fascardo , ,6. ©. Bernardo Roca, 500. T). Domingo Ordeñana, 500. D. …</t>
  </si>
  <si>
    <t>Merino, José Antonio López</t>
  </si>
  <si>
    <t>José Antonio López Merino</t>
  </si>
  <si>
    <t>eneral TF José de la Cruz desde Guadalaxara ceri fe­ cha 7 de Abril último temido al. Sr. virey el parte dado al coman­ dante Ncgrete por el teniente D. José Antonio López Merino des-</t>
  </si>
  <si>
    <t>Merino, José López</t>
  </si>
  <si>
    <t>José López Merino</t>
  </si>
  <si>
    <t>, 30. El de la misma clase Don Francisco del Corral , cri cada año de los que dure la guerra , 100. El de la misma D José Caseda , 10. El subteniente D. José López Merino , ade­ mas de ofrecerse á servir á su costa en lo que se ie ocupare , 500. El de la misma clase D. Alai tiu José de Osiolaza , 25. El de id. I). Manuel Caye…</t>
  </si>
  <si>
    <t>Meriu</t>
  </si>
  <si>
    <t>escribe con fecha del 3 del corriente des» de Hecrera que al í se habla celebrado la conquista de Badajos con ¿alvns é iluminaciones: refiere que el coronel Meriu©, co mandante la división essteV'aaa, ha tenido 3 acciones gloriosas, y la una de importancia en Peñaranda de Duero, donde hizo mas de 500 pri­ sioneros. h jL íür f…</t>
  </si>
  <si>
    <t>Merlc</t>
  </si>
  <si>
    <t>trucción y los restos del Blukaus', que eran inmen­ segundo cuerpo de un modo mui distinguido. sos, han servido para hogueras de alegría y de jú­ El general Merlc rechazó con parte de su divi­ bilo en honor del 15 de agosto. sión y con una inteligencia extraordinaria el ata­ El príncipe Schwarzemberg avisa desde Os­ que que h…</t>
  </si>
  <si>
    <t>Merlo, Antonio</t>
  </si>
  <si>
    <t>Antonio Merlo</t>
  </si>
  <si>
    <t>673</t>
  </si>
  <si>
    <t>e con su deber. l. ,,Cuando el dia sé-manifestaba.y-empezaba á yeTsé con claridad, tuve ta desgracia de que fuese herido de gravedad ebsargento mayor D. Antonio Merlo, que mandaba el batallón de Baylén. Este acci­ dente y ctio de que hablo á V. E. separadamente, unidos á ía fuer­ za del enem’go , triple de la que me habían ma…</t>
  </si>
  <si>
    <t>i bata­ llón de Iíayi'in, y la compañía. de cazadores y cua:*.ta de Alcázrr por haber estas tropas llenado 3os deberes. Ei méo-to de: sargento m.tvor D. Antonio Merlo es demasía.do conocido, y a-.í solo diré á V. E., qus en este dia ha manifest ido que es jutíd no t í. concepto que de él se tiene. No puedo meaos de hacer pres…</t>
  </si>
  <si>
    <t>Merlo, Diego</t>
  </si>
  <si>
    <t>Diego Merlo</t>
  </si>
  <si>
    <t>yno de A agón ; y para secreta­ rio el Sr. D. Juan Nicasio Gallego, diputado tupiente per la provin­ cia de Zamora. Continúan los donativos del Perú. D. Diego Merlo de Portugal, gobernador de Quijos, 200 ps. fs. D. Ma­ nuel Garaie , cura de -Orootuna, 100. D. Gregorio Bedoya , cura de Pac aran, 50. Colectado por el subdelegad…</t>
  </si>
  <si>
    <t>MerltidJ, Tomafe</t>
  </si>
  <si>
    <t>Tomafe MerltidJ</t>
  </si>
  <si>
    <t>encomiéndá-dé’Tá García. parroquia de Villatobas, én el ¿arzobispado".^To­ A D. Alonso Roldan para el de la villa de Vi- ledo, vacante por muerte de D. Tomafe MerltidJ’1 ‘ tigudino, vacante por xnuerte de D. Lorenzo Y al: ex-gerónimo D. Josél- Burtlfo para^óffo Sacchez. beneficio'en encomienda de SrBtas dé ÁlbotñozV A D. Agns…</t>
  </si>
  <si>
    <t>Mertiv, Francisco</t>
  </si>
  <si>
    <t>Francisco Mertiv</t>
  </si>
  <si>
    <t>Captan i.° D. Manuel Lia ño............. .. . 1 Otro • • • • » í). Francisco Csrme;............ 1 Capitán 2.°. D Juan Magrñan. ...... 1 A; udan. 2.° D. Francisco Mertiv.ez..... 1 Carmena- 4 T nií nte . • D. Jé sé Lluri&amp;t...................... 1 O &gt; TO • • • • • O. Mnoel Faxrnío...... • ’l ''V.htci.iOitO f). Francisco Roscas..…</t>
  </si>
  <si>
    <t>Mesa, Antonio</t>
  </si>
  <si>
    <t>Antonio Mesa</t>
  </si>
  <si>
    <t>lor á 700 rs. fanega. Otra en dicho sitio del Castañar, que la cruza dicho camino D. Josef Canell. de Carabanchel, y linda al mediodía con tierra del D. Antonio Mesa. conde de Francos, y al poniente con otra de un veci­ D. Josef Echevarría. no de Madrid, conocido por Velarde; su caber quatro D. Manuel Sobrinos. fanegas y 2a e…</t>
  </si>
  <si>
    <t>Mesa, Josef</t>
  </si>
  <si>
    <t>Josef Mesa</t>
  </si>
  <si>
    <t>e en Mechanci-Hall. D. Serafín Eslava , de granaderos. Del ¡3. D. Francisca de Paula Díaz, de tirador*!, El tribunal se reunió conforme á lo acordado D. Josef Mesa. del dia anterior. Presentes el conmódoro Stephen D. Agustin Cruzado. D'catui , presidente; los capitanes Carlos Stuart Maques de Alcántara. é Lase Chancey , vocal…</t>
  </si>
  <si>
    <t>cianos á la gran -de la compañía He húsares de Guadalaxara, á sub­ «familia, ni privarlos hasta del nombre de espinoteniente de la rnisnn compañía; á D. Josef Mesa, ole?.” Vosotros sois los que desde el principio, «argento primero del regimiento 4.0 de cazadores faltando á todas las obligaciones de tales , habéis '&lt;á caballo …</t>
  </si>
  <si>
    <t>Mesa, Juan de la Cruz</t>
  </si>
  <si>
    <t>Juan de la Cruz Mesa</t>
  </si>
  <si>
    <t>Zamudio, 12. IX Fermín Hernández, 25. D. Nicolás Berrocal , 25. D. Francisco Xavier de Arias , 25. D. Dionisio Mesedua , 25. D. Manuel Salcedo , 12. D. Juan de la Cruz Mesa, 12. D. Melchor Mal partida, 25. D. Juan Antón o Gaona, cu­ ra de Carhuamayo , 100. D. Mariano Avellaneda, cura de Yanahuanca, 100. Fr. José Contreras , c…</t>
  </si>
  <si>
    <t>Mesa, Mariano</t>
  </si>
  <si>
    <t>Mariano Mesa</t>
  </si>
  <si>
    <t>. Ignacio Beistogui, 200. 1). J'osó Carmen Grijaiba, 100. D. José Ro­ dríguez Vi gil, 2o. J). Domingo de Abeytua , JO. D. Jo;é Anonio de Arrieta, 50. D. Mariano Mesa, por sí y su madre , 50. I). .Manuel Varela, 25. D. Dá­ maso Huidobro , 50. D. José Antonio Fuster, 15. ]), Antonio Pcrez , 10. I). Julián de Herrera, 100. D. Ju…</t>
  </si>
  <si>
    <t>Mesclop</t>
  </si>
  <si>
    <t>que satisfecho cotí clop en Cu lera. El enemigo fue batido en todo* iola.haber merecido del Emper.ul.-r de los france­ los puntos, distinguiéndose el coronel Mesclop y ses que en su proclama delante de Machi 1 , dirigida el general Deiort. á los españoles en 7 de dii-mbre de t 8o8, declaras* , Los dragones, los coraceros, el …</t>
  </si>
  <si>
    <t>Mesedua, Dionisio</t>
  </si>
  <si>
    <t>Dionisio Mesedua</t>
  </si>
  <si>
    <t>2. D. Alexandro Odiantes Cevallos, 50. D. Espíritu Zamudio, 12. IX Fermín Hernández, 25. D. Nicolás Berrocal , 25. D. Francisco Xavier de Arias , 25. D. Dionisio Mesedua , 25. D. Manuel Salcedo , 12. D. Juan de la Cruz Mesa, 12. D. Melchor Mal partida, 25. D. Juan Antón o Gaona, cu­ ra de Carhuamayo , 100. D. Mariano Avellane…</t>
  </si>
  <si>
    <t>Mesonero, Muías</t>
  </si>
  <si>
    <t>Muías Mesonero</t>
  </si>
  <si>
    <t>t 'barrio D.................... D. Antonio Soldado. Diputados seculares Diputado eclesiástico D. Manuel Rodríguez d&lt;¡ Castro. D. Bernabé Mateo Perez. D. Muías Mesonero. Diputados reculares D. Ramón Basualdo. D. Ramón de Campos/ D. Ignacio Campesino. D. Francisco Perpiñan. " . Secretario D. Josef Flores. D. Antonio de Pineda. …</t>
  </si>
  <si>
    <t>Mesquia, Domiago</t>
  </si>
  <si>
    <t>Domiago Mesquia</t>
  </si>
  <si>
    <t>D. Nicolás Noé , 20. El de calafates D. Faustino Lucero , 20. Los demas carpinteros y calafates del CaUao , 72 y 6. Ei piloto de la fragata Trinidad D. Domiago Mesquia, 10. Los demas individuos de la tripulación da dicho buque , 20 y 6. La tripulación del buque S. Nicolás , 2. El contramaestre D. Vicente Sánchez , 10. Cuatro …</t>
  </si>
  <si>
    <t>Meti, Juan</t>
  </si>
  <si>
    <t>Juan Meti</t>
  </si>
  <si>
    <t>eclesiástico Alcalde de barrio D. Pedro Q-vetami CLbezas. ' . D. Joan L&lt;so de la Veg-. Diputados seculares Diputado eclesiástico D. Gregorio Uriondo. D. Juan Meti&gt;'a. . .. D. Angel de Di-go. Diputados seculares D. Francisco de Santiago. D. Félix A var z VilLt. .ó. Secretario . D. Juan Josef Rubio. D. Vicente M., ri* Teraya. D…</t>
  </si>
  <si>
    <t>Metriles</t>
  </si>
  <si>
    <t>inos Sílihdar, suleyman- baxá, qoe va de gober­ mui acreditado en aquel país. Despees de este com­ nador á Damasco, y Emir-Ul-Hadsch, gefe da bate el cura Metriles, qoe manda el cxército de una carabina que va á la Meca, persuadidos sin los independientes, se dirigió con 10® hombres á duda de que á su llegada ya habrán cambia…</t>
  </si>
  <si>
    <t>Mexia, José</t>
  </si>
  <si>
    <t>José Mexia</t>
  </si>
  <si>
    <t>, 50. D. Bernardino Torres, 12. D. Antonio Ro­ mero, 4. D. Francisco García, 6. D. Santiago Valencia, 4. D. Casimiro Palma, 2. D. Antonio Ramírez, 2. D. José Mexia, 2. D. Hilario Olivera, 10. D. Ma­ nuel de Torres, 10. D. Carlos Villa-Chica, 8. D. José Sánchez, 6. D. José Alegre, 10. D. Mariano Lucar, 6. D. Toribio Echeverría…</t>
  </si>
  <si>
    <t>Mexía, Josef</t>
  </si>
  <si>
    <t>Josef Mexía</t>
  </si>
  <si>
    <t>eforma , mandada imprimir de orden de las mismas. Se hallará á 4 rs. en la li­ brería de Perez. Discurso pronunciado por el diputado en Cortes el Dr. D. Josef Mexía, de la secretaría de estado y del despacho de Gracia y Justicia, al tiempo de dar su voto acerca de la libertad de imprenta. Se hallará en la librería de Quiroga,…</t>
  </si>
  <si>
    <t>Mexia, Juan Antonio</t>
  </si>
  <si>
    <t>Juan Antonio Mexia</t>
  </si>
  <si>
    <t>reyno ha visto con complacencia el noble des­ prendimiento con que D. Ma&amp;uel Hernaiz, regidor alguacil mayor de la plaza de S. Juan de Pueitorico, y D. Juan Antonio Mexia, au­ ditor de guerra de Marina de la misma, han hecho renuncia de sus oficios de regidores perpetuos en alivio del erario. 8. A. ha mandado se les den graci…</t>
  </si>
  <si>
    <t>Mexias, Diego</t>
  </si>
  <si>
    <t>Diego Mexias</t>
  </si>
  <si>
    <t>el Pino, id. en Fer- D. Juan Rodríguez Vaso, id........................ 2 zoo nan-Nuñez......................................................... 2200 D. Diego Mexias, id....,......................,.......... 2zqo D. Andrés del Pino, id.......................... .......... 2200 D. Cristóbal de León, id.........................…</t>
  </si>
  <si>
    <t>Mexías, Francisco</t>
  </si>
  <si>
    <t>Francisco Mexías</t>
  </si>
  <si>
    <t>de Huelma D. Salvador Muñoz Si no supiéramos por nuestra propia experiencia teniente. los enormes daños que ocasionan las langostas, te En Churriana D. Francisco Mexías teniente. tendrían quizá por fabulosas, ó ai menos por exa­ En At-rfe D. l’abio Ximenez de Cisneros ca­ geradas las relaciones que se encuentran en mu­ pitán …</t>
  </si>
  <si>
    <t>Mhitland</t>
  </si>
  <si>
    <t>su marcha con daecman á Valencia, y según ios últimos pastes que me han llegado, ei 19 estaba su retaguardia en La Roda. , He recibido una carta del general Mhitland, con fecha del 17 del corriente, en que me dice había marchado de Alicante, y se ha­ laba en Montfbrte : eí general Roche estaba en Alccy, y ei general 0*Doi¿neÜ…</t>
  </si>
  <si>
    <t>Mi, Juan</t>
  </si>
  <si>
    <t>Juan Mi</t>
  </si>
  <si>
    <t>gado D. José Ig* nació Gorrochategui, 100. D. Dionisio Faxardo , 12. El maestro mayor del gremio de barberos ,29 y 5. D. Pedro Alcántara Bruno , 100. D. Juan Mi* guel Germán , 4. D. Esteban José Amador, 100. D. Lupercio Robles, 10. D. José Gorostiza y Garzón , 25. D. Miguel Terrario va y Aviles , 12. D Vi­ cente Aviles , 20. …</t>
  </si>
  <si>
    <t>Mi, Luis</t>
  </si>
  <si>
    <t>Luis Mi</t>
  </si>
  <si>
    <t>es de Nepe6 &gt;, J. Los dos conductores de Conohucos á lloaras , 2. Cw- rene de Arequipa. Administrador dfc Chincha í). José Céspedes, 25. Id. de Pisco D. Luis Mi­ randa , 17. Id. de lea D. Antonio Gómez , 25. Teniente de id. D. FNteban G#imdo, 6. Administrador de Palpa D. Baltasar de Polo, 17. Id, de ÍVa-ca 15 Tomas de Ribera …</t>
  </si>
  <si>
    <t>Miangolarra, Francisco</t>
  </si>
  <si>
    <t>Francisco Miangolarra</t>
  </si>
  <si>
    <t>vez, 500. D. Juan de Aguilar, por sí y su esposa, 100. El marques de Casa Bosa , IODO. El convento de la Merced, 2000.— Comisaría de Guerra y Marina. D. Francisco Miangolarra, minis­ tro interino , 200. El oficial segundo D. Francisco Ortega, contador de la corbeta Peruano , 160. El tercero D. José María Bastarre.chea , 200. …</t>
  </si>
  <si>
    <t>MiART, Remigio</t>
  </si>
  <si>
    <t>Remigio MiART</t>
  </si>
  <si>
    <t>rentorio de siete dias, contados des­ individuos del-corqejo de pref.ctura de Santander de la ahertura de las sesiones. á D. Joaquín Veiez de vos , á D. Remigio MiART. vil. Si no llegase el número competente zorra J a D. Josef de la.Pedrueza. de dipútalos para la ceTebrácion de la junta gene­ ral &lt; a, el tiempo qae el preside…</t>
  </si>
  <si>
    <t>Michaun</t>
  </si>
  <si>
    <t>fensivo contra Alhaurin. A la primer noticia que partida que atacó u retaguardia del enemigo. El tuvo de ello se dirigieron Its tropas de socorro so­ capitán Michaun, edecán dei general Ormancey, bre el punto atacado: el acercarse á Alhaurin, y el aprisionó é mismo ai secretario del general B .[es­ ataque que dieron los valer…</t>
  </si>
  <si>
    <t>Michekna</t>
  </si>
  <si>
    <t>sh, y de su segundo el brigadier Cieagh. El centro vibaqueaba á media leg m de Castalia con los batallones de la Corona y G .íadix á las órds aoj del brigadier Michekna ; y la reserva á las del comandante ds la primera sección, el brigadier conde de M ¿atejo, coa los batallones de reales guardias Waioaas, primero da Badajoz y…</t>
  </si>
  <si>
    <t>Michel, Agustín</t>
  </si>
  <si>
    <t>Agustín Michel</t>
  </si>
  <si>
    <t>o\ D. Jnan B.cs.. D. J □an Hermoso Daza. ......■ } Diputados seculares Diputado eclesiástico D Andrés Grande. D. Rafael G - reía. ..... ::;v:Vi¡ í Xi D Agustín Michel. Diputados seculares j .q D. Juan. Antonio de Sujse. D. Luis Gi¡ N,r.apjo.. Secretario interino D. Pedro Acevedo»; ,■=&gt; , '■■malí .&lt;£ D. Juan Manuel Ains. D. Cr…</t>
  </si>
  <si>
    <t>Michelena</t>
  </si>
  <si>
    <t>e ellos armados. Lo mismo su­ cede con los disperses, que á centenares acuden á reunirse á sus banderas. Murcia 25 de abril. La columna del mando del brigadier Michelena, después de ha* ber estado en Alcaraz y otros puntos, entró la tarde del 8 del cor­ riente en Ubeda, donde fué recibida con el mayor júbilo de los ha­ bitant…</t>
  </si>
  <si>
    <t>Midan, Juan</t>
  </si>
  <si>
    <t>Juan Midan</t>
  </si>
  <si>
    <t>Buzca. 15. J#sé Maria Gainza, 6 D. José Ariza, 6. D. Domingo Pombar, 16. D. Antonio Lardo, 16. D. Ramón Ribero, 10. D. José Juan de Echevarría , 25. D. Juan Midan, 100. D. Bernardino Salado . 12. D Ignacio Aviles, 100. D. José de.Silva , 6. D. Juan Ferrusola, 50. D. Atanasio l.arios , 10. D José Ponce , 2. D Jcsé de la Vera ,…</t>
  </si>
  <si>
    <t>Miehilon, José Antonio</t>
  </si>
  <si>
    <t>José Antonio Miehilon</t>
  </si>
  <si>
    <t>o , 50. 15. Bernardo Martínez , 6. D. Manuel Villar, 25. D. Pió Garrido, 12. Don Pedro Tr el les , 12. D. Pedro Ruesta , 1. D. Gregorio Palacios, 25. D. José Antonio Miehilon , 1. D. Ramón Manzanares , 2. I). Gaspar Silva , 2. Don Francisco ligarte, 2. D. Matías Cuello , 2. D. Francisco Siadas , 4. 1&gt;. Fran­ cisco Figueiras, …</t>
  </si>
  <si>
    <t>Mier, José</t>
  </si>
  <si>
    <t>José Mier</t>
  </si>
  <si>
    <t>. tribunal de la inquisición, 12QÓ0. D. Bartolomé Vedoya, teniente asesor de la intendencia de Tarma,-en cada un año de los que dure la guerra , 100. D. José Mier, minero de Pasco , en cada un año de los que dure la guerra , 100. D. Juan Reymundez, cura de Laraos, 100. D. Pedr» Aivarado, cura de Atunyaugos , 50. D. José Potau…</t>
  </si>
  <si>
    <t>Mier, Juan</t>
  </si>
  <si>
    <t>Juan Mier</t>
  </si>
  <si>
    <t>ento ma­ yor á D. L ids Piernas; á capitanes de granaderos á D. José Carrizosa y D. Carlos Devílie; á capitanes de fusileros á D. Francisco Guerrero, D. Juan Mier, D. Juan Blanco; D. Francisco Morales, I). Juan Bautista PeÜerín, D. Benigno García Cdderon, D. Pedro Roia, B. Juan Moreno, O. Francisco Hevia , D. Antonio Gayarre …</t>
  </si>
  <si>
    <t>Migas</t>
  </si>
  <si>
    <t>rales, v'zconda de Gante , D. J ,ñé G -l azo, D. Francisco de Tdas y O. Fnlix J &gt;n«s ; y loa m irÍ3oaíes de cam­ po D. Martin’G urnía y L£Msr-'.»rri, D. Migas! Vaicarcel, D. Pere­ grino Jacorné y D. Tomas O-DjügjÚ. Continúan los donativos del Perú, Los pueblos de Machan i, Pana y Naranjal , por mano de T&gt;. Julián de Campo, lu…</t>
  </si>
  <si>
    <t>Migazzi</t>
  </si>
  <si>
    <t>isfecho* que estamos de su conducta , y de qu* señalada acompañado de dos oradores del cabildo su Soberano los apfecia como merecen." de Olmntz ; del conde Migazzi, prelado-mitrado, y del conde Sereny, abad también mitrado, co Del 7 de febrero. una magnífica carroza de seis caballos con otros dos coches de respeto de seis cab…</t>
  </si>
  <si>
    <t>Migue</t>
  </si>
  <si>
    <t>dente en Córdoba.... 22c© ü. Antonio del Rio, id.................................... 2200 P. Josef Piaz , subdiieono , id....................... 2200 D. Migue! Ximenez, id.................................. 2200 P. Antonio Moreno, id.......................... 2200 P. Juan de Lucena, id...................................... 220…</t>
  </si>
  <si>
    <t>Migue, Juan</t>
  </si>
  <si>
    <t>Juan Migue</t>
  </si>
  <si>
    <t>Jaén................... 2200 272800 Ex-agustinos descalzos. Cnyas pensiones reducidas, á una suma im­ portan doscientas setenta y dos mil ochocientos D. Juan Migue! y Ximenez, residente en reales vellón anuales. Alcaudete................................ ................... 2200 art. 11. Ei tesoro público deberá satisfacer á E…</t>
  </si>
  <si>
    <t>Miguel</t>
  </si>
  <si>
    <t>n sus campi­ El 13 del corriente los agentes montados de la ñas cubiertas de viñedos, morerales, olivares y al­ policía tic esta ciudad, mandados por D. Miguel garrobos; siendo también mucho el trigo, cáñamo, Ponce , han preso cerca de Fuente-Ove joña eh un hortalizas v legumbres que eu ellas se crian. El cortijo al famoso gt…</t>
  </si>
  <si>
    <t>motivo de las Luis Rogg, teniente, á capitan; á D. Francisco nieblas que reinaron por entonces. Aquel dia, á las Ingani, sub entente, á teniente, y á D. Miguel 11 y un minuto (tiempo medio), sn ascensión rec­ Martin , sargento primero , á subteniente. ta era de 64o y 2y* , y sn declinación de 13o 34' y Por decretos del mismo …</t>
  </si>
  <si>
    <t>que subieron las 4 banderas de los r g* mien­ tas mas antiguos, colocándose en sus cuatro esquinas. H cho esto, el ayudante general de estado mayor. D. Miguel De ■« ai si eres y F.orez, recibiendo de mano del comandante general la Constitución y mandamientos de su publicación , observancia y j ira me ato , los leyó en voz alt…</t>
  </si>
  <si>
    <t>. D. Juan sente año se ha servido nombrar al subteniente qne Bautista Guitart, juez de primera instancia , á la una fue del real cuerpo de Ingenieros D. Miguel de en punto de su tarde. Allier seguí do teniente del mismo cuerpo. Al subteniente del regimiento de Murcia, 2.* TEATROS* de infanteríj ligera , D. Valentín González t…</t>
  </si>
  <si>
    <t>su infantería era ya prisionera desde los gimiento de Madrid , i.° de infantería de línea. primeros ataques, quanda la necesidad de seguirse Raviola (D. Miguel), cabo primero de granade­ batiendo facilitó su fuga. El destacamento no ha ros del regimiento Real Extrangero. perdido mas que 74 hombres, inclusos quatro ofi­ Rodríg…</t>
  </si>
  <si>
    <t>a servido promover á subtenientes en el cuerpo de artillería á los caballeros cadetes D. Manuel Gutiérrez Rastillos, D. José Venene, D. José Cadenas, D. Miguel E razquio, D. Francisco Ovando, D. R^mon Lavandeyrs, D. Lázaro Viílasante, D. Francisco Leoni, D. Francisco Torrado, D. Joaquín Pczusla, D. Mariano Aznarez, D. Luis Ca…</t>
  </si>
  <si>
    <t>d. en Se- 2200 dt Hoz de,.Arre,ya.,,........................... .... 2200 gOVÍa................ ............................ ............ ...... 22CO D. Miguel . de la Maza, ¡d. de Hscobedo, ■‘ D. Alonso Je rge , id.,en Cobos.................... 2200 valle de Catnargq......................................... 2 2oq D. Tomas L …</t>
  </si>
  <si>
    <t>331</t>
  </si>
  <si>
    <t>rtínez Texada, Pelégrin, Pino, Martinez Fortun, Ciscar, marques de Villafranca, Valle, Utges, Gordillo, Rives, conde de Buenavista, Calello, Riesco ( D. Miguel), Llano, Obregon , Palacios, Morejon, Arósteguí, y Mexía. Relación de los sucesos ocurridos en la reconquista de la provincia ~ de Venezuela» Partes del comandante, ge…</t>
  </si>
  <si>
    <t>royo-Molinos, Segura, Casas del Monte’ Aceytuna, Majadas, Casas del Castañar, Alberca , Marcliagáz Jaraíz Valverde de la Vera , Cabeza-Vellosa, Torre D. Miguel, Montan^ ches, Torrequemada, Herreruelo, Villas-nuevas * Zarza la Mayor Mal partid a, Valle de Matamoros , los Santos , Calzadilhi, Alconera* Puebla de Sancho Perez, T…</t>
  </si>
  <si>
    <t>Miguel, Francisco</t>
  </si>
  <si>
    <t>Francisco Miguel</t>
  </si>
  <si>
    <t>d quidación de la deuda del estado; lo expuesto por ministrador de la -real adiun.i......... * 15000 nuestro ministro de Hacienda, y oido ei dictamen D. Francisco Miguel h guirre , oficial de de la sección de lo mismo de nuestro consejo de la extinguida contaduría d&lt; I plomo. 3^66 2if Estado, liemos decretado y decretamos lo …</t>
  </si>
  <si>
    <t>Mihn</t>
  </si>
  <si>
    <t>habia motivado; y por último, para anular las ór­ bar qu sub isten en .vigor los decretos de Berlín denes puso una cueva condición , á que debía de y d. Mihn. T &gt;ntbien podría repetir con este mo­ sujetarse la Francia , condición en que no podían tivo que t..l vez el conceder la Francia esta* licen­ convenir los Estados-Uuido…</t>
  </si>
  <si>
    <t>Mihy</t>
  </si>
  <si>
    <t>evilla. — Estos movimientos son originados evidentemente por ia entrada del general iíiii en Extre­ madura. Cádiz 20 de enero. Los últimos partes del general Mihy son del II de este mes des­ de Abcante, donde se raurran las tropas de lar» d-visiones del tercer exérc’to , y de los generales Vi 11 a campa y Obispe Los generales…</t>
  </si>
  <si>
    <t>Miialtcs, José</t>
  </si>
  <si>
    <t>José Miialtcs</t>
  </si>
  <si>
    <t>D. Andrés Ta svera, alcalde segundo Don Francisco Cuba, alférez rta; D. Jote Z«-v-da, a’guf cii mayor Daa Pablo Ignacio Arcaya, ale? 1 de provincial D. José Miialtcs. y rogidejes D. M&amp;iiuel Ü.-.bir.a, D. Francisco Xavier Iruusquin, D. Mi­ guel Gil y D. Ignacio Xavier ¿e Eni&amp;savel. „La misma distinción del propio escudo ha ccc…</t>
  </si>
  <si>
    <t>Miians</t>
  </si>
  <si>
    <t>combate, quedando Rovira en las a turas inmediatas de Batet y 'Santapau, para incomodar al enemigo é interceptar los con­ voyes dirigidos á Aulct. Ei general Miians se situó en el Grao de Aulot para cubrir á Vich. El 20 del propio mes la compañía de granaderos dei mando de D. Juan Sádoirsí, apostada de orden del brigadier Rov…</t>
  </si>
  <si>
    <t>Miigarola, Pedro</t>
  </si>
  <si>
    <t>Pedro Miigarola</t>
  </si>
  <si>
    <t>tusos y prisioneros que ha tenido este exército, Prisioneros, Divisiones &gt;&gt;O *5 O fe -’Mk. 5S Cuerpos. Clases. Nombres. a ■. w sr c3 j f Teniente 2.° D. Pedro Miigarola. Guardias j Otro.......... D. Manüeí Mendez Vr¿t'des.... l Español.. lOtro ».. •. D. José de las Guebas.... .. l \ O rí D. Juan Manuel, Cogitan... l fSarg.rni…</t>
  </si>
  <si>
    <t>Miilet</t>
  </si>
  <si>
    <t>, los soldados, al ver á su Soberano, se lle­ hombres, y ha sido rechazado en un ataque dado naron de entusiasmo, y manifestaron el júbilo que por el coronel Miilet con el regimiento ui.“ , y sentían con su presencia, prorrumpiendo en repe­ mediante ¡a marcha del geaeral Lafosse coa el 8j° tidos vivas y aclamaciones. S. M, no…</t>
  </si>
  <si>
    <t>Miitland</t>
  </si>
  <si>
    <t>dición del Re­ tiro. Estas tropas ascendían á dOOO hombres con 2 cañ ones , y períe* nacían á! exército de Suchet. „Míj ú:t;mai noticias del teniente general Miitland son del 24.’" Extracto de una carta'del marques de Wellington ál conde de Bathurst, focha en Va'ladolid á 8 de setiembre d*. 1819. „De3pues que escribí mi despa…</t>
  </si>
  <si>
    <t>Mijares, Femando</t>
  </si>
  <si>
    <t>Femando Mijares</t>
  </si>
  <si>
    <t>se van, ho se ven seña­ les de marcha.Murcia 30 de mayo, Tercer exército.— Orden general—„Et coronel comandante de la tercera sección de infantería, D. Femando Mijares , participa al Excmo. Sr. general en gefe interino, que habiéndose propuesto i-amar la atención del enemigo, que en fuey za parece se dirigía en bus­ ca de! ge…</t>
  </si>
  <si>
    <t>Milá, Tomas</t>
  </si>
  <si>
    <t>Tomas Milá</t>
  </si>
  <si>
    <t>nto,. D. Miguel Li­ no Montes , 25. El cura de Repeña D. Manuel Castrillon , 17. D. José Ga­ lludo , G. El cura de Moro D. José María fluidobro , 25. D. Tomas Milá, 6. D. Hilaido Diaz , 6. El cura de Casraa D. Manuel José Voto, 25. D. Tomas Maguido ,4. — El gremio de carniceros de . carnero del abasto de Lima , 10 y 4 rs. Jul…</t>
  </si>
  <si>
    <t>Milán, Sitnon</t>
  </si>
  <si>
    <t>Sitnon Milán</t>
  </si>
  <si>
    <t>Josef Portal, id............................................. 22co D. Salvador O doñez, id.................................. 2200 Madrid 20 de julio. D. Sitnon Milán, id........................................... 2200 Continuación del decreto de S. M. del 14 del D. Aifonso Ruiz, id....... ................................. 22c…</t>
  </si>
  <si>
    <t>Milans</t>
  </si>
  <si>
    <t>do durante el dia 5, esí por el fuego de nuestra artillería como por el de fusilería, que no desconti­ nuó h rta al amanecer del 6. „A la entrada del general Milans en Mataró, se aprehendieron al­ gunos malos españoles, y entre ellos á 2 que habían admitido el em­ pleo de verdugo y alguacil , los que después de justificado el…</t>
  </si>
  <si>
    <t>Miláns</t>
  </si>
  <si>
    <t>f&gt;70 Miians y Claros. Eí general Miláns se tí tiró á Ridaura, sin que le persiguiese el enemigo. El 13 de este mes la partida'de D. Francisco Tarull, comandanae de reserva, hizo fuego y cansó a'guna pérdida á un destacamen­ to que habla entrado efe C</t>
  </si>
  <si>
    <t>or el intrépido coronel D. Josef Manso, quien ha toma­ do todos los puntos, y tiene encerrado al enemigo en aquella capital. „ A este mismo tiempo el general Milans, unido con el Dr. Robira con unos 4© hombres, entró en Mataró, obligando al enemigo á encerrarse en el fuerte que tiene hecho en el convento de capuchinos, el que…</t>
  </si>
  <si>
    <t>1339</t>
  </si>
  <si>
    <t>por el intrépido coronel D. Jó sé Manso &gt; quien ha tomado todos los puntos, y tiene encerrado al enemigo en aquella capital. A este mismo tiempo, el general Milans, unido con el Dr Rovira con unos 4000 hombres, entró en Mataró , obligmdo al ene­ migo á encerrarse en el fuerte que* tiene hecho en el convento de Capuchinos , el…</t>
  </si>
  <si>
    <t>Mili</t>
  </si>
  <si>
    <t>iente general Hill , parece que el general Drouet habia sido reforzado de'Sevilla ,'y que habia avanzado nuevamente hacia Zafra. Creo probable que el general Mili se moverá el 12 ó el J3 hacia la frontera de Portugal, conforme á las órdenes qwe dixe á V. E. en mi d espacho del 9 del corriente que le habia enviado.— Firmado— W…</t>
  </si>
  <si>
    <t>Miliar, Pió</t>
  </si>
  <si>
    <t>Pió Miliar</t>
  </si>
  <si>
    <t>, por uno, 9. D. Francisco Gómez, mientras pueda , id, 9. D. Antonio Bustamante, por 2 durante la guerra, 18. D. Francisco López Gamuza, por «no , 9. D. Pió Miliar, id., 9. D. Martin Domínguez, id. 9. D* Joaquín de Cárdenas, id., 9. I), José Mrgiu Tarrafa , id., 9. D. Manuel de los Ríos, id., 9. D. Manuel de Urrua, id. , 9. D…</t>
  </si>
  <si>
    <t>Milla, Nicolás</t>
  </si>
  <si>
    <t>Nicolás Milla</t>
  </si>
  <si>
    <t>Manuel Tupayupanqui, 4. IX José Mesa, 2. IX Mariano Mesa, 1. D. José Mirabal, 2. D. Juan Murcies, 4. 1&gt;. Fernando Palomino , 3. D. Manuel Roxas , 2. D. Nicolás Milla, 1. Don Antonio Ortega, T. D. Valentin Hurtado , 2. D. Francisco Perez , 2. D. Ma­ riano Tello, 1. D. Sebastian Daga, 2. IX Ramón Acuña, 4. D. Andrés Melendez, 1…</t>
  </si>
  <si>
    <t>Millaradovitch</t>
  </si>
  <si>
    <t>publicado una parte dé los sucesos ocurridos: lo restante está en prensa, cuy©9 pormenores mas importantes son los siguientes: „Ei 5 de Noviembre, el general Millaradovitch llegó á una aldea, distante 40 werstas de Viasma , en el camino de Smolensko , persi­ guiendo al enemigo. El general Platow se dirigió por la derecha del …</t>
  </si>
  <si>
    <t>Millet, Joaquín</t>
  </si>
  <si>
    <t>Joaquín Millet</t>
  </si>
  <si>
    <t>lagro , 12 y 6. Las tripulaciones de las fragatas Sto. Domingo, Veloz, Trinidad y la Carmen de Ostolaza , 12. La tripulación del corsario Flecha, 18. D. Joaquín Millet, capitán de la fragata corsaria Cantabria , 20. Su contador D. Lorenzo Aramburu, 10. Su tercer piloto D. Juan Malarin, 4. El contramestre y de­ más tripulación…</t>
  </si>
  <si>
    <t>Millet, Miguel Luciano</t>
  </si>
  <si>
    <t>Miguel Luciano Millet</t>
  </si>
  <si>
    <t>s los que se oponen á que imputaba, y remitido después á España b.txo par­ se realice el nuevo sistema; y no $¡stefn3 que no tida de registro: ¡as de D. Miguel Luciano Millet tiene por apoyo el respeto de los qne lo han de y de D. Francisco de Renovales: la seguida con­ éxecutar, no puede sostenerse. {Semanario pa­ tra ti mar…</t>
  </si>
  <si>
    <t>Milliard, Pedro</t>
  </si>
  <si>
    <t>Pedro Milliard</t>
  </si>
  <si>
    <t>a del Castillo presbítero y exMolí, teniente, á capitán en la vacante de Don erónimo , para el beneficia de la parroquia de San Noel Antonio Sassary; D. Pedro Milliard , subte­ niente , á teniente en reemplazo de D. Ado lio LáS ’ablo de Ubeda, diócesis de Jaén, vacante por fa­ llecimiento de D. Miguel de Aguayo, y por re­ zar…</t>
  </si>
  <si>
    <t>Miloraduwistsch</t>
  </si>
  <si>
    <t>, habían salido en virtud de las órdenes que ya de antemano habían recibido, á unirse con el cuerpo del mando del teniente general Wittgenstein. — Ei general Miloraduwistsch da parte de que las avanzadas enemigas conservan todavía las mis­ mas posiciones, y que los cosacos , que no cesan de acosarlas du­ rante la noche , las …</t>
  </si>
  <si>
    <t>Mimos, Francisco Antonio</t>
  </si>
  <si>
    <t>Francisco Antonio Mimos</t>
  </si>
  <si>
    <t>José María Éncinoso de Abreu, id , 25. D. José Astor, id. , 25 y 4. D. Juan Miguel Pita , id. , 10. P. Fran­ cisco y D. Pedro de Cárdenas , id., 100. D. Francisco Antonio Mimos , id., 17. El conde de Zaldivar y D. Pedro Juan de Erue , por recoleic on en ios barrios de la casa de gobierno, Sto. Domingo , Sra. Teresa y Ursulina…</t>
  </si>
  <si>
    <t>Mina</t>
  </si>
  <si>
    <t>y ha manifestado su completa sa­ da escribir en adelante, no es canaz de dar una tisfacción ai señor Ñau, que es el dueño de esta idea tan cabal del general Mina, y de la quadrilla i abrica. de bandidos que le acompañan, como esta hisro-</t>
  </si>
  <si>
    <t>Corana algunas armas curiosas para regalar á nom­ bre del gobierno británico á los gefes de las guerrillas mas distingui­ das. Las destinadas para el brigadier Mina serán ele una cualidad y mérito correspondientes, para hacer conocer el alto concepto en que se le tiene por su valor y patriotismo. La sagrada causa, por la que …</t>
  </si>
  <si>
    <t>ue el 27 de agosto evacuaron ios franceses la ciudad de Zamora, y que el 18 se hallaba en Bilbao el general Mendizabal. El dia 23 del pasado atacó el general Mina á un cuerpo de tropas ene­ migas , compuesto de 3© infantes y 200 caballos; la batalla se dio en la car­ retera real de Pamplona en las inmediaciones de Tiebas, y e…</t>
  </si>
  <si>
    <t>gran brigada que están formando ei*Jaen. En esta ciudad y en la villa de Menxibar están preparados para mar­ char los franceses y sus partidarios. El general Mina se hallaba el 30 del mes anterior en Puente la Reyna lestablecído de su herida, aunque con alguna incomodidad para montar á caballo. — - ■ ■ 1 "■ — DON CARLOS DE ES…</t>
  </si>
  <si>
    <t>de 27 piezas que traía consigo ha tenido orden de volver atras. Se dice que entrará en España con 5® hombres, y que viene á reemplazar á Marmont. El general Mina en todo el mes de agosto ha ocasionado al enemigo una pérdida de mas de 2® hombres en diferentes acciones. Se esperan los detalles de estas, cuyos partes insertaremo…</t>
  </si>
  <si>
    <t>ispe. ' . ‘ . ; El" general' Basecourt ha jnarchado con sus tropas sobre Cuenca, con el objeto de reunirse con la .división del general Viüacampa. El general Mina se -hallaba1 el 30 del mes anterior en Puente la Reina restablecido de sü’dierida', aunque* con alguna incomodidad para montar á ¿aballo. - - ARTICULO DE OFICIO. Ci…</t>
  </si>
  <si>
    <t>días, sj resolvió atacar de nuevo e&amp;ta plaza de concierto coa las guerrillas de D. Gaspar de Jáuregui, y ccn e! socorro de uno de los batallones del general Mina, que el mismo había prometido enviar. En la madrugada del 18 se desembarcó del Venerable un cañón de 24, ó las órdenes del teniente Groves, y un obús mandado por el …</t>
  </si>
  <si>
    <t>muchos años. Puente la Reyna y agosto 31 de 1812. =:Espo'z y Mina. ” . ; ' El dia 12 del corriente el segundo batallón de la división del mencionado general Mina hizo frente á 4© infantes y 300 caballos enemigos mandados por el general Soulier; duró el fuego desde las nueve de la mañana hasta las doce y media, hora en que el …</t>
  </si>
  <si>
    <t>se ha vendido á los enemigos esta ventaja.” El excreto de Soult parece que corre su línea por la provincia de Cuenca. El día 11 del corriente tuvo el general Mina una gloriosa acción en las inmediaciones de Tafalla: duró el fuego desde las ocho de la mañana hasta 'i (1) Si los españoles todos y las potencias beligerantes de l…</t>
  </si>
  <si>
    <t>real y pueblos del partido, é impida que el enemigo acopie frutos y subsistencias para los almacenes de Zaragoza. El dia 11 del corriente sostuvo el general Mina una acción tan empeñada, que duró cerca de nueve-horas.en* un fuego vivo y continuo; dicha acción es la misma de que hablamos en la gazeta anterior. Las fuerzas del …</t>
  </si>
  <si>
    <t>1195</t>
  </si>
  <si>
    <t>tiende por la provincia de Cuenca. En esta ciudad entraron el 19 del mismo ; y habiendo exi­ gido raciones , volvieron á evacuarla. El dia 11 tuvo el general Mina una gloriosa acción en las inme­ diaciones de Tafalla: duró el fuego desde las 8 de la mañana hasta las 2 de la tarde, quedando cubierto el campo de cadáveres, carr…</t>
  </si>
  <si>
    <t>Minavales, José</t>
  </si>
  <si>
    <t>José Minavales</t>
  </si>
  <si>
    <t>a Francisca Berasíegui , 25. — Dependientes de minas. D. José España , 10. D. Francisco Mazorra, 8. D. José Lemus, 25. D. Juan Bautista Pelogui , 25. D. José Minavales , 20. D. Pedro Sierra, G. D. Guillermo Arriaga , G. 1). Joaquín Li.zarnturi, 25. D. Juan Miota, 10. D. José Martínez, 8. D. Tibureio Ribe­ ra, lO. . (Se contin…</t>
  </si>
  <si>
    <t>Minecks</t>
  </si>
  <si>
    <t>o de la Cuesta , arcediano titular de Avila, cargado de judías y harinas, y el Dick, buque ha sido nombrado presidente de la junta general americano, capitán Minecks, procedente de Nue­ de aquella subprefectura. va- Yorck, cargado de azúcar , Café y añil. Se han publicado en Copenhague dos diserta­ ciones mui curiosas: ¡a ana…</t>
  </si>
  <si>
    <t>Mingorranz, Bárbara</t>
  </si>
  <si>
    <t>Bárbara Mingorranz</t>
  </si>
  <si>
    <t>Qoerejazu........... ............................. 7840 Por depósitos hechos en la caxa de amortización. D. Pedro García y Piniüos......... 677 2 17 Doña Bárbara Mingorranz, como £1 fondo pió del ministerio de la tutora y curadora de sus hijos Guerra........................................ 7.218420 17 £ D. Josef María y D. Fe…</t>
  </si>
  <si>
    <t>Minuth</t>
  </si>
  <si>
    <t>no podrá estar mas que cada uno se establecerán tres ó quitro almacenes. quatro mi’las distante del parage en que se halle S. M. ha nombrado ál señor consejero Minuth co­ el deudor. Las personas que para primeros de agos­ misario provincial pata entender en las subsisten­ to no se hayan aprovechado de estas disposiciones, cia…</t>
  </si>
  <si>
    <t>Miota, Juan</t>
  </si>
  <si>
    <t>Juan Miota</t>
  </si>
  <si>
    <t>D. José Lemus, 25. D. Juan Bautista Pelogui , 25. D. José Minavales , 20. D. Pedro Sierra, G. D. Guillermo Arriaga , G. 1). Joaquín Li.zarnturi, 25. D. Juan Miota, 10. D. José Martínez, 8. D. Tibureio Ribe­ ra, lO. . (Se continuarán.) CADIZ : EN LA IMPRENTA REAL.</t>
  </si>
  <si>
    <t>1207 órdenes del teniente D. Juan Miota y el alférez D. Antonio Puente despaché esta mañana á Lerma con los pliegos de V. E. „Esta partida se ha cubierto de gloria: á su regreso en el montes de las Cruces ha batido y dispersado á otra de caball</t>
  </si>
  <si>
    <t>Miqueau, Francisco</t>
  </si>
  <si>
    <t>Francisco Miqueau</t>
  </si>
  <si>
    <t>e los jesuítas de Polocs en la Lt- llón, á mayor; á D. Carlos Charpeney, capitán, tnania ha sido erigido en academia con el título de á comandante; á D. Francisco Miqueau, teniente, Academia de la orden de los Jesuítas, y tendrá á á capitán; á D. Sebastian Gibasier, subteniente, á su cargo la enseñanza de todas las ciencias, …</t>
  </si>
  <si>
    <t>Mir, Miguel</t>
  </si>
  <si>
    <t>Miguel Mir</t>
  </si>
  <si>
    <t>su división pasaba por Coll-sacreu dirigiéndose á di­ cha villa. — Entonces destaqué 4 compañías de cazadores y parte de zapadores al mando del mayor D. Miguel Mir, previniéndoles no rompiesen el fuego hasta que hubiese pasado toda la retaguardia eiiemiga el punto del Remedio , ínterin que yo me emboscaba coii la división á s…</t>
  </si>
  <si>
    <t>Mira, Manuel</t>
  </si>
  <si>
    <t>Manuel Mira</t>
  </si>
  <si>
    <t>mayor del hospital de San Andrés , 2. D. Miguel Rotalde , id., 2. D. José Saez , 1. D. Manuel Rizo, capellán mavor del hospital de S. Bartolomé , 1. D. Manuel Mira, id., 2. IX F ornando Mestas , I. D. Gavino Villegas , 2. D. Pedro Martínez , 1. Don Gerónimo Arnal, capellán del monasterio de Sta. Clara , 17. D. Manuel de A iba…</t>
  </si>
  <si>
    <t>Mirabal, José</t>
  </si>
  <si>
    <t>José Mirabal</t>
  </si>
  <si>
    <t>irabal, 4. XX Miguel Cevallos,4. I). Ig­ nacio Carguacarschi, 6. D. José Bodelon , 2. D. Manuel Tupayupanqui, 4. IX José Mesa, 2. IX Mariano Mesa, 1. D. José Mirabal, 2. D. Juan Murcies, 4. 1&gt;. Fernando Palomino , 3. D. Manuel Roxas , 2. D. Nicolás Milla, 1. Don Antonio Ortega, T. D. Valentin Hurtado , 2. D. Francisco Perez ,…</t>
  </si>
  <si>
    <t>Miranda</t>
  </si>
  <si>
    <t>nador de El gobernador general de las provincias Hin­ Vaíeocia, nombrado comandante en gefe por el cas continúa visitando la Dalmacia. Este pais, tan general Miranda , ha remitido el pane siguiente: poco conocido y tan descuidado hasta ahora, se pue­ ,, Exento. Sr.: Participo á V. E. con el mayor de mejorar infinito. Para el …</t>
  </si>
  <si>
    <t>descubrieron las avanzadas cerca de Pandorado , y roto el fuego , se replegaron las nuestras al castillo de Ve­ ga , según se les habia mandado. — El comandante Miranda habia situado la mayor parte de sus fuerzas en la montaña de la izquierda de Vega, y dexando en el castillo algunos soldados que sostuviesen las guerrillas, m…</t>
  </si>
  <si>
    <t>­ en la cámara alta que la emancipación de ios cató­ tagena. Pero con motivo de hallarse enfermo el licos es , á su modo de entender, una providencia general Miranda se han suspendido las operaciones que no sufre dilación. Al mismo tiempo Mr. Per- militares de la nueva junta. Parece que los parti­ cevat ha declarado en la cám…</t>
  </si>
  <si>
    <t>in que todavía alcan­ ñas y de las ladias. cemos a ver el fia de esta lucha." ,, Atendiendo á la influencia que tendrá en 'a Habiéndose sabido que el general Miranda da prosperidad y salobridad de la villa de Daimid y acogida á los corsarios franceses en sus puertos , han sus inmediaciones la limpia de la parte del rio llegad…</t>
  </si>
  <si>
    <t>or el conde de Montijo , foriri;ndo mi retaguar­ y O-Rian. De alii á muí poco tuve aviso de que dia de dos batallones de Los cazadores de Burgos y el general Miranda se había retirado, y vi que de los tiradores de Cádiz, colocando la artillería O-Doneli venia á tomar la posición que yo tenia. y caballería entre las dos posici…</t>
  </si>
  <si>
    <t>me se hará para el 4 de junio próximo. Ha­ proteger!la marcha del general Obispo, y 140 ca­ ce 17 años que se adoptó el uniforme actual: no ballos al general Miranda, de modo que se quedó cabemos lo que durará el nuevo. { The Courrier. ) con 1912.hombres de infantería y 47; caballos. Está mañana han llegado gazetas americanas…</t>
  </si>
  <si>
    <t>parte sobre las operaciones del cuer­ ■ &gt;'• -• , T ■ ■' po 'dé reserva del segundo exército , mandad* por D. Josef de Liori. 1 Extracto del parte del general Miranda, co­ mandante de la primera división del segundo ,, Se destinaron 3$ hombres de este cuerpo pa­ exército , dirigido á D. R. -Pirez , gefe del es­ va .cooperar al…</t>
  </si>
  <si>
    <t>22 cañones de á ti; el hortando á los habitantes de esta provincia á que Conde de Moira, de 12; el Duque de Kent, el se reúnan á la confederación. El general Miranda, Duque de Glocestsr y el Taranto , cada uno después de haber establecido un nuevo, gobierno de 6,: total 5 2 cañones. Nosotros no tenemos hasta en Valencia, ha v…</t>
  </si>
  <si>
    <t>mejoies artífices mg'es-s. Los comércim- desde id hasta 40 años de edid, todos baxn el tes que venden las mercaderías , co'-ocidas con el ¡mando, del general Miranda , que s« hi propue'to nombre de Nuremhíjrg , como esp j’s, carteras, ta gloriosa empresa ¡de asegurar la iúdepeodencU cadenas de re.i x 8c . , envían grandes rem…</t>
  </si>
  <si>
    <t>de Curazao que alcanzan hasta el 26 de mayo. Por ellas se sabe que habiéndose apoderado de Valencia una fuer­ za armada perteneciente al Gobierno, el general Miranda se dirigía hácia aquella ciudad con todas las tropas que pudo recoger, con el fin, si era po­ sible , de recobrarla. Las cartas de Buenos-Ayres, que llegan hasta…</t>
  </si>
  <si>
    <t>Miranda, Domingo</t>
  </si>
  <si>
    <t>Domingo Miranda</t>
  </si>
  <si>
    <t>.Manuel Varela, 25. D. Dá­ maso Huidobro , 50. D. José Antonio Fuster, 15. ]), Antonio Pcrez , 10. I). Julián de Herrera, 100. D. Juan Calderón , 50. D. Domingo Miranda,’ 25. D. Francisco Antonio de Taegui , 50. D. Ramón Caballero , 25. D. José do ílercsa , 50. D. Silvestre Pon ce de León , 25. D. Francisco González, 50. D. S…</t>
  </si>
  <si>
    <t>Miranda, Fernando</t>
  </si>
  <si>
    <t>Fernando Miranda</t>
  </si>
  <si>
    <t>64</t>
  </si>
  <si>
    <t>os y desertores. Estado mayor del sexto exordio. Cuartel general 11 de diciembre. La columna volante de este exército, á las órdenes del comandan­ te D. Fernando Miranda, se ha batido el 12 del corriente en el puebla de Benavides , obligando á los enemigos á repasar con vergonzosa precipitación el rio, y retirarse á Puente de…</t>
  </si>
  <si>
    <t>jeto que me he propuesto ai tiempo de su formación.” 2S „Excrao. Sr. : La columna volante ai manilo del capitón de granaderos.de! segundo dé Asturias D. Fernando Miranda, fué ata­ cada al amanecer del 20 de este mes entre Pándorado y Castillo de Vega por una. columna enemiga de 600 hombres y 200 caballos , la que filé- reforz…</t>
  </si>
  <si>
    <t>Miranda, Francisco</t>
  </si>
  <si>
    <t>Francisco Miranda</t>
  </si>
  <si>
    <t>Reí en el palacio de S.int Cloud ai cuerpo artillería , á segundos tenientes del propio cuerpo; diplomático, que fue condecid t á la audiencia por á D. Francisco Miranda, ayudante de segunda un maestre y un ayudante de ceremonias, y pre­ clase de la plaza de Madrid, para ayudante de sentado por el Excmo. Sr. gran maestre de l…</t>
  </si>
  <si>
    <t>fingimiento y de la mentira para arrancarles la gunda clase de la plaza de Madrid , en reemplazo confesión, y dando solemnidad á una conversación de D. Francisco Miranda; a! capitán primero que privada , y á palabras sacadas fraudulentamente á fue del real cuerpo de artillería D. Antonio de la sombra de la amistad en la mas s…</t>
  </si>
  <si>
    <t>Miranda, ÍL Fernando</t>
  </si>
  <si>
    <t>ÍL Fernando Miranda</t>
  </si>
  <si>
    <t>que manifiesta en su parte el gefe de la columna volante. „El comandante general D. Xavier Abadía, en consideración á los conocimientos militares del capitán ÍL Fernando Miranda, su cono­ cido desempeño , los servicios que ha contraído durante la actual guerra , y señalamente en las acciones del 12 y 20 del corriente , ha ve­…</t>
  </si>
  <si>
    <t>Miranda, Josef</t>
  </si>
  <si>
    <t>Josef Miranda</t>
  </si>
  <si>
    <t>s que antes pagaban los granos Lardizabal, ídem de la división de vanguardia ex­ traídos de América. El objeto de esta providencia pedicionaria ídem; D. Josef Miranda , ídem de la es obligar á los labradores de la Jamaica á que cnl- primera división del 2.a exército; D. Francisco tiven los frutos de primera necesidad, y dexea…</t>
  </si>
  <si>
    <t>Miranda, Manuel</t>
  </si>
  <si>
    <t>Manuel Miranda</t>
  </si>
  <si>
    <t>io de Taegui , 50. D. Ramón Caballero , 25. D. José do ílercsa , 50. D. Silvestre Pon ce de León , 25. D. Francisco González, 50. D. Simón Muñoz, 25. D. Manuel Miranda, 12. D. José María Viso, 25. D. Francisco de Otero , 40. D. Francisco Merino, 25. D. Ce&gt;areo Sanor, 50. D. Juan González , 35. D, Patricio Bermudez, 12. D. Ign…</t>
  </si>
  <si>
    <t>Miraotes, Manuel</t>
  </si>
  <si>
    <t>Manuel Miraotes</t>
  </si>
  <si>
    <t>se p-olongaban las faxas; y por la par­ cimiento de D. Manuel Cantarero, al ex-merce­ te superior, encima del sol, formaban una especie nario calzado D. Manuel Miraotes, sacristán de de arco, que se vio distintamente á eso de las ocho la de B.as de Gnadix. y media. Al cabo de algunos minutos se deshizo Para esta resulta al ex…</t>
  </si>
  <si>
    <t>Mirbach</t>
  </si>
  <si>
    <t>e Riga á Mittau para dado por ei mayor de Elcke, y los tiradores de la establecer un nuevo gobierno en aquella provincia, vanguardia, mandados por el capitán Mirbach, del que miraba como reconquistada; pero se le han regimiento i.° frustrado sus proyectos. „La extrema laxitud de las tropas, que desde ,, El general de York, pa…</t>
  </si>
  <si>
    <t>MíreosMetendez</t>
  </si>
  <si>
    <t>a. los representantes del país, y otros dos elegido* tambi-n entre los comerciantes. Quinto batallón. • ,,Los miembros de esta junta de hacienda ten­ D. MíreosMetendez, sargeuto primero, á sub­ drán voz deliberativa en eiía, pero soto voz deli­ teniente de la tercera compañía. berativa con respecto á vos, como ministro de Ha­…</t>
  </si>
  <si>
    <t>Mires</t>
  </si>
  <si>
    <t>e cerró Is puerta del castillo, abrió las de las bóvedas, y todos ce pusieron al arma en e! mejor orden. A breve rato se presentó con algún recelo el coronel Mires en la puerta avanzada dei castillo en cclicitud del oficial, quien le contestó que aquella fortaleza estaba por su rey D. Feii mando vil. Sorprehendklo Mires se re…</t>
  </si>
  <si>
    <t>erróla puer­ ta del castillo , abrió las de tes bóvedas, y todos se pusieron al arma en el mejor orden. A breve rato se presentó con algu'n recelo el coronel Mires err la puerta avanzada del castillo en solicitud del oficial, quien le contestó que' aquella fortaleza estaba por su Rey D:. FERNANDO VIL SorprehendidoMires , se r…</t>
  </si>
  <si>
    <t>Miró, José</t>
  </si>
  <si>
    <t>José Miró</t>
  </si>
  <si>
    <t>o Diaz de Herrera, y á los cadetes del mismo regimiento de guardias españolas D. Car­ los de Serítmanat, D. José Alcalá Gaiiano, D Manuel de Arrióla, D. José Miró , D. José Antonio de Armenteros , D. José dé Acosta, D. Cárlos Armenteros, D. Lorenzo Fernandez de Somera y D. Juan, José Barutell. Igualmente ha conferido S. A. én…</t>
  </si>
  <si>
    <t>Mirtinez, Francisco</t>
  </si>
  <si>
    <t>Francisco Mirtinez</t>
  </si>
  <si>
    <t>chos por estos insectos ea ciertas épocas y paí­ En Arbolete D. Antonio Angulo teniente. ses. Quando están vivos talan los campos; no hai En Maracena D. Francisco Mirtinez teniente. yerba por donde pasen que no quede comida ó En Cuentar D. Pedro H rnandez teniente. seca ; planta ni árbol vestido de hoja que no que­ En Gavia l…</t>
  </si>
  <si>
    <t>Misas, Ataoasio</t>
  </si>
  <si>
    <t>Ataoasio Misas</t>
  </si>
  <si>
    <t>ará D. Juan Antonio Gutiérrez. media compañía. D. Juan de Frías. Queda nombrado capitán de ella D. A-onsO D. Agustin Pádillo. Montero , y subteniente D. Ataoasio Misas. art. ni. En la villa de Aguiíar se formará ART. viii. En las villas de Guijo y MonturUn batallón de quatro compañías. que se formará una compañía. Nombramos p…</t>
  </si>
  <si>
    <t>Misas, Pedro Ruiz</t>
  </si>
  <si>
    <t>Pedro Ruiz Misas</t>
  </si>
  <si>
    <t>.................... 2100 cazar............................... ,•*.......................... ItOO D. Manuel Xitnenez Madroñ.-ro , id............ 22co D Pedro Ruiz Misas, id................................ 2200 Ex-mercenarios calzados. D. Ignacio Requera, id. en Montilla.......... 2200 D. Ja *r» Bernia , residente en Córdoba..…</t>
  </si>
  <si>
    <t>Mispireta, Joaquín</t>
  </si>
  <si>
    <t>Joaquín Mispireta</t>
  </si>
  <si>
    <t>r D. Antonio Sañarti, 100. El asesor D. Manuel José Bravo de Rueda, 100. El secretario I). Joaquín García, 100. El oficial primero de la contadu­ ría D. Joaquín Mispireta , 50. El segundo primero D. José Morote , 100. El segundo D. Antonio Gutiérrez , 25. El portero primero D. Joaquin Cosío , 25. El segundo D. José Cruzado, 1…</t>
  </si>
  <si>
    <t>Misselly, Luis</t>
  </si>
  <si>
    <t>Luis Misselly</t>
  </si>
  <si>
    <t>ucdt, S. M. promover eo el r:gi niento de infaotería Real Torres y Várgas. Señores Infantes , Avecilla , Casanova, Alverá, Mas y Fabiuni Extranjero á D. Luis Misselly, ayudante mayor, i capitán; D. Josef Dumont, subteniente, á te­ En el de la Cruz, á las cinco y media de la tarde, niente: y en el regimiento núm. i.’ de cazado…</t>
  </si>
  <si>
    <t>Miyares</t>
  </si>
  <si>
    <t>a laba ya con mayores fuerzas que las que se supo­ nían. En consecuencia, no puedo menos de recomendar á V. E., para que se sirva hacerlo á S. A., al coronel Miyares, pues no siendo esta la pu ñera ocasión que ha demostrado lo que ofrecen sus vastes co­ nocimientos , es uno de los oficíale? que me marceen mas sobresalien­ te …</t>
  </si>
  <si>
    <t>Miyares, Fernando</t>
  </si>
  <si>
    <t>Fernando Miyares</t>
  </si>
  <si>
    <t>parte de las guarniciones de Biaf y Castalia por Ahnansa á tomar ei camino real por e! Bonete, previne al coronel, ayudante general del estado mayor, D. Fernando Miyares, gefe de la tercera sección de infantería, que se encontraba en Aspe con los 2 batallones de Baylen y Alcázar de S. Juan, que marchase á atacar á Castalia co…</t>
  </si>
  <si>
    <t>Mjdri</t>
  </si>
  <si>
    <t>os de conciliación, se fixarán estos juzgados art. viii. Cinco individuos de la misma chan- provisionalmente en ios pueblos en que habia jue­ cilktia d Mjdri.t formarán sin embargo por aho­ ces ordinarios. ra un., junta criminal extraordinaria, la qual con­ art. xviii. Nuestro ministro de Justicia que­ tinuara conociendo de l…</t>
  </si>
  <si>
    <t>Mlake</t>
  </si>
  <si>
    <t>pañola estaba resuelta á atacar la primera, se res­ Estado de la pérdida sufrida por el exército del guardó detras de una pared que se hallaba á poca general Mlake en la batalla del 2 S de octubre. distancia; pero que los caballos españoles forzaron este paso, obligaron á los franceses á retirarse, y Cuerpo expedicionario del…</t>
  </si>
  <si>
    <t>MLUaco, Miguel</t>
  </si>
  <si>
    <t>Miguel MLUaco</t>
  </si>
  <si>
    <t>D. José María ViUavicsncio, D. Félix María Farias y D. Juan Pedro Pe*ayo ; el mismo de ras de caballería, á D. Rafael Padrón , D. José María Arcaya, D. Miguel MLUaco, D. Juan de Lugo, D Juan José Perez, D. José Antonio G'uirola y D. Joaquín Segarte ; de subteniente de las de infantería, á D. Alonso Gil, D Leopoldo Tolleria , …</t>
  </si>
  <si>
    <t>Mmhes</t>
  </si>
  <si>
    <t>ico noticia exacta de todo ello. E* capitán napolitano I). Andrés Rosaroll tenia 2 hermanos que servían en et exército de Mural, baxo las órdenes del general Mmhes. El uno de</t>
  </si>
  <si>
    <t>Mmsarriii</t>
  </si>
  <si>
    <t>o la noche del 15 de Setiembre de 1812. —- Juan An­ tonio BarutelL” /*. U* 9,S°n las 4 de la mañana de hoy 16 y acabo de saber po­ sitivamente que el general Mmsarriii con 2005 infantes ocupa des­ de anoche á la una el campo de íluetor, cuyas ayanzadas caen so­ bre Veas, medio ctiarto de legua de mi posición ; he dispuesto re…</t>
  </si>
  <si>
    <t>Mo, Fernando Antonio</t>
  </si>
  <si>
    <t>Fernando Antonio Mo</t>
  </si>
  <si>
    <t>oues de víctimas, destronan los Reyes , quan— Narciso Español, cura de Carranque. do ya no les sirven mas, ó quando se resisten al Para el de Orgaz á D. Fernando Antonio Mo­ menor de sus antojos sanguinarios. En Europa, ran, beneficiado de S. Andrés de Madrid. desoían los países para dominarlos después mas á Para el de Fuente…</t>
  </si>
  <si>
    <t>Mocune</t>
  </si>
  <si>
    <t>cambien estuvo un poco indispuesto. cios. La artillería francesa causaba mucho estrago El corregidor de la ciudad suministró á esta al enemigo ; y el general Mocune se había apode­ desgracióla familia todos quantos auxilios son itna- rado de la posición mas formidable que tenia aquel, gitirhlcs , y envió cirujanos para que ab…</t>
  </si>
  <si>
    <t>es por Alba de Tórmes. El 22 se tíabó un combate general baxo los mejores auspicios: la artillería fran­ cesa causaba mucho- estrago al enemigo, y el general Mocune se ha­ bía apoderado de la posición mas formidable que tenia aquel, cuan­ do el señor duque de Ragusa fué herido y quedó fuera de combate. El general Bonnet, que …</t>
  </si>
  <si>
    <t>Mogollon, José</t>
  </si>
  <si>
    <t>José Mogollon</t>
  </si>
  <si>
    <t>na á D. José Costa. Sargentías mayores : del regimiento do Leales Manresanos á D Manuel M-iscaró ; del de Palma á Don Francisco Piadas; del de Baza á D. José Mogollon; del de Barce­ lona á í). Victorino B.imbier: del de S. Fernando á D. José Boix; del de Gerona á O. Alfonso Herrero; del de Mataró á D. José Ma­ já a Colubi; y …</t>
  </si>
  <si>
    <t>Mohr</t>
  </si>
  <si>
    <t>fran­ por Lobiezin hacia Iwantzewlezy sobre el Czara cés: el general Deroy salió herido. para inquietar las comunicaciones de Slonim , he mandado al general Mohr que marche, y procure Combate de Valontitia. alcanzar y y hacerle todo él mal posible al mismo. * Al amanecer del dia 19, construido ya un puen­ Remito adjunta la co…</t>
  </si>
  <si>
    <t>Moiet, Miguel</t>
  </si>
  <si>
    <t>Miguel Moiet</t>
  </si>
  <si>
    <t>na proclama que dirigieron á estos habitantes los comisionados por el congreso provincial de aquel principado. Asimismo D. Pedro Simón de Mendiuueta, D. Miguel Moiet y el conde de Busoc®, ve­ cinos de esta capital, justamente penetrados del heroico valor y pa­ triotismo del coronel D. Francisco Espoz y Mina, abrieron en 26 de…</t>
  </si>
  <si>
    <t>Moira</t>
  </si>
  <si>
    <t>uesta términos tan fuertes como los de esta memoria; del duque de Dowñshire, m -rquo de D- woshire, que se tendría en consideración todo lo expuesto .conde Moira-, conde D-rdlev , Jn'%e P&lt;nií&gt;ornen ella; pero añadió que no quería fomentar unas by , J. Newport y Roberto Latonche, á los qna-</t>
  </si>
  <si>
    <t>Molano, Diego Merino</t>
  </si>
  <si>
    <t>Diego Merino Molano</t>
  </si>
  <si>
    <t>io de la parroquia de la villa Por decreto.de 17 del mismo se ha servido del Barco de Avila , diócesis de Avila , vacante por S. M. nombrar muerte de D. Diego Merino Molano, en lugar del A D. Pedro Terreros, presbítero, ex-merce­ ex- benedictino D. Bernardo Leca, que pasó á ser nario calzado, para una ración de la santa igles…</t>
  </si>
  <si>
    <t>Molero, José López</t>
  </si>
  <si>
    <t>José López Molero</t>
  </si>
  <si>
    <t>elipe Al varad o, 100. El presbítero D. José Fernandez, 25. Doña Ines Villalta, viuda , 100. Doña Teresa Villata, marquesa viuda de Villablanca, 100. D. José López Molero, cura de Huco , 25. I). Tadeo Valverde , cura de Chacas, 100 , y ofrece igual cantidad ínterin dure la guerra. D. Tomas Ausejo , comandante militar de lea ,…</t>
  </si>
  <si>
    <t>Moli, Agustín</t>
  </si>
  <si>
    <t>Agustín Moli</t>
  </si>
  <si>
    <t>Antonio Ansaldo , D. Sebastian de Moya, D. Antonio María Portaz, D. Antonio Moreno, D. Andrés Rodrí­ guez, D. José Martínez, D. José Muñoz Silleros, D. Agustín Moli­ na, IX Asensio Cabrera y González., D. C irios María Godinez, Don Rafael Piñuela, y á los subtenientes graduados D. Juan Díaz Pino, D. J osé María Angulo, D. Die…</t>
  </si>
  <si>
    <t>Molí, Luis</t>
  </si>
  <si>
    <t>Luis Molí</t>
  </si>
  <si>
    <t>e Aguayo, y por re­ zaro Couturier; D. Esteban Forestier , subtenien­ nuncia que hizo de él el ex-agonizante D. Josef te , á teniente cu reemplazo de D. Luis Molí; Don Pando y Bracha. 1 Renato Meiito, subteniente agregado, subtenien­ Y D. Tadeo López, presbítero, ex-mítiimo, | te en reemplazo de D. Pedro Milliard, y D. Hngó p…</t>
  </si>
  <si>
    <t>Molina, Agustín</t>
  </si>
  <si>
    <t>Agustín Molina</t>
  </si>
  <si>
    <t>Antonio Ansaldo, D. Sebastian de Moya, D. Antonio Ma­ ría Portaz, D. Antonio Moreno, D. Andrés Rodríguez, D. Josef Martínez, D. Josef Muñoz Silleros, D. Agustín Molina, D. Asensio Cabrera y Gonzá­ lez, D. Carlos María Godinez, D. Rafael Piñuela, y á los subtenientes gra­ duados D. Juan Díaz Pino, D. Josef María Angulo, D. Die…</t>
  </si>
  <si>
    <t>Molina, Francisco</t>
  </si>
  <si>
    <t>Francisco Molina</t>
  </si>
  <si>
    <t>edro Fernandez , residente en Lucena. 2200 D. Ignacio de la Cuesta, id................ ...... 2200 D. Juan Fernandez, íd........................ 2200 D. Francisco Molina , id.............................. 2200 D. Luis Perales, residente en Puente Do a D.1 Martin de Carmona, id........................... 1200. Goozaló.........…</t>
  </si>
  <si>
    <t>Molina, Joaquín</t>
  </si>
  <si>
    <t>Joaquín Molina</t>
  </si>
  <si>
    <t>vajal. D. Francisco Xavier Arcolus, natural del señorío de Vizcaya y residente en la diudad de Cuenca del Perú , hallándose el presi­ dente de Quito, D. Joaquín Molina, en la mas apurada situación por falta tfe caudales, le proporcionó 18000 ps. en calidad de em­ préstito, sin exigir por ellos rédito alguno en 2 años. Iastado…</t>
  </si>
  <si>
    <t>Molina, Josef</t>
  </si>
  <si>
    <t>Josef Molina</t>
  </si>
  <si>
    <t>d....................................... 2200 D. Cristóbal Blanco, id.................................... 2200 D. Manuel de la Loma, residenre en An- D. Josef Molina , id...... ..................................... 22CO dújar..................................................................... 2200 P. Juan Ruiz , id..........…</t>
  </si>
  <si>
    <t>Molina, Juan Antonio Espino</t>
  </si>
  <si>
    <t>Juan Antonio Espino Molina</t>
  </si>
  <si>
    <t>la plaza de alcalde del barrio de Para el de Redueña á D. Juan Mariano Bombín. S. Cayetano de esta corte á D, Bartolomé Cano de Y para el de Alazar á D. Juan Antonio Espino* Molina, y para la de segaudo substituto á. D. Josef Villasante. _ Por decretos de 7 del corriente se ha seryido igualmente S. M. nombrar para la plaza de…</t>
  </si>
  <si>
    <t>Molina, Luis</t>
  </si>
  <si>
    <t>Luis Molina</t>
  </si>
  <si>
    <t>iza, por algunos vecinos de la ciu­ dad Vieja , 22. D. Mariano Allende , 10. D. Antonio Vallejo por el pueblo d« Balao, 1G. D. Carlos Lagomasin, 200. D. Luis Molina , 10. D. Damian Bodero , 4. Feliciano Avecilla por sí , y los randeadores de cacao , 1G. Toma* Suarez , G. José Plaza, 2. Marcos Galarza, 2. D. Francisco Aviles y…</t>
  </si>
  <si>
    <t>Molina, Vicente</t>
  </si>
  <si>
    <t>Vicente Molina</t>
  </si>
  <si>
    <t>ente Cales. Me parece. de la primera compañía de cazadores de montaña Camin. Ola, te parece : bien té yo que lo conoces. de caballería de la Manchará D. Vicente Molina, Y bien, dime, si en tu enfermedad mortal llamases un subteniente que fue del regimiento de infantería de médico, y este conociera que á ojos vistos te morías,…</t>
  </si>
  <si>
    <t>Moliner, Juan</t>
  </si>
  <si>
    <t>Juan Moliner</t>
  </si>
  <si>
    <t>PEJO DE LA TIA JUSTA, anz....... *................................... 3*y« 3* D. Antonio Josef Marcos............. 35 5 1 3* Cuento arábigo-manehego. D. Juan Moliner..................... . 1091 y 19 D. Modesto Belben...................... 602 26 En los tiempos del Reí que rabió no había en D. Antonio Belben...................…</t>
  </si>
  <si>
    <t>Molinero, Josef</t>
  </si>
  <si>
    <t>Josef Molinero</t>
  </si>
  <si>
    <t>Gavia del Tenientes. puente cegado, de caber dos fanegas, seis celemines y D. Manuel Montero. 10 estadales, y su valer es de 720 reales cada fanega. D. Josef Molinero. Otra en el cerro del Castañar, que linda al oriente con D. Juan Andrés Palacios. tierra de D. Josef Zamorano, vecino de Leganes , y al D. Juan Cora. norte con …</t>
  </si>
  <si>
    <t>Mombrun</t>
  </si>
  <si>
    <t>alir de la crítica único principio d&amp; su acción; que unas tres onzas posición en qne se hallaban. de ácido sulfúrico pueden reemplazar unas 12 li­ El general Mombrun, despnes de seguir el bras de heces , con la ventaja de no exigir masque alcance á los enemigos hasta los muros de Alican­ 25 ó 30 grados de calor , hacer menos …</t>
  </si>
  <si>
    <t>Mon, Camilo</t>
  </si>
  <si>
    <t>Camilo Mon</t>
  </si>
  <si>
    <t>in , tercero de la contaduría, 20 y 6. D. Manuel Palomino, cuarto de la administración, 12 y 4. D. Fidel Hontañon , cuarto de la contaduría , 37 y 4. D. Camilo” Mon­ tes , escribiente de la. administración , 12 y 4. D. Francisco Calero , id. de 1*. contaduría , 25. D. Martin Tallo , archivero , 25. D. Andrés Calero , escriba­…</t>
  </si>
  <si>
    <t>Mon, Francisco</t>
  </si>
  <si>
    <t>Francisco Mon</t>
  </si>
  <si>
    <t>solo para mantener nuestro Nombramos para comandante de ellas á D. Fé­ exército, sino también para alimentar un gran nú­ lix Trapero; para ayudante á D. Francisco Mon­ mero de españoles y de portugueses. ¡ Perspectiva tero , y para abanderado á D. Antonio Amador. albagüeña en un tiempo en que el precio del pan Para capitanes …</t>
  </si>
  <si>
    <t>Mon, Santiago</t>
  </si>
  <si>
    <t>Santiago Mon</t>
  </si>
  <si>
    <t>ia conferido la Regencia del reyn® empleos de coroneles en los regimientos de infantería de Fernan­ do VII, Gerona y Mataró á los tenientes coroneles D. Santiago Mon­ tero , D. Manuel Fernandez ViUamil y D. Tomas García. Tenen­ cias coronelas : del regimiento de infantería de Palma á D. José Eraso ; del de IJitonia á D. Juan …</t>
  </si>
  <si>
    <t>Moñi, Antonio Robles</t>
  </si>
  <si>
    <t>Antonio Robles Moñi</t>
  </si>
  <si>
    <t>to, después del cual se cantó un solemne Te Deum; y concluido se sirvió un delicado almuerzo en la crsa ha­ bitación del gobernador, y luego en la de D. Antonio Robles Moñi­ no un espléndido banquete, en donde el regocijo, la cordialidad, y los brindis por la libertad del adorado Fernando vii , por la inde­ pendencia y libert…</t>
  </si>
  <si>
    <t>Moñino, Antonio Robles</t>
  </si>
  <si>
    <t>Antonio Robles Moñino</t>
  </si>
  <si>
    <t>r y con arreglo á la fórmula mandada. Después el gobernador á su vez reci­ bió el juramento á los oficiales , y estos á sn tropa, al mi mi tiempo que D. Antonio Robles Moñino, lo recibió del clero y pueblo. Las repetidas salvas de la artillería del castillo y de las tropas, así como de los buques Bultos en el puerto contribuy…</t>
  </si>
  <si>
    <t>Monrhrum</t>
  </si>
  <si>
    <t>solicitud en el bien estar de julio, y llegó á alcanzar la retaguardia del ba­ de sus pueblos. { Monitor de las Dos-Siciltas. ) 1 rón Tolli. Mandó al general Monrhrum cargar so­ bre ella ; pero los rusos, lejos de esperarle, se retira­ IMPERIO FRANCES. ron con tal precipitación, que un esquadron de hu­ íanos, que volvía de un…</t>
  </si>
  <si>
    <t>Monroi, Tomas</t>
  </si>
  <si>
    <t>Tomas Monroi</t>
  </si>
  <si>
    <t>la justicia: el papel dante mayor, 4 capitán; á D. Antonio Duran, te­ sellado tiene las armas reales y el nombre del So­ niente , á ayudante mayor; á D. Tomas Monroi, berano. Todas las corporaciones prestaron con la D. Mariano Roxas y D. Fernando Angiada-, sub­ mayor solemnidad el juramento á S. M., á ia cons­ tenientes , á t…</t>
  </si>
  <si>
    <t>MonSalve, Juan</t>
  </si>
  <si>
    <t>Juan MonSalve</t>
  </si>
  <si>
    <t>edro Daripe. ’ D. Nicolás Muñoz. D. Jnan Manuel Nobal. D. Manuel de Cárdenas. D. Ramón Escudero. D. Francisco Vasco. D. Francisco Xavier Gandanillo*. D. Juan MonSalve.' D. Antonio G..rcíj de la Pedrosa, D. Josef L chambre. D. Ignacio G irmcndia. D. M:ga.l Crok. D. Sar.ti ,go Polidura. D. Timoteo Magnamara.' D. Ignacio' Hermos…</t>
  </si>
  <si>
    <t>Monserrate, Francisco</t>
  </si>
  <si>
    <t>Francisco Monserrate</t>
  </si>
  <si>
    <t>Pe­ dro Echcmque, D. José Iguació Stitmarregui y D. Vicente G reía; el alférez de fragata D. José Mesa, mí ayudante, y los cadete* í'í Po­ dro lloro, D. Francisco Monserrate y el aventurero D. Toma» íl &gt;res, que sis vieron de capitanes de bandera en ambos comba t-*-e. — Asimis­ mo han cent raido particular mérito el capitán, …</t>
  </si>
  <si>
    <t>Mont</t>
  </si>
  <si>
    <t>porción considerable de muías tan estropeadas, que en el ca­ mino de Talayera acá murieron mas de 40. El sábado pasado por la noche estuvo en esta el general Mont­ brun que pasaba á Toledo con una escolta de 200 infantes y 60 ca­ ballos. En Carmena , Puebla de Montalvan , Sto. Domingo , Portillo, Noves y Fnensalida tiene guar…</t>
  </si>
  <si>
    <t>Montada, Francisco</t>
  </si>
  <si>
    <t>Francisco Montada</t>
  </si>
  <si>
    <t>ago Techler y D. Francisco OJde Sevilla á D. Francisco Atnat, capitán, á co­ done, teniente y subteniente que eran del regi­ mandante de esqoadron; á D. Francisco Montada, miento de infantería Real Extraugero. •brai y no palabras son razones. Veinte y un meses nos que en cueros para vestir y alimentar á mis paisa­ cabales hac…</t>
  </si>
  <si>
    <t>Montaivo, Pedro</t>
  </si>
  <si>
    <t>Pedro Montaivo</t>
  </si>
  <si>
    <t>. D. Ignacio Monteros, l. D. Francisco Lavado, 12. D. Manuel * ’astro monte, G. 15. Fermín Ace ved o, 12. D. Bernardo Soto, 10. D. Juan Falencia, 50. D. Pedro Montaivo , 10. D. Antonio Hernández , 10. B. Domingo Palacios, 10. D. Ramón Saiazar, 12. D. José Antonio Vidasolo, 25. D. Pe iro Au ionio de Casas, campanero de minas ,…</t>
  </si>
  <si>
    <t>Montalvo</t>
  </si>
  <si>
    <t>239 Del 24. Debemos á los incesantes y patrióticos desvelos del general Montalvo la organización en los campos de once compañías de caballería urbana, titula­ das de FERNANDO VII, cuya fue rza efectiva es de 550 plazas, segim revista de inspección que acaba ae pasárseles. Sigue el general Montalvo acre­ centando el número de …</t>
  </si>
  <si>
    <t>Montaño, Juan</t>
  </si>
  <si>
    <t>Juan Montaño</t>
  </si>
  <si>
    <t>n el objeto de impedirla , se ptesentaron al frente del pueblo y en la cima de un alto cerro algunos insurgentes al mando , seguía supe después , del coronel Juan Montaño y su segundo Santos Ibárra , quienes tenían emboscada parte de su gente, según me mandó avisar el teniente Pacheco con el fin de que le enviara mas gente, p…</t>
  </si>
  <si>
    <t>Montano, Ramón</t>
  </si>
  <si>
    <t>Ramón Montano</t>
  </si>
  <si>
    <t>juez de balanza, 66. Don Esteban Cabrera-, beneficiador de tierras, 83. D. Baltasar Pacheco , contador de moneda , 41. D. Miguel Navarro , id. , 21. D. Ramón Montano , oficial primero de talla , 33. D. José María Soto , segundo, 33. D. Atanasio Davalos, tercero , 30. D. José Cañoli , aprendiz, 16. D. José Mariano Oya* gue , p…</t>
  </si>
  <si>
    <t>Montarroso, Julián García</t>
  </si>
  <si>
    <t>Julián García Montarroso</t>
  </si>
  <si>
    <t>arcía y D. M-.trña CuisascJa ; subtenencias de granaderos, á Don Juan Esteban G&amp;rate, D Manuel T jada y Cuadra y D. José de Xazartc ; de cazadores, á D Julián García Montarroso; y de fusile­ ros, á D. Manuel Ortiz de Villa te, D. Francisco Mendoza, D. Ra­ fael López, D Manuel C &gt;h?.ro y T^gle, D. Andrés Sánchez de Q iros, D. …</t>
  </si>
  <si>
    <t>Montaverde, Domingo</t>
  </si>
  <si>
    <t>Domingo Montaverde</t>
  </si>
  <si>
    <t>acable* del islamismo. pueblos leales. Siquisiqüi y Tocuyo se han redu­ cido ; y Carora tomada por fuerza , destruyendo ESPAÑA. el espitan de fragata D. Domingo Montaverde un cuerpo de i!3 rebeldes, de los que mató 83 , é hi­ Cádiz 5 de junio. zo 170 prisioneros, quitándoles ocho piezas, tres banderas y todas las moniciones. …</t>
  </si>
  <si>
    <t>Montb</t>
  </si>
  <si>
    <t>seria una gran perfec­ después de haber reunido su caballerí .; pero ins­ ción del arte , si con un compuesto fácil é inocen­ truido de la marcha dd general Montb.un , fe re­ te se pudiese conseguir ei que produxese á un mis­ plegó sobre Villena. mo ..tiempo los efectos de las sales mercuriales y Dirigiéndose el general Montb…</t>
  </si>
  <si>
    <t>Montbrun</t>
  </si>
  <si>
    <t>nte-Guinaldo, se consi­ guió con igual prontitud. „Mientras que el general Watticr marchaba sobre Espeja con la caballería del exército del Norte, el general Montbrun se enca­ minaba á la izquierda, y alcanzaba al enemigo sobre la altura de Bodon, donde tuvo una acción brillante , en que fué desbaratado el enemigo. Llegamos i…</t>
  </si>
  <si>
    <t>presa de Sucliet. Lo que ahora El general Frcyre , que ocupaba á Chinchilla, puede infundimos algún cuidado es el considera­ ha sido derrotado por el general Montbrun. ble refuerzo que , según se asegura , se ha destaca­ Parte de la coluna que mtnda el general Dardo del exército de Marmont, y se dirige h.icia Va­ magnac ha sa…</t>
  </si>
  <si>
    <t>n , fe re­ te se pudiese conseguir ei que produxese á un mis­ plegó sobre Villena. mo ..tiempo los efectos de las sales mercuriales y Dirigiéndose el general Montbrun á S. Vicen­ tartarosas.” te , tnvo noticia de qoe el exéicito enemigo se ha­ Ya se sabe qne para concluir enteramente la bía encerrado dentro de los moros de Va…</t>
  </si>
  <si>
    <t>rá de veri­ ficarlo en estos dos dias inmediatos. Por el puente de Alcántara pasaron el 31 de enero unos 300 ca­ zadores á caballo de la división del general Montbrun; pero no les permitió entrar aquí, por no haber cebada, y los enviaron á Polau. El propio dia 31 , el general francés y el prefecto Salas pasaron oficio á la mu…</t>
  </si>
  <si>
    <t>rnardo Borle, vocal secretarlo,” ’ Murcia 27 de enero. "Oespues de Ta pérdida de Valencia, y de haberse retirado de Alicante la división francesa del general Montbrun , que intimó inútilmente la rendición á la ps. ios enemigos siguiendo los impul­ sos de su rapacidad , que parece ser ya mío de los elementos esen­ ciales de la…</t>
  </si>
  <si>
    <t>esando el puerto de S. Vicente. Estas 2 divisiones se han vuel­ to á sus posiciones. ,, Las tropas del exército de Portugal, que baxo las órdenes del general Montbrun fueron destinadas á Valencia á fines del raes de diciembre, no asistieron á la toma de la ciudad de Valencia , sino marcharon en derechura á Alicante. El genera…</t>
  </si>
  <si>
    <t>u allí el briga­ dier Martin su caballería, la acción hubiera concluido per una der­ rota completa. del enemigo. Esta noche ha entrado de Talayera el general Montbrun, que pasa á Francia. Di* 13. Hoy han salido psra Fmrcia los generales Mc&amp;fbnm y Bigarret y el gobernador de To-f-o 13 rbou con un gvan convoy, en el que van tam…</t>
  </si>
  <si>
    <t>Montenegro</t>
  </si>
  <si>
    <t>ándose ar­ rastrando algunos heridos ó muertos. Vidal los persiguió hasta el ar­ rabal de Torreoilla , á tiempo que bagando por el camino de Nieva el capitán Montenegro, los desalojó del mismo am bal, obligándolos ó repesar el puente, donde se hicieron fuert s ; y los ruestros , con­ cluida ?u cc-midon, se retiraron , sin hab…</t>
  </si>
  <si>
    <t>Montenegro, Francisco</t>
  </si>
  <si>
    <t>Francisco Montenegro</t>
  </si>
  <si>
    <t>m división D. Francisco Montenegro, por la izquierda hácia otra de las flechas de Chirívella, desde donde formado en columna siguió la retirada que V. E. había mandado antes á mi ayudante de campo D. Antonio de Torres: y des</t>
  </si>
  <si>
    <t>Montenegro, Francisco Verdes</t>
  </si>
  <si>
    <t>Francisco Verdes Montenegro</t>
  </si>
  <si>
    <t>••• •• Alcalde de barrio ' BARRIO DEL HUMILLADERO. , D. Francisco María de Odiaga. ■ ^ .W Diputado eclesiástico Alcalde de barrio D. Domingo Aivarcz. D. Francisco Verdes Montenegro. .••,) Diputados seculares Diputado eclesiástico D. J &gt;üef de Llora. D. Antonio Rafael L zano. D. Gil Antonio L igana. Diputados secutarte .; 5 r …</t>
  </si>
  <si>
    <t>Montenol</t>
  </si>
  <si>
    <t>. Rl gobernador y la junta militar de Pef.bcoia, convencidos de que los verdaderos españoles.'son Iqí que » finidos al REI D. Josgf Napoleón, pro- El capitán Montenol,.del 22.°de dragones, al curan hacer menos desgraciada su patria» ofrecen frente de 120 hombres de caballería atacó y per­ entregar la plaza baxo las condicione…</t>
  </si>
  <si>
    <t>Monter, Cayetano</t>
  </si>
  <si>
    <t>Cayetano Monter</t>
  </si>
  <si>
    <t>te González. gas y 8 celemines deTisembradura, sito en término D. Julián P&lt; mbó y Robledo. , de la Vil la'de la Alameda;: Quien quísi&amp;réS toníjírarlo D. Cayetano Monter. ’ acucia ante dicho señor juez por la escribanía de nú­ .y. : :Secretario mero de D. Claudio Sanz ,:doñtfé 'Se''ínanifestarán los D. Francisco Josef Rubio. r…</t>
  </si>
  <si>
    <t>Montero, Casimiro Antón</t>
  </si>
  <si>
    <t>Casimiro Antón Montero</t>
  </si>
  <si>
    <t>. 6523 8 Ayer, después de dos días de exámeu y de D. Pablo Nicolás de S. Pedro............ 906 19 debates , la junta criminal extraordinaria de París D. Casimiro Antón Montero..... ......... 6104 21 condenó áípefla de muerte á Margarita Aubierge, Doña Manuela Antonia Leal del Cas­ dq*edad de 28 años, de exercicio cosrurera, c…</t>
  </si>
  <si>
    <t>Montero, Joan Manuel</t>
  </si>
  <si>
    <t>Joan Manuel Montero</t>
  </si>
  <si>
    <t>e esta , la qual dependerá del de­ partamento de comercio y fábricas. También esta­ Tercer batallón. rán á su cargo en todo lo concerniente al estado D. Joan Manuel Montero, ayudante segundo, las rentas y el crédito de las provincias, de las fbeapitan de la primera compañía. corporaciones y ayuntamientos , y todo lo relativo …</t>
  </si>
  <si>
    <t>Montero, Juan</t>
  </si>
  <si>
    <t>Juan Montero</t>
  </si>
  <si>
    <t>Él coronel D. Mauricio de Zúñiga por 2,18. D. Pedro Regalado Pe­ droso por 10,90. El auditor de guerra de esta plaza, D. pomingo Sautibañez por 2, 18 D. Juan Montero por uno, 9. El coronel D. José Ricardo O-farrilt por 10, 90. El presbítero D. Rafael de Campos y Franquíz por 2, 18. Daña Dominga Perez (mientras pueda) por uno,…</t>
  </si>
  <si>
    <t>Montero, Manuel</t>
  </si>
  <si>
    <t>Manuel Montero</t>
  </si>
  <si>
    <t>ién la cruza dicho camino de Ca­ rabanchel, y ai norte linda con la citada Gavia del Tenientes. puente cegado, de caber dos fanegas, seis celemines y D. Manuel Montero. 10 estadales, y su valer es de 720 reales cada fanega. D. Josef Molinero. Otra en el cerro del Castañar, que linda al oriente con D. Juan Andrés Palacios. tie…</t>
  </si>
  <si>
    <t>ade­ tes D. Ramón Ca bete, O. Manuel Montero, D. Miguel Vázquez Vá­ rela, D. Manuel Gil y D. José Saavedra; y en les externos D. Ber­ nardo González, D. Manuel Montero y t), Luis Fociños. Este primer ensayo de un establecimiento apenas formado, y que dio principio á la instrucción en 27 de judo último, al paso q ie de­ be ave…</t>
  </si>
  <si>
    <t>Monteros, Ignacio</t>
  </si>
  <si>
    <t>Ignacio Monteros</t>
  </si>
  <si>
    <t>. D. José María Viso, 25. D. Francisco de Otero , 40. D. Francisco Merino, 25. D. Ce&gt;areo Sanor, 50. D. Juan González , 35. D, Patricio Bermudez, 12. D. Ignacio Monteros, l. D. Francisco Lavado, 12. D. Manuel * ’astro monte, G. 15. Fermín Ace ved o, 12. D. Bernardo Soto, 10. D. Juan Falencia, 50. D. Pedro Montaivo , 10. D. An…</t>
  </si>
  <si>
    <t>Montes, Jayme</t>
  </si>
  <si>
    <t>Jayme Montes</t>
  </si>
  <si>
    <t>................. 2000 Idem por el gasto del corte y quema del pa­ pel sellado........................................................ II29 10 Idem á D. Jayme Montes, habilitado del cuer­ po de Inválidos de esta plaza, para sus pa­ gas...................,............................................... 6996 29 Existencia en 29…</t>
  </si>
  <si>
    <t>Montes, Jnsef Carrillo</t>
  </si>
  <si>
    <t>Jnsef Carrillo Montes</t>
  </si>
  <si>
    <t>a, no aspirase á obtener el monopolio D. Rafae X.rnenez , id............. ................... 22CO del comercio y de la ii dn tiia, y á establecer el D. Jnsef Carrillo Montes , id....................... 2200 imperio tiránico eri los mires , obj to único de la D. An tonio Gircía, id.............. 2200 guerra, y para la que des…</t>
  </si>
  <si>
    <t>Montes, Juan Bautista</t>
  </si>
  <si>
    <t>Juan Bautista Montes</t>
  </si>
  <si>
    <t>taron $n aprovechamiento los caballeros semina­ jor Ies parezca. El director del seminario se llama ristas y externos, y se repartieron los premios á D. Juan Bautista Montes. los que lo merecieron. Ganaron el extraordinario de conducta, para et qual es necesario no haber Madrid 1 $ de marzo. incurrido en pena alguna de ordena…</t>
  </si>
  <si>
    <t>Monteverde</t>
  </si>
  <si>
    <t>Nirguft cuando él avias. — Dios guarde á V. S., .muchos años. Coro 3 de ma­ yo de 1812. — José Cevallos. — Sr. capitán goneml de Venezuela.” 5.a Del comandante Monteverde al gobernador de Coro. ,,Ayer ¿ i&amp;s 3 de la tarde entré en estu ciudad en medio de mu­ chas aclamaciones de vi vas y repiques de campanas. A la-hora de ha­ …</t>
  </si>
  <si>
    <t>s, después de haber derro­ tado 300 hombres, que delaGuayra salieron á impedirles el paso. „ En tal conflicto Miranda tomó el partido de dirigirse al comandante Monteverde por medio de dos comisionados, con quienes estaba ya capitu­ lada la entrega de aquella capital, según se anunció en la gazeta de 29 del pasado.” Al paso q…</t>
  </si>
  <si>
    <t>Monteverde, Domingo</t>
  </si>
  <si>
    <t>Domingo Monteverde</t>
  </si>
  <si>
    <t>rtel general de la Victoria 25 de Julio de 1812.—- Francisco de Miranda Ctnchtsion de este negocio por el comandante general del exército de S. M. C. D. Domingo Monteverde, y por el comisionado de Miranda Júóé de Sata y Jtdussy. „D. Domingo de Monteverde , comandante general de las tropas de S. M. C., y el C. José ríe Sata y …</t>
  </si>
  <si>
    <t>Montgelas</t>
  </si>
  <si>
    <t>gran chasco: el Courrier, felicitaciones y enhorabuenas de toda la corte. Por este periódico sin tacha, ha empleado ocho . olu­ la noche S. E. Mr. el conde Montgelas dio una nas enteras en contar lo que el antor llama con sa­ magnífica función que honraron con su presencia el gacidad operaciones militares, y en todas eilas pr…</t>
  </si>
  <si>
    <t>MontíjaDC, Manuel</t>
  </si>
  <si>
    <t>Manuel MontíjaDC</t>
  </si>
  <si>
    <t>ernardo Garcia, residente en Arjona.. 2200 Ex-franciscanos. D. Juan .Estrella, id. en Torreximeno..... . 2200 D. Mannei Alcocer, residente en CovarB- D. Manuel MontíjaDC........................ ......... 2zoo bias, provincia de Burgos......................... 2200, D. Antonio Sánchez, id.....................................22…</t>
  </si>
  <si>
    <t>Montilla, Gerónimo</t>
  </si>
  <si>
    <t>Gerónimo Montilla</t>
  </si>
  <si>
    <t>anislao Agnilar. D. Juan de Ortega Luengo. D. Miguel Parraverde. art. v. En la villa de Espejo se formarán dos D. Josef Joaquín de Priego. compañías. D. Gerónimo Montilla. Quedaa nombrados para capitanes y oficiales D. Alfonso de Vida, y Gamboa. de ellas. Capitanes. Tenientes. D. Bartolomé Pineda. D. Joaquín Cañete, de granad…</t>
  </si>
  <si>
    <t>Monton, Juan</t>
  </si>
  <si>
    <t>Juan Monton</t>
  </si>
  <si>
    <t>D. Bernardo Zabala, y D. Fermín Azcárate, subteniente de la cuarta del cuaTto : de los segundos D. Marcelino Orá, capitán de la tercera del segundo, D. Juan Monton , subteniente de la cuarta del mismo, D. Joaquín Eabayen y D. Ramón Diez de liarraza, subtenientes del tercero; D. Felipe Telosana, ayudante dei cuarto, y D. Migue…</t>
  </si>
  <si>
    <t>Montoya, Francisco</t>
  </si>
  <si>
    <t>Francisco Montoya</t>
  </si>
  <si>
    <t>ectado de varios individuos del comercio, 15.570 y 1. — Oficiales de la secretaría de cámara. D. Manuel Gallegos, 143 y 2. D. Andrés Ámezaga, 95 y 4. D. Francisco Montoya, 79 y 5. D. Dionisio Parían,, 71 y 5. D. Manuel Vera, 63 y 7. D. José Ureta, 55 y 5. D. José Castillo , 47 y 6. D. José. Cicilia, 47 y 6. D. Pedro Robles , …</t>
  </si>
  <si>
    <t>Montuno, Justo</t>
  </si>
  <si>
    <t>Justo Montuno</t>
  </si>
  <si>
    <t>45f JZufriategui: empleos de alféreces á D. Mariano Fernandez, ’D. Fer­ nando Soria y D. Angel Va reía , y de porta-estandarte á D. Justo Montuno. Tenencia en el cuerpo de caballería de Blandengues de Buenos-Ayres á D. Juan de Zakíivaz. Y en el batallón de Volunta­ rios de infantería de-Montevideo el empleo de sargento mayor …</t>
  </si>
  <si>
    <t>Monvella, Juan Antonio</t>
  </si>
  <si>
    <t>Juan Antonio Monvella</t>
  </si>
  <si>
    <t>ia , ha establecido una academia de dibuxo, D. Rafael de Reinalde........................ 17051 20 en la que bai ya en el dia jóvenes que dan grandes D. Juan Antonio Monvella............... 57816 31 esperanzas. Doña Rosa de Simón Puntero........... 9980 20 También se cultiva la poesía con mas esmero D. Pascua! Méndez de Zúñig…</t>
  </si>
  <si>
    <t>Mor</t>
  </si>
  <si>
    <t>ancia , y declararán á quanto poco mas Hoi ha llegado de Cádiz en 20 dias de nave&lt;3 menos asciende lo que ganan. ~ gacion el paquebote el S'tualie-w, capitán Mor,,Como en los años precedentes ha socedido phevv. Ha entregado ya la* bilijas, qne no tarda­ qne , i pesar de' la expresa prohibición, algunos han rán en llegar á Lón…</t>
  </si>
  <si>
    <t>Mora, Bartolomé</t>
  </si>
  <si>
    <t>Bartolomé Mora</t>
  </si>
  <si>
    <t>de la artillería. ARTICULO DE OFIC. O. En América. La Regencia del rey no se ha servido promover ea el regimiento de infantería de Cuba, á capí tan á D Bartolomé Mora­ les : á ayudante á D. Juan Francisco de Castro Palomino; á tenien­ tes á B. Gabriel Menoeal y D. Joaquín Ekmii ; á subtenientes de granaderos - á O. Francisco …</t>
  </si>
  <si>
    <t>Mora, Pedro</t>
  </si>
  <si>
    <t>Pedro Mora</t>
  </si>
  <si>
    <t>yudante D. García Revilla y el ca­ dete D. Joaquin Paredes , merecen mi recomendación, como también los patriotas de Toluca D. Ramón García Reguera , D. Pedro Mora­ les , D. Agustín de Echeverría y D. Antonio Rueda , y los dos de Ixtlaliuaca , Comezaña y Engracia, que se unieron á la caballería. ARTICULO DE OFICIO. El marisca…</t>
  </si>
  <si>
    <t>Mora, Santiago</t>
  </si>
  <si>
    <t>Santiago Mora</t>
  </si>
  <si>
    <t>ión , distribuyendo las distintas armas según lo exigiese su localidad : colocó pues al O. en la garita de Chicaguaro al ca­ pitán del fixo de México D. Santiago Mora , con el de dragones de Paztquaro D. Lorenzo Cosío; la de Santa Catalina al S. la reservó para que la. guarneciese Robledo , cuando le fuese preciso replegarse;…</t>
  </si>
  <si>
    <t>Moraaid</t>
  </si>
  <si>
    <t>os rusos; aquí hemos encontrado :S. Quedaban todavía al enemigo sus reductos de la La persona de S. M. nunca se ha hallado en pe­ derecha. El geñeuüd'conde Moraaid los acomete y los ligro, y ni la guardia de á pie ni de á caballo ha toma ; pero á las nueve, viéndose atacado por todas entrado en acción. No se dudó un momento d…</t>
  </si>
  <si>
    <t>Moraleda, Demetrio Ramón</t>
  </si>
  <si>
    <t>Demetrio Ramón Moraleda</t>
  </si>
  <si>
    <t>o­ Quaudo la política Sólo habitaba en los gabi­ tan, para el de Lozoyqela , vacante por ascensq netes d* los príncipes, entonces era Una gTan se­ de D. Demetrio Ramón Moraleda al de F'ueu- ñora, que no podía presentarse sino vestida de,gala salida. y qon real atatfío; pero hoi que se .pasea por las A D. Marcelino Josef Sicil…</t>
  </si>
  <si>
    <t>Morales, Alexapdro</t>
  </si>
  <si>
    <t>Alexapdro Morales</t>
  </si>
  <si>
    <t>. Amanuenses. D. Justo Díaz , 41 y 5. D. José Mariano Arris , 41 y 5. D. Juan Zapatiu. 41 y 5. D. Julián Sarmiento , 41 y 5. D.' Juan Cosío , 41 y 5. D. Alexapdro Morales, agregado, 39 y 6. D. Andrés Calero, escribano de cámara, 133 y 2 y medio. D. José María Varela, archivero , 06 y 5. D. Pedro Noel, por­ tero, 25. El corone…</t>
  </si>
  <si>
    <t>Morales, Andrés</t>
  </si>
  <si>
    <t>Andrés Morales</t>
  </si>
  <si>
    <t>rado á so llegada de Puerto-Rico á Vigo (según de dicha villa de Montefrio, vacante por ascenso lo que se decía en aquella isla hasta 2; de abril) de D. Andrés Morales. algunos pormenores del horrible terremoto de Ve­ D. Blas García , presbítero y ex-tr¡r»itario cal­ nezuela. Casi 2® personas perecieron en la Guaira, zado, y …</t>
  </si>
  <si>
    <t>Morales, Cristóbal</t>
  </si>
  <si>
    <t>Cristóbal Morales</t>
  </si>
  <si>
    <t>2200 Colmenar de Oreja..................................... 1100 D. Ildefonso Morales , id.............2200 D. Agdstin de Toro y Tinajas, id. id. en D. Cristóbal Morales, id.............................. 22co esta corte............. 1100 Ex-carmelitas descalzos. Bx—esculapios. D. Pedro Texada, residente en Jaén......... 2200 …</t>
  </si>
  <si>
    <t>n, vacante por muerte de goa algunas noticias. Mauston, Cumare, JLipe, D. Estéban Barrera y Yebra. Barquisimeto, Iritagua..... y otros pueblos fue­ Y D. Cristóbal Morales, presbítero y ex-car­ ron arruinados; el valle de la Vega y ia Guaira melita calzado, los dos unidos de las parroquias babia »ido abandonada por su guarnici…</t>
  </si>
  <si>
    <t>Morales, Francisco</t>
  </si>
  <si>
    <t>Francisco Morales</t>
  </si>
  <si>
    <t>s; á capitanes de granaderos á D. José Carrizosa y D. Carlos Devílie; á capitanes de fusileros á D. Francisco Guerrero, D. Juan Mier, D. Juan Blanco; D. Francisco Morales, I). Juan Bautista PeÜerín, D. Benigno García Cdderon, D. Pedro Roia, B. Juan Moreno, O. Francisco Hevia , D. Antonio Gayarre y D. Francisco Martínez; á ayu…</t>
  </si>
  <si>
    <t>s Toyos , 40., Colectado en Piura por su subdelegado, 1965. Remitido por dicho subdele­ gado , recogido en el partido, nu tejo de oro de media libra. D. Francisco Morales , cura de S. Pedro de Casta, 40. (Se continuarán.) CADIZ: EN LA IMPRENTA REAL.</t>
  </si>
  <si>
    <t>Morales, Ildefonso</t>
  </si>
  <si>
    <t>Ildefonso Morales</t>
  </si>
  <si>
    <t>. D. Antonio Arroyo , lego, residente eo D. Rafael Díaz Villegas, residente en Jaén. 2200 Colmenar de Oreja..................................... 1100 D. Ildefonso Morales , id.............2200 D. Agdstin de Toro y Tinajas, id. id. en D. Cristóbal Morales, id.............................. 22co esta corte............. 1100 Ex-c…</t>
  </si>
  <si>
    <t>Morales, Josef</t>
  </si>
  <si>
    <t>Josef Morales</t>
  </si>
  <si>
    <t>por la gracia de Dios y Benito Manso. por la cotiuitucion®¿el-estado, REI de las Espa- Para subteniente de la primera compañía á ñas y oe las Indias. D. Josef Morales, en la vacante de D. Buenaven­ Hemos decretado y decretamos lo que sigue: tura Gaona. articulo i. ,,Con arreglo á lo prevenido en art. vi. Nuestros ministros de…</t>
  </si>
  <si>
    <t>Morales, Juan Agustín</t>
  </si>
  <si>
    <t>Juan Agustín Morales</t>
  </si>
  <si>
    <t>sub lelegado de Santa , de lo co­ lectado er» su partido , 212. D. Agustín de los Ríos, cura de la parroquia de Sta. Ana, 100. — Real cara de Pasco. D. Juan Agustín Morales, ministro contador, 159 con 2 y medio. D. José Cevallos , ministro tesorero interino, 100. D. Alonso Francisco de España, oficial segundo , 41 con 5. Id. …</t>
  </si>
  <si>
    <t>Morales, Juan Pablo</t>
  </si>
  <si>
    <t>Juan Pablo Morales</t>
  </si>
  <si>
    <t>istem; y de alférez de las de cabsterí*, á D. M'murí Ferrar, Q Antonio Gutiér­ rez, D. Esteban Gabejo, D. Manuel A ¿dama, D. Joié Ignacio Eca­ saba!, D. Juan Pablo Morales, ÍX J &gt;sé Ignacio Arcaya, D. José de la Cruz Arcava y D J &gt;¿é Dámaso M irabes; habiendo concedido al porpio tiempo ayudantías veteranas de infantería, á io…</t>
  </si>
  <si>
    <t>Morales, Lojye</t>
  </si>
  <si>
    <t>Lojye Morales</t>
  </si>
  <si>
    <t>El canónigo D. Julián José del Barrio , id., 18. D. Julián Delgado, por uno , 9 D. José Melchor Vaídes , id. , 9. D. Juan de Jesús Gómez , por 2, 18. D. Lojye Morales, por 4., 30. el presbítero D. Manuel Echevarría, id. 36. D. Manuel Díaz, por 10,90. D. Francisco Ferrer Salomer y sus hijos, du­ rante dos años, por 2, 18. D. S…</t>
  </si>
  <si>
    <t>Morales, Manuel</t>
  </si>
  <si>
    <t>Manuel Morales</t>
  </si>
  <si>
    <t>eyno; hemos decretado y decretamos lo si­ guiente : Art. I. ,,Los Sres. D. Manuel Mahamut, D. José Tallejo, Don José Elola, D. Ramón Calvo de Rozas , D. Manuel Morales, D. Ticente Fuster, D. Vicente Lisa, D. Tomas de los Cobos y D. Juan Alvarez Posadilla, jueces presentes en esta ciudad de Valencia, se reunirán el dia 21 de m…</t>
  </si>
  <si>
    <t>Morales, Narciso</t>
  </si>
  <si>
    <t>Narciso Morales</t>
  </si>
  <si>
    <t>la qual r.e ha impreso ya Mí. Rounfotd , y la caballería; que mandaba ci co­ con el título áaCribum arithmetictiol sive tabula mandante de esquadron D. Narciso Morales. continens Humeros primos &amp;c. El general gob.mador de la provincia de (jruaEl mejor método p^ra formar las tablas que daLxara , habiendo hecho reconocer en los…</t>
  </si>
  <si>
    <t>Morales, Pedro</t>
  </si>
  <si>
    <t>Pedro Morales</t>
  </si>
  <si>
    <t>n Sánchez de la Cuenta. D. Juan Francisco de Torres. D. Gonzalo de Valenznela, de granaderos. D. Juan Martin de la Torre, de tiradores. Subtenientes. D. Pedro Morales. D. Josef Ximenez. D. Estanislao Agnilar. D. Juan de Ortega Luengo. D. Miguel Parraverde. art. v. En la villa de Espejo se formarán dos D. Josef Joaquín de Prie…</t>
  </si>
  <si>
    <t>ponen, 4207 y medio, D. Francisco y D, Ensebio Al­ vares , por un soldado durante la guerra, 9. D. Antonio Evora , id., 9. Don Evaristo de. Aguirre y D. Pedro Morales , id., 9. D. Blas Fuertes , id. , 9. Don Juan Madrazo, por 2,18. I). Hermenegildo Gaíeano, por uno ,9. D. JuaRuiz, por 2; i8 D Francisco Menacho, por uno-, 9. D…</t>
  </si>
  <si>
    <t>Morales, Valdomero</t>
  </si>
  <si>
    <t>Valdomero Morales</t>
  </si>
  <si>
    <t>do señor, y por dicha escribanía, que se le admi­ de S. M., juez de primera instancia , y por la escriba­ tirá, siendo arreglada. nía de provincia de D. Valdomero Morales, y en vir­ tud de facultad real, que ha obtenido D. Tiburcio Al­ iare , vecino de esta corte, y poseedor de los vínculos que en el lugar de Villaverde fundó…</t>
  </si>
  <si>
    <t>Moran</t>
  </si>
  <si>
    <t>al pie de los parapetos, que con tanto trabajo hablan for­ mado, y que debieron ser su escudo. Aun quedaban al enemigo los reductos de la'derecha- El general Moran consiguió forzarlos; pero, atacado á las nueve de la mañana por todos lados, no se pudo sostener. E! enemigo, animado por esta ventaja, mandó avanzar toda su reser…</t>
  </si>
  <si>
    <t>Moran, José</t>
  </si>
  <si>
    <t>José Moran</t>
  </si>
  <si>
    <t>, contador y empleados en la renta de tabacos, 178. D. José Gabriel A-tete ,11 y 2. D. Manuel Aviles , 9t&gt;. La provincia de Portoviejo, por ma­ no de D. José Moran, 14-22 y i. El pueblo de Yahuache , por mano de Don Juan Bautista Elizalde, 86 y 4. Las milicias de infantería y su plana mayor dieron por enero, 210 y 1. D. Franc…</t>
  </si>
  <si>
    <t>, 25 D. Juan Bautista Sán­ chez, 6. Juan Al varado, 8. D. Vicente Sánchez, 6 D. Manuel Crespo , 6. El ilustre cabildo, 12J00. D. Francisco Oramas, 16 D José Moran por resto de los pulperos, 122. Doña Francisca Cortazar, 62 y 4 D Francisco Pareja, 30. D.-Pablo Mendiola, 60. D. Francisco Easaga, 8. D, Francisco Irrisarri , 20. …</t>
  </si>
  <si>
    <t>Moran, Lorenzo</t>
  </si>
  <si>
    <t>Lorenzo Moran</t>
  </si>
  <si>
    <t>to y Murecálhoi goleta N. Sra. de los Clarines. — Pa­ ra Lima: fragata Cantabria. Continúan los donativos del Perú. Administrador de correos de Atico D. Lorenzo Moran , 13 ps. fs. Id. de Ocuña D Juan Sal azar, 50. Id. de Catuana I). Nicolás Brice-ño, 25. Id. de Maxes 13. Juan Chaves, 20. id. de C-huquivaniba D. José Velarde, …</t>
  </si>
  <si>
    <t>Moran, Manuel</t>
  </si>
  <si>
    <t>Manuel Moran</t>
  </si>
  <si>
    <t>tregaron por el mes de diciembre de 808, 57S. Diez y nueve individuos del pueblo , 15 y «no. Los patrones del bote, y cargas de Punta de Piedras, 11. D. Manuel Moran, 100. (Se continuará ) ‘ ~ ~ CADIZ ; EN LA IMPRENTA REAL.</t>
  </si>
  <si>
    <t>Morand</t>
  </si>
  <si>
    <t>s cuerpos parapetados. Confiesan también los franceses que el príncipe Eoniatowsky se batió en la izquierda con fortuna varia, y que en la derecha el general Morand, que atacó los reductos, fue rechazado vigorosamente, y no pudo mantener su posición. Hemos visto carta de un gefe español, que habla de todo lo ocurrido en la to…</t>
  </si>
  <si>
    <t>pusieron las cacabais de oir la voz de nuest os hermanos, y la tropas en este orden. «expresión del ardiente de eo que los anima por La división del general Morand á ia derecha, la «nuestro bien común. Ya veis qué sabias providen- del general Gerardá su espalda, mas hacia b derecha, *&gt; cías han tomado para la restauración de …</t>
  </si>
  <si>
    <t>ón de caballería del general Cliasría rusa avanzaban para recobrarla, y acometían la tel, que apoyaba en este momento la izquierda de ala derecha del general Morand. Al punto hice formar la infantería. El general Grouchy fue herido lige­ á su derecha y un poco adelantada la división del ramente de un casco de obús. general Ge…</t>
  </si>
  <si>
    <t>Morcan, Joaquín</t>
  </si>
  <si>
    <t>Joaquín Morcan</t>
  </si>
  <si>
    <t>dquirido: el ayudante de V. E. D. José Manuel Que. vedo dirigió por sí mismo la masa que formó el batallón de CiudadReal, mandado por sn primer mayor D. Joaquín Morcan , tan opor­ tunamente , qoe desbarató á los enemigos que se adelantaban por el . camino, dispersándolos y cogiendo muchos : en todo el dia se sepa­ ró del camp…</t>
  </si>
  <si>
    <t>Moreao, Manuel</t>
  </si>
  <si>
    <t>Manuel Moreao</t>
  </si>
  <si>
    <t>gosto y 5 de setiembre del año pró­ Ex- cartuxos. ximo pasado de 1809, y 2t de marzo del presente, relativos á las pensiones que han de gozar los ex- D. Manuel Moreao , residente en Navas regulares; vista la exposición de nuestro ministro de Oro................................................... .......... .............. ....…</t>
  </si>
  <si>
    <t>Moreau</t>
  </si>
  <si>
    <t>o pesar y mortificación hemos visto que algunos de nuestros periódicos se expresan de un modo sospechoso respecto á la legiti­ midad de las miras del general Moreau en venir á este país hace algunos años, y vivir en él desde entonces. Antes de ahora se han esparcido algunos rumo­ res injuriosos de la misma naturaleza ; y aunq…</t>
  </si>
  <si>
    <t>Moreau, Joaquín</t>
  </si>
  <si>
    <t>Joaquín Moreau</t>
  </si>
  <si>
    <t>quirido: el ayudante de V. E. D. Josef Manuel Quevedo dirigió por sí mismo la masa que formó el batallón de Ciudad-Real, mandado por su primer mayor. D. Joaquín Moreau, tan oportunamente, que desbarató á los enemigos que se adelantaban por el camino, dispersándolos y cogiendo muchos; en todo el dia se separó del campo, á pesa…</t>
  </si>
  <si>
    <t>Moreda, Manuel</t>
  </si>
  <si>
    <t>Manuel Moreda</t>
  </si>
  <si>
    <t>go Josef de,-Villa. . Diputado eclesiástico Diputado eclesiástico D. Ramón Romero. D. Juan Romnaldo'de Rozas. Diputados seculares Diputados seculares D. Manuel Moreda. D. Fernando dél Sotiibo. D. Pedro Bazo. D. Pedro Madrid. D. Severiaoo Xaramillo. D. Lorenzo Marqueta. , Secretario ‘ Secretario D. Juan Roiz Divila. D. Luis Ló…</t>
  </si>
  <si>
    <t>Moreios</t>
  </si>
  <si>
    <t>opias y alusivas al asunto. í Cádiz 7 de setiembre. Las noticias de Veracruz alcanzan hasta el 16 de julio. El cabecilla Ra­ yón está asegurado, y eL cura Moreios, después de su derrota, pudo escapar-/ v se con solo óo de los suyos. Acaba de arribar á este puerto el navio Miño con caudales. Estamos esperando por momentos al g…</t>
  </si>
  <si>
    <t>Morejon, Mariano Lktadi y Don Marcee</t>
  </si>
  <si>
    <t>Mariano Lktadi y Don Marcee Morejon</t>
  </si>
  <si>
    <t>omínguez, D. Jacobo Dubreuü, 1). Luis Pana, Don 3JabIo de Ltrin, D. Juan María Grifón, D. Francisco Martínez, D. J osé de Vegas, D. Antonio de Vegas, D. Mariano Lktadi y Don Marcee Morejon ; y á subtenientes de bandera á D. Buenaventura Dubreuil, D. Miguel Orioñez, D. Eusebío RoduTfo Reggio, Don ARtonio Infante, D. Juan Vuiav…</t>
  </si>
  <si>
    <t>Morelos</t>
  </si>
  <si>
    <t>de vuestros intereses, deponed luego las ideas quiméricas en que , abusando de vuestra docilidad, os han imbuido el monstruo de esc rumbo, el rebelde cura Morelos y sus iniquos partidarios; y uniéndoos y armándoos contra ellos, negaos constantemente á las seducciones con que tal vez intenten engañaros de nuevo en lo de adelan…</t>
  </si>
  <si>
    <t>Moreno</t>
  </si>
  <si>
    <t>participa el capitán general Cas­ taños , que el general Abadía había mandado á las tropas españolas de Asturias que se moviesen sobre Leoa, donde el brigadier Moreno habia obtenido algunas ventajas sobre un destacamento frunces en Otero de las Dueñas. — D. Julián Sánchez ha continuado también con su caballería en Castilla, d…</t>
  </si>
  <si>
    <t>Moreno, Agustín</t>
  </si>
  <si>
    <t>Agustín Moreno</t>
  </si>
  <si>
    <t>la tarde se hallaban reunidos en el lugar citado, y fueron conduci­ dos con una escolta de 42 caballos les sugetos siguientes : D. Ni­ colás Maestre, D Agustín Moreno, y D. Manuel C^rasa, canónigos de esta santa iglesia; D. Miguel Gutiérrez, campanero de la mis­ ma ; el doctoral de la catedral de Toledo ; un arcediano de la c…</t>
  </si>
  <si>
    <t>Moreno, Antonio</t>
  </si>
  <si>
    <t>Antonio Moreno</t>
  </si>
  <si>
    <t>Eustaquio Hidalgo, D. Basilio Aguado, D. Tomas Aparicio, Don Fernando Villanueva, D. Antonio Ansaldo , D. Sebastian de Moya, D. Antonio María Portaz, D. Antonio Moreno, D. Andrés Rodrí­ guez, D. José Martínez, D. José Muñoz Silleros, D. Agustín Moli­ na, IX Asensio Cabrera y González., D. C irios María Godinez, Don Rafael Piñ…</t>
  </si>
  <si>
    <t>Eustaquio Hidalgo, D. Basilio Aguado, D. Tomas Aparicio, D, Fernando Villanueva, D. Antonio Ansaldo, D. Sebastian de Moya, D. Antonio Ma­ ría Portaz, D. Antonio Moreno, D. Andrés Rodríguez, D. Josef Martínez, D. Josef Muñoz Silleros, D. Agustín Molina, D. Asensio Cabrera y Gonzá­ lez, D. Carlos María Godinez, D. Rafael Piñuel…</t>
  </si>
  <si>
    <t>Moreno, Antonio Mariano</t>
  </si>
  <si>
    <t>Antonio Mariano Moreno</t>
  </si>
  <si>
    <t>cía del Rosal. ernará la comedía en tres actos titulada ios siete Infan­ D. Jnsef de Porras. tes de Lara; seguirá una tonadilla, y se dará fin con un D. Antonio Mariano Moreno. sainete. EN LA IMPRENTA REAL,</t>
  </si>
  <si>
    <t>Moreno, Carlos</t>
  </si>
  <si>
    <t>Carlos Moreno</t>
  </si>
  <si>
    <t>Sargento primero Romualdo Vega, 6. Cabo primen» Pedro Vega Ley va , 5. Id. segundo Pedro Pagan y Arango,5. Di stinguido I). Gaspar Bastamante, 4. Id. D. Carlos Moreno, 4. Id. D José Gamarra, 4. Id. D. Carlos Mareno, 4. Antonio Feé , 4. Ignacio Vicuña, 4. Alexamlro Eclaves , 4. José López Vega, 4. Mariano Carreño, 4. Francis­ …</t>
  </si>
  <si>
    <t>Moreno, Francisco</t>
  </si>
  <si>
    <t>Francisco Moreno</t>
  </si>
  <si>
    <t>D. Luis Alfonso , capellán de Sta. Rosa , 2. D. Bernabé de Tamarjcia, 25. D. Manuel Concha,!. D. Gabriel Oroviogoitia, 6. D. Manuel de la Daga , 10. D. Francisco Moreno , 1. — D. Francisco Moretra y Matute , fiel de moneda , 1000. El monasterio del Prado , 20. — Batallón de infantería válidas de Tt'u.villo. El capitán de gran…</t>
  </si>
  <si>
    <t>etrocedió, y con este y otro aviso que tuve, no vacilé un momento en ata­ carlos, precediendo una conferencia con el capitán de húsares de Andalucía, D. Francisco Moreno, comandante de la caballería, quien para mayor certeza, mandó al sargento de segunda piase de su cuerpo, Juan de Paz, que reconociese la fuerza y alojamiento…</t>
  </si>
  <si>
    <t>Moreno, Jo-é Ignacio</t>
  </si>
  <si>
    <t>Jo-é Ignacio Moreno</t>
  </si>
  <si>
    <t>*I¡omeque, id. , 400. Don Juan Martínez Pini'los , 23. La asamblea y oficiales milicianos del cuerpo ríe dragones, 4250. Curas y clerecía de Já {ja. D. Jo-é Ignacio ¡Moreno , cura de Huancayo , 100. D. Pablo González , id. de SicaFa , 50. D. Juan Evangelista Espejo, id. de Sapallanga, 50. D. Xavier Aguinacable , id. de Jauja …</t>
  </si>
  <si>
    <t>Moreno, José</t>
  </si>
  <si>
    <t>José Moreno</t>
  </si>
  <si>
    <t>o Hernández , 10. B. Domingo Palacios, 10. D. Ramón Saiazar, 12. D. José Antonio Vidasolo, 25. D. Pe iro Au ionio de Casas, campanero de minas , 400. D. José Moreno , 10. D. Francisco Frevre, 100. D. losé Torres , 50. D. Espíritu Arrieta , 50. Doña Do ninga Lacuriaga, 20. Doña Faus’tina Gutiérrez, 4. Dona Inés Barrera , 10. D…</t>
  </si>
  <si>
    <t>Moreno, José Ramón</t>
  </si>
  <si>
    <t>José Ramón Moreno</t>
  </si>
  <si>
    <t>D José Viangui, D. Ambrosio Agustín, D. José de los Ríos y D. Manuel Aivarez de Navia; subtenencia de granaderos á D. José: González; de fusileros á D. José Ramón Moreno, D. José Benito Mendez, D. José García Cárdenas, D. Antonio Quintana, D. Anto­ nio Villegas, D. Pedro Perez Uriondov D. José Guerra y D. José María Celada; y…</t>
  </si>
  <si>
    <t>Moreno, Juan</t>
  </si>
  <si>
    <t>Juan Moreno</t>
  </si>
  <si>
    <t>xas, residente en PozoD. Camilo de la Cabada, id......................... 2200 blanco........................................................... 2200 D. Juan Moreno, id....................................... 2200 D. I'defonso Arévalo , id............................... 3200 D. .Rafael Serrano ,Id.............. 2200 D. Isidoro…</t>
  </si>
  <si>
    <t>Morente , id. en Agilitar....... 22co D. Andrés de Cuenca , id............... .............. 2 200 D. Juan Bcrral , lego, id. en Córdoba....... 1100 D. Juan Moreno , id. en Torremilans........... 2 200 Ex- trinitarios descalzos. D. Pedro Blanco , id........ .......... ........................ 2 200 D. B as Xirr.enez , residen…</t>
  </si>
  <si>
    <t>Moreno, León</t>
  </si>
  <si>
    <t>León Moreno</t>
  </si>
  <si>
    <t>comedia en tres llería de la Mancha á D. Pedro Velasco capitán; actos titulada la Mogigata , y el sainete el Sómbrenlo. á D. Antonio Rd teniente, y á D. León Moreno subteniente ; á D. Manuel Nnriega teniente de la En el de la Cruz, á las quatro de la tarde, se eje­ c&lt; inpañía de infantería de cazadores de montaña, cutará la c…</t>
  </si>
  <si>
    <t>Moreno, Manuel</t>
  </si>
  <si>
    <t>Manuel Moreno</t>
  </si>
  <si>
    <t>ti. D José María Palqoij , 17. D. Pedro José Colmenares , pres­ bítero , 12. D. José María Galindo, 12. D. Juan Contreras , 12 D. Félix Devo’.i ? 10. D. Manuel Moreno , 10. D. Vicente Pastrana , 10. — Estudiantes de medicina. D. Mariano Campero, 17. D. Mariano Murga, 8. D. Norberto Ve­ ga , 4. D. Isidro Andrade , 4. D. Ramón …</t>
  </si>
  <si>
    <t>Moreno, Manuel Cándido</t>
  </si>
  <si>
    <t>Manuel Cándido Moreno</t>
  </si>
  <si>
    <t>5 24 ricas, por no quedar mal con ninguna, decia: Yo... D. Adrián Marcos Martinez........ *3593 *4 el espejo es mió.....; lo que mas cuenta me tenga. D. Manuel Cándido Moreno, ¡ Cierto, que el tal espejo era alhaja! El no era muí conde de Fuenteblaoca......... ?. 48316 20 de moda, porque tenia un gran marco de cornisa D. Lore…</t>
  </si>
  <si>
    <t>Moreno, Manuel Ignacio</t>
  </si>
  <si>
    <t>Manuel Ignacio Moreno</t>
  </si>
  <si>
    <t>milicias de infantería y su plana mayor dieron por enero, 210 y 1. D. Francisco Antonio García, 500. Los pueblos de Palenque y Babahoyo , por mano de D. Manuel Ignacio Moreno, 1494 y 4 y medio. D. Jaime Isern, 25. D. Pedro Camacho, 50. D. Juan de Avi­ les, 10. Por los pueblos de la Punta de Sta. Elena, ha entregado D. José Ig…</t>
  </si>
  <si>
    <t>o de 20,856 ps. 6 y medio rs,. que se le entregaron por una libranza pagadera en lima á la vista, 210. Don Martin de Icasa, por id. de 10000 ps. 100. D. Manuel Ignacio Moreno , pnr id. de 1500 ps., 15. El regimiento de milicias de infantería , por la mesada de febrero , 219 y 5. D. José Irigoyen , oidor honorario de la audien…</t>
  </si>
  <si>
    <t>Moreno, María González</t>
  </si>
  <si>
    <t>María González Moreno</t>
  </si>
  <si>
    <t>Higuera, plaza en aquel terreno, la que se ensanchará aun madre de D &gt;ña Manuela de i.» Latría. 5 4°° mas luego que acabe de derribarse el templo de Doña María González Moreno............... loboo Santa Eufemia- Esta plaza se adornará con la co­ Doña Josef- C ya'gt por medio de su lima Trajma. marido D Antonio Xhnenez de Eí c…</t>
  </si>
  <si>
    <t>Moreno, Nicolás</t>
  </si>
  <si>
    <t>Nicolás Moreno</t>
  </si>
  <si>
    <t>u tripulación, 10. El capitán de la laucha cañonera Templanza, 25. Su tripulación , 3. El capitán de ía flotante Valenciana , 10. Su tripulación , 4. D. Nicolás Moreno, capitán del navio Piedad , 52 y 4. Su tripulación , 14 y 4. D. Agustín de Subiilaga, capitán de la fragata Guadalupe , 35. Su tripulación , 30 y 4. D. Juan Am…</t>
  </si>
  <si>
    <t>Moreno, Pablo Antonio</t>
  </si>
  <si>
    <t>Pablo Antonio Moreno</t>
  </si>
  <si>
    <t>ingo de las Casas una mesada. D. Vicente Pena, oficial mayor, 30. D. Manuel Celis, 25. D. José Domínguez , 33 y 2 y medio. D. Francisco Taramona, 10. D. Pablo Antonio Moreno , 10. D. Francisco Ameta f oficial mayor jubi­ lado, 25. D. Marcelo Laclara, contador de moneda, 10. El portero Don Domingo Chene, 10. D, José Risco , re…</t>
  </si>
  <si>
    <t>Moreno, Ramona</t>
  </si>
  <si>
    <t>Ramona Moreno</t>
  </si>
  <si>
    <t>22000 20 perantos también de París una gran colección de D-ña María Teresa Herve................. . 22050 plantas y de semillas para dicho j rdines. Doña Ramona Moreno por medio de En el palacio imperial, en la iglesia de S. Pe­ su apoderada D. Pedro Muñoz Me­ dro y en otros varios templos se están haciendo rino..............…</t>
  </si>
  <si>
    <t>Morente, Francisco</t>
  </si>
  <si>
    <t>Francisco Morente</t>
  </si>
  <si>
    <t>................ 2 200 D. Jos, f de ía Cruz, id en Mantilla............ 2200 D. Luis Calvo, id.......................... ...................... 2 200 D. Francisco Morente , id. en Agilitar....... 22co D. Andrés de Cuenca , id............... .............. 2 200 D. Juan Bcrral , lego, id. en Córdoba....... 1100 D. Juan Moreno …</t>
  </si>
  <si>
    <t>Morera, Gaspar</t>
  </si>
  <si>
    <t>Gaspar Morera</t>
  </si>
  <si>
    <t>caballero Ferriandina no estará sujeto á ninguna de las res­ maestrante del real cuerpo de Valencia. tricciones comerciales que actualmente están en D. Gaspar Morera , cortiércíánfe. vigor en América, y estará abierto para los bu-' D. T&gt; mas Morera y Canet, comerciante. qu-s y productos de todas las nacioues. En caso I&gt;- Jose…</t>
  </si>
  <si>
    <t>Morete</t>
  </si>
  <si>
    <t>ada la guerrilla de la derecha , en cuyo momen­ to regresó el regimiento de la Princesa, que con los tiradores de Cá­ diz , atacó por disposición del coronel Morete á los enemigos, des­ alojándolos de la casa de los Cipreses. Observando alguna caballería enemiga por la espalda dé la infantería con dirección a Mislata , y otra…</t>
  </si>
  <si>
    <t>Morete, José</t>
  </si>
  <si>
    <t>José Morete</t>
  </si>
  <si>
    <t>Cigarra, con 2 piezas de artillería, al mando del teniente D. José Porres. Se puso á la cabeza de dicho batallón eí ex­ presado gefe de estado mayor D. José Morete, quien dispuso sa­ liesen las compañías de granaderos y cazadores en guerrillas , que poco después fueron reforzadas con la mitad de la tercera y la mi­ tad de la …</t>
  </si>
  <si>
    <t>Mori, Cárlos</t>
  </si>
  <si>
    <t>Cárlos Mori</t>
  </si>
  <si>
    <t>......... 5400 por medio-de so apoderado D. EuD. Tomas Gómez Duran..................... 36000 sebio de Oca y Meto.......... ............. pooo1' ’* ■ D. Cárlos Mori, por mano de su apo­ D. Joaquin Antonio de Sojo............... 28838 derado D. Jo*ef Manuel de Iza— guirre............... ............... ............. 30000 Por …</t>
  </si>
  <si>
    <t>Moría, Estiban Felipe</t>
  </si>
  <si>
    <t>Estiban Felipe Moría</t>
  </si>
  <si>
    <t>o Kunenez. Diputado eclesiástico D. Francisco'Cabanas. D. Francisco Galindo. ; ,. D. Nicolás Iuiesta. Diputados seculares Secretario D. Marcos Labia. D. Estiban Felipe Moría. D. Alfonso Perez. . Secretario BARRIO DE SAN ISIDRO. D. Toma* Cordero. Alcalde de barrio BARRIO DE SAN FRANCISCO. D. Francisco Xavier.de C.baza. Diputad…</t>
  </si>
  <si>
    <t>Morid, Joaquín</t>
  </si>
  <si>
    <t>Joaquín Morid</t>
  </si>
  <si>
    <t>267</t>
  </si>
  <si>
    <t>que fueron pasados á cu­ chillo: y en seguida, subiendo que el grueso dé sus fuerzas estaba ca el pueblo le Mífcpa, envió á atacarlo á los capitanes D. Joaquín Morid re gon y D. Jo.'é Oéíioategui : los cuales, habiéndolos encon­ trado el 30 de julio antes de llegar al pueblo, los derrotaron tan com­ pletamente, que ni en Mesp…</t>
  </si>
  <si>
    <t>Moriggi</t>
  </si>
  <si>
    <t>stA planes de sangre y de ruina. Viendo que sus migo , disparando algunos cañonazos con acierto. medios de seduccioir han sido tan débiles contra El sargento Moriggi, comandante de la torre de les corazones de este honrado pueblo como lo son Paterno, consiguió también el primero de abtil sus armas contra las tropas imperiales…</t>
  </si>
  <si>
    <t>Morillo</t>
  </si>
  <si>
    <t>se han disminuido las guarniciones francesas de los puestos militares sobre el Tajo, y se asegura que Marmout pasa á Ma­ drid.— Hay noticia deque el brigadier Morillo está sobre Delalcazar, divo castillo tienen guarnecido los franceses. Las tropas del general Ifiíl que desde Merida avanzaron á Zafra, salieron antes de ayer pa…</t>
  </si>
  <si>
    <t>n 200 ó 300 hombres, muchos de ellos sin ar­ mas , trepando p &gt;r peñas y riscos, por donde lo persiguió co?i mucho trabajo la infantería española del brigadier Morillo , compuesta en gran parte de naturales del pan, : pues ¿como pudieron acompañar á Gi­ rard 500 desús ginctes ? Ni un soto caballo libraron los franceses en tri…</t>
  </si>
  <si>
    <t>y regalada por los habitantes , y después siguió su marcha á Ciu­ dad-Real , sin haber perdido ni un h®mbre en su retirada. Concluida la comisión del brigadier Morillo, se restituyó este gefe á Extrema­ dura , y llegó el 30 de enero á Truxillo, habiendo conducido la ar­ tillería desde las sierras de Guadalupe por caminos casi…</t>
  </si>
  <si>
    <t>cienda. Posteriormente se sabe que Cabarrus á po­ co de haber salido de Mora, retrocedió por haber sabido que esta­ ba en Ciudad-Real la división del brigadier Morillo. En los pueblos de la Sagra se ha hecho requisición de dinero, granos y caballerías ; las últimas para conducir á Valladolid los franceses enfermos. Estas requ…</t>
  </si>
  <si>
    <t>de trigo (se asegura que pa­ sa &lt;lc 4000 fanegas) que han sacado los enemigos de la Mincha en Tniarrubia? y fiemas pueblas comarcanos. Se dice que ei brigadier Morillo h:i hecho mnv.miento para impedir el paso de este convoy» La guarir cion de Badajoz que á me líalos de febrero se compo­ nía soba de 3100 hombres , se h i aume…</t>
  </si>
  <si>
    <t>es de campaña. D*ó inmediatamente orden para que saliese toda la fuerza que habia aquí, como se verificó á las 12 del día. La infantería al mando del brigadier Morillo, y la caballería y legión extremeña al del coronel D w fiie, acometieron con él mayor valor á los enemigos, y los obli­ garon á meterse en Sevilla, después de …</t>
  </si>
  <si>
    <t>534</t>
  </si>
  <si>
    <t>acampada fuera, del pueblo r los tiradores no se detuvieron y pnsaron 2, leguas mas adelante á Cumbres mayores. Casi á la misma hora la división del general Morillo se trasladó desde Xerez de Les Caballeros á Higue­ ra la Real; y el duque de C.udad-Rodrigo debió dormir anoche en Bienvenida. Los portugueses qi?e 33 hallaban en…</t>
  </si>
  <si>
    <t>Morillo, Gabriel</t>
  </si>
  <si>
    <t>Gabriel Morillo</t>
  </si>
  <si>
    <t>reros del mismo cu rpo. D. Vicente Décima-Villa , 100. I). Pedro de Haro, 50. D. Bernardo José Roca, 20i&gt;. D. José Amonio Roca* 50. D Pedro Roca, 50. D. Gabriel Morillo, 25. D. Francisco Ufarte, 10.— Los sargentos , cabos y dragones voluntarios de dicho cuerpo , 1023. El pro­ curador D. Manuel de Aguirre,(i. D. José Correa, 3…</t>
  </si>
  <si>
    <t>Morillo, José Camilo</t>
  </si>
  <si>
    <t>José Camilo Morillo</t>
  </si>
  <si>
    <t>4. D. Manuel Bravo, 5. D. José Florencia, 6. D. Ventura Bustamante, G. Don Pedro Ríos , 10. D. Juan María Morillo , 10. D. Mariano Arcia y Tello, 20. D. José Camilo Morillo, 10. D. Juan..... .. 50. D. Guillermo Gutiérrez, 4. D. Ignacio de Vera, 6. D. Ignacio Govostiza, por algunos vecinos de la ciu­ dad Vieja , 22. D. Mariano…</t>
  </si>
  <si>
    <t>Morillo, Juan María</t>
  </si>
  <si>
    <t>Juan María Morillo</t>
  </si>
  <si>
    <t>20. D. Luis Noli, 10. Teodoro Garóes , 4. Tomas Duarte , 4. D. Manuel Bravo, 5. D. José Florencia, 6. D. Ventura Bustamante, G. Don Pedro Ríos , 10. D. Juan María Morillo , 10. D. Mariano Arcia y Tello, 20. D. José Camilo Morillo, 10. D. Juan..... .. 50. D. Guillermo Gutiérrez, 4. D. Ignacio de Vera, 6. D. Ignacio Govostiza, …</t>
  </si>
  <si>
    <t>Morillo, Manuel</t>
  </si>
  <si>
    <t>Manuel Morillo</t>
  </si>
  <si>
    <t>2. D Jcsé de la Vera , 4. D. Pedro Gaiecio , 2. D. Pedro Gamez , 3. D. Gregorio Astyte , 4- La cuadri­ lla de negros trabajadores de aguardientes, 8. D. Manuel Morillo, 20. D. José Baloña, 30. D. Pedro García, 50. Doña Josefa Vejarano y D. Jacinto Vejarano, coronel de milicias , 500. La plana mayor de milicias veteranas y los…</t>
  </si>
  <si>
    <t>Morio</t>
  </si>
  <si>
    <t>do Estos proyectos son mcho; y los impuestos un discurso en honor del difunto. propuestos son: impuesto de patentes, contribu­ El Rei, que honraba al general Morio con una ción personal, papel sellado,- impuesto sobre las benevolencia particular, ha sentido sobremanera es­ bebidas dentro y fuera de los pueblos , impuesto te a…</t>
  </si>
  <si>
    <t>resuelto unánimemente que en ca­ Cerca de las puertas de Cassel ha sido ajusti­ so que el gobierno, por razones que la asamblea ciado el asesino del general Morio. no pnede prever, rehúse abolir enteramente el mo­ Desde el i.° de marzo no ha subido el precio nopolio comercial de la compañía de las Indias de los géneros coloni…</t>
  </si>
  <si>
    <t>Morios, Xavier</t>
  </si>
  <si>
    <t>Xavier Morios</t>
  </si>
  <si>
    <t>de espitan de milicias disciplinadas de infantería á 6. Francir.cn Garcés * D. Francisco Manzano, D. Basilio López, D. Jacobo Garcés, D. R-amon Roa, D. Xavier Morios, D. Pedro Astarloa, D. Juan Esteban Cueto, Don Manuel Carrera, D. José María Medina, D. Podro Jo mi Alcina, D. Manuel U&amp;bina, D. José Díaz Ace vedo v D. J nan Cá…</t>
  </si>
  <si>
    <t>Morison</t>
  </si>
  <si>
    <t>ondidos por los dos navios anteriores. El 2t la esquadra apresó y quemó el brick in­ El almirante creyó que era la esquadra enemiga gles el Nejptuno, capitán Morison, de 176 tonela­ que bloqueaba á Lorient, que venia en sn segui­ das, con 10 hombres de equipage, dos pasageros miento, sobre todo luego que descubrió otras qua­ …</t>
  </si>
  <si>
    <t>Morner</t>
  </si>
  <si>
    <t>cha á la Potn ura fia su ca como impreó^c» e, en vis­ ta de las instrucciones secretas que se habían enviado sobre es asun­ to al gobernador general, conde Morner. Entre tardo tnv é mi ayu­ dante del estado mayor, el teniente Von $c«w.v:lzer, á Deroga lien, para que tratase con el comandante en ge fe de ios franceses, en ca­ …</t>
  </si>
  <si>
    <t>Morote, José</t>
  </si>
  <si>
    <t>José Morote</t>
  </si>
  <si>
    <t>José Bravo de Rueda, 100. El secretario I). Joaquín García, 100. El oficial primero de la contadu­ ría D. Joaquín Mispireta , 50. El segundo primero D. José Morote , 100. El segundo D. Antonio Gutiérrez , 25. El portero primero D. Joaquin Cosío , 25. El segundo D. José Cruzado, 10. — D. Juan del Valle, 50. El colegio dei Prín…</t>
  </si>
  <si>
    <t>Morros, Francisco</t>
  </si>
  <si>
    <t>Francisco Morros</t>
  </si>
  <si>
    <t>dente y nno de sus secretarios ; salieron electos, para presidente el Sr. D. Andrés de Jáuregui, diputado per la Habana; para vice­ presidente el Sr. D. Francisco Morros, diputado por Cataluña ; y para secretario ti Sr. D. Santiago Key y Mañea, diputado por Ca­ narias. La Regencia del reyno ha tenido á bien nombrar para espit…</t>
  </si>
  <si>
    <t>Moscos, Juan</t>
  </si>
  <si>
    <t>Juan Moscos</t>
  </si>
  <si>
    <t>machuco, 31 -y 3 rs. y medio. Administración de rentas de Paita. D. Ignacio Cruceta , administrador , 108 y 2 rs. y medio. D. Fausti­ no Hurtado , 4. D. Juan Moscos , teniente del resguardo , 7. I). Juan Espino­ sa , guarda, tí. D. Faustino Duran , id., tí. D. Juan Otero , amanuense , 4. D. José María Arricia por el importe d…</t>
  </si>
  <si>
    <t>Motla</t>
  </si>
  <si>
    <t>Gaceta de Madrid n.º 223</t>
  </si>
  <si>
    <t>buscan , ni lo que desean , ni la nube que Je acusó de -ha ttacikitkn: mandó ir sobre Granada llaman sobre sus cabezas. Si fuese d .ble la entrada al general Motla; Tj #o hubo cota que uo hiciese de sus héroes y tropas en esta capital, dios serian</t>
  </si>
  <si>
    <t>Moult</t>
  </si>
  <si>
    <t>rcel na. Londres. T. Morgan, tratante de drcche (las heces de la II. Fr^nck, sastre, de Lóndres. cerveza ). Mark Fricdeberg, corredor, de Portsmonth. D. Moult, mercader de cepillos, de New-CastleH. Fry, agente dé negocios, de Bioomsbury. U mier- Lyme. C. Io&gt;yer, constructor de buques, de Chehea la J. Moggeridge, constructor, …</t>
  </si>
  <si>
    <t>Mourgéon, Cruz</t>
  </si>
  <si>
    <t>Cruz Mourgéon</t>
  </si>
  <si>
    <t>entonces la última prueba á la nación de lo que es capaz de conseguirse con los esfuerzos. Mar dé al príncipe de AngJo11a viniese sobre Alcala-, y al general Cruz Mourgéon que permaneciese con su cuerpo de tropas expedicionarias del quarto exército de mi -mando en Ta­ rifa , para que marchando yo rápidamente por aquel .'punto…</t>
  </si>
  <si>
    <t>Mourgeon, Cruz</t>
  </si>
  <si>
    <t>Cruz Mourgeon</t>
  </si>
  <si>
    <t>que los franceses han sido arrojados vergonzosamente de Sevilla por un puñado de tiradores de los regimientos de Zamora, Navarra, Guadix y España. El general Cruz Mourgeon entró después con toda la tropa, ia que fue recibida con mil aclamaciones. A los dos dias (el 29) se publicó la Constitu­ ción en la plaza de S. Francisco …</t>
  </si>
  <si>
    <t>Moxó, Antonio María</t>
  </si>
  <si>
    <t>Antonio María Moxó</t>
  </si>
  <si>
    <t>Urgencia coníérr compañías á los primeros tenientes I).&gt;B°pe de Mesa Ponte, D. Cayetano tic Frías y A!tan*?rano, Di»ü Francisco de Paula Santa María, D Antonio María Moxó y ? *on Francisco de Paula Mamnon , el primero y los dos ú.timos gra­ duados de coroneles ; primera ayudantía mayoral segundo ayudante D. Frm i cisco de Sn'…</t>
  </si>
  <si>
    <t>Moxo, Manuel</t>
  </si>
  <si>
    <t>Manuel Moxo</t>
  </si>
  <si>
    <t>ef Gregorio de Texada, paga­ dor de la tercera división, para atender á los gastos de ella.................. ........................... 71921 Idem á D. Manuel Moxo, capitán de Carabi­ neros Reales, comisionado por el segundo y tercer exército, para atender á la brigada de su cuerpo............................................…</t>
  </si>
  <si>
    <t>Moya, Francisco López</t>
  </si>
  <si>
    <t>Francisco López Moya</t>
  </si>
  <si>
    <t>................. ■ 2537 10 larga, y coyo resultado deberá ser volver á caer D. Isidro Bu.naposad.................. 186 baxo el yugo de los otomanos. D. Francisco López Moya...... 3058 26L D .ña Bernarda Costar.morid , co­ ESPAÑA. mo tutor» y curadora de sus hijos D. J nef, D. Juan y Do­ Madrid 5 de agosto. ña Ines N vieto...…</t>
  </si>
  <si>
    <t>Moya, José</t>
  </si>
  <si>
    <t>José Moya</t>
  </si>
  <si>
    <t>os , no obstante lo. bueno de la. tuya. ‘ Me hallaba en esta tenaz posición sin poderla romper por la «kv&amp;da. del enemigoguando dcspap&amp;é. &amp; mi edecán D. José Moya</t>
  </si>
  <si>
    <t>Pierola, teniente coronel D. Ru­ fino Bcrcolme, y mis fieles y valerosos edecanes , conde de Casa Real, D. Mariano Campero, D. «Tesé García Santiago, D. José Moya, Don Juan Iinaz, D José Casellasy D. José Guerra, que todos llevaron mis órdenes , y me acompañaron con serenidad. — El cuerpo todo de ar­ tillería ha llenado sus d…</t>
  </si>
  <si>
    <t>Mozas, Juan</t>
  </si>
  <si>
    <t>Juan Mozas</t>
  </si>
  <si>
    <t>llo. La Regencia del reyno se ha servido nombrar subtenientes de in­ fantería con destino á los cuerpos del segundo y tercer exército á D. Juan Vela, D. Juan Mozas, D. José Carrasco, D. Diego Perez, Don León Gordo, D. José González Yuste, D. Juan Marmol Calero, Don Calixto Rodríguez, D. Ildefonso Rulz, D. Agustín Lázaro, D. J…</t>
  </si>
  <si>
    <t>366 La Regencia del reyno sé ha servido nombrar subtenientes de infantería, con destino á los cuerpos del segundo y tercer exército, á D. Juan Vela, D. Juan Mozas, D. Josef Carrasco, D. Diego Perez, D. León Gordo, Don Josef González Yuste, D. Juan Manuel Calero, D. Calixto Rodríguez, Don Ildefonso Ruiz, D. Agustín Lázaro, D. …</t>
  </si>
  <si>
    <t>Mptitalvo, Alexandto</t>
  </si>
  <si>
    <t>Alexandto Mptitalvo</t>
  </si>
  <si>
    <t>Rio, id. de Fuente D. Miguel de P.ibios , diácono, id. en San Cespe............................................ 22co Cristóbal................. 2200 D. Alexandto Mptitalvo, id. de la villa de D. Ramón Pérez, id. en Aidea el Corvo..,. 2200 . Nieva............. v*.-...........................-i............ . aaqq D. Antonio de …</t>
  </si>
  <si>
    <t>Msnso, José</t>
  </si>
  <si>
    <t>José Msnso</t>
  </si>
  <si>
    <t>va al proyecto de loa enemigas para establecerse en ei puente de Molina de Rey , juntamente ccn las instrucciones que recibió el te­ niente coro-je?. D. José Msnso, para que c&lt; n el b« tallón de su mun­ do les irnp-.diese la execucion de su pían, me hizo formar la idea de que uní des las fuerzas Ce aquel cercene: ai te con la…</t>
  </si>
  <si>
    <t>Mtiller</t>
  </si>
  <si>
    <t>or ,, Tengo el honor &amp;c. = Aug. Foster." Sclnjling , consejero de la corte en Munich: el profesor D.inne ker , escultor de Stntrgardt : el DINAMARCA. profesor Mtiller, el padre , grabador de la misma ciudad ; y el Excmo. Sr. de Goethe , ministro del Coyenh.igue 22 de febrero. duque de Weirnar , y otros varios. 'Durante el mes…</t>
  </si>
  <si>
    <t>Mu, José</t>
  </si>
  <si>
    <t>José Mu</t>
  </si>
  <si>
    <t>as , 1. El Sr. virey D. Fernando Aba cal , lOtiOO. D. Simón R-óbago , secretario tlcl virey nato ocr sí y su espesa Doña Manuela Avelia Fuerte, 1200. D. José Mu-</t>
  </si>
  <si>
    <t>iano .Lugo; la infantería de marina al mando del impávido alférez de navio D. 1) ionisio Guiral ha sostenido su merecida reputación ; los tenien­ tes D. José Mu ñoz y D. Román de la Madrid, del fixo de México; los capitanes del provincial de Tres Villas D. Manuel Corral y Don Nicolás Cano ; el teniente D. Luis de la Portilla …</t>
  </si>
  <si>
    <t>Muela, Josef</t>
  </si>
  <si>
    <t>Josef Muela</t>
  </si>
  <si>
    <t>, D. Juan Manuel Calero, D. Calixto Rodríguez, Don Ildefonso Ruiz, D. Agustín Lázaro, D. Juan Burguillos, D. Santiago López Ruiz, D. Pedro Fernandez, D. Josef Muela, D. Josef Mafia XimenezDon Domingo Draper, D. Manuel Guio, D. Juan Utrero, D. Benigno Merchan, D. Víctor Casasola, D. Pascual del Rey, D. Miguel Parrales, D. Fran…</t>
  </si>
  <si>
    <t>Muelle, Manuel</t>
  </si>
  <si>
    <t>Manuel Muelle</t>
  </si>
  <si>
    <t>s, 8. D. Ignacio Icaza, 8. D. Manuel Icaza, 8. D. Carlos Icaza, 8. D. Manuel Solar, 8. D. Juan Garro, 8 D. Joaquín Jordán , 8. D. Cosme Martínez , 8. D. Manuel Muelle, 8. D. José María Murga , 8. D. Antonio Urrutia , 8. D. Manuel Rio, 8. D. Luis Gamio , 8, JD. Mariano Albiuri, 8. D. Blas Cabrera, 8.1). Francisco Delgado, 8. D…</t>
  </si>
  <si>
    <t>Muente, Juan Perez</t>
  </si>
  <si>
    <t>Juan Perez Muente</t>
  </si>
  <si>
    <t>rza, cirujano de la fragata S. Juan Bautista, 17. El contramaestre, el guardián y el sangra­ dor , 14. Eí resto de Ja tripulación de dicho buque, 36. D. Juan Perez Muente , capitán del bergantín S. isidro,el contramaestre y el guardián , 8. El res­ to de la tripulación de dicho buque , 10. D. Juan Antonio Rospilloso, escri­ b…</t>
  </si>
  <si>
    <t>Mugaríegui, Francisco Xavier</t>
  </si>
  <si>
    <t>Francisco Xavier Mugaríegui</t>
  </si>
  <si>
    <t>eniente coronel D. Domingo Guesala.” Dios guarde á V. E. muchos años &amp;c. &gt; El coronel interino de la sección de Vizcaya D. Antonio Cano informado por D. Francisco Xavier Mugaríegui que una fuerte Icolumna enemiga de mas de .1500 hombres trataba de sorprdlienderle, emprendió su retirada desde S. Miguel hasta Zar raíanlo , exec…</t>
  </si>
  <si>
    <t>Mugí, José Torres</t>
  </si>
  <si>
    <t>José Torres Mugí</t>
  </si>
  <si>
    <t>presidente él Sr. D. Jasé Gutiérrez de Taran , diputado suplente por Ñus va España; y para secretario el Sr. D. José Torres Mugí, dipu­ tado propietario por ei reyno de Valencia. Las Cortes generales y extraordinarias se han servido dirigir á la Regracia del reyno la resolución siguiente: „ Teniendo presente las Cort</t>
  </si>
  <si>
    <t>MUI</t>
  </si>
  <si>
    <t>ancia. El 13 salieron 80, y mañana salen 60 de esta clase. Los enfermos van á Toledo: aquí solo habrá irnos 50. Valencia de Alcántara 23 de marzo. El general MUI ocupa á Mérida,y ha adelantado gruesos des­ tacamentos de caballería hasta Cáceres , Torremocha y Truxillo, donde permanecen en observación. El mariscal Beresford ma…</t>
  </si>
  <si>
    <t>Muir</t>
  </si>
  <si>
    <t>-Estrecho con 30 cañones. — La pérdida de los in­ gleses ha sido muy corta, pues no pasa de .3 muertos y 17 heri­ dos , y en este número se cuenta el capitán Muir, del cuerpo de ar­ tillera, y el teniente Sutherland del regimiento 41.” ESPAÑA. Estello 31 de Setiembre. Concluyen los partes del mariscal de campo JD- Francisco E…</t>
  </si>
  <si>
    <t>te-Estrecho con 30 cañones-----La pérdida de los ingleses ha sido muy corta, pues no pasa de tres muertos y 17 heridos, y en este número se cuenta el capitán Muir, «leí cuerpo de artillería, y el teniente Sutherland, del regimiento 41.°” Gibraltar 10 de octubre. Estamos muy esperanzados de ver en breve terminadas las hostilid…</t>
  </si>
  <si>
    <t>o que causó dos acciones parciales, en que aquel tuvo mucha* pérdida, y por- nuestra parte hubo 3 muertos y i3 he­ ridos : entre ellols se cuentan el capitán Muir y «1 teniente.Sj.itherland del 41. También se construyeren baterías contra el fuerte del Estresho , colocándose en ellas un canon de á 18 , dos de á I2y y dos morte…</t>
  </si>
  <si>
    <t>Mulinen</t>
  </si>
  <si>
    <t>CAUfARA ALTA. fnia con el objeto de hacer investigaciones sobre la Sesión del 7 de febrero. historia de la Soiza , y ha sido nombrado presi­ dente el abogado Mulinen, y secretarios el profe­ El marques dé Lansdówne dixo'qae en el dis­ sor Schenell y el Capitán Rodt. curso de este mes presentaría á la cámara una pro­ .Esta aca…</t>
  </si>
  <si>
    <t>Mulle, José Cruz</t>
  </si>
  <si>
    <t>José Cruz Mulle</t>
  </si>
  <si>
    <t>o, D Jaecho Escario y D. Luis Cepeda; y empleos tle ayudantes segundos á los adictos D. Jacobo Mstia de Espinosa, teniente del regimiento de Badajoz, D. José Cruz Mulle?, alférez de navio de !a armada naciera t, D. José O riega, teniente dél regimiento de infantería del Rey, D. Francisco Oteyza, capitán de dragones deNumancia…</t>
  </si>
  <si>
    <t>Muller</t>
  </si>
  <si>
    <t>ve­ DINAMARCA. res. Si esto se vei dica , quedará libre la comunica­ ción entre las dos orillas por este punto. Copenhague ti de diciembre. RUSIA. El profesor Muller ha publicado una memoria Petersburgo i 2 de diciembre. interesante acerca de la autenticidad yr antigüedad del sistema de mitología y moral atribuida a O iin. Ha…</t>
  </si>
  <si>
    <t>Mulot, Pedro</t>
  </si>
  <si>
    <t>Pedro Mulot</t>
  </si>
  <si>
    <t>putados representantes de la nobh-zi, meros, á subtenientes. En el regimiento Real Ex- del clero , de la propiedad , del comercio y pue­ • trangero á D. Pedro Mulot, teniente, á ayudante blo, que han venido á presentar las referidas actas mayor; á D. Federico Bailliodiz, subteniente, á de su juramento á S. M., y se hallan en …</t>
  </si>
  <si>
    <t>Munarriz, Francisco</t>
  </si>
  <si>
    <t>Francisco Munarriz</t>
  </si>
  <si>
    <t>00. D. Manuel Tafur, cura de Lurin , 40Í). El capitán D. Lorenzo José de Chaves, 1000. F1 monas­ terio de la Encarnación , 500. El escribanía público D. Francisco Munarriz, en cada año de los que dure la guerra, 25. — Dirección de tabacos. El director general D. Miguel de Otermin , 500. I). Marcos de Torres, escribiente , 41.…</t>
  </si>
  <si>
    <t>MungarnniJ, Víctor Roberto</t>
  </si>
  <si>
    <t>Víctor Roberto MungarnniJ</t>
  </si>
  <si>
    <t>capitán del expresa­ mias , y de Mr. Double, doctor en medicina, re­ do regimiento de granaderos de la guardia real en sidente en París. reemplazo de D. Víctor Roberto MungarnniJ; al ESPAÑA. capit.m de infantería de línea D. Manuel Je Citnpos y Rosal capitán de caballería de línea con Madrid 6de enero. agregación al regimienr…</t>
  </si>
  <si>
    <t>Muñíz</t>
  </si>
  <si>
    <t>a. Catalina, fué cargado desde las 10 y media de la mañana del 22 hasta las 3 de !a tarde por §000 infantes, 200 caballos y 7 cañones , al mando «del general Muñíz , de Torres, Ga re i lita y otros pri cipnb-s cabecií’as, tuvo ia desgracia de que desde luego se le inutilizasen 2 cañones, co­ mo igualmente ei otro, que á sil p…</t>
  </si>
  <si>
    <t>Muñiz, Andrés</t>
  </si>
  <si>
    <t>Andrés Muñiz</t>
  </si>
  <si>
    <t>a Corisña O. José Alonso Val:?enebro; del prior de la colegiata de la misma ciutl&amp;d D. Miguel de Castro y Frgueroa ; del pEior interino del consulado D. Andrés Muñiz ; del t dminútiador de correos D. José de la Cuadra ; y de los líR. PP. Fr. Angel Rodríguez, Fr. Ambrosio de Val y Fr. José Medeía, supe­ riores de las comunidad…</t>
  </si>
  <si>
    <t>Muñoz, Antonio</t>
  </si>
  <si>
    <t>Antonio Muñoz</t>
  </si>
  <si>
    <t>últi­ mos , habiéndolo ya hecho con bastantes desde el campo de batalla. La pérdida de mi división consiste en 22 heridos , entre ellos el ca­ pitán D. Antonio Muñoz y el teniente D. Juv.u Bueno, del batallón, de Rioja: no tengo noticia exacta de la pérdida de la división d« Guadalaxara. En la noche del 7 ocupé ios punios, in…</t>
  </si>
  <si>
    <t>os. Venían en el convoy que fué atacado en Gusrroman per nuestras trepas. Hoy han salido varios destacares-ntos reunidos para perseguir al partidario D. Antonio Muñoz que Ies incomoda notable mente. (A C&lt;)</t>
  </si>
  <si>
    <t>ros cerca de Ttba. Tienen las franceses encerradas en la A-hambra un gran núme­ ro de acémilas para un convoy que parece saldrá pronto. La partida de D. Antonio Muñoz anda por Ies lugares de estos contornos , recogiendo caballos. Se dice que pocos dias ha entró en Velez-Málaga donde hizo a'gunss prisioneros. Intentó también e…</t>
  </si>
  <si>
    <t>.......................... 22co esta corte............. 1100 Ex-carmelitas descalzos. Bx—esculapios. D. Pedro Texada, residente en Jaén......... 2200 D. Antonio Muñoz, residente en esta corte. 2200 D. Manuel Casado, id. en Porcuna........... 2200 D. Felipe de Siles, id. en Valdepeñas de Ex-mínimos. Jacú.......................…</t>
  </si>
  <si>
    <t>Guillermo Barry, 26 y 5. El coronel Colquhoun, 12 y 10. Los redactores del periódico titulado Times, 25. Un amigo de E. M. D., 17. D. José Barn, 2Z. D. Antonio Muñoz, 40. Los señores Co-okas, J&amp;ckson y corapañí*!, 10 y 10. D. Juan de Eguiuo, 10. F. A S., 10. G. VV por E. M. O. 21. D. Y. Pa- y&amp;rt, 50. Los se ñores Paiyart, 10 …</t>
  </si>
  <si>
    <t>Muñoz, Domingo</t>
  </si>
  <si>
    <t>Domingo Muñoz</t>
  </si>
  <si>
    <t>el de Heredia, id. en Bedmar...... 2200 Ex-capuchinos. D. Miguel Villanueva , lego, id. en Baeza. 1100 D. Manneí Flores, residente en Madrid.... 2200 D. Domingo Muñoz, id. en Bedmar...... 2200 D. Benito Guillen y Cerdan, id................ 2aoo D. Marrin Palomares , id. en Jaén............ 2200 D. Manuel Ibañez, id. en Navalc…</t>
  </si>
  <si>
    <t>Muñoz, Don Tomas</t>
  </si>
  <si>
    <t>Don Tomas Muñoz</t>
  </si>
  <si>
    <t>dei Príncipe , rector , vice-rectores, maestros y estudiantes, 200. De las 3 cor­ ridas de toros y su encierro destinadas á este donativo , 7774. El regidor Don Tomas Muñoz, 500. — Curas y clerecía del partido de Santo,. D. Miguel Li­ no Montes , 25. El cura de Repeña D. Manuel Castrillon , 17. D. José Ga­ lludo , G. El cura …</t>
  </si>
  <si>
    <t>Muñoz, Eugenio Rafael</t>
  </si>
  <si>
    <t>Eugenio Rafael Muñoz</t>
  </si>
  <si>
    <t>para el de QrgaZ, qtí.ijdaO que puede sacar de este papel, y que vacante por muerte de D, Juan Antonio Pérez- manden á su afectísimos: P, P. .. ¡ . A D. Eugenio Rafael Muñoz, cura dé Huma­ . fí MaoZanares 20 de abril.de ,i8ta.” nes de Madrid, para el de la villa del Prado , va­ cante pof muerte de D. Manuel de Silva. POLITICA…</t>
  </si>
  <si>
    <t>Muñoz, Gregorio</t>
  </si>
  <si>
    <t>Gregorio Muñoz</t>
  </si>
  <si>
    <t>fradía de la pura y limpia c&lt;&gt;¡&gt;n ce sa­ ca on , fundada en el convento de S. Francisco de esta ciudad , en cada un año , 1000. D. Andrés Galarza, 6. D. Gregorio Muñoz, teniente del piquete ele infantería de Paita, 25. Dicho piquete, 127. El do dragones del mismo Paita, 91. La cofradía de S. Crispir» , 2009. El teniente coron…</t>
  </si>
  <si>
    <t>Muñoz, Jem</t>
  </si>
  <si>
    <t>Jem Muñoz</t>
  </si>
  <si>
    <t>Los del pueblo de Palea, 13 con 2. Los del pueblo de Acobamba, 15 y G. Los del pueblo de Tapo , 12 y 2. — D. Santiago Ofelan , cura de Aubaaiba , 50. D. Jem Muñoz , cura de Mito, 50. Juan Ramírez’, indio- tributario de fluaroehiry , 2. i). Diego Hartado, curado Comas, 50. Ei subdelegado del par­ tido de Cañete, por sí, 100, y…</t>
  </si>
  <si>
    <t>Muñoz, José</t>
  </si>
  <si>
    <t>José Muñoz</t>
  </si>
  <si>
    <t>era del camino de Tenancingo estaba caído en el foso , se arrojaron el alférez de nav o D. Dionisio Cutral, el capitán D. Manuel Corral y el teniente D José Muñoz con sus tropas, y pasando al otro lado , hicieron detener dos piezas cargadas á metralla que los rebeldes conducían hacia la plaza riel pueblo , la «uai fue ocupada…</t>
  </si>
  <si>
    <t>Muñoz, Josef</t>
  </si>
  <si>
    <t>Josef Muñoz</t>
  </si>
  <si>
    <t>ánchez Aguayo , id...................... 22C0 D. Francisco Solano de Navas , ¡d................ 2200 D. Jostf Navarro , residente en Mootilla... 2200 D. Josef Muñoz, id........................................... 2200 P. Diego Jostf de Arce , id............................ 2200 P. F rancisco Navarro , id.......................…</t>
  </si>
  <si>
    <t>trinitarios descalzos. D. Pedro Blanco , id........ .......... ........................ 2 200 D. B as Xirr.enez , residente en Ecija.......... 2 200 D. Josef Muñoz, residente en Córdoba.... 2200 D. Francisco Pradana y Lara , id. en Mon- D. Rafivl G un \z, id........................... ............. 2200 toro....... ..........…</t>
  </si>
  <si>
    <t>Muñoz, Juan</t>
  </si>
  <si>
    <t>Juan Muñoz</t>
  </si>
  <si>
    <t>de Paula de García , diáco­ D. Manuel de Agua- hermosa , id............... 2200 no, id............................................. i.......... 22CG D. Juan Muñoz, id........ ............................... 2200 D. Cristóbal Ramírez, residente en Luceóa. 2200 D. Josef Morales y Sdlazar, id.................... 2200 D. Juan de …</t>
  </si>
  <si>
    <t>Muñoz, Julián</t>
  </si>
  <si>
    <t>Julián Muñoz</t>
  </si>
  <si>
    <t>n esta ocasión solemne, había corte; á D. Pedro Fernandez para la de segundo creído llenar su deber no solamente para con una substituto del mismo; á D. Julián Muñoz diputa­ clase respetab’e de sus compatriotas, siuo también do del citado barrio , y á D. Jacinto G mez secre­ para coo Dios, persuadido de que no puede es­ tario…</t>
  </si>
  <si>
    <t>Muñoz, Luis</t>
  </si>
  <si>
    <t>Luis Muñoz</t>
  </si>
  <si>
    <t>cero, D. Juan Tena, Don José López Montoya , D. Juan Ramón Llórente, O J uan Muril!o, O. Francisco Benito, D. Francisco Alameda, D. Pedro Panla­ gua, D. Luis Muñoz?, D. Vicente Ortiz, D. Manuel Benito, D. Pe­ dro Latorre, D. Melchor Buba, D. Francisco Alvarez , D. Luis Angel García, O. Pedio Toruno, D Antonio Rosado, D. Ildef…</t>
  </si>
  <si>
    <t>Muñoz, Manuel</t>
  </si>
  <si>
    <t>Manuel Muñoz</t>
  </si>
  <si>
    <t>500 por su esposa Doña Agueda Arnao, y 200 por su hijo D. An­ tonio de Lírrutía y Arnao. El alcalde de primer voto D. Ramón Gavas , 50. Ei de segundo D. Manuel Muñoz, 12. El regidor D. Tomas de Benavides, 25. El tesorero interino D. Juan Bernardo Valdivieso, 25. El coronel de milicias D. Lorenzo Antonio de Cárdenas, 100. El c…</t>
  </si>
  <si>
    <t>tóbal de León, id................................. &amp;2QO D, Miguel Cobos, residente en Pozoblanco; 22©o D. Manuel Aguijar y Leiva , id.......... aaejo D. Manuel Muñoz, id. en Torrecampo...... 2200 D. Bernardo Guadix, id.......................... ;.... 2200 D. Lúeas Romero¡ id...,................................... 2200 D. Jose…</t>
  </si>
  <si>
    <t>Muñoz, Mmuel</t>
  </si>
  <si>
    <t>Mmuel Muñoz</t>
  </si>
  <si>
    <t>dos D. Mariano Camacho, id. en Linares......... 2200 los números siguientes : 15,63,36, 65 y 47. D. Luis Santiago, id. en Porcuna............... 2100 D. Mmuel Muñoz, id................................... 2200 D. Fernando Velloso, id.en Jaén............ 2200 Desengaños políticos.__ Se vende en la imprenta D. J uan Francisco de…</t>
  </si>
  <si>
    <t>Muñoz, Nicolás</t>
  </si>
  <si>
    <t>Nicolás Muñoz</t>
  </si>
  <si>
    <t>Ordoñez.' Procurador general alférez mayor i D. Amonio Gordei. - Regidoresá D. Marine! Re«?g?I. .Regidores, D. Josef de Eduberri/ D. Pedro Daripe. ’ D. Nicolás Muñoz. D. Jnan Manuel Nobal. D. Manuel de Cárdenas. D. Ramón Escudero. D. Francisco Vasco. D. Francisco Xavier Gandanillo*. D. Juan MonSalve.' D. Antonio G..rcíj de la…</t>
  </si>
  <si>
    <t>Muñoz, Pablo</t>
  </si>
  <si>
    <t>Pablo Muñoz</t>
  </si>
  <si>
    <t>a española la co­ media original en tres actos, titulada iíl Vhno'y fa Ni­ Diputados.seculares ña, y el sainete el Page pedigüeñó. ActDres'‘en'la co­ D. Pablo Muñoz de ja Vega. media. Señoras M aria García . Rosario García y Tor­ D. Juan Santiago Perez., res. Señores Infantes, Cristiani, Avecillafy. Sfiarez. D. Víctor Vicario…</t>
  </si>
  <si>
    <t>Muñoz, Ramón García</t>
  </si>
  <si>
    <t>Ramón García Muñoz</t>
  </si>
  <si>
    <t>to unánimemente que-sd den gracias al gr,an baijío por el discurso lleno de fuego Alcalde de barrio y de verdad qne pronunció al empezar la asamblea, D. Ramón García Muñoz. y que se le suplique permita que se imprima. Diputado eclesiástico 16. ,,Se ha^resuelto unánimemente qub.s'ií den D. Manuel Onofre. tambíca gracias al; gr…</t>
  </si>
  <si>
    <t>Muñoz, Sebastian Vilches y Don Antonio María</t>
  </si>
  <si>
    <t>Sebastian Vilches y Don Antonio María Muñoz</t>
  </si>
  <si>
    <t>tes de la Corona: á subtenientes, á D. Valentín del Rio, D. Francisco Palacios, D. Ildefonso Lillo, D. Pedro Ortiz de Lequizaman , D. Mateo Masegosa, D. Sebastian Vilches y Don' Antonio María Muñoz, cadetes de la escuela mi-ifar del tercer exército, D. JuEn Escolar , D. José Pareja y D. Higinio Fernandez , sar­ gentos primero…</t>
  </si>
  <si>
    <t>Muñoz, Simón</t>
  </si>
  <si>
    <t>Simón Muñoz</t>
  </si>
  <si>
    <t>. D. Francisco Antonio de Taegui , 50. D. Ramón Caballero , 25. D. José do ílercsa , 50. D. Silvestre Pon ce de León , 25. D. Francisco González, 50. D. Simón Muñoz, 25. D. Manuel Miranda, 12. D. José María Viso, 25. D. Francisco de Otero , 40. D. Francisco Merino, 25. D. Ce&gt;areo Sanor, 50. D. Juan González , 35. D, Patricio …</t>
  </si>
  <si>
    <t>Munró, Tomas</t>
  </si>
  <si>
    <t>Tomas Munró</t>
  </si>
  <si>
    <t>omas particula­ algunas nociones erróneas que se habua apoderado res de la enfermedad. de su espíritu. El dictar Juan Willis: La salud corporal d* El doctor Tomas Munró: El estado de la sa­ S. Ai. me pareció un poco mejor desde ia primera lud corporal de A. Ai. es barrante bu-no ; pero el vez que empecé á asistirle, esto es, …</t>
  </si>
  <si>
    <t>Muntsiroso, Juan</t>
  </si>
  <si>
    <t>Juan Muntsiroso</t>
  </si>
  <si>
    <t>itan... l fSarg.rnivyo? í ti ten. cor. O. Pedro d ? la Yega.. . . ■ * 1 Imne- | Tríente ..' D. Manuel Santos.......... . * f I mortal dd&lt; Otro .,. .. D. Juan Muntsiroso.. . . • » 1 Rey. . .. Cadete.. .. 0. Fernando Chencha.. . • * Otro ... .. D. Pedro Pasqnal. 1 l tercera. O tro •»»• o D. Diego Garce* • • •.. . A .•« Castrcpo…</t>
  </si>
  <si>
    <t>Murat</t>
  </si>
  <si>
    <t>ere n efectivamente ántes de ayer , primero los ministros y des­ pués los otros, quedando todos 4 heridos, pero ninguno mortalmen­ te. Se dice que el rey Murat ha querido estorbar que se verificase este escándalo, pero llegó tarde el remedio. Las circunstancias ac­ tuales de Europa y los rumores que corren acerca de la poca a…</t>
  </si>
  <si>
    <t>Mürát, Kutusow Conífa</t>
  </si>
  <si>
    <t>Kutusow Conífa Mürát</t>
  </si>
  <si>
    <t>1361</t>
  </si>
  <si>
    <t>publicada en el Journal de V Empiré. Bpnap^rte salió, de Moskow el 19 de Octubre acelerando su mar­ cha á causa' de las victorias .conseguidas por el príncipe Kutusow Conífa Mürát ¿ y,|iqíJ,eÍ ¿enerál Wití^cnstéin coritfa Gouvkm St. Cyr. Eli los periódicos franceses ñb se indica la dirección que ha to­ mado el éxército grande…</t>
  </si>
  <si>
    <t>Murcia</t>
  </si>
  <si>
    <t>o halló vigilante al enemigo y fuiroado en la plaza delante del palacio, donde se rompió un fuego muy vivo que duró mas de media hola. Entre tentó el comandante Murcia con su comp ñía de artillería y otra de Nensantinos Be apodeió ceí puen­ te, ahuyentando á los enemigos que lo guardaban ; y acudiendo á sos­ tener á Tabuenca …</t>
  </si>
  <si>
    <t>Murcia, Domingo</t>
  </si>
  <si>
    <t>Domingo Murcia</t>
  </si>
  <si>
    <t>ente hacia Soria, siguiendo los nuestros el alcance hasta una legua de la ciudad Se han señalado los comandantes D. Bartolomé Amor, de la caballería, D. Domingo Murcia , de la artillería , y D. Juan Antonio Tabuenca, del batallón de Rioja : llenaron sus deberes los comandantes An­ téalas y .Bcraiz, y los soldados dieron muest…</t>
  </si>
  <si>
    <t>700 con la compañía de artillería y zapadores , y otra de Numantinos , baxó las del bizarro teniente coronel co­ mandante de aquella, D. Domingo Murcia. Ambos gefes se reunieron en la plaza de toros, y obligaron á los enemigos , persiguiéndolos á la bayoneta, á encer­ rarse en el fuerte; la reserva con el comandante gene­ ral…</t>
  </si>
  <si>
    <t>Murcies, Juan</t>
  </si>
  <si>
    <t>Juan Murcies</t>
  </si>
  <si>
    <t>Cevallos,4. I). Ig­ nacio Carguacarschi, 6. D. José Bodelon , 2. D. Manuel Tupayupanqui, 4. IX José Mesa, 2. IX Mariano Mesa, 1. D. José Mirabal, 2. D. Juan Murcies, 4. 1&gt;. Fernando Palomino , 3. D. Manuel Roxas , 2. D. Nicolás Milla, 1. Don Antonio Ortega, T. D. Valentin Hurtado , 2. D. Francisco Perez , 2. D. Ma­ riano Tell…</t>
  </si>
  <si>
    <t>Murga, José María</t>
  </si>
  <si>
    <t>José María Murga</t>
  </si>
  <si>
    <t>a, 8. D. Manuel Icaza, 8. D. Carlos Icaza, 8. D. Manuel Solar, 8. D. Juan Garro, 8 D. Joaquín Jordán , 8. D. Cosme Martínez , 8. D. Manuel Muelle, 8. D. José María Murga , 8. D. Antonio Urrutia , 8. D. Manuel Rio, 8. D. Luis Gamio , 8, JD. Mariano Albiuri, 8. D. Blas Cabrera, 8.1). Francisco Delgado, 8. Don Manuel Herrera , 6…</t>
  </si>
  <si>
    <t>Murga, Mariano</t>
  </si>
  <si>
    <t>Mariano Murga</t>
  </si>
  <si>
    <t>12. D. Juan Contreras , 12 D. Félix Devo’.i ? 10. D. Manuel Moreno , 10. D. Vicente Pastrana , 10. — Estudiantes de medicina. D. Mariano Campero, 17. D. Mariano Murga, 8. D. Norberto Ve­ ga , 4. D. Isidro Andrade , 4. D. Ramón Anderos, 4. D. José Pequeño , 4. D. Juan Fernandez, 2. D. José Gordilio , 2. D. José Cañizares, 2. D…</t>
  </si>
  <si>
    <t>Muriel, Josef Vicente</t>
  </si>
  <si>
    <t>Josef Vicente Muriel</t>
  </si>
  <si>
    <t>allecimiento de lla escrito, ni menos me propongo dar á los legis­ D. Juan Francisco de la Rúa. ladores lecciones que 00 necesitan, ni consejos que A D. Josef Vicente Muriel para el de Peña- ro me piden. Mi intento es ú nica raen re apuntar al­ randilla , vacante por muerte de D. Luis Alonso. gunas reflexiones, qne me ha suge…</t>
  </si>
  <si>
    <t>Murillo, Antonio Ximenez</t>
  </si>
  <si>
    <t>Antonio Ximenez Murillo</t>
  </si>
  <si>
    <t>panto a sus contratos matrimoniales, lo* contaduría de rentas........................... 3033 lis quales estaban expuestos por consecuencia á ser el D. Antonio Ximenez Murillo, oficial resultado de su inexperiencia, de la viveza de sus de la contaduría general de propios. 2JOO pasiones, de lis ase.hanzas ó sugestiones agenas,…</t>
  </si>
  <si>
    <t>Murillo, Pablo</t>
  </si>
  <si>
    <t>Pablo Murillo</t>
  </si>
  <si>
    <t>e sea número superior. == Juan Palarea.” La ciudad de Toledo entregó el competente número de ollas de campa­ na para la infantería mandada por el Sr. D. Pablo Murillo. La junta superior de la misma provincia entregó para la caballería de La división del señor conde de Pene 200 camisas, 184 canacas, 196 pantalones, 196 capotes…</t>
  </si>
  <si>
    <t>Muro, Baltasar</t>
  </si>
  <si>
    <t>Baltasar Muro</t>
  </si>
  <si>
    <t>Ei comandante D. José Andrés Delgado , 200. Id. D. Ma­ nuel Gómez, 6. El capitán D. Bartolomé Celis, 2. Id. D. José Chavarría, 17. El ayudante mayor D. Baltasar Muro , 12. El teniente D. Francisco Ren­ teros, G. Id. D. Santos Cabrejos, 12. Id. D. Bartolomé Dapelo r6. Id. D. Eulalio Guzman , 4. El alférez D. José Manuel Muro, …</t>
  </si>
  <si>
    <t>Muro, Eulogio</t>
  </si>
  <si>
    <t>Eulogio Muro</t>
  </si>
  <si>
    <t>ieron los franceses la atrocidad de asesinar el 2 del corriente á D. Pedro Gordo, cura de Santibañez, vice-presidente de la junta superior de Burgos, D. Eulogio Muro, vocal de la misma, D. José Ortiz Covarrubias , intendente de la provincia , y D. Pedro Velasco, tesorero de la misma. Eos cadáveres de estos ilustres mártires d…</t>
  </si>
  <si>
    <t>Murray</t>
  </si>
  <si>
    <t>ta el y liberal! número de loS oficiales enfermos de nuestro exér­ cito de Portugal. Entre los que acaban de llegar en este estado se hallan el mayor general Murray, El coronel Paysan tuvo aviso el 19 del cor­ quartel-maestre general, y el general Packenhatn, riente que las qnadrillas del Comisario y T*&gt;masicuñado del lord We…</t>
  </si>
  <si>
    <t>Musaier</t>
  </si>
  <si>
    <t>i« gu:rr, en donde se reunieron coi otras procedentes de Alcoy, com­ poniendo el número de 2000 infantes , 400 á 500 caballos y 4 piezas al mando del general Musaier, con el objeto, ai parecer, de bascar al general Bassecourt, me propuse desde luego llamar la atención por esta parte, con arreglo á las órdenes de V. fí. Habia …</t>
  </si>
  <si>
    <t>Musnier</t>
  </si>
  <si>
    <t>al Bssseconrt, que con sil división se hallaba en Ay ora, dirigiéndose para este fin una columna de mas de 2000 hombres por Jorque!a, mandados por el general Musnier, y parte de las guarniciones de Biaf y Castalia por Ahnansa á tomar ei camino real por e! Bonete, previne al coronel, ayudante general del estado mayor, D. Ferna…</t>
  </si>
  <si>
    <t>Muso, Pedro de Alcántara</t>
  </si>
  <si>
    <t>Pedro de Alcántara Muso</t>
  </si>
  <si>
    <t>Co; tés, D. José Sergeaut, graduado de teniente coronel y de cazadores, y D. José de Lemus : primera tenencia con retención de ia segunda ayudantía á D. Pedro de Alcántara Muso: segundas ayudantías mayores á los segundos tenientes D. Juan Manuel de Cogiten y D. Fernando Mon y Arguelles, este graduado de teiiien-t« coronel; se…</t>
  </si>
  <si>
    <t>Musso, Pedro de Alcántara</t>
  </si>
  <si>
    <t>Pedro de Alcántara Musso</t>
  </si>
  <si>
    <t>ente con grado de coronel D. Antonio Miró y al primer ayudante mayor D. Manuel Manso; primera ayudantía mayor al primer teniente y segundo ayu­ dante D. Pedro de Alcántara Musso ; primera tenencia de fusileros al teniente coronel D. Manuel Cavalery , segundo teniente de grana­</t>
  </si>
  <si>
    <t>Muüer</t>
  </si>
  <si>
    <t>en la fb-ma siguien­ Suiza.' y el gran ducado de Badea. Nuestra go­ te: 7780 á lps pobres de los barrios; 525 á los in­ bierno ha i nombrado al señor consejero Muüer digente destinados á Jos depósitos, y las 4411 Thaingeo y al señor Siegrist , secretario de Estado, restantes á los señores subscriptores. para que.asistan á est…</t>
  </si>
  <si>
    <t>Myn, Arn-ts</t>
  </si>
  <si>
    <t>Arn-ts Myn</t>
  </si>
  <si>
    <t>l mes de enero de 1812 han entrado I.a comisión encargada de los trabajos literarios en V:ena las cantidades siguientes de víveres y tundadoS por t i profesor Arn-ts Myn&gt;cns ha pre­ otros artículos de primera necesidad : ó 194 bueyes, sentado á Ü. M. el informe del fruto de sus tareas. too vacar, 642'} temerás, ¡Ge; carne ios…</t>
  </si>
  <si>
    <t>N, Gerónimo</t>
  </si>
  <si>
    <t>Gerónimo N</t>
  </si>
  <si>
    <t>1000. Dependientes de dicha hacienda. D. Francisco Carvajal, 25. I). Manuel Chaves y Caravero, 25. D. Manuel Roxas, médico, 25. D. Pedro Chaves , 25. D. Gerónimo N. , 10. José Severino, 10. Individuos de mar. El capitán y tripulación de la fragata Tránsito, 22 y 4. Eí capitán de la fragata Tria! D. Salvador Victoria, 17. Su t…</t>
  </si>
  <si>
    <t>N, Jnset</t>
  </si>
  <si>
    <t>Jnset N</t>
  </si>
  <si>
    <t>r nionarqu:.;; d“spues de htber exeettado tros D. Justo Ib ir N :varro , D. Pascual Quiiez y providencias tni.i . - i -.s de eü -.s; después de haber D. Jnset N.o ano Vidal , que no conformtírid-o-.ü p.-otv SÍ.-...1'&gt; d »n a.-Lerion al órd.eii establecido , pu- con los ptincip'os y tn ¡xím .s de la consulta , Lis í'tiqij't un…</t>
  </si>
  <si>
    <t>N, Luis Gi</t>
  </si>
  <si>
    <t>Luis Gi N</t>
  </si>
  <si>
    <t>Diputado eclesiástico D Andrés Grande. D. Rafael G - reía. ..... ::;v:Vi¡ í Xi D Agustín Michel. Diputados seculares j .q D. Juan. Antonio de Sujse. D. Luis Gi¡ N,r.apjo.. Secretario interino D. Pedro Acevedo»; ,■=&gt; , '■■malí .&lt;£ D. Juan Manuel Ains. D. Cristóbal Olmedo. S?tííeiarie J-* I/IAb».-» D. Julián Alvarez de ia,Torre…</t>
  </si>
  <si>
    <t>N, Tomas</t>
  </si>
  <si>
    <t>Tomas N</t>
  </si>
  <si>
    <t>malidades de guia y de sello los pañía ; ¡I crpifan del regimiento de i: f.ut.- í t Real géneros coloniales, los texidos de laua y algodón y Irlandés D. Tomas N.&gt;g.b«n c:pít.,n del regi­ los algodones hilados. Los granos continuarán que­ miento 4.” de cazad iré', á caballo; al subteniente dando sujetos á la poiicía que se obs…</t>
  </si>
  <si>
    <t>Na, José</t>
  </si>
  <si>
    <t>José Na</t>
  </si>
  <si>
    <t>Peñalver, por 3 , durante el tiempo que fuere de su agrado , 27. D. Antonio de Frias, por 2, durante la guerra, 18. D. Pascual Pluma, por uno id., 9. D. José Na­ ranjo , por uno, por el tiempo que le sea posible ,9. El marques de CasaPeñalver, 4000 ps. D. Juan Francisco Manrique y su esposa, 160. (Se continuará.) ' CADIZ : EN…</t>
  </si>
  <si>
    <t>Na, Josef</t>
  </si>
  <si>
    <t>Josef Na</t>
  </si>
  <si>
    <t>e ios franceses se han guias de forasteros esp.h .las, y mui e&gt;p ñolar, en de salir con La suya ?__Y los buenos españoles. que e-tá puesto S. A 1. el Príncipe Josef Na­ ¿Y no ha de hibe.r religiones?___La de Jesucris­ poleón i.¿ Y no ha leillo vni l. las mani.s guias Je to , v bota____¿Y yo no he de v.lver á mi vica­ lora-ter…</t>
  </si>
  <si>
    <t>Na, Maria</t>
  </si>
  <si>
    <t>Maria Na</t>
  </si>
  <si>
    <t>.. 9980 20 También se cultiva la poesía con mas esmero D. Pascua! Méndez de Zúñiga, co­ que en otro tiempo, á lo que sin duda ba contri­ mo marido de Doña Maria Na­ buido la favorable acogida que ha tenido del púb!¡. varro de Barcos................................. 62279 2 co el a'manak titulado Bai rosas de los Alpes. D. Jo.…</t>
  </si>
  <si>
    <t>Nadales, Antonio</t>
  </si>
  <si>
    <t>Antonio Nadales</t>
  </si>
  <si>
    <t>ánchez , id. en Castro de) Rio.. 2 IOO D. Juan Galán y Njdües, id....................... 2200 1). Felipe del Olmo, id. en Ecija................. 2200 D. Antonio Nadales, id................. 2200 D. Francisco Ximenez, id............................. 2200 D. Miguel Carmena, id................................... 22co D. Juan Fer…</t>
  </si>
  <si>
    <t>Nadin, Juan</t>
  </si>
  <si>
    <t>Juan Nadin</t>
  </si>
  <si>
    <t>roso, id., 100. El moreno Juan Nepomuceno Diez, id., 54. D. Juan Antonio Cordero, id., 54. D. Do­ mingo Urquijo, id., 54. D. Pedro Benitez, id. , 54. D. Juan Nadin , id., 54. D. Manuel Gualda, id., 34. Doña María de la.Concepción González, en agosto de 1811 por una vez, 11. D,oña Teresa de ¿ayas, id., SCO. D. Pe­ dro Sotolong…</t>
  </si>
  <si>
    <t>Nafarrondo, Jacinto de Urja</t>
  </si>
  <si>
    <t>Jacinto de Urja Nafarrondo</t>
  </si>
  <si>
    <t>co de la Quintana........... mandado sacar á pública subasta la casa sita en ella en 5458 II las calles de la Luna y corredera baxa de S. Pablo , se­ D. Jacinto de Urja Nafarrondo é ñalada con el núm. 17 de la manz. 448 , tasada en hijos......... ...................................... 1192 II 13 1354 rs. , cuyo sitio comprehe…</t>
  </si>
  <si>
    <t>Nandin, Francisco de Paula</t>
  </si>
  <si>
    <t>Francisco de Paula Nandin</t>
  </si>
  <si>
    <t>S. A. se inserte en la misma gace­ ta, á ñn de que llegue á noticia de todos. Cádiz 12 de agosto da 1812. — Carvajal» Ademas de 800 reales vellón que D. Francisco de Paula Nandin,' alférez de la octava compañía de carabineros del regimiento de ca­ ballería de lea en el reyno del Perú, ba entregado en tesorería ge­ neral con d…</t>
  </si>
  <si>
    <t>espec­ tadores hasta el fuerte ( donde tienen su alojamiento) al son de las marchas nacionales que tocó la música del regimiento fixo de esta plaza. D. Francisco de Paula Nandin, alférez de la octava compañía del regimiento de caballería de lea, en el reyno del Perú, destinado á servir con el mismo grado y en la clase de volu…</t>
  </si>
  <si>
    <t>Nansout</t>
  </si>
  <si>
    <t>y Koboviluicki, y desde aqui al Dwina. Pero este movimiento habia sido previsto y prevenido. El ge­ Wi'/?:.: n de jullj de 1812. El Rei de Ñi­ neral conde Nansout:}r, con una división de corace­ póles sigue nicando la retaguardia .al enemigo : el t ros , la división de -caballería ligera del conde Bru- encontró la caballería …</t>
  </si>
  <si>
    <t>Nansouty</t>
  </si>
  <si>
    <t>ballería ligera polaca y el 2.n de húsares prusianos, pasó el rio, arrolló-seis -esquadro«íes rusos, é hizo 4-5 prisioneros con algunos oficiales. El general Nansouty elogia -mucho la conducta del general Roussel, y recomienda al teniente Bor&amp;e de los húsares prusianos, al sargento Xrane y al húsar Lutze. S. M. (Po­ mparte) h…</t>
  </si>
  <si>
    <t>Roussel y á los oficiales arriba mencionados. El general Nansouty lia cogido prisioneros 130 dragones y húsares rusos con sus caballos. ,,E1 3 de julio se abrió la comunicación entre Grodno y Wilna por Lida. El Hetmán Platow con 6© cosacos, después de haber sido echado de Grodno, se dirigió á Lida, y habiendo encontrado al</t>
  </si>
  <si>
    <t>l amanecer dél 14 el general Grouchy marchó sobre Leacbri, obligó a los regimientos de cosacos á retirarse, y se encontró con el cuerpo del gene­ ral conde Nansouty. E11 el mismo dia el Rey de Ñapóles", auxiliado por el duque de Elchingen, llegó á Krasnoy. Ea división 27.a dél enemigo, compues­ ta de 5® infantes protegidos po…</t>
  </si>
  <si>
    <t>os ofi­ ra. Hetmán Platov na se hallaba all¡ con sus co­ ciales y sub-oticial expresados. sacos j que atacador- ¡w la caballería ligera del prín­ El .general Nansouty ha hecho 130 prisión*-</t>
  </si>
  <si>
    <t>9 24 KI Emperador Alexandro estaba el 19 en Wi- n&lt;1 /•. , . -tepsk.■' En el mismo día el conde Nansouty frente de BOLETIN 9.0 DEL EXERCITO GRANDE. Polotsk. El Reí de Nápoles paso el Dwina el 20, 6 Tcchekoviski 2 f de juÜo. El Emperador tras­ inundó coh su caballería la orilla derecha del rio. ladó su quartel gen</t>
  </si>
  <si>
    <t>l so­ nes &gt; de 700 á 800 prisioneros, y de í á 63 han bre Witepsk y sostenido por el virei. El general quedado muertos ó heridos. V. M. habrá juzgado conde Nansouty movió su quartel general de Bou- la pérdida del enemigo al pasar por el campo dq dilowa, y yó fe alcancé combatiendo con el ene­ batalla. migo en las alturas de O…</t>
  </si>
  <si>
    <t>­ S. M.; y luego que me lleguen los estados de los te, y se mantuvo en su posición. Entre tanto el generales, oltciales, sargentos y soldados que mas general Nansouty , á la cabeza de la primera divi­ se han distinguido, euij.iré de dar á conocer sus sión de coraceros, á las ordenes del genera! Saint- nombres. En el ínterin d…</t>
  </si>
  <si>
    <t>Napier</t>
  </si>
  <si>
    <t>gleses no tuvieron mas que uu herido, porque los franceses dirigieron cons­ tantemente sus tiros á la arboladura y no á los cascos de los buques.. El capitán Napier. de la Támesis, en atención á la buena defensa que hizo el comandante del fuerte, le concedió libertad, así como también á la guarnición, permitiéndoles que lleva…</t>
  </si>
  <si>
    <t>Napo, Josef</t>
  </si>
  <si>
    <t>Josef Napo</t>
  </si>
  <si>
    <t>lar acerca de cada y las gentes todas corrieron apresuradas á rendir partida que se reclamare, y nos propondrá so ad­ sus homenages al nuevo Soberano D. Josef Napo­ misión en Francia, después de haberse convencido león t, y á prestarle el juramento de obediencia y de la procedencia de dicho* algodones. fidelidad ante la faz d…</t>
  </si>
  <si>
    <t>Napoleón</t>
  </si>
  <si>
    <t>as fue una taza en for­ nuestras colonias y posesiones, sia tener que acu­ ma de un cisne, cuyo cueilo servia de asa. El dir á nuestros enemigos, fíí Emperador Napoleón platillo estaba plateado por dentro , y figuraba un bien sabe qne no es fácil vencernos con la fuerzaj estanque. Los curiosos admiraban sobre todo los pero ac…</t>
  </si>
  <si>
    <t>de 5 9 hombres. Londres 18 de diciembre. PRUSIA. Carta de Nottingham. SerUn 14 de dicte tabre. „ rlai aqai en el día ao9 texedores de gorros S. M. el Emperador Napoleón ha enviado i sin trabajo. Han venido á esta ciudad seis regi­ Mr. el conde de Saint-Marran f sn ministro cerca mientos de diferentes puntos de la Inglaterra, …</t>
  </si>
  <si>
    <t>ebas que dais de que no haa Documentos relativos á las órdenes del consejo sido rebocados los dacretos franceses son el dis­ de Inglaterra. curso del Emperador Napoleón á los diputados de las ciudades de Harabuxgo, Bremen y Lubeck; Conclusión de la carta de Mr. Monroe d Mr. al edicto imperial de Fontainebleau de fecha de 19 F…</t>
  </si>
  <si>
    <t>enovará las hostilidades pasados ios 2o diasT' dos el código penal establecido en Francia por El oficial que vino con la orden de que se de­ S. M. el Emperador Napoleón, y ademas ha man­ nunciase el armisticio, ha traído una lista de pro­ dado establecer en las capitales de provincias uu mociones y de decoraciones para Jos mi…</t>
  </si>
  <si>
    <t>Ja carde! de J'irhüf Ficldi Bridew.-I. Mr/Joel Barlow, pn&lt;.,qpe jdbe. que ha; sido bien Los navios el-Animoso y el Orion, de 74 ca- recibido, -portel Emperador Napoleón,, y que las fiones»..han salido, p,ra e¡ Báltico. Ei Santo Do­ negociaciones que ha..entablado toman un a pecto mingo i el Real Oak,, el Aboukir y el Elefante…</t>
  </si>
  <si>
    <t>a é ilustración del señor Morra y militar de las campañas de Federico 11, compa­ de Lavian, que dirigió las excavaciones principia­ radas coa las del Emperador Napoleón, y los sis­ das en 180S-, y se, suspendieron dorante los años temas de guerra modernos.. Estar obea tendrá seis de 1809 y i8j;o, pero que han vuelto á empren­…</t>
  </si>
  <si>
    <t>de­ IMPERIO FRANGES. ben querer una misma cosa; y que la división en los partidos al parecer nace de que los unos su­ Bntsélas rj? de abril. ponen al Emperador Napoleón proyectos contra la independencia y libertad de la nación españo­ El señor conde de Merode, sanador, é inspec­ la ; y que los otros creeo al contrario , que e…</t>
  </si>
  <si>
    <t>riencia, que es madre de en reconocer á un Rei á gusto de la Francia, por­ la ciencia , no« h ¡ enseñ ido bien lo que hai que fi ir que pensar que el Emperador Napoleón ios ha de en vrnds. Si Dios quisiera que á lo» rubios se lo* dexar á vmds. sa ir*e con la suya , ó se ha de can­ llevara el diablo pront», cono se los ha de l…</t>
  </si>
  <si>
    <t>o­ qne han jurado de buena fe y con verdad al Reí sición á sns intentos; en una palabra, se halló que la ha proporcionado la Providencia, en él na el Emperador Napoleón cu el mismo caso que pequeño de los que baxo su escudo podemos tra­ luis xiv, é hizo lo mismo que 61, porque era eso tar en público los intereses de ia nación…</t>
  </si>
  <si>
    <t>a las tropas? Padres, ved la suerte que España á la sombra de un príncipe inexperto. Lo preparan á vuestros hijos : una muerte segura en que quiso el Emperador Napoleón, y lo que ha países remotos , ó un alejamiento para no volver­ querido y quiere es que la España sea nación ín­ les á ver jamas. Ved cómo se han quitado ya la…</t>
  </si>
  <si>
    <t>del banco, tea en los estados austríaco» , &lt;5 manos del landamatin de 11 Suza una carta de S. M. en los que han sido cedidos y reunidos á la coro­ el Emperador Napoleón, la qual se asegura que na de Baviera en virtud de la paz de VieDa y de contiene una respuesta trun lisonjera á ¡a carra que Presburgo , en cuyos países tenía…</t>
  </si>
  <si>
    <t>767</t>
  </si>
  <si>
    <t>dias 26,27,28 y 29 es una nueva prueba de su obstinación en no so­ meterse al gobierno establecido en Catalana en virtud de los decretes de S. M. el emperador Napoleón ; considerando qne los habitantes de O ot, de Casttíll-follit, y de otros varios pueblos de este partido han permanecido en tal estado de desobediencia , que á…</t>
  </si>
  <si>
    <t>768 t/fidelidad al gobierna establecido en Cataluña por los decretos de S. M. el emperador Napoleón. A atenaza que el que rehúse prestar el jura meato será transportado á Francia, y ahorcado el que lo quebrante.' Y finalmente, manda que entreguen las armas de fuego y blancas y las municio</t>
  </si>
  <si>
    <t>ado istmo de Suez, cuya operación Fue mandada hacer al exercicio de las virtudes privadas. * por el general jen gefe, á fin de reconocer si se po­ El Emperador Napoleón, que en la mutación día cortar esté istmo por medio de un canal, iqu* de dinastía de España se proponía asegurar la fe­ uniendo el mar Roxo y el Mediterráneo …</t>
  </si>
  <si>
    <t>etirarse quando ios franceses se aproximaran, y de destruir todo lo que no pudieran lle­ varse consigo. PRUSIA. Berlín 27 de junio. Sé asegura que el Emperador Napoleón ha enviado al Emperador de Rusia su gran chambelán el conde Caulíncourt, duque de Vicenza, con co­ misión especial. Según noticias particulares el Emperador N…</t>
  </si>
  <si>
    <t>s eran compatibles con el honor de mr trono y las ventajas de mis pueblos para la conservación de la paz; pero han sido vanos todos mis esfuerzos. El Emperador Napoleón ha resuelto seriamente la ruina de la Rusia. Ha dexado de responder á las proposiciones moderadas que se le han hecho por nuestra parte. Esta sorpresa repenti…</t>
  </si>
  <si>
    <t>os los recursos que podían ser compatibles con el honor de mi trono y con los intereses de mi pueblo. Todos mis esfuerzos han sido infructuo­ sos. E¿ emperador Napoleón ha jurado la ruina de la Rusia, y to­ das las proposiciones mas moderadas que le hice han quedado sin respuesta. Esta súbita sorpresa patsntiza de una manera …</t>
  </si>
  <si>
    <t>o atacado ninguno de nuestros cuerpos. Así la abertura de esta campaña no ha producido ninguno de aquellos sucesos que caracterizaban otras en que el emperador Napoleón se ha hallado. Solo ha habido algunas escaramuzas en que se han distinguido loa cosacos.” Segundo boletín del exército ruso. Cuartel general, junio 19 (julio …</t>
  </si>
  <si>
    <t>s. E -ta campaña prejéma^pues un « carácter qué se diferencia esencialmente del que ha podido notarse en las «guerras precedentes emprendidas, por el Emperador Napoleón. Ha habido «algunas escaramuzas, en las quales se han distinguido los cosacos de la «guardia.” . .... ,v . ... . . ... ......... ...___ Ordenes generales de S…</t>
  </si>
  <si>
    <t>ión suspenda sus sesiones; y dispone se envíe una diputación al Rey de Saxonia, rogándole tenga á bien acceder á la con­ federación polaca, y otra al Emperador Napoleón, presentándole las actas de la confederación, y suplicándole acoja.baxo su poderosa protección el restablecimiento del reyno de Polonia. «En los dias 29 y 30 …</t>
  </si>
  <si>
    <t>1025</t>
  </si>
  <si>
    <t>varon en triunfo á la casa de la compañía de las in­ dias , y desde allí á la suya. Por las ú timas cartas que se han recibido de Riga sabemos que el emperador Napoleón y sus generales se quejan amargamente de les rusos, ¿ quienes llaman bárbaros, porque en la acción en que el principe Bngration derrotó á los franceses se neg…</t>
  </si>
  <si>
    <t>aquella capital, manifiesta la impostura de Napoleón en su ponderado triunfo de Smolensko. ,, EL 4 (ió) de agosto se presentó delante de Smolensko el Emperador Napoleón con todp su exército, que consistía en ioo3 hombres. Salióle al. en­ cuentro á quatro millas de la ciudad el cuerpo del teniente general Rayewsky: á las seis …</t>
  </si>
  <si>
    <t>ico de; su corrupción, ella sufre el teatro de la guerra; unida á la Fran­ »inmoralidad y bastardía, y por el que los hom- cia, ve la guerra lejos.El Emperador Napoleón cum­ » bres y militares honrados de todos los países de­ ple su palabra á sus aliados protegiéndolos, y vo-¡ liberan condenar después su memoria á la exccra- …</t>
  </si>
  <si>
    <t>cas, llegó á su posición de ya prorumpan con la primera palabra que nos Borodino; sitio cuya fuerza natural se había au­ sugiere el corazón: ¡Viva el Emperador Napoleón, mentado mucho con obras de campaña. Después d* el restaurador de las dos naciones, y la egido de medio dia mantuvo el quarto cuerpo un fuego de nuestra patri…</t>
  </si>
  <si>
    <t>Napoleón, Jnsef</t>
  </si>
  <si>
    <t>Jnsef Napoleón</t>
  </si>
  <si>
    <t>n hasta ahora puede manifestar al mun­ todos, excepto la Inglaterra y el Brasil) han salu­ do entero la garantía que ofrece esta tuerza moral? dado á D. Jnsef Napoleón como tai Rei de toda ¿Vmds.de parte de su grande amiga la Inglaterra, ia España entera , que es el carácter con que el Em­ ó no-otros de la Francia , nuestra u…</t>
  </si>
  <si>
    <t>Napoleón, Josef</t>
  </si>
  <si>
    <t>Josef Napoleón</t>
  </si>
  <si>
    <t>721</t>
  </si>
  <si>
    <t>n seguida refiere rápidamente las desgraciados y miserables. „ Los que somos ya revoluciones y mudanzas de los quafro grandes súbditos, dice, del Sr. D. Josef Napoleón 1 for­ impetius de la antigüedad , á saber, el de los asi­ mamos con él un cuerpo , una fainilij , y esta no rlos , el de los persas , el de los griegos y el d…</t>
  </si>
  <si>
    <t>o. En nuestro palacio de Madrid á 3 de noviem­ En los equipages que la caballería del exér­ bre de 1812. cito del mediodía ha alcanzado en Guadarrama D. Josef Napoleón por la gracia de Dios y por se han encontrado algunos papeles, que contienen la constitución del estado, REI de las Españas y noticias mui curiosas. El extract…</t>
  </si>
  <si>
    <t>on el senti­ puede ni es otro que el de la tranquilidad, la suini- miento de los gallegos y opinión pública de la Galicia: íinn y obediencia 3 su REI D. Josef Napoleón , á millares de miserables, oprimidos y guiados por ios la constitución y al gobierno Sí; yo oslo aseguro, partidarios de las facciones políticas, les sirven d…</t>
  </si>
  <si>
    <t>Napoleón, Josgf</t>
  </si>
  <si>
    <t>Josgf Napoleón</t>
  </si>
  <si>
    <t>vera libre de sus opresores. Rl gobernador y la junta militar de Pef.bcoia, convencidos de que los verdaderos españoles.'son Iqí que » finidos al REI D. Josgf Napoleón, pro- El capitán Montenol,.del 22.°de dragones, al curan hacer menos desgraciada su patria» ofrecen frente de 120 hombres de caballería atacó y per­ entregar l…</t>
  </si>
  <si>
    <t>Napoleón, Manuel Don Josef</t>
  </si>
  <si>
    <t>Manuel Don Josef Napoleón</t>
  </si>
  <si>
    <t>quedan promovidos En nuestro palacio de Madrid á 8 de enero D. Ramón Viejo, subteniente, á tenietite de de 181 2. la quarta compañía, en reemplazo de D. Manuel Don Josef Napoleón por la gracia de Dios y Benito Manso. por la cotiuitucion®¿el-estado, REI de las Espa- Para subteniente de la primera compañía á ñas y oe las Indias…</t>
  </si>
  <si>
    <t>Napoli, Pedro Luis</t>
  </si>
  <si>
    <t>Pedro Luis Napoli</t>
  </si>
  <si>
    <t>dante segundo, á te­ concerniente á los establecimientos de ventas del niente de ia décima compañía. estado, ladeada pública, las loterías, las casas D. Pedro Luis Napoli, subteniente, á tenien­ de moneda , la administración de la sal, pero no te de ia tercera compañía. la fabricación de esta , la qual dependerá del de­ parta…</t>
  </si>
  <si>
    <t>Nar</t>
  </si>
  <si>
    <t>res enemigos, y Togado de mu iliciones ; en el pueblo tomé 15 cañones de bello servi­ cio , los mas de á 4 , y entre ellos los 4 que llevó á Santiago D. Nar­ ciso Basagoiíia. Mi marcha á Guaqui fué interrumpida por las par­ tidas de prisioneros , que hincados de rodillas, lloraban y pedían clemencia, porque les hablan hecho c…</t>
  </si>
  <si>
    <t>Narbona</t>
  </si>
  <si>
    <t>772 El general Andreosi salió á principios de mayo pira Coastanti* nopla, en calidad de embaxador extraordinario da Bonap&amp;rte. El conde Narbona, que había sido enviado á Wiina por Binaparte para abrir negociaciones con el emperador Alexandro, y no pudo conseguir el objeto de su comisión * ha sido arrestado á su vuel­ ta , bax…</t>
  </si>
  <si>
    <t>Narbonne</t>
  </si>
  <si>
    <t>os medios para efectuar una reconciliación en­ tre los dos imperios. El espíritu que reynaba en el gabinete ruso le ha pre­ cipitado en la guerra. El general Narbonne, ayudante de campo del Empe­ rador , fue despachado á Wilna, y solo pudo permanecer alli pocos dias. Por este conducto nos hemos asegurado de que la petición ta…</t>
  </si>
  <si>
    <t>Nardon</t>
  </si>
  <si>
    <t>al fuerte, y cogiendo entre dos fuegos á los 15 soldados , los hicieron prisione­ ros. Murió de ua fusilazo en la caiíe de S. Juan el comisario regio barón Nardon, y fueron presos por los nuestros varios empleados, entre ellos el decano de la junta crimina!. El brigadier Martin, noticioso de que los franceses habían pe­ dido …</t>
  </si>
  <si>
    <t>Nareachkin</t>
  </si>
  <si>
    <t>ad. Pero la intrepidez de este bizarro ofickl-tuvo fatales conse­ cuencias , porque un destacamento enemigo, como le viese acompa­ ñado solamente del capitán Nareachkin de los húsares de Isum , dexó que se acerease, y no respetando el pañuelo blanco que llevaba, señal que generalmente distingue á los parlamentarios, le hizo p…</t>
  </si>
  <si>
    <t>Ñarerró, Francisco</t>
  </si>
  <si>
    <t>Francisco Ñarerró</t>
  </si>
  <si>
    <t>Eulogio Rodríguez, subdiáconp, D. Martiu Josef López , id......................... 2200 idem...... ............................................. 2200 D. Francisco Ñarerró , id...;................ . 2200 D. Juan de Castro, residente en Doña Di Josef de Loque-, id..... .......................... 2200 ' Mencia...................…</t>
  </si>
  <si>
    <t>Nassau</t>
  </si>
  <si>
    <t>formada esta en batalla, se batió con la caballe­ aría por espacio de mas de dos horas, habiendo sufrido la pérdida de cinco muertos y 36 heridos; el general Nassau lo fue en una mano. D‘ Armagnac y sus edecanes y demás generales se vieron precisados á montar á caba­ llo para sosegar el tumulto, mientras que los de la comitiv…</t>
  </si>
  <si>
    <t>Nata, Sebastian</t>
  </si>
  <si>
    <t>Sebastian Nata</t>
  </si>
  <si>
    <t>, en Cataluña , corouel de infan­ pondrá á cargo de un oficial superior de este cuer­ tería. po, y á sus inmediatas órdenes un oficial subalter­ y ú D. Sebastian Nata, ayudante de la plaza no , con los escribientes necesarios para el arreglo de Pamplona , capitán de infantería y ayudante de y conservación del archivo, y forma…</t>
  </si>
  <si>
    <t>Natali</t>
  </si>
  <si>
    <t>n preparado, que después de algunas escaramuzas tuve por conve­ niente volverme á embarcar. Pin este momento apareció una divi­ sión de cañoneras del capitán Natali; y llamándola á mi socorro ataqué nuevamente al enemigo, que á este tiempo habla reunido ya fuerzas considerables; á saber, el regimiento tercero delinea na­ poli…</t>
  </si>
  <si>
    <t>Naudio, Tornas</t>
  </si>
  <si>
    <t>Tornas Naudio</t>
  </si>
  <si>
    <t>caballero maestrante Ei Alercantile advertiser del i3 dice, refirién­ del real cuerpo de Valencia. dose á cartas de Washington, que se creía que . . D. Tornas" Naudio, canónigo doctoral de la cadentro de pocas dias .lomaría la .cámara da los re- •' ■ tedrai de; Valencia. - -- presentantes una resolución para declarar la guer­…</t>
  </si>
  <si>
    <t>Ñaue, Micaela</t>
  </si>
  <si>
    <t>Micaela Ñaue</t>
  </si>
  <si>
    <t>D. Manuel Arguelles , 2- •, Joaquiti .Rerez , 4 rs. ¡ José Espinosa,,4 rs. Eugenia Hernández, 1. Francisco Infantes , 4 rs. D.; Vicente Helguera , 4. Doña Micaela Ñaue#, ),. Antonio Napuri, 2. Jpamiana Tíñeos, 1. Di José Obin Barrena, 2. Tomas ]Sriiñez-, 1. Tibureio Córdoba, 1. Manuel Roxas, 4 rs. Doña Bernarda Reyes , 1. Bea…</t>
  </si>
  <si>
    <t>Nava, Anastasio</t>
  </si>
  <si>
    <t>Anastasio Nava</t>
  </si>
  <si>
    <t>Segarte ; de subteniente de las de infantería, á D. Alonso Gil, D Leopoldo Tolleria , D. Jo:é Antonio Zamuripa, D. Rafael Tejerla, D. -Fernando GB , D. Anastasio Nava, D. Luis Ramírez, D. José Trinidad Guardia, D Pedro María O berta, D. Francisco Manzano, D. J .sé Lorenzo López y D. J é Mumei Listem; y de alférez de las de ca…</t>
  </si>
  <si>
    <t>Navajas, Antonio</t>
  </si>
  <si>
    <t>Antonio Navajas</t>
  </si>
  <si>
    <t>......................... 2200 D. Juan Chaparro, subdiácono, id.............. 2200 D. J uan Quiroga, id...................................... . 220a D. Antonio Navajas, residente en Caitro D. Juan Garrid», id................. . ................. 2200 del Rio..................................................... 2200 D. Andrés …</t>
  </si>
  <si>
    <t>Navajas, Dámaso</t>
  </si>
  <si>
    <t>Dámaso Navajas</t>
  </si>
  <si>
    <t>..................... 2200 del Rio............................................ .................. 22C0 P- Juan de Luna, id...................... 2200 D. Dámaso Navajas , id..................................... 2200 P- Francisco Serrano , id................................. a206 D. Antonia Romero, id...........................…</t>
  </si>
  <si>
    <t>Navar, Vicente</t>
  </si>
  <si>
    <t>Vicente Navar</t>
  </si>
  <si>
    <t>D. Francis­ co Casas,-8. D. Hipólito Carrillo , o Ü Manuel Pinillos, 8. D. Juan José Pi­ nillos , 8. I). Santiago Pinillos , 8 1). Luis Menacho , 8. D. Vicente Navar•rete , 3. D. Miguel Velez Villa , 8. D. Manuel Ai 1 Ion , 8. i). Pedro Caveto, •8. I). José Malarin , 8. D. José Elizalde, 8. D. Francisco Bernoa, 4. D.'Fé­ lix …</t>
  </si>
  <si>
    <t>Navarra, Rafael</t>
  </si>
  <si>
    <t>Rafael Navarra</t>
  </si>
  <si>
    <t>lafranca, residente en D; Juan Josef de Alcaide, id.................. . 3200 Bujalance.......................................................... 2200 D. Rafael Navarra , id.............. ....... ................ 2200 D. Diego Fernandez y Roxas, id................. 2200 D. Juan Pedro Alarcon, id..................... neo D. Jua…</t>
  </si>
  <si>
    <t>Navarrete, José</t>
  </si>
  <si>
    <t>José Navarrete</t>
  </si>
  <si>
    <t>rector honorario , 25. D. Francisco Pas­ tor , capellán y maestro , 12. D. Pedro Amezaga, id., 12. D. José Beltran, id., 6. D. Redro Rolando., id* 6. D. José Navarrete , id. , 6. D. José Tacaño, id., 12. D. Felipe Cárdenas, 4 y 2- rs?. D. Miguel Mascare, S. I). Manuel Tejada, '8. D. Antonio Amezaga , 35. D. José Peña, 13. D. …</t>
  </si>
  <si>
    <t>Navarrete, José Luciano</t>
  </si>
  <si>
    <t>José Luciano Navarrete</t>
  </si>
  <si>
    <t>l campo, y los demas disper­ sos. Continué mi marcha, y llegué á esta ciudad antes de las 24 ho­ ras de mi salida. (Elogia su tropa £?c.) 2. ° El Br. D. José Luciano Navarrete, capitán general de los exordios de América Sfc. ,,Por el presente nombro por coronel comandante al Sr. Br. Don Guadalupe Salto para que en su distrito…</t>
  </si>
  <si>
    <t>Navarrete, Juan</t>
  </si>
  <si>
    <t>Juan Navarrete</t>
  </si>
  <si>
    <t>280 mío Cnicho , 2. D. Santiago López, 2. D. Juan Navarrete , 2. D. "Martin Fer­ nandez , 2. D. Juan Loaisa, 2. D. Camilo Mariatégui., 2. D. Pablo Manco 2. D. Juan Batalla, 2. D. Tomas Portocarrero , 2. D. Francisco Zandagoza, D. Pedro Omdoranchey &gt;</t>
  </si>
  <si>
    <t>Navarrete, Julián Gómez</t>
  </si>
  <si>
    <t>Julián Gómez Navarrete</t>
  </si>
  <si>
    <t>dida es de 33 muertos y 31 heridos, entre estos des tenientes de húsa­ res de Iberia , D. Antonio del Valle y D. Pedro Fcntecbm , y el sub­ teniente D. Julián Gómez Navarrete; y que ademas de hsber quedado muerto8 en el campo 37 caballos, quedan en su peder SO y una ber­ lina en que se hallaren varios papeles y pliegcs de Nap…</t>
  </si>
  <si>
    <t>Navarrete, Pedro</t>
  </si>
  <si>
    <t>Pedro Navarrete</t>
  </si>
  <si>
    <t>. José Dávila , 200. Id. de Tacna Don Joaquín Vigil , 50. Teniente administrador D. Manuel Brice ño, 13. Conduc­ tor D. Juan Manuel Rriceño , 12. Id. D. Pedro Navarrete , 10. Id. D. Pedro IJarriosas, 10. Carrera del Cuzco. Administrador de Huancave-.ica D. Martin Beramendi, 10. Id. de Huanta 13. José Escovar , 25. Id. de Anda…</t>
  </si>
  <si>
    <t>Navarro, Antonio</t>
  </si>
  <si>
    <t>Antonio Navarro</t>
  </si>
  <si>
    <t>ero , 12. Id. de Huaura D. Tomas Fernandez , 25. Id. de Barranca Don Gregorio Lobaton , 200. Id. de Pativilca D. Toribio Herrera, 17. id. de Cha­ cas D. Antonio Navarro, 25.14. de Ncpeña D. Juan Antonio Infantas, 4. í ! dp* Truxillo D. Miguel Sánchez, 100. interventor D. Celedonio Bowi, • • vi v Bou 12. A ¡ministrador de Guam…</t>
  </si>
  <si>
    <t>, id................... 2200 D. Gcrónimo de L-roir, id............. ............... 22CO D. Rafael Veleña, id................................... 2200 D. Antonio Navarro, ..subdiácono , id......... 2 2 00 D Josef Cantarero , id.................................... 2200 D. R-lícl Apo!inario Fernandez , id........... 2 200 D Jose…</t>
  </si>
  <si>
    <t>Navarro, Antonio Moreno</t>
  </si>
  <si>
    <t>Antonio Moreno Navarro</t>
  </si>
  <si>
    <t>uchos heridos, resultando por nuestra parte, la del mismo co­ mandante de la columna D. Juan Vázquez Cabrera, y del teniente de cazadores de Zaragoza D. Antonio Moreno Navarro, con un sar­ gento y 6 soldados prisioneros, el subteniente de granaderos de Moadoñedo D. Nicolás Vitlarmil herido , y un cabo con algunos solda­ dos m…</t>
  </si>
  <si>
    <t>Navarro, Benito Sánchez</t>
  </si>
  <si>
    <t>Benito Sánchez Navarro</t>
  </si>
  <si>
    <t>Doña María de los nombre D. Santiago Santos..... 631 2&lt;í Doloies Beian lia....................... 11726 26 Doña Manuela de Robles............ 54* *7 D. Benito Sánchez Navarro......... IÍJJO La compañía de la Buena Fe, y D, Gerónimo Iglesias, por medio en »u nombre D. Pedro Anto- ' de sn apoderado D. Juan Saenz oio Senosiain..…</t>
  </si>
  <si>
    <t>Navarro, Francisco</t>
  </si>
  <si>
    <t>Francisco Navarro</t>
  </si>
  <si>
    <t>capitanes D. Mariano Marques y D. Angel Perez, á los tenientes D. José La­ tas», D. Lorenzo Alonso, D. Gregorio Bea y D. Pedro Ferraz, al subteniente D. Francisco Navarro, y el celo y puntualidad del pa­ dre capellán D.-José M.cr&amp;ta.”— .Lista de ios'presos que se han hecho en la entrada de Teruel el 25 de junio.— „Z). Francis…</t>
  </si>
  <si>
    <t>Navarro, Jostf</t>
  </si>
  <si>
    <t>Jostf Navarro</t>
  </si>
  <si>
    <t>co Díaz, residente eti Córdoba.. ’22oa D. Diego Sánchez Aguayo , id...................... 22C0 D. Francisco Solano de Navas , ¡d................ 2200 D. Jostf Navarro , residente en Mootilla... 2200 D. Josef Muñoz, id........................................... 2200 P. Diego Jostf de Arce , id............................ 2200 …</t>
  </si>
  <si>
    <t>Navarro, Juan</t>
  </si>
  <si>
    <t>Juan Navarro</t>
  </si>
  <si>
    <t>Gómez , 25. Teniente de id. D. FNteban G#imdo, 6. Administrador de Palpa D. Baltasar de Polo, 17. Id, de ÍVa-ca 15 Tomas de Ribera , 50. Id. de Acari D. Juan Navarro , 25. Id. de Chala 73. José Harona , 20. (Se continuará.) CADIZ'; EN LA IMPRENTA REAL.</t>
  </si>
  <si>
    <t>Navarro, Juan Antonio</t>
  </si>
  <si>
    <t>Juan Antonio Navarro</t>
  </si>
  <si>
    <t>onal D. Pedro Antonio Echegolien , coronel , 100. El regi­ dor decano D. José Vidurrisaga , teniente coronel , 50. Id. D. Cayetano Ar­ rima , 50. id. D. Juan Antonio Navarro , 10. Id. D. Juan José Crespo y Cas» tillo, 10. (Se continuará.) J"U I &gt; '!'!■ V rr-*.... . u.i .. . —1 • ■ , ...Al / &gt;., .'"■'-■'Trw ■(' CADIZ : EN LA I…</t>
  </si>
  <si>
    <t>Navarro, Julián Ramón</t>
  </si>
  <si>
    <t>Julián Ramón Navarro</t>
  </si>
  <si>
    <t>re 9 ría, en el cuerpo se tiene ya las verdades de Tajo, para el de Azután .vacante por muerte dulces ó amargas, sabrosas ó desabridas que en ella de D. Julián Ramón Navarro. 4c contengan, y esto es lo que.yo deseo. A D. Gervasio Romo de Arce t cura de Azo­ Quaudo la política Sólo habitaba en los gabi­ tan, para el de Lozoyqe…</t>
  </si>
  <si>
    <t>Navarro, Miguel</t>
  </si>
  <si>
    <t>Miguel Navarro</t>
  </si>
  <si>
    <t>D. Antonio Baeza , teniente de juez de balanza, 66. Don Esteban Cabrera-, beneficiador de tierras, 83. D. Baltasar Pacheco , contador de moneda , 41. D. Miguel Navarro , id. , 21. D. Ramón Montano , oficial primero de talla , 33. D. José María Soto , segundo, 33. D. Atanasio Davalos, tercero , 30. D. José Cañoli , aprendiz, 1…</t>
  </si>
  <si>
    <t>Navarro, Pedro</t>
  </si>
  <si>
    <t>Pedro Navarro</t>
  </si>
  <si>
    <t>jóvenes guerreros Espote, Cruckaga y Loriga debe esperar la patria dias tan gloriosos, como dieron á la nación en el siglo xvi Antonio de Leyva y el conde Pedro Navarro. — He man­ dado que mañana se cante el Te Deum. „Todo lo que pongo en consideración de S. A el Consejo de Re­ gencia , y que asimismo he dispuesto se les pong…</t>
  </si>
  <si>
    <t>Navarro, Pedro García</t>
  </si>
  <si>
    <t>Pedro García Navarro</t>
  </si>
  <si>
    <t>Gaceta de Madrid n.º 128</t>
  </si>
  <si>
    <t>etieron á dichos sugetos en el parage Asimismo ha nombrado S. M. caballero de la mas solitaiio del camino luego que llegaron á él. Orden af br gidier D. Pedro García Navarro, go­ Amenazándoles con las armas les obligaron i bernador, que fue de Pcñíscola. echarse en el suelo, y les quitaron 1700 rs. vn. que llevaban entre los …</t>
  </si>
  <si>
    <t>momento para el ataque, y acudió á auxiliarle y de nbigun mudo prisionera. Kl iifrrne goberna­ el señor baron deBongourd con la tercera división dor D. Pedro García- Navarro (i) dícese que fue de cañoneras que tenia á sus órdeoes. El combate pue* to por el genera! Btake , hombre de tino sin fue vivo y obstinado al principio; …</t>
  </si>
  <si>
    <t>Navarro, Santiago</t>
  </si>
  <si>
    <t>Santiago Navarro</t>
  </si>
  <si>
    <t>00 dé huestto ministro interine de Negocios eclesiás­ D. Josef Martínez, id. de San Román...... 1200 ticos , y oida la sección de hacienda de nuestro D. Santiago Navarro, idi' del^ugar dé Re- consejo de Estado, villa...:. ....... .............................. 2200 Hemos decretado y decretamos! lo siguiente: D. Josef Ruiz , i…</t>
  </si>
  <si>
    <t>Navarro, Vicente</t>
  </si>
  <si>
    <t>Vicente Navarro</t>
  </si>
  <si>
    <t>Juan Baptista Preste..... .............. 80 blico, y al consejero de Estado eonde .de Melito. Sr. D. Salvador Darrigoi....................... 80 Sr. D. Vicente Navarro........ ............... 50 Sr. D. Manuel Rivera.........1.................... \ 30 I.a comisión de socorros públicos ha repartido Sr.. D. Juan. Paez...........…</t>
  </si>
  <si>
    <t>Navarte, Vicente</t>
  </si>
  <si>
    <t>Vicente Navarte</t>
  </si>
  <si>
    <t>aisa, 2. D. Camilo Mariatégui., 2. D. Pablo Manco 2. D. Juan Batalla, 2. D. Tomas Portocarrero , 2. D. Francisco Zandagoza, D. Pedro Omdoranchey &gt; 2. D. Vicente Navarte , 2. D. Manuel Vengocne.a , 2. D. José Marlategui, 2. D. 'Francisco Roxas, 2. D. Gerónimo Larriva, 2. D. Manuel Zarate, 1. D. Pedro ÍJuidrobo , 2. D. Pedro Go…</t>
  </si>
  <si>
    <t>Navas, Yícente</t>
  </si>
  <si>
    <t>Yícente Navas</t>
  </si>
  <si>
    <t>ai© de P.;ctido, D, Fraacisco de la Casa y Piedra , D. Joan B/ucíe ta Enea . D. Pedro Ca­ bero y Tcgle, D. Manuel I). Juan EfznUle, D. Toma? Ugr» te, D. Yícente Navas, D. Manuel Vázquez, D. Tcm&amp;s Rico, D. Ma­ nuel Esteban Martínez , y D. José Santos de Ansmendi. La junta superior ¿e Burgos y Segóvía desde Be bis Are de la Sie…</t>
  </si>
  <si>
    <t>Navascué, Felipe</t>
  </si>
  <si>
    <t>Felipe Navascué</t>
  </si>
  <si>
    <t>ue se batió denodadamente : con parti­ cularidad hago memoria del valor y tranquilidad con que sostuvo el fuego á la cabeza del puente el subteniente D. Felipe Navascué*. Ni debo olvidar los 3 oficiales de húsares, D. Custodio Fonteilas, O Pe­ dro Francés y D. Pedro Villaroya , quienes me siguieron los 2 dias haciendo servici…</t>
  </si>
  <si>
    <t>Navnrrete</t>
  </si>
  <si>
    <t>i al teniente D. Máximo M ran con 14 dragones para que si­ guiese el alcance por el Veladero, quienes mataron mas de 70 in­ surgentes, entre ellos al coronel Navnrrete , haciendo prisioneros al de igual cla-e Marín y al teniente coronel Ortiz,y recogiendo va­ rias armas. Recomienda á sus dragones y al teniente Moran. En esta …</t>
  </si>
  <si>
    <t>Naxera, José</t>
  </si>
  <si>
    <t>José Naxera</t>
  </si>
  <si>
    <t>mat, teniente coronel retirado, satura! de Bi*rce!ona; D. Manuel Lozano, oficial de la secretaría del pa­ tronato de Nueva-.España, natural de Borja; D. José Naxera , Ha­ cendado , natural de Viiloslada ; D. Manuel López Barajas, dipu­ tado que fué de mlMcnes, natural de Granada; D. Vicente Xirnenez , jubilado de rentas , net…</t>
  </si>
  <si>
    <t>Ncwc</t>
  </si>
  <si>
    <t>pú­ blicos franceses se contaba que el príncipe Bagration había llega­ do con un cuerpo del exército ruso á las fronteras de Galitcia. Sin embargo el conde Ncwc*siíz&gt; ff, embaxador de la corta de Petersburgo , permanecía aun en Viena ; pero se suponía que pronto sal­ dría para Rusia. Las últimas noticias de Berlín llegaban ha…</t>
  </si>
  <si>
    <t>Negro, Torquato</t>
  </si>
  <si>
    <t>Torquato Negro</t>
  </si>
  <si>
    <t>elitas. Extracto de las minutas de la secretaría de Estado. D. Gregorio Araujo, residente en Segovia. 2200 En ouestro palacio de Madrid á 14 de julio D. Torquato Negro , id. en i i....................... 2200 de 1812. D. Manuel Antonio Castañon, id. en id.... 2200 Don Joief Napoleón por la gracia de Dios y D. Alfonso Martin M…</t>
  </si>
  <si>
    <t>Negueruda, Josef</t>
  </si>
  <si>
    <t>Josef Negueruda</t>
  </si>
  <si>
    <t>de estas mon­ D. Antonio Uranduraga. tañas ó pellones de nieve se había desprendidq dos o. Secretario días antes da. una tnontaña -iomediata á'Trums; D. Josef Negueruda. pero por fortuna no hizo cjaño ninguno. JJil mismo día cayó otra mui enorme de la montaña 'que hai BARRIO DÉDOÍÍA MARIA DE ARAGON, inas allá de Hnchentriny ,…</t>
  </si>
  <si>
    <t>Neto, Angel Francisco</t>
  </si>
  <si>
    <t>Angel Francisco Neto</t>
  </si>
  <si>
    <t>armes , donativo para el exército del Sr. brigadier D. Francisco Rovira á entregar á D. Juan Rovira, registrado por D. Pedro Martí, Argüe y compañía. D. Angel Francisco Neto, natural del reyno de Galicia, lugar de Noya y vecino de Xerez de la Frontera, de edad de 60 años, color regular, barba cana , pelo id. cortado , con cap…</t>
  </si>
  <si>
    <t>Netterville</t>
  </si>
  <si>
    <t>ltimos tiempos hemos conseguido „Que la asamblea dé las mas sinceras gracias al abastecer de sosa , sin recurrir al extrangeró , á nues­ ilastre lord vizconde Netterville por la firmeza tras fábricas de cristal,de xabou , de blanqueo &amp;e\; noble y constitucional qué manifestó al tiempo de pero no hemos sido tan felices con la …</t>
  </si>
  <si>
    <t>Neuenstein</t>
  </si>
  <si>
    <t>o . y una octava parte Carlsrtt/ie ij de diciembre. queda para tos redactores. Todas las gazetas del imperio británico dan anualmente mas de medio El general Neuenstein, que manda las tropas millón de libras esterlinas. badesas que hai tn España , da parte á S. A. I. de H ice dos dias qne está cerrada la imprenta im­ que esta…</t>
  </si>
  <si>
    <t>Ney</t>
  </si>
  <si>
    <t>Bonaparte ha encontrado grandes obs­ táculos .en eí camino de Moscow á Smolensko, adonde tenia inten­ ción de ir, pues dice á los parisienses que el mariscal Ney estaba el 27 en Mojaisk ; e?to es , en camino recto para aquella ciudad, y ade­ mas ha hecho publicar en los periódicos de París cartas del exéreito grande con fecha…</t>
  </si>
  <si>
    <t>Níarkow</t>
  </si>
  <si>
    <t>está muy rebaxada, ademas que en ella no se coinprehenden las divisiones novena y deciinaquiata de infantería, y otra de caballería á las órdenes del general Níarkow, las guardias imtperiaIes, ni los cuerpos de cosacos que manda el general Platow, que son muy numerosos. . . Las cartas de Konigsberg de 4 del corriente confirma…</t>
  </si>
  <si>
    <t>Níco</t>
  </si>
  <si>
    <t>O de octubre, tuvo a satisfacción de saber que aquella misma mañana, la poca tro­ pa une ai.í (libia y los paisanos, al mando tocios de su corregidor D. Níco‘-í&gt; Gutiérrez, habían atacado y dispersado un grueso de­ más de 4(00 rebeldes, que desde ios altos de Cualepec y Teresoua intentaron apoderarse de ella. Desde luego cono…</t>
  </si>
  <si>
    <t>Nicolai</t>
  </si>
  <si>
    <t>, A raí y á todos debe ser amarga la respues­ eerca de S. A. R. el gran duque de Wurtzburgo; ta. U11 corazón de bronce no resistirá ai aspecto Mr. el conde Nicolai, ministro plenipotenciario qne presentan nuestros soldados fuera de Ja Isia, eerca de S. A. R. el gran duque do Badén ; Mr. el hambrientos y desnudos , escuálidos …</t>
  </si>
  <si>
    <t>1590</t>
  </si>
  <si>
    <t>para siempre imposi­ bilitado de repetir su presuntuosa tentativa. — Aíexandro. El 2S de Noviembre el vizconde de Castlereagh presentó á S. A. R. al barón Nicolai, ministro de Rusia cerca de nuestra corte. Ei bergantín de guerra Strenuous, que entró en Plimouth el 99 del pasado , ha traído la noticia de que dos fragatas franc…</t>
  </si>
  <si>
    <t>Nicolás</t>
  </si>
  <si>
    <t>ayudante mayor dd regimieu- Torralbo ( D. Antonio Vicente), corregidor de la ta de caballas ligeros de la guardia real. _ villa, de Priego. Náchon ( D. Nicolás), ayudante mayor de gra­ Torres (D. Juan), cabo del regimiento 4.0 de ca* naderos de la guardia real. zadores á caballo. Oels (D. Juan ), soldado del regimiento Real I…</t>
  </si>
  <si>
    <t>del asalto; y el segundo asistió al ataque de ia tercera división contra el castillo. También debe mencionarse !a buena conducta del mayor Jones, del capitán Nicolás y del capitán Williams de ingenieros xualeso,,Ei mayor Dickson dirigió los pormenores del servicio de ía ar­ tillería durante ei sitio como en otras ocasiones, b…</t>
  </si>
  <si>
    <t>hemos puesto en él los sellos de nuestras armas. Fecho en Weíky Louky á 8 (.20) de julio dsl año ds gracia 181¡s?. —- Francisco de Zea Usrmuáez. — El conde Nicolás de jRomtznr.Gff” E*te plausible aefti&amp;FCtinicnto es el resultado que necesariamente debía tener ei hs-ryirs;" tesón y cou?tancia, con que el generoso pueble españo…</t>
  </si>
  <si>
    <t>n perdonar fatiga alguna hasta el dia por la noche , en que les di la orden de estar prontos para salir á atacar al enemigo; seguidamen­ te previne á D. Nicolás 8olar, teniente de granaderos de voluntarios del Rivero , que con un sargento, 9 cabos , y Ib soldados debía cu­ brir los puntos principales del castillo, siguiendo s…</t>
  </si>
  <si>
    <t>Nicolason, Pedro</t>
  </si>
  <si>
    <t>Pedro Nicolason</t>
  </si>
  <si>
    <t>arragan, 10. D. Ramón Córdoba, 12. D. Femando Plaza, 4. Colectado por el ayu­ dante de gobierno, 483. Id. posteriormente del pueblo de Bab .hoyo, 22. D. Pedro Nicolason , 5. El prior de S. Juan de Dios , 100. D. Luis Centextábili, 10. D. Gaspar Cenon de Medina, escribano de gobierno, 25 D. Pe­ dro Aguirre , 6. El prior de S. …</t>
  </si>
  <si>
    <t>Nieto, Benito</t>
  </si>
  <si>
    <t>Benito Nieto</t>
  </si>
  <si>
    <t>ueblo es necesario que le: presenten venta jas, y llar de Gallimazo, vacante por fallecimiento de le ofrezcan mejoras capaces de sacar á los ciudada­ D. Benito Nieto. nos del estado de quietud y tranquilidad, que to­ A D- Juan Montero Espinosa para el deCani-i do hombre desea. Prométese á cada clase lo qué lias de Torneros, v…</t>
  </si>
  <si>
    <t>Nieto, Hipólito</t>
  </si>
  <si>
    <t>Hipólito Nieto</t>
  </si>
  <si>
    <t>480, debe decir 29 exemplares, los que se tomaron, nueve á D. Alfonso Perez, que cobró 144 rs. por ellos, al respecto de 16 rs. cada uno; y los 20 á D. Hipólito Nieto, quien al mismo respecto cobró 320 rs., como consta de los recibos que respectivamente dieron. El Egoísta ó el mal patriota, comedía. — La Libertad de la impren…</t>
  </si>
  <si>
    <t>Nieto, Josáf</t>
  </si>
  <si>
    <t>Josáf Nieto</t>
  </si>
  <si>
    <t>or decreto del mismo dia se ha dignado tam­ bién S. M. nombrar al capitán de infuitería de lí­ Este cantón será desde el dia 1.° de enero el can­ nea D. Josáf Nieto capitán en clase de agregado á tón directorial de la Suiza , y se delegarán las fun­ la compañía de escopeteros de Andalucía; al sub­ ciones de landamann de la co…</t>
  </si>
  <si>
    <t>Nieto, Lucio</t>
  </si>
  <si>
    <t>Lucio Nieto</t>
  </si>
  <si>
    <t>ha; bien que en el coito tiempo que se detuvieren para pasar el rio Arlanza, murieron 3, y fueron heridos bastantes. „El aiferes de húsares de Burgos D. Lucio Nieto, que desde e! primero hasta este día con solo 3 soldados hs estado de observación en Torrepadre, mató en iim ocasiones distintas 10 franceses, y en la lina de ell…</t>
  </si>
  <si>
    <t>Nieto, Manuel</t>
  </si>
  <si>
    <t>Manuel Nieto</t>
  </si>
  <si>
    <t>Moreno. D. Francisco Rubio. Diputados seculares Diputado eclesiástico D. Rafael Echartea. . D. Clemente Rubio. D. Josef Aldavez. Diputados seculares D Manuel Nieto. D. A ntonio Laiidaluce. Secretario D. Agustin Viilánuéva. D. Matías Elias López. Secretario D. Pedro NoLsco Escribano. BARRIO SSL EtOSUfrAL GÍWlRAL, BARRIO I)E SA…</t>
  </si>
  <si>
    <t>Nieto, Patricio Nuñi-z</t>
  </si>
  <si>
    <t>Patricio Nuñi-z Nieto</t>
  </si>
  <si>
    <t>................................. 2200 1). Diego Rafael Márquez, id................2200 D. Tomas Martínez, id... ........... .................. 2 2CO D. Patricio Nuñi-z Nieto, id.......................... 2200 D. Juan Perez, residente en Montilla......... 2200 D. Pedro J &gt;sef de Luque, id......................... 2 200 D. Jua…</t>
  </si>
  <si>
    <t>Nieto, Pedro Fernandez</t>
  </si>
  <si>
    <t>Pedro Fernandez Nieto</t>
  </si>
  <si>
    <t>er. Contador. . . D. Josef Molina Fernandez. D. Francisco Peredo. D. Juan de Gálvez Huesman. D. Antonio Perez Dávila. Secretario. D. Guillermo Terri. D. Pedro Fernandez Nieto. Municipalidad de Toledoj Corregidor. AVISO. D. Domingo Falceto. Regidores.- , En virtud de providencia del Sr. D. Juan Bautísty D. Manuel Balza. Guitar…</t>
  </si>
  <si>
    <t>Nieto, Vicente</t>
  </si>
  <si>
    <t>Vicente Nieto</t>
  </si>
  <si>
    <t>ra. En el Báltico que­ de Segovia se componga de Iot individuos siguien­ dan el Ardiente, el Dictador, de 64 cada uno, y tes: D. Josef Perez Balsera, D. Vicente Nieto y \r¿ s fragatas Crescent y Fisgard, y el brick ei D. Tomas Sacristán. Urgente. La corbeta Leveret ha entrado con un Y por decreto de f del mismo se ha servido …</t>
  </si>
  <si>
    <t>Niewie</t>
  </si>
  <si>
    <t>S. que el ene­ compuesta de quatro regimientos de mosqueteros y migo no ha cesado desde las cinco de esta mañana dos de cazadores , á las órdenes del general Niewie- hasta cerca de las tres de la tarde de hacer continuas</t>
  </si>
  <si>
    <t>Nipoleon</t>
  </si>
  <si>
    <t>nsumiéndose aquellos están en 'guerra; pero aun estos en sus g.izeras y pira obras, para el luego, ú otros usos. Si, señor; en todas partes llaman al Emperador Nipoleon, todo esto ha pasado, y lo sabemos ; ; y quién tie­ el Emperadoí, ó Napoleón, y al Rei José!, Reí ne , amigo frai Blas, !a cu pa de ello? Vmd. lo sabe. Josef;…</t>
  </si>
  <si>
    <t>Nixera, Josef</t>
  </si>
  <si>
    <t>Josef Nixera</t>
  </si>
  <si>
    <t>elona. S. M. ha celebrado hoi consejo de ministros* D, Manuel Lozano, oficial de la secretaría del patronato de Nueva- Esp-ñ ;, natura! de J3 *r j ¡. D. Josef Nixera, hacendado, natural de ViVarias personas ilusas se reunían frccnente- lloslad-i. merite en una tienda del parage mas concurrido de D. Manuel López Barajas, diput…</t>
  </si>
  <si>
    <t>Njiñez, Pedro González</t>
  </si>
  <si>
    <t>Pedro González Njiñez</t>
  </si>
  <si>
    <t>te en Segovia..........................„............................ 2,200 ... Ex-premostr atenses. D. Angel Fernandez, id. en id............. . 2200 D. Pedro González Njiñez , natural de Vi - ' ■ &gt;llaSUSO.............. .................................................................... 2200 Ex- mercenarias. D. Josef Larraon…</t>
  </si>
  <si>
    <t>Nmret</t>
  </si>
  <si>
    <t>ofi­ tranquilidad y seguridad individual de los espa­ ciales quedaron prisioneros. ñoles. Algo de esto puede rastrearse por lo que El señor ayudante comandante Nmret ♦ que dice el célebre Mariana t que en Aragón y otras venia de Buitragn con unos 500 hombres de in­ provincias se miró la inquisición como dtstructura fantería d…</t>
  </si>
  <si>
    <t>Nn, Febn</t>
  </si>
  <si>
    <t>Febn Nn</t>
  </si>
  <si>
    <t>fría duran­ te Ta rocíen la* merecido los elcgio3 de toda la tropa, tacando herid rÍ onbíd.Io : d i teniente de la primera compañía del mismo baU':o» D Febn* Nn vienes, que acometió á la bayoneta á les cr.emigo? : de D. Domingo Josué y D. León Mayo, cñok.fee de caballe­ ría , que fu*nv-? lo» primero#, de esta, arma que acomet…</t>
  </si>
  <si>
    <t>Nnriega, Manuel</t>
  </si>
  <si>
    <t>Manuel Nnriega</t>
  </si>
  <si>
    <t>ncha á D. Pedro Velasco capitán; actos titulada la Mogigata , y el sainete el Sómbrenlo. á D. Antonio Rd teniente, y á D. León Moreno subteniente ; á D. Manuel Nnriega teniente de la En el de la Cruz, á las quatro de la tarde, se eje­ c&lt; inpañía de infantería de cazadores de montaña, cutará la comedia en tres actos titulada C…</t>
  </si>
  <si>
    <t>No, Be</t>
  </si>
  <si>
    <t>Be No</t>
  </si>
  <si>
    <t>3 T ®7D. Sancho, vacante por fallecimiento de D; Mar­ tin López. A D. Pedro González Padrón paTa el de San­ tiago de la Puebla, vacante por muerte de D. Be­ No es mi ánimo escribir un trataHó sntae la nito Martin. cnestion delicada de la libertad de la imprenta ; no A D. Agustín Antonio Hernández para el del intento repetir t…</t>
  </si>
  <si>
    <t>Nobal, Jnan Manuel</t>
  </si>
  <si>
    <t>Jnan Manuel Nobal</t>
  </si>
  <si>
    <t>dor general alférez mayor i D. Amonio Gordei. - Regidoresá D. Marine! Re«?g?I. .Regidores, D. Josef de Eduberri/ D. Pedro Daripe. ’ D. Nicolás Muñoz. D. Jnan Manuel Nobal. D. Manuel de Cárdenas. D. Ramón Escudero. D. Francisco Vasco. D. Francisco Xavier Gandanillo*. D. Juan MonSalve.' D. Antonio G..rcíj de la Pedrosa, D. Jose…</t>
  </si>
  <si>
    <t>Noé, Nicolás</t>
  </si>
  <si>
    <t>Nicolás Noé</t>
  </si>
  <si>
    <t>trícula de cargadores de la playa , 25. Los cabos y peones de dicha matrícula , 100. El teniente da dicha José Espejo , 15. El capataz de carpinteros D. Nicolás Noé , 20. El de calafates D. Faustino Lucero , 20. Los demas carpinteros y calafates del CaUao , 72 y 6. Ei piloto de la fragata Trinidad D. Domiago Mesquia, 10. Los …</t>
  </si>
  <si>
    <t>Noel, Pedro</t>
  </si>
  <si>
    <t>Pedro Noel</t>
  </si>
  <si>
    <t>o , 41 y 5. D. Alexapdro Morales, agregado, 39 y 6. D. Andrés Calero, escribano de cámara, 133 y 2 y medio. D. José María Varela, archivero , 06 y 5. D. Pedro Noel, por­ tero, 25. El coronel y demas gefés, oficiales y soldados del regimiento de in­ fantería de esta capital, una mesada líquida del sueldo de cada uno, que impor…</t>
  </si>
  <si>
    <t>Noguer, Angel</t>
  </si>
  <si>
    <t>Angel Noguer</t>
  </si>
  <si>
    <t>D. Juan Fernandez .Castro por impór- ; *•te de una lámina para impresión de pasaportrA ; tes en la comandancia general, y otros gastos, 13 53 Idem á D. Angel Noguer, habEditádo del teaL:&gt; v . oLh cuerpo d.e V\ alones, para pago dejsusr.h'a- - &gt;■ e’ . d..' bares......... ...... .........:e..................-................ . …</t>
  </si>
  <si>
    <t>adores D. José Ruiz de Porras ; compañía de cazadores ai de fu­ sileros D. Gonzalo Fernandez de Córdoba; primera ayudantía ma­ yor ai primer teniente D. Angel Noguer ; primera tenencia de gra­ naderos al de fusileros D. José Pagés y Buñuio : primeras tenencias de fusileros á los segundos tenientes de granaderos y cazadores D.…</t>
  </si>
  <si>
    <t>Noguera, Aguitin</t>
  </si>
  <si>
    <t>Aguitin Noguera</t>
  </si>
  <si>
    <t>Ponce... • 1 • LO tro............. O. José Mane;.......... .. • 1 • f Coronel. . . D. Antonio Gaspar Blanco • 1 Irlanda. . 5 CaP' el .tenA coronel. . D. Aguitin Noguera... •. • 1 • V Subt. aban. D Ped ro Sánchez............. .... • 1 • V RIME 11A . C Capitán. • . D. Tomas de !a Fuente. • • • 1 • Cantabria &lt; Ayudante. . D&gt; Mat…</t>
  </si>
  <si>
    <t>Noguera, Manuel</t>
  </si>
  <si>
    <t>Manuel Noguera</t>
  </si>
  <si>
    <t>D. José María Soto , segundo, 33. D. Atanasio Davalos, tercero , 30. D. José Cañoli , aprendiz, 16. D. José Mariano Oya* gue , portero marcador, 29. D. Manuel Noguera , portero de la calle, 33. D. Ignacio Cisne ros Merino, 33. —E! monasterio de Sta. Catalina, 109. D. Domingo Ramírez de Arel Inno , 2000. J)r. D. Manuel Lorenzo…</t>
  </si>
  <si>
    <t>Noiret</t>
  </si>
  <si>
    <t>e publican los-decretes de creación en los diarios. La gaceta de esta capital nos ha contado un encuentro que ha‘ hábil o junto á la Cabrera entre el comandante Noiret y la división del Empecinado. Supone, como sucede siempre, que este ge fe ha sido derrotado , y aun añade que herido.. Todos estamos pendiente» de los grandes …</t>
  </si>
  <si>
    <t>Noli, Luis</t>
  </si>
  <si>
    <t>Luis Noli</t>
  </si>
  <si>
    <t>. D. Isidro Arauz, 6. D. José Bernal , 25. D. Ramón Menendez , 25. D. Sebastian Puga, 50. El comendador de la Merced , 50. D. Dio-, go Granados , 20. D. Luis Noli, 10. Teodoro Garóes , 4. Tomas Duarte , 4. D. Manuel Bravo, 5. D. José Florencia, 6. D. Ventura Bustamante, G. Don Pedro Ríos , 10. D. Juan María Morillo , 10. D. M…</t>
  </si>
  <si>
    <t>Ñoñez, Francisco</t>
  </si>
  <si>
    <t>Francisco Ñoñez</t>
  </si>
  <si>
    <t>f de Texada, Td............................... 2200 D. Andrés Benitez, resideute en Montoro. 2200 D. Joan Ramírez ; id.......................... 2200 D. Francisco Ñoñez, id. en Cabeza del D. Juan dé Dios Pastor", id...... .................. 2200 Buei...................... 2200 D. Miguel de Flores, idí.I.......................…</t>
  </si>
  <si>
    <t>Norieaga, Pedro</t>
  </si>
  <si>
    <t>Pedro Norieaga</t>
  </si>
  <si>
    <t>a, 8. D. José Antonio Enriquez , 13. D. Carlos Delgado , 8. B. Juan Piñeiro, 8. D. Felipe Arria, 8. D. Mariano Ay lucrdo, 13. D. Ma­ nuel llenera, S. D. Pedro Norieaga, 8. D. Juan de la Peña , 8. D. José Pasíjuel , 8. D. José María Torres, 8. D. Ignacio Icaza, 8. D. Manuel Icaza, 8. D. Carlos Icaza, 8. D. Manuel Solar, 8. D. …</t>
  </si>
  <si>
    <t>Noriega, Diego</t>
  </si>
  <si>
    <t>Diego Noriega</t>
  </si>
  <si>
    <t>riano Albiuri, 8. D. Blas Cabrera, 8.1). Francisco Delgado, 8. Don Manuel Herrera , 6. D. José Amezaga , 35. D. Francisco León , 5. D. Ma­ nuel León, D. Diego Noriega , 8. D. Juan de üfeían, 8. D. Juan José Qui­ ñones, 8. D. Manuel Urquiju, 8. D. Manuel Crias, 8 D. Pedro Truxillo, 12. D. Toribio Alarco , 7 y 7 rs. D. Anselmo …</t>
  </si>
  <si>
    <t>Noriega, Juan Manuel</t>
  </si>
  <si>
    <t>Juan Manuel Noriega</t>
  </si>
  <si>
    <t>171 las circunstancias. Exhortó pues á 44 granaderos que mandaba el teniente D. Juan Manuel Noriega , á 50 infantes que tenia eí capitán Sola y á 50 cabal os que Le quedaban de S. Carlos y patriotas ; y sir­ viéndole de ayudante y so'dado el capellán del batallón ligero de México, D. Ramón</t>
  </si>
  <si>
    <t>Normana</t>
  </si>
  <si>
    <t>sos E! coronel Normana, á quien, había dado mis órdenes en Gripswald ei 28 por la tarde, me ha enviado una certificación de estar en­ fermo , firmada de 2 mé licos. En la visita que hice por la noche al general F</t>
  </si>
  <si>
    <t>Normann</t>
  </si>
  <si>
    <t>po se precaven los males. Viéndome privado de mi libertad , creí qu* debía erdr gnr el man­ do al oficial del grado mas inmediato al mío, que .era el coronel Normann: y aunque el general Friant me ofreció un pase po: te para Estokolmo, juzgué que debia aguardar las órdenes de Y. M. pora mi conducta ulterior. Contribuyó á ello…</t>
  </si>
  <si>
    <t>Norzagaray, Mateo</t>
  </si>
  <si>
    <t>Mateo Norzagaray</t>
  </si>
  <si>
    <t>u lugar el limo. Sr. Gefé político inte­ rinamente, y con subordinación á lo que la Regencia del reyno determine, á los señores D. Gerónimo Ceboraim, D. Mateo Norzagaray, y D. Ignacio! Campesino y Guerra. Siendo ele suma importancia que los objetos encargados al tribunal interi­ no de Secuestros tengan la mas pronta expedició…</t>
  </si>
  <si>
    <t>Nota</t>
  </si>
  <si>
    <t>de mi al­ Cádiz 5 de noviembre. ma la proposición del señor López.” En la sesión de las cortes del 19 de octubre próximo pasado se leyó un oficio del gobernador Nota. En la gazeta de ayer, pág. 8, lio. 44, de esta (Xaza , ea que soücit.ba que el congreso diese licencia para abrir ei teatro de Cádiz , y dar donde dice la unive…</t>
  </si>
  <si>
    <t>Noticioso</t>
  </si>
  <si>
    <t>o, de donde arrojará y animaba las tropas con su exemplo. al enemigo, el qúal acampó á 20 pasos al frente. Suplico á V. A. que haga presentes á S. M. d Noticioso de todo Gravert, dió orden á Kleist, Emperador las relevantes prendas de este oficial, que por disposición mía corría la carretera de Aer- ilustre, á todas luces, y …</t>
  </si>
  <si>
    <t>Nottrngham</t>
  </si>
  <si>
    <t>erarse del baronet, de quien los minis­ alentado, pnes á él le parecía lo contrario. (Que tros se h.¡b;;n :poder..do por este medio." (Car— contemple d Nottrngham j que vaya d Irlanda.) caxadas.) Mr. Dxon concluyó diciendo que des­ Mr. Waithman contestó á Mr. Perring , acon­ aprobaba absolutamente las resoluciones pro­ sejánd…</t>
  </si>
  <si>
    <t>Novella, Roque</t>
  </si>
  <si>
    <t>Roque Novella</t>
  </si>
  <si>
    <t>la Inglaterra, sin otros muchos desde donde se embarcan para Pe­ AVISO, tersburgo las demas producciones de aquel rico pais. Por providencia del Sr. D. Roque Novella, juez de ¿Y esto dicen que es nada i ■ ¿y les parece cosa de primera instancia de esta riba, fecha 1/ del corriente, ¿oca monta.perder este recurso, y ponerle en…</t>
  </si>
  <si>
    <t>Novelle, Cirios Mafiuel</t>
  </si>
  <si>
    <t>Cirios Mafiuel Novelle</t>
  </si>
  <si>
    <t>te y calles de santa'María de! Arco y S. An­ tón , señalada con el rúm. %6 dé la mar,/. 306, perte­ Madrid S de Julio. neciente á ia testamentaría dé D. Cirios Mafiuel Novelle, tasada en 41149 ts ’; de tura cantidad se han de Extracto de las minutas de U secretaría de rebaxar las cargas que sobre sí tenga, la que se vendé pa­…</t>
  </si>
  <si>
    <t>Novia, Martin María</t>
  </si>
  <si>
    <t>Martin María Novia</t>
  </si>
  <si>
    <t>18000 D. Francisco de Panla Batanero......... 16S00 D. Josef Benito de Cuellar........... . 4951 3 D. Josef Raiz de Oslada..................... 80000 D. Martin María Novia..... ........................ 5000 Daña María Francisca Adelaida'Roo- D. Isidro Agosrin de Herrera.............. 6034 17 yer.................. ............…</t>
  </si>
  <si>
    <t>Novoa, José María</t>
  </si>
  <si>
    <t>José María Novoa</t>
  </si>
  <si>
    <t>1216 IX José Pclaez, del Mixto: al capitán de Puebla D. José Velazquez ; al de la Corona D. Vicente Enderica; al teniente D. José María Novoa, al patriota D. Raymundo Zaragoza , y á José María Yillavlcencio , del batallón de Tula, que mató á uno de los capi­ tanes insurgentes que intentó salir á caballo por la puerta que él g…</t>
  </si>
  <si>
    <t>Nsesaa</t>
  </si>
  <si>
    <t>u : formada esta en batalla, se batió con la caballe­ ría por espacio de inao de dos horas, habiendo sufrido la pérdida de ú muertos y 36 heridos; el general Nsesaa lo fué en una mano. D’Armegn&amp;c y sus edecanes y demas generales se vieron precisados ¿ montar á caballo para soregar el tumulto , mientras que los de la co • miti…</t>
  </si>
  <si>
    <t>Ntwton</t>
  </si>
  <si>
    <t>particularmente ai coro­ nel Hiede del regimiento 32 , al teniente coronel Da vis del 36, al ca­ pitán Owen del 61, al mayor de brigada Hobart, y al alférez Ntwton del 32, quien se distinguió en el ataque de la noche del 23, y eonduxo voluntariamente la partida avanzada en el ataque del 27. „ Así mismo recomienda con particul…</t>
  </si>
  <si>
    <t>Núcete, Tomas</t>
  </si>
  <si>
    <t>Tomas Núcete</t>
  </si>
  <si>
    <t>a6 4 ♦ üa nuestro palacio de Madrid á 4 de marzo Tenientes. de 1812. B. Alfonso Ar joña. Don Josef Napoleón por ia gracia de Dios y D. Tomas Núcete. por la constitución del.estado, REI de las Espa­ D. Antonio Porras. das y de las Indias. D. Francisco Castilla. Hemos decretado y decretamos lo que signe: articulo t. ,,Con arreg…</t>
  </si>
  <si>
    <t>Nucros, Josefde</t>
  </si>
  <si>
    <t>Josefde Nucros</t>
  </si>
  <si>
    <t>eddct, vienen tojos los nombrar gcte de división en el ministerio de i.i añ &gt;s a Meuix , y particularmente á Ncuiuiuiitier, Guerra a1 oficial primero D. Josefde Nucros, y Cb iOCOriin &amp;C. para arrendar a subidos precios los &lt; filial segundo del mismo tnmisierio ai teniente que barbechos. Los propietarios de estos los aran dos …</t>
  </si>
  <si>
    <t>Nueva, Juan de la Casa</t>
  </si>
  <si>
    <t>Juan de la Casa Nueva</t>
  </si>
  <si>
    <t>, id. , 9. D. Domingo Aldana , id., 9. El capitán D. Rafael O-farrilI , por 6,54. D. Juan de ¿4.1calá, por 2, 18. D, Manuel de la Holia, por uno, 9. D. Juan de la Casa Nueva, id., 9. D. Pedro Antonio de Ayala y D J osé Marcelino de Escobedo, por 2, 18. D. Bonifacio Duarte, id., 18. El canónigo D. Julián José del Barrio , id.,…</t>
  </si>
  <si>
    <t>Nueve, Bar</t>
  </si>
  <si>
    <t>Bar Nueve</t>
  </si>
  <si>
    <t>la orilla derecha del Gua­ Saldivia, que se dirigía á Tribujeoa; á pesar de la diana , donde estaban l„s avanzadas. desproporción de su? fuerzas, el comandante Bar­ Nueve dispersos , entre quieo.es se baila un Sub­ tolo, consultando solo su valor y el.de la tropa, teniente del primer regimiento de húsares de Ex­ cargó vigoros…</t>
  </si>
  <si>
    <t>Nugent</t>
  </si>
  <si>
    <t>eniente general Leith adelantó la brigada del mayor general Walker por la izquierda, sosteniéndola con el re­ gimiento 38, á las órdenes del temen te coronel Nugent., y el regi­ miento portugués número 15, á las del coronel de Rc-goa, é hizo un ataque taso contra Pardal eras con e* 8 de cazadores, mandado por el mayor HUÍ. Eí…</t>
  </si>
  <si>
    <t>coronel Carleton del 44, y el teniente coronel Grey dd 30, el cual por desgracia fué muerto. El segundo batallón del regimiento 38, á las órdenes del teniente coronel Nugent, y el regi­ miento portugués mandado por el coronel Luis de Regó a, dieron exempio del cumplimiento áe su deber.</t>
  </si>
  <si>
    <t>NUM</t>
  </si>
  <si>
    <t>criminal, y de las suscitadas entre los tri­ Cddiz 11 de junio. j bunales ordinarios correspondientes á diversos tri­ bunales de apelación. RTfnACTOR GENERAL NUM. 363. ! art. 11. Conocerá también por ahora privati­ vamente , Artículo comunicado. i.° De las demandas de tcnuta sobre mayoraz­ gos en todo el reino. „Senor redacto…</t>
  </si>
  <si>
    <t>ón de dar cada uno media CdHtz 12 de junio. fanrgi dé centeno (medida de Galicia, que es mu en o mas que la de Castilla) á los arrendatarios REDACTOR GENERAL NUM. 363. de este voto, sugetos crueles, que arrendando en Santiago por los precios mas excesivos, quieren des­ Artículo comunicado. pués reintegrarse, y ganar por el ti…</t>
  </si>
  <si>
    <t>aber correspondido dig­ Cádiz 11 de jimio. namente á la elevación de so ministerio? ¿No los vemos, por el contrario , pedir inoportunament* REDACTOR. GENERAL NUM. *399. el restablecimiento de un tribunal falto de manse­ dumbre religiosa , y usurpador juntamente de los Señor redactor genrral: de la sucinta narración primeros y…</t>
  </si>
  <si>
    <t>Nuncí, Juan</t>
  </si>
  <si>
    <t>Juan Nuncí</t>
  </si>
  <si>
    <t>Lena . .. ^ Teniente . . D. Francisco Diaz...... * » , O ro ««.»• D José CatbaHc.c... .. , ? 9 . Otro ..... D. Matías (garrote...... 1 v_Síibtemente D. Juan Nuncí/...«;(. . • t 1 í Tea lente .. D. Antonio (jóme*.. .., I CABALr.. ?r(?T!A Alférez . .. D. Luis del pasíiilo, • « deMadT,i\oírof.... D. Juan S atroz... • .&gt; ‘r. 1 1 …</t>
  </si>
  <si>
    <t>Nuñez, Antonio</t>
  </si>
  <si>
    <t>Antonio Nuñez</t>
  </si>
  <si>
    <t>a Juana García ,• id. del lugar de Sonto. 2200 Doña Ramona Obregqo.............. v-vír.......... 2200 D. Joaquín Araujo, residente en Segovia... 2200 D. Antonio Nuñez, id. en id........................ . 2 2®o Ext- dominicos. D. Andrés Fernandez Petite , id. en id.,... 2200 ,C # , \i D- Juan Mingnez , id. en id...............…</t>
  </si>
  <si>
    <t>Nuñez, Gregoria</t>
  </si>
  <si>
    <t>Gregoria Nuñez</t>
  </si>
  <si>
    <t>el Brisiula, 10 ps. fs. Mariano Roxas, 4 rs. Gregorio Perez, 4 rs. Manuel Nufiez , 4 rs. D. Timoteo Aranda, 2. Rafael Preciado, 1. José Jáuregui , 3. Doña Gregoria Nuñez , 7. Doña Victoria Jáurigui , 2. Basilia Orduñez , 1. Juan Hel güera. , 4. Gregorio López , 4 rs, Carlos López , 4 rs. Manuela López , 4 rs. D. Rafael Fuente…</t>
  </si>
  <si>
    <t>Nuñez, Joaquín</t>
  </si>
  <si>
    <t>Joaquín Nuñez</t>
  </si>
  <si>
    <t>es, el subteniente D. Francisco Fernandez Vinori, el sar­ gento primero Manuel Saceda, ídem segundo Bernabé Miñano, cabo prime­ ro Manuel Alcántara y D. Joaquín Nuñez. Del presidio: D. Juan Jacinto Iztueta , D. Clemente Britapajas, D. Antonio Guzman, D. Faustino Ru­ bio, D. Josef García Peña, D. Francisco Armendi, D. Melchor …</t>
  </si>
  <si>
    <t>Nunez, José</t>
  </si>
  <si>
    <t>José Nunez</t>
  </si>
  <si>
    <t>arma, 2000. D. Antonio Alvarez y INI oran , teniente coronel de id., 2000. D. Mariano Rodríguez y Subiate, subdelegado interino de Chachapoyas, 2000. D. José Nunez , presbítero, 50. D. José Manuel Gómez , capitán del bergantín Europa, 20. Su tripulación , 20. IX Diego Escanden , capitán de la fragata Limeña , 10. Su tripulaci…</t>
  </si>
  <si>
    <t>Nuñez, Manuel Santos</t>
  </si>
  <si>
    <t>Manuel Santos Nuñez</t>
  </si>
  <si>
    <t>huanca, 100. Fr. José Contreras , cura de Tarma, por sí y su clerecía, 169. D. Manuel Corbalan , cura de Ninacaca, 24 y 6 D. Manuel de 3as Casas, 12. D. Manuel Santos Nuñez, 25. — El M. R. arzobispo de Lima D. Bartolomé María de las lleras, para auxilio de las familias de Ja ciudad de Carmona su patria, que quedaron sin apoyo…</t>
  </si>
  <si>
    <t>Nuñez, Natividad</t>
  </si>
  <si>
    <t>Natividad Nuñez</t>
  </si>
  <si>
    <t>Sargento n»ayor D. Juan Duran , 4. Capitán D. Se­ bastian A costa, 4. Subteniente D. José Ralao, 1. Id. D. Antonio Pardave, 2,—- Partido de Ckimcay. Doña Natividad Nuñez , 2. D. Juan Bureta, 4. L iña Jacoba Pacheco, 1. .Lucas Barrete, l. Doña .Narcisa Pacheco, 4 rs. Martin Rivas, 2. '{Se continuará ) GADIZ : EN LA IMPRENTA REAL.</t>
  </si>
  <si>
    <t>Nupiden, Josef</t>
  </si>
  <si>
    <t>Josef Nupiden</t>
  </si>
  <si>
    <t>en el inaynr del regimiento Real llxtrangcro : el se den­ Diodo c ti que en el dia se hacen las elecciones , y te que ha sido de artillería á caballo D. Josef Nupiden qne e. número de lós representantes naciona­ ñez Arenas segundo teniente de dicho real cuerpo: les sea proporcionado al de los electores. Hice po­ el subtenient…</t>
  </si>
  <si>
    <t>Nüyozíízow</t>
  </si>
  <si>
    <t>, extraño que se repítan estos ex? mplos. El lord Catlicart, nombrado emb.»xador británico en Pctersburgo, se embarcó en Yarmouth para su destino. El conde Nüyozíízow es el emb&amp;xaáor nombrado por la corte de Rusia para residir cerca nuestro gobierno. PORTUGAL. Lisboa 8 de agosto. Extracto de un oficio del mariscal general, ma…</t>
  </si>
  <si>
    <t>O'tabat, Josef</t>
  </si>
  <si>
    <t>Josef O'tabat</t>
  </si>
  <si>
    <t>D. Josef O'tabat, oficia! de la coóta- La caria y el papel siguientes h m si ia remiti­ duría de salinas..................................... 42I4 dos d los red.ii tores de este periódico. D. Miguel Saquero</t>
  </si>
  <si>
    <t>O, Cayetano</t>
  </si>
  <si>
    <t>Cayetano O</t>
  </si>
  <si>
    <t>peñó en que habia d; inocularme su locu­ D. Manuel Maroto, D. Juan Plowes , D. A.ntonio ra ; y como yo soi asi, y que no hai quien me sa­ Mendiverri, D. Cayetano O.duña, D. Baltasar de qúe , aunque me prediquen frailes descalzos , de que Sola, t). Luis Castro yJD. Mateo Hadson, subte­ cuidados ag -nos matan ai asno, y que viv…</t>
  </si>
  <si>
    <t>O, Francisco</t>
  </si>
  <si>
    <t>Francisco O</t>
  </si>
  <si>
    <t>s que en la parroquial de la vi­ El St. Alexandro de Saluces. lla de Morata, correspondiente á este arzobispa­ El Sr. Federico de Spínola. do , fundó D. Francisco O.iva. El Sr. Centnrioni. El Sr. barón de la Brousse. TBAtKOS. En el del Príncipe, á las odio de la noche, se re­ ESPAÑA. presentará por la compañía española la com…</t>
  </si>
  <si>
    <t>ga; de teniente coronel de milicias al de la nrhmm clase D. Manuel Arcaya ; de ca­ pitán de infantería al teniente del batallón veterano de Maiacsybo D. Francisco O oeste; de subteniente efectivo de artillería al sargento primero del mismo cuerpo D. Ignacio Calan ; de espitan de milicias disciplinadas de infantería á 6. Franc…</t>
  </si>
  <si>
    <t>O, Ig</t>
  </si>
  <si>
    <t>Ig O</t>
  </si>
  <si>
    <t>uinto , 68. D. An­ drés Riquero , sexto, 50. D. Manuel de Vega Bazan , séptimo, 4-1. Don Santiago Carrasco, octavo, 41. D. Eugenio Galarza, portero , D. Ig« O tiacio Ayllon , escribano, 12 Conductores del número. D. José Marín, 40. D. G regorio Teran , 40. D Bernardo Abregu , 4l&gt;. D. Juan Luis Pere.z , 40. D José Ascue , 40 D…</t>
  </si>
  <si>
    <t>O, José</t>
  </si>
  <si>
    <t>José O</t>
  </si>
  <si>
    <t>segundos á los adictos D. Jacobo Mstia de Espinosa, teniente del regimiento de Badajoz, D. José Cruz Mulle?, alférez de navio de !a armada naciera t, D. José O riega, teniente dél regimiento de infantería del Rey, D. Francisco Oteyza, capitán de dragones deNumancia, D. Miguel Apciinario Fesnandez, capitán del regimiento de Ca…</t>
  </si>
  <si>
    <t>O, Juan Manuel</t>
  </si>
  <si>
    <t>Juan Manuel O</t>
  </si>
  <si>
    <t>Tarma IX Juan Echevarría, 100. Procurador de la ciudad-IX Pe­ dro Espinosa , 10. Capitán D. .Esteban Solis , 2. Id. D. Esteban Ximenez , 6. Teniente D. Juan Manuel O cito a, 2. id. D. Tomas Medrano, 2. Id. IX Eulalio Egoavil, 4. Id. TX José Xarvarte , 2. Id. D. Antonio Zavala , 2 Subteniente IX Diego Adalid, 25. Jd. D. José E…</t>
  </si>
  <si>
    <t>O, Manuel</t>
  </si>
  <si>
    <t>Manuel O</t>
  </si>
  <si>
    <t>Bernardi­ na Aseivp, y todos k las del brigadier D. Joan Downie que manda­ ba 1a vanguardia, y á quien acompañaba el segundo ayudante de estado mayor D. Manuel O bregón, los que á trote siguieron á los ene­ migos á la par déla caballería con una pieza de artillería inglesa que se envió para sostenerlos, cogéidoles prisioneros…</t>
  </si>
  <si>
    <t>uijana , y del de la le­ gión ligera de caballería dni Condado D. Simón Rodríguez, que igualmente fueron heridos. El segundo ayudante de estado mayor D. Manuel O bregón tuvo herido su caballo. „E1 brigadier general Scherret con ias tropas inglesas de su mando hizo prodigios de valor, y su artillería obró con mucho tino y acie…</t>
  </si>
  <si>
    <t>O, Pedro</t>
  </si>
  <si>
    <t>Pedro O</t>
  </si>
  <si>
    <t>ervación de las el arzobispado de Granada, vacante por muerte del obras antiguas» y no omite nada para mantener en ex-franciscano D. Ramón Zurita , á D. Pedro O.ibuen estado los canales qne existían anteriormente. va Lozano, ex-monge gerónimo. Esperamos pues qne en breve. tiempo estará Para,la de Peligras,'«nía misma.diócesis…</t>
  </si>
  <si>
    <t>O, Pedro María</t>
  </si>
  <si>
    <t>Pedro María O</t>
  </si>
  <si>
    <t>l, D Leopoldo Tolleria , D. Jo:é Antonio Zamuripa, D. Rafael Tejerla, D. -Fernando GB , D. Anastasio Nava, D. Luis Ramírez, D. José Trinidad Guardia, D Pedro María O berta, D. Francisco Manzano, D. J .sé Lorenzo López y D. J é Mumei Listem; y de alférez de las de cabsterí*, á D. M'murí Ferrar, Q Antonio Gutiér­ rez, D. Esteba…</t>
  </si>
  <si>
    <t>O, Salvador</t>
  </si>
  <si>
    <t>Salvador O</t>
  </si>
  <si>
    <t>ESPAÑA. D. Irsef de Feria , id.......................................... 2 2co D. Josef Portal, id............................................. 22co D. Salvador O doñez, id.................................. 2200 Madrid 20 de julio. D. Sitnon Milán, id........................................... 2200 Continuación del decreto de…</t>
  </si>
  <si>
    <t>O-Byan</t>
  </si>
  <si>
    <t>ndo fuego á las piezas, y exemplo de valor y serenidad á los soldados. Del comandante D. Sirnon Montero al general en gefe.— Nueve de noviembre. — El coronel O-Byan,sabedor de que un cuerpo ene* migo, al que había obligado á retirarse de. YLllafraiica, se había diri­ gido á los pueblos de Villanueva y de Silgos, insistiendo e…</t>
  </si>
  <si>
    <t>O-Coole</t>
  </si>
  <si>
    <t>ral Mackinson , que las han dirigido y mandado; pero permítame V. E. que llame particularmente su atención hacia el distinguido proceder del t-miente coronel O-Coole del segundo de cazadores, del mayor Ridge, del segundo batallón dfíl quinto de á pie, del teniente coronel Camp­ bell del regimiento 94, del mayor Manners del 74…</t>
  </si>
  <si>
    <t>O-Denizeíf</t>
  </si>
  <si>
    <t>a con el conde Osíernaan , y le mandé que se apoderase- de- otro collado para inquietar al enemi­ go cruzando los fuegos. Atacando en este momento el conde O-Denizeíf la izquierda del enemigo, se completó el triunfo de este día; de suerte que con las pocas tropas que he designado , tuve la satis­ facción de obligar al excredo…</t>
  </si>
  <si>
    <t>O-Denizoff</t>
  </si>
  <si>
    <t>sta de todas estas circunstancias favorables, continué dirigiéndo­ me hacia el flanco izquierdo del enemigo á fin de reunir mis fuer­ zas con las del general O-Denizoff. ,,Durante estas operaciones ignoraba yo los progresos del conde de Osterman ; pero presumía que estaba reunido con el general jDoctorow, porque la infantería…</t>
  </si>
  <si>
    <t>O-Denizoíf</t>
  </si>
  <si>
    <t>o considerable en la&amp; filas del enemigo ; movimiento ocasionado sin. duda con intención de hacer frente á todas partes ; porque habiendo arrollado el conde O-Denizoíf el flanco izquierdo de los franceses con los 10 regimientos de cosacos , les había causado mucho daño, infundiéndoles gran terror é incertidumbre. „En este mome…</t>
  </si>
  <si>
    <t>O-Domieli, José</t>
  </si>
  <si>
    <t>José O-Domieli</t>
  </si>
  <si>
    <t>cción L ? ' J que dirigiré --Q á Y. S. — ~ —* — sin retardo. —Dios geazde á Y. S. muchos añor. Utiel 25 de Agosto de 1812.- Pedro Yilla■ campa, — Sr. D. José O-Domieli,” ARTICULO DE OFICIO. El general en gefe del séptimo exército D. Gabriel de Mendizabal, desde Bilbao, ccn fecha de 19 de Egostc- último, disige al Exorno. Sr. …</t>
  </si>
  <si>
    <t>O-Doncii, Jcsé</t>
  </si>
  <si>
    <t>Jcsé O-Doncii</t>
  </si>
  <si>
    <t>o. — Dado en Cádiz á 30 de marzo de 1812. — A la Regencia del reyno.” Al gefe del estado mayor general dice el general en gefe del ter­ cer exéreito, D. Jcsé O-Doncii, con fecha de 28 de febrero ú.timo, entre otras cosas , lo siguiente: ,,Exorno. Sr. : en cumplimiento de la orden de S. A, de 14 del actual para que informase l…</t>
  </si>
  <si>
    <t>O-Donell</t>
  </si>
  <si>
    <t>los insurgentes habían gastado puesto añadir por vía de enmienda á esta resolu­ mucho dinero. ción la cláusula siguiente: ,, Y en caso que un bu- El general O-Donell, que era gobernador de «que americano sea atacado por un buque ingles, Valencia, entregó al salir para Francia-el mapa del «se permite al americano apresar y con…</t>
  </si>
  <si>
    <t>sión del general Obispo. En nuestro palacio de Madrid á 14 de abril ,, Son dignos de elogio por lo bien que han des­ de 1812. empeñado sus deberes el general O-Donell , gefe Don Josef Napoleón por la gracia de Dios y del estado mayor; los brigadieres conde de Mon- por la constitución del estado, REI de las Espatijo y D. Juan …</t>
  </si>
  <si>
    <t>bieron al cadalso pidieron sé tes ke al tiempo de su rendición en Valencia. concediesen algunos instantes mas de vida para ha­ Extracta del parte del general O-Donell sobre cer oración; se les concedieron en efecto, y an se­ las operaciones de la jornada del 25 de octu­ guida fueron ajusticiados. Media hora despúes el bre1 de…</t>
  </si>
  <si>
    <t>embargo se retiró en bas­ ,, Según el estado iqne remite asciende su pér­ tante buen orden.: dida á ocho muertos, 3^. heridos y z86 dispersos, * „E¡ general O-Donell remite junto con este ; Alcublas 27 de octubre de 1811.” parte un estado de la pérdida que tuvo su división, y consistió en 38 hombres muertos , .148 heridos y 1…</t>
  </si>
  <si>
    <t>ento por espacio de 19 días, se fixó en el punto de Hellin el dia 28 del pasado con la mira de observar las intenciones y movimientos deí enemigo. El general O-Donell habia recibido diferentes avisos fidedignos de la parte de Granada, en que le decían que Soult indicaba querer evacuar las Andalucías, retirándose á Va­ lencia …</t>
  </si>
  <si>
    <t>O-Donell, Henrique</t>
  </si>
  <si>
    <t>Henrique O-Donell</t>
  </si>
  <si>
    <t>pecialmente dexándole escoger sus armas habituales , tas que usó toda la vida en mil lances arriesgados con sus con­ ciudadanos. Mandando en Cataluña D. Henrique O-Donell, le dixo el gefe de un ba­ tallón de marina, D. Angel Jover, que su tropa era nueva, y entendía po­ co de evoluciones i que si le permitía usar el arma blan…</t>
  </si>
  <si>
    <t>O-Donell, Josef</t>
  </si>
  <si>
    <t>Josef O-Donell</t>
  </si>
  <si>
    <t>amente el mé­ rito que muchos repetidas veces han contraído-----Dios guarde á V. S. mu­ chos años. Utiel 27 de agosto de i8i2.=Pedro Villacampa. =Sr. D. Josef O-Donell.” Del estado á que se refiere el parte anterior resulta que nuestra pérdida fue de 2 capitanes y 32 soldados muertos, 8 oficiales y 133 soldados heri­ dos, 5 s…</t>
  </si>
  <si>
    <t>O-Donncll</t>
  </si>
  <si>
    <t>dos de las tres na­ ciones mezclados confusamente, recibiendo por todas partes los aplau­ sos de I03 que tirando al ayre sus gorras gritaban: viva el general O-Donncll: nina el héroe de La-bisbal. Viva España, respondía to­ do conmovido el regente, y repetían los soldado? y todos los circuns­ tantes: viva la Constitución espa…</t>
  </si>
  <si>
    <t>O-Donncll, José</t>
  </si>
  <si>
    <t>José O-Donncll</t>
  </si>
  <si>
    <t>ei celo y patriotismo del Exorno. Sr. capitán gene­ ral del reyno, presidente de su real audiencia, y general en geie del segundo y tercer exército, D. José O-Donncll. Salió pues este her­ moso pais del estado de horfandad en que fue dexado. Los pue blos y las justicias encontrarán una protección que acaso jamas habrán tenido…</t>
  </si>
  <si>
    <t>O-Donnell</t>
  </si>
  <si>
    <t>Gaceta de Madrid n.º 24</t>
  </si>
  <si>
    <t>21 banderas , 22 gene­ 6.° Y los huérfanos menores. rales, á la cabeza de los quales se bailan el general La comisicn, queriendo al mismo tiempo que gobernador O-Donnell, y el capitán general Bíake. proporcionaba los socorros conciliar con la econo­ El exército español saldrá mañana con los ho­ mía el gusto y costumbre de la …</t>
  </si>
  <si>
    <t>O-Donnell, Cárlos</t>
  </si>
  <si>
    <t>Cárlos O-Donnell</t>
  </si>
  <si>
    <t>Tarifa quedaba.mtii estrechada. Mariscales de campo. Esta mañana han llegado cartas de la Jamaica y de las islas de sotavento. Las noticias de la Ja­ D. Cárlos O-Donnell, segundo comandante, maica llegan hasta el 23 de noviembre. El dia 29 general dei z.° exército, y gobernador de la plaza de octubre se reunió la asamblea de …</t>
  </si>
  <si>
    <t>O-Donnell, José</t>
  </si>
  <si>
    <t>José O-Donnell</t>
  </si>
  <si>
    <t>o en la par*e que les toca, á toma* Isa 71 R?€t£Srlks para la cxecucion de la presente orden. — James Buikr ARTICULO UE OFICIO. El mariscal de eam;?o D José O-Donnell, genera* en g fe inte» riño del segando y tercer exército, dice a* señor g fe d;;5 es\«r*o ma­ yor general desde el cuartel general de O-¿huela, con fecha dv 8 …</t>
  </si>
  <si>
    <t>el comente, y como k las 13 horas de la mañana , cele­ brando su sesión la junta superior de dicho rey no, recibió por comi­ sionados del Exc:ao. Sr.-D. José O-Donnell la constitución política^ de lá monarquía española, que le comunicaba el señor ministro dt Gracia y J astida para su juramentó y publicación. La ap^rcion del p…</t>
  </si>
  <si>
    <t>O-Farril</t>
  </si>
  <si>
    <t>ras que los de la comitiva temían las con­ secuencias de semejante -suceso. Al mayor del mismo d’Armagnac le tiraron dos pistoletazos, y otros dos al ministro O-Farril, á quien insultaron en su propia «casa; otro recibió Perez de la -Castellana: de ios tres solo este último quedó herido en un muslo. Lograron los gefes por fin…</t>
  </si>
  <si>
    <t>O-Farrill</t>
  </si>
  <si>
    <t>s, y puesto á salvo los efectos mas preciosos que tenían. A las siete de la tarde de este día se reunieron to­ dos en la Mota del Cuervo, en donde el ministro O-Farrill circuló una or­ den á los pueblos inmediatos para que aprontasen 20© raciones: orden que, como habia sucedido en otras ocasiones mas críticas, no fue obedecid…</t>
  </si>
  <si>
    <t>O-Farrill, Gonzalo</t>
  </si>
  <si>
    <t>Gonzalo O-Farrill</t>
  </si>
  <si>
    <t>to han llegado del insigue- orden del Toíson de Oro al ca‘pitan ge­ á su mayor término entre los insurgentes : los sol­ neral de los reales exércitos D. Gonzalo O-Farrill, dados van abriendo los ojos , y están acechando nuestro ministro de la Guerra ; y á D. Mariano un momento favorable para poder escapar, y aban­ Luis de Urq…</t>
  </si>
  <si>
    <t>O-Fasrill</t>
  </si>
  <si>
    <t>ras que los de la co • mitiva temían las cccsrcuencias de semejante suceso. Al mayor del mismo d’ATmagnac le tiraren dos pistoletazos, y otros dos al ministro O-Fasrill, á quien insultaron en su propia casa; otro recibió Pérez de la Cistellana: de les tres solo este último quedó herido en un muslo. Legraron los gefes por fin …</t>
  </si>
  <si>
    <t>O-Ferrall, Ambrosio</t>
  </si>
  <si>
    <t>Ambrosio O-Ferrall</t>
  </si>
  <si>
    <t>Maoors, Waterford. al exército ingles. Jum Lator , de Cranaghs. Miles M’Donnel, de Londres. Extracto de una carta del general Blake al con3i, may &gt;r general Ambrosio O-Ferrall. sej'j de regencia acerca, de las operaciones del Perno Bodkin Hussey , de Dmgle. dia a £ de octubre. Domingo W. O-Reilly, de Kildangan-Castle. El gene…</t>
  </si>
  <si>
    <t>O-Gavan, Juan Bernardo</t>
  </si>
  <si>
    <t>Juan Bernardo O-Gavan</t>
  </si>
  <si>
    <t>ente y uno de sus secretarios5; salieron electos , para presidente el Sr. D. F rancisco Morros, diputado por Cataluña ; para rice-presi­ dente el Sr. D. Juan Bernardo O-Gavan ^diputado por la isla de Cuba; y para secretario el Sr. D. Florencio del Castillo, diputado por la ciudad de Cartago en la provincia de Goatemaku Circul…</t>
  </si>
  <si>
    <t>O-Gayan, Juan Bernardo</t>
  </si>
  <si>
    <t>Juan Bernardo O-Gayan</t>
  </si>
  <si>
    <t>Ji¿an. P 4o Catalina, diputado por Aragón ; para vice-presi­ dente ei Sr. D. Alonso de Torres y Guerra, diputado por-'Cádiz, y para secretario el Sr. D. Juan Bernardo O-Gayan, diputado por la isla de Cuba. La Regencia del reyno se ha servido expedir el decreto siguiente.' ,, La Regencia del reyuo, nombrada por las Cor es gene…</t>
  </si>
  <si>
    <t>O-Neiil, D Félix</t>
  </si>
  <si>
    <t>D Félix O-Neiil</t>
  </si>
  <si>
    <t>ndo ha executado durante la batalla varios movimientos, la primera sec­ ción, al mando del brigadier D. Ignacio Francisco Cepeda, y la segunda al del coronel D- Félix O-Neiil: y así como otras divisiones del exército no han tenido sobre sí la parte activa de la acción, hallándose en los puestos que les esta­ ban asignados de …</t>
  </si>
  <si>
    <t>O-Neille, Félix</t>
  </si>
  <si>
    <t>Félix O-Neille</t>
  </si>
  <si>
    <t>Julio ONsillc, que es el coronel del primer regimiento de infantería de lá Princesa, y comandante de la vanguardia de dicha división; y co­ mo hay um D. Félix O-Neille brigadier de marina, se proviene á solicitud de aquel para evitar las equivocaciones á que puede dar logar la diferencia del nombre. CADIZ : EN LA IMPRENTA REAL.</t>
  </si>
  <si>
    <t>O-Oonojú, Juan</t>
  </si>
  <si>
    <t>Juan O-Oonojú</t>
  </si>
  <si>
    <t>general al servicio de S. M. B. que se halla en esta plaza, y á los mariscales de campo D. Luis Wimpffen., segundo 4*eie del estado mayor general, y D. Juan O-Oonojú, debiendo asis­ tir en calidad de secretario un anudante general que nombrará el primer ge fe del estado mayor ge a oral; quien mandará igualmente fa­ cilitar á …</t>
  </si>
  <si>
    <t>O-Riañ</t>
  </si>
  <si>
    <t>ava , vacante por muerte de Don „Al tiempo de evacuar á Reos, los españoles se Joaquín Ignacio deIrnzo,al medio beneficiado de han llevado consigo al coronel O-Riañ, su coman­ la misma D. Joaquín Remigio de Irinzo. dante, atacado de una violenta enfermedad. Para e) medio beneficio de dicha iglesia, va­ „Las tropas francesas o…</t>
  </si>
  <si>
    <t>O-Riau</t>
  </si>
  <si>
    <t>Nueve nieron á sn socorro, hubieran .sido enteramente fueron condenados á muerte; pero el Príncipe Regen­ destrnidos. te perdonó á siete. . ... . „E1 coronel O-Riau.había tomado enlama-</t>
  </si>
  <si>
    <t>Oaletme, Noel</t>
  </si>
  <si>
    <t>Noel Oaletme</t>
  </si>
  <si>
    <t>o de Oraña , con Ja obligación D. Alfonso Lázaro Couturíer , teniente, á ca­ de ayudar al párroco de Cevico. en su ministerio. pitán en la vacante de D. Noel Oaletme; D Luis D. Buenaventura del Castillo presbítero y exMolí, teniente, á capitán en la vacante de Don erónimo , para el beneficia de la parroquia de San Noel Antoni…</t>
  </si>
  <si>
    <t>Oarrichena, Rafael</t>
  </si>
  <si>
    <t>Rafael Oarrichena</t>
  </si>
  <si>
    <t>es D. Francisco Agustin, Crespo. D. Tomas Peña. - D. Francisco Santíüsté. D. Tomas Zapalena. Secretario D. Manuel Medina. D. Josef Ibarra. Secretaria D. Rafael Oarrichena. ' “■ QUARTEL DE-SAN MARTIN. QUARTEL DE LA PLAZAS - 1 BARRIO DE SAN LUIS» - l. ' BARRIO DE SAN. QINES. Alcalde de barrio~ Alcalde de barrio D,.. Josef Castr…</t>
  </si>
  <si>
    <t>Oberfco, Juan Agustín</t>
  </si>
  <si>
    <t>Juan Agustín Oberfco</t>
  </si>
  <si>
    <t>Podro Luís Icteupi, D. Miguel Primero, D. Antonio Urblna, D. Earique Fu­ rias, D. Juan Dionisio Arcaya, D. Pablo Hernández, D. José Ma­ ría Telíería, D. Juan Agustín Oberfco, D. Esteban Pe tí, D. Manuel Osteycochea y D. Manuel E ysaga; de teniente de las mismas milicia» de infantería, á D. Torlbio Bsttüaeourt, D. Casimiro Gar…</t>
  </si>
  <si>
    <t>Obis</t>
  </si>
  <si>
    <t>as para con­ ballos, en Caberbort , presumiendo que h..bria ocu­ tener ios destacamentos enemigos, que estaban pado la posición del Espíritu Santo el general Obis­ apostados en el desfiladero de la Caidercna , é im­ po con su división , ó bien el coronel O Rían con pedir que cortasen todas las tropas que se iban re­ dos batal…</t>
  </si>
  <si>
    <t>Obis-j</t>
  </si>
  <si>
    <t>¿apa del 2f el camino de la Caldérona , y contando 4J9 que los enemigos se dirigían también hácia este cocí que te sostendiia ta división de! general Obis-j mismo punto; y al cabo de muchas fatigas y de po, empeñó uo» acción mui viva con el enemigo, una pérdida considerable podo entrar en este pueblo. y fue batido, mas sin em…</t>
  </si>
  <si>
    <t>Obispo</t>
  </si>
  <si>
    <t>u recurso que reunir los dispersos y fugitivos que Santo; y no sabiendo positivamente si eran las del andaban por todas partes; y para poderlo hacer, general Obispo ó las del coronel O-Rían, sospe­ y que el enemigo no me cortase la retaguardia 'de ché fuesen enemigas, y me convencí de ello luego mis divisiones, dispuse la ret…</t>
  </si>
  <si>
    <t>para el dia 26 con 7© hombres, Extracto de las minutas de la secretaría de y para el 29 con 8 ó 9© reunidos ea este punto Estado. úoñ la división del general Obispo. En nuestro palacio de Madrid á 14 de abril ,, Son dignos de elogio por lo bien que han des­ de 1812. empeñado sus deberes el general O-Donell , gefe Don Josef Na…</t>
  </si>
  <si>
    <t>Se dice que esta mudanza de batállones de tropas ligeras, y 50 dragones para uniforme se hará para el 4 de junio próximo. Ha­ proteger!la marcha del general Obispo, y 140 ca­ ce 17 años que se adoptó el uniforme actual: no ballos al general Miranda, de modo que se quedó cabemos lo que durará el nuevo. { The Courrier. ) con 19…</t>
  </si>
  <si>
    <t>Obispó</t>
  </si>
  <si>
    <t>quadrilfas de tres y quatrt» po de exército. hombres, que se dedican al robo y á todo género de violencias , y los vecinos honrados y laboriosos ,,EI general Obispó se dirigió el 24 hácia Na­ son víctimas de sus desórdenes. quera , donde recibió órden de atacar al dia si­ En uno de estos encuentros fue mnerto el ca­ guiente a…</t>
  </si>
  <si>
    <t>Obregqo, Ramona</t>
  </si>
  <si>
    <t>Ramona Obregqo</t>
  </si>
  <si>
    <t>al'de San Felice*, valle de Bnelua....,,..................................... 2200 Ex franciscanos. Doña Juana García ,• id. del lugar de Sonto. 2200 Doña Ramona Obregqo.............. v-vír.......... 2200 D. Joaquín Araujo, residente en Segovia... 2200 D. Antonio Nuñez, id. en id........................ . 2 2®o Ext- dominicos…</t>
  </si>
  <si>
    <t>Ocaiqui, Sebaitiaq</t>
  </si>
  <si>
    <t>Sebaitiaq Ocaiqui</t>
  </si>
  <si>
    <t>fy. Sfiarez. D. Víctor Vicario. En el de la Cruz, á las quatro y media de la larde, Secretario ce ejecutará la comedia titulada el Hdn'rido labrador, D. Sebaitiaq Ocaiqui. , con tonadilla y sainete. / \‘x. EN LA IMPRENTA REAL.</t>
  </si>
  <si>
    <t>Ocharan, Josef</t>
  </si>
  <si>
    <t>Josef Ocharan</t>
  </si>
  <si>
    <t>ñarte y D. Lucas de Carran­ za, y. los de la municipalidad-D. Juan Antonio Pico, D. Genaro Faustino dél Rincón, D. Lorenzo Iruegas,D.. Diego Barreda, D. Josef Ocharan, Don Manuel de la Viña, D. Antolin Munarnz y D. Pedro Pinillos, aprobaron unánimemente q.uanto queda réfeíádo, y se dispuso que para afianzar la tranquilidad pú…</t>
  </si>
  <si>
    <t>Octavio, Agustín</t>
  </si>
  <si>
    <t>Agustín Octavio</t>
  </si>
  <si>
    <t>$34 la hace bastante sensible la de los capitanes D. Felipe Ochoa y D. Joaquín Berruezo, del primer batallón ; los tenientes O, Manuel Jáuregui y D. Agustín Octavio, especialmente la de este último, jo­ ven bizarro , que avanzó hasta el pie del canon enemigo, donde es­ piró después de lograr su presa. . „D.e los tres jóvenes …</t>
  </si>
  <si>
    <t>Ocultad</t>
  </si>
  <si>
    <t>ente de lo ma­ por la constitución del estado, REI délas Espa­ los, que se ponen los caminos‘de aquel p&lt;is en el ña» y de las Indias. Invierno. -Esta d Ocultad sigue lo mismo en l&gt;s me­ Oído nuestro grao consejo de la Orden Rea! ses de entro y f brero, por cuyo motivo se hacen deEspaña,. entontes las remesas de Levante por Sp…</t>
  </si>
  <si>
    <t>Odalíd, Demetrio</t>
  </si>
  <si>
    <t>Demetrio Odalíd</t>
  </si>
  <si>
    <t>och : ..Consecuente á la orden de Y. S., salí de esta plaza con los tres batallones de Canarias , Alicante y Chinchilla , al mando de los co­ roneles D. Demetrio Odalíd, D. José de Torres y el sargento ma­ yor D. Joaquín Cortés, 2 piezas de artillería de á caballo , y una pequeña guerrilla de húsares de Castilla , componiendo…</t>
  </si>
  <si>
    <t>Odum, Ignacio</t>
  </si>
  <si>
    <t>Ignacio Odum</t>
  </si>
  <si>
    <t>Eustaquio Ortiz, 66 y 5. D. Juan Sanz, 66 y 5. Don José Iramain , 66 y 5. — Id. terceros. D. José Gervasio del Campo , 50. D. Manuel de Zumaeta, 50. D. Ignacio Odum; 50. D. Tomas Larrea, 50. D. Joaquín de Arece , 50. D. Francisco González Pavón, 50.— Oficiales amanuenses. D. José Mariano Bustarnanie , 41 y 5. D. Ignacio Talam…</t>
  </si>
  <si>
    <t>Oehoa, Manuel</t>
  </si>
  <si>
    <t>Manuel Oehoa</t>
  </si>
  <si>
    <t>é 'la^&amp;é vtfitL' teniente .de,‘la-^qpárta jConipapía del mismo, bata­ no se agríe ni revenga; ¡ porque.'rtie ;:gr¿8áñ fa’olof llan., en, reemplazo Ae:D. Manuel Oehoa. ’ / . los'homb'reá pacfficíis ,‘y son tan rároi', Jáa titrot* íy, Jpsef JLeiruxsargento,1 primeroá',subte­ en es.tosf tiempos, que seria gran lástí¡ffl‘i^qne 'ü…</t>
  </si>
  <si>
    <t>Oertel</t>
  </si>
  <si>
    <t>Gaceta de Madrid n.º 133</t>
  </si>
  <si>
    <t>537</t>
  </si>
  <si>
    <t>virán en los baviera. doi cuerpos de reserva rh&amp;fidadóS por Máeller- Sa­ ltóme lskí, edecán del ÉVnpéradót, y élteili'ente ' ■&gt; iHíprkck t.° de abriL general Oertel. El valor det fubtó Sobre Harhfcdtgo' eítá áfo Las tropas báVaras que hai de guarnición eri íchelines, y sobre París á un fraoco y 13 céiitilfias, esta ciudad tuv…</t>
  </si>
  <si>
    <t>Ofelan, Santiago</t>
  </si>
  <si>
    <t>Santiago Ofelan</t>
  </si>
  <si>
    <t>s del pueblo de Palcarnayo, 11 y 3 y medió. Los del pueblo de Palea, 13 con 2. Los del pueblo de Acobamba, 15 y G. Los del pueblo de Tapo , 12 y 2. — D. Santiago Ofelan , cura de Aubaaiba , 50. D. Jem Muñoz , cura de Mito, 50. Juan Ramírez’, indio- tributario de fluaroehiry , 2. i). Diego Hartado, curado Comas, 50. Ei subdele…</t>
  </si>
  <si>
    <t>Oferegon, Manuel</t>
  </si>
  <si>
    <t>Manuel Oferegon</t>
  </si>
  <si>
    <t>592 Senties, D. Carlos Emilio, y D. Manuel Oferegon, capitanes délos regimientos de infantería de la Union y Asturias, y del de caballería del Infante. En América. La Regencia de las E pañas se ha servido conce­ der en el nuevo regimiento ur</t>
  </si>
  <si>
    <t>Ogararte, Juan Manuel</t>
  </si>
  <si>
    <t>Juan Manuel Ogararte</t>
  </si>
  <si>
    <t>de bandera á D. Federico de Vera. En la compañía veterana de infantería de Maynas, el empleo de capitán á D. Manuel Fernandez Á^varez ; tenen­ cia á D. Juan Manuel Ogararte, y subtenencia á D Francisco de Paula Roldan. En el regimiento de infantería real de Lima, subte­ nencia de bandera á D. José Veiazquez. Ea el mencionado …</t>
  </si>
  <si>
    <t>Ogea, José González</t>
  </si>
  <si>
    <t>José González Ogea</t>
  </si>
  <si>
    <t>47$ mo cuerpo D. Fruí siseo González, y el c&amp;pitaa de cazadores de Monterey D. José González Ogea.—La pérdida de ios franceses pasa sin duda de 70 hombres, entre los que dexaron muertos un capitán, un o final subalterno y muchos so; da ios, coit 2 prisioneros. El cam« po quedó cubierto</t>
  </si>
  <si>
    <t>Oiari</t>
  </si>
  <si>
    <t>or los re­ gimientos 4 y 40 de infantería francesa y el 10 de húsares. Lleva cantidad de trigo y galleta y unos 800 prisioneros nuestros. En él va el coronel Oiari, sobrino de José , y un edecán de este de los de su mayor confianza. El regimiento40 se quedará en Valladolid, y se­ guirá otro extranjero á Francia , pues Napoleó…</t>
  </si>
  <si>
    <t>Oionell, Carlos</t>
  </si>
  <si>
    <t>Carlos Oionell</t>
  </si>
  <si>
    <t>at ponderó este yerro militar: dixo que tatn- ,,1’uei, hombres de ¡os demonios , y el Exento» »bien por su causa se habia perdido la artillería, «Sr. D. Carlos Oionell, ¿no reúne las quaiidades «pues contra e¡ dictamen dé los ingenieros y arti- «necesarias para regente? ¿no ha peleado como un «ileros se empeñó en llevarla por…</t>
  </si>
  <si>
    <t>Okulof</t>
  </si>
  <si>
    <t>uertos y prisioneros, la mayor parte pertenecientes á las tropas wirtemberguesas: se ignora la pérdida de los rusos, aunque se sabe que fue muerto el general Okulof. = Firmado = T. B. Martin. = A sir J. Saumarez.’* Del 5. Tengo la satisfacción de anunciaros que ha llegado un correo del general conde Wittgenstein, el qual part…</t>
  </si>
  <si>
    <t>Olalla, Matías</t>
  </si>
  <si>
    <t>Matías Olalla</t>
  </si>
  <si>
    <t>lona-, 8. D'. José Tórrell, S. El portero del colegio Carolino , 2. El mayordomo , 4, El refitole­ ro, 4. Lo* 2 guardias , 2. Estudiantes manteistas. D. Matías Olalla, 2. D. Juuut Mendibur, 2. D, Francisco Maniategui., 2. X&gt;. Manuel Jaras , 2 i X), Amo—</t>
  </si>
  <si>
    <t>Olárte, Julián</t>
  </si>
  <si>
    <t>Julián Olárte</t>
  </si>
  <si>
    <t>mpañía. bailare habilitada para su cobranza. Décimo batallan. D. Pedro González de Sepúlveda , subteniente» i teniente de la tercera compañía. AVISO. D. Julián Olárte, sargento primero» á subte­ En virtud de providencia del Sr. D. León de Saniente de la quarta compañía. gasta , caballero de la Orden Real de España , del con­ …</t>
  </si>
  <si>
    <t>Olavide</t>
  </si>
  <si>
    <t>ose. Descubre una picante sátira contra la in­ quisición en varios pasages del Quixote. Da alguna noticia del autillo cele­ brado en Madrid contra el intendente Olavide. Sobre el color verde, adop­ tado por la inquisición como insignia, recuerda que lo es también de los is­ lamitas que han hecho la peregrinación de la Meca, y…</t>
  </si>
  <si>
    <t>Oliva, Francisco</t>
  </si>
  <si>
    <t>Francisco Oliva</t>
  </si>
  <si>
    <t>de D. Ga­ briel Domínguez. A D. Juan Tebarnedo para el de Calvarrasa de En la extracción de la real lotería celebradi, arriba, vacante por muerte de D. Francisco Oliva. en la tarde del 27 del corriente hao salido sorteados A D. Melchor Puertas para el del Cubo de' los números siguientes í 17 ,47 &gt; 73 T ®7D. Sancho, vacante po…</t>
  </si>
  <si>
    <t>e sirva en encomienda una capellanía , vacan­ te en la villa de Morara, diócesis de Toledo, por Extracto de las minutas de la secretaría de muerte de D. Francisco Oliva. Estado. Al ex-mínimo de S. Francisco de Paula D. Va­ En nuestro palacio de Madrid á 24 de junio lentín Márcos , presbítero, para servir en enco­ de 18x2. mie…</t>
  </si>
  <si>
    <t>Olivares, Juan Manuel</t>
  </si>
  <si>
    <t>Juan Manuel Olivares</t>
  </si>
  <si>
    <t>nistrador 1). Antonio Izquierdo Martínez , 333 y 2 y medio. El contador D. Francisco María Pizarro y Cevallos , 208 y 2 y medio. El tesorero interino D. Juan Manuel Olivares, 166 y 5.— Vistas y alcayde. D. Rosendo Ximenez , 166 y 5. D. Ramón Sarrio , 125. Don José Darregueiva , alcayde interino , 125. — Oficiales primeros. D.…</t>
  </si>
  <si>
    <t>Olivas, Pablo</t>
  </si>
  <si>
    <t>Pablo Olivas</t>
  </si>
  <si>
    <t>. Agustin Cubero, de granaderos. rá una compañía. D. Francisco de Ribas, de tiradores. D. Joaqnin Peralez queda nombrado espiran; D. Leoncio Sánchez. D. Pablo Olivas teniente, y D. Juan Josef Gu­ D. Josef Buelga.*. ' tiérrez sobtenientel D. Pedro Espinosa. art. vii. -En la villa de Pedroche se formará D. Juan Antonio Gutiérre…</t>
  </si>
  <si>
    <t>Olivera, Hilario</t>
  </si>
  <si>
    <t>Hilario Olivera</t>
  </si>
  <si>
    <t>o Torres, 12. D. Antonio Ro­ mero, 4. D. Francisco García, 6. D. Santiago Valencia, 4. D. Casimiro Palma, 2. D. Antonio Ramírez, 2. D. José Mexia, 2. D. Hilario Olivera, 10. D. Ma­ nuel de Torres, 10. D. Carlos Villa-Chica, 8. D. José Sánchez, 6. D. José Alegre, 10. D. Mariano Lucar, 6. D. Toribio Echeverría, 6. D. Lino Figue…</t>
  </si>
  <si>
    <t>Olllney</t>
  </si>
  <si>
    <t>y cajú sobre el parapeto, después de dar un distinguido exemplo á sus soldados. (Recomienda en seguida el general Hill a1 teniente coronel Reocke, al teniente coronel Olllney , al capitán T Jto; n , ai mayer Hill, y á su estado mayor.) ,,Ei marques de Alameda , vocal de la juñta de Extremadura me hace el honor de acompañarme …</t>
  </si>
  <si>
    <t>Olmeda, Pedro</t>
  </si>
  <si>
    <t>Pedro Olmeda</t>
  </si>
  <si>
    <t>. Juan Serra. 26 estadales, á 700 rs. cada fanega. Otra en dicho si­ D. Gabriel Diaz Palacios. tio de Garcicuchilla, que está por medio de otra de la D. Pedro Olmeda. antecedente, y también la cruza dicho camino de Ca­ rabanchel, y ai norte linda con la citada Gavia del Tenientes. puente cegado, de caber dos fanegas, seis cel…</t>
  </si>
  <si>
    <t>Olmedo, Cristóbal</t>
  </si>
  <si>
    <t>Cristóbal Olmedo</t>
  </si>
  <si>
    <t>tados seculares j .q D. Juan. Antonio de Sujse. D. Luis Gi¡ N,r.apjo.. Secretario interino D. Pedro Acevedo»; ,■=&gt; , '■■malí .&lt;£ D. Juan Manuel Ains. D. Cristóbal Olmedo. S?tííeiarie J-* I/IAb».-» D. Julián Alvarez de ia,Torre¿'¡ &lt; « QUARTEL DE SAN FRANCISCO. . k BARRIO DE LAS VISTILLAS- .■ r&gt; V ojíícfi».' í ,&lt;s Alcalde de ba…</t>
  </si>
  <si>
    <t>Olmedo, Elias</t>
  </si>
  <si>
    <t>Elias Olmedo</t>
  </si>
  <si>
    <t>.... ........................... 2200 D. Juan Carmona, subdiácono , id............ 22.a D. Joaquín Padilla, id.................................. 2200 D. Elias Olmedo, id.................................... 3200 Ex-agustinoi. D. Fraucisco Ruíz Pízarro, id................... . 2200 D. Pedro Díaz, residente en Córdoba...... 2200…</t>
  </si>
  <si>
    <t>Omdoranchey, Pedro</t>
  </si>
  <si>
    <t>Pedro Omdoranchey</t>
  </si>
  <si>
    <t>er­ nandez , 2. D. Juan Loaisa, 2. D. Camilo Mariatégui., 2. D. Pablo Manco 2. D. Juan Batalla, 2. D. Tomas Portocarrero , 2. D. Francisco Zandagoza, D. Pedro Omdoranchey &gt; 2. D. Vicente Navarte , 2. D. Manuel Vengocne.a , 2. D. José Marlategui, 2. D. 'Francisco Roxas, 2. D. Gerónimo Larriva, 2. D. Manuel Zarate, 1. D. Pedro …</t>
  </si>
  <si>
    <t>Ondrayta, Miguel</t>
  </si>
  <si>
    <t>Miguel Ondrayta</t>
  </si>
  <si>
    <t>1162</t>
  </si>
  <si>
    <t>en­ cia se determinó que el coronel comandante de caballería D. Geró­ nimo Saorail con 350 caballos de que se componía su fuerza, el sar­ gento mayor D. Miguel Ondrayta con la de 700 hombres del regi­ miento que mandaba accidentalmente , y yo con el batallón de mi mando pasásemos reunidos á cortar el camino real entre Cenicer…</t>
  </si>
  <si>
    <t>Oñes, Josfjf</t>
  </si>
  <si>
    <t>Josfjf Oñes</t>
  </si>
  <si>
    <t>quartü po, con fecha de 17 del corriente, da parte ai sé- compañía, éñ'la vacante de'DVRamón Viejo. fior gobernador de la provincia de lo siguiente: D. Josfjf Oñes ’á'aBaudtfra'do, en reemplazo dé Una parte de los insurgentes, al mando de Ba­ D. .Josef Moraíes. llesteros , se atrevió á acercarse á Ardales, con in­ Naestró min…</t>
  </si>
  <si>
    <t>Onofre, Manuel</t>
  </si>
  <si>
    <t>Manuel Onofre</t>
  </si>
  <si>
    <t>la asamblea, D. Ramón García Muñoz. y que se le suplique permita que se imprima. Diputado eclesiástico 16. ,,Se ha^resuelto unánimemente qub.s'ií den D. Manuel Onofre. tambíca gracias al; gran bailío- por la imparcialidad Diputados seculares y prudencia con que ha desempeñado Jas' funcio­ D. 'Pedro Monfoit y Viergol. nes de p…</t>
  </si>
  <si>
    <t>Ontiveros, Francisco</t>
  </si>
  <si>
    <t>Francisco Ontiveros</t>
  </si>
  <si>
    <t>de este vínculo, y ai medio­ Subtenientes. día con otra del conde de Miranda, al poniente con el camino de Jos Angeles, y es la que llaman de la Cruz D. Francisco Ontiveros. del diablo; su caber tres fanegas y tres celemines, y D. Cristóbal de León. •u valor á 660 reales fanega. Otra en la vereda del Es­ aht. iv. En el segund…</t>
  </si>
  <si>
    <t>Ontiveros, Juan</t>
  </si>
  <si>
    <t>Juan Ontiveros</t>
  </si>
  <si>
    <t>an­ Capitanes. da; su caber cinco fanegas, seis celemines y 12 esta­ D. Fernando Calvo de León. dales, y su valor á 800 reales fanega. Otra en Val de D. Juan Ontiveros. Gutiérrez, que al norte linda con el camino de Madrid, saliendo por el cerro de los Caños, y al mediodía y Tenientes. poniente con tierras de D. Josef Zamoran…</t>
  </si>
  <si>
    <t>Oortabarría, Juaoi Antonio</t>
  </si>
  <si>
    <t>Juaoi Antonio Oortabarría</t>
  </si>
  <si>
    <t>y Vilarde. Dentados seculares, L ; Secretario D. Juan Amonio Villa. c '■ R. Domingo del Valle y Cano.-' D. Josef Ti ridw. BARRI® DE LA PANADERIA;’ ■ D. Juaoi Antonio Oortabarría. ; r&gt;t • - ■ f&gt; • &lt; : ; i ¿t'i Secretario Alcalde de barrio D. Jorge María de Ancos. i ■ D. Tomas Roxo. &gt;. Diputado eclesiástico BARRIO DE LA PUERTA …</t>
  </si>
  <si>
    <t>Oporto, Luquít</t>
  </si>
  <si>
    <t>Luquít Oporto</t>
  </si>
  <si>
    <t>372 general comandante de fdt gendarmería del ex¿relio de T^soana., y en cagado dt la alta poli'ta del cuarto gobierno, barón Luquít” Oporto m de marzo. Ayer á las 5 de la tarde llegó á esta eludid el Excrno. Sr. ge­ neral Castaños, y fue recibido con los mayores obsequios. Las ca­ lles re su tránsito estaban adornadas con ba…</t>
  </si>
  <si>
    <t>Opper</t>
  </si>
  <si>
    <t>e se hace en lo genieros el teniente general WerdereW'ki: 3.0 en interior del reino con las antiguas mercancías co­ el mismo departamento el teniente general Opper- loniales, ó con las que provengan de Francia, 6 mann: 4.0 en el del comisariato el teniente ge­ de otros estados que observan et sistema continen­ neral TatischeW…</t>
  </si>
  <si>
    <t>Orá, Marcelino</t>
  </si>
  <si>
    <t>Marcelino Orá</t>
  </si>
  <si>
    <t>n­ sa, el subteniente abanderado del segundo batallón D. Bernardo Zabala, y D. Fermín Azcárate, subteniente de la cuarta del cuaTto : de los segundos D. Marcelino Orá, capitán de la tercera del segundo, D. Juan Monton , subteniente de la cuarta del mismo, D. Joaquín Eabayen y D. Ramón Diez de liarraza, subtenientes del tercer…</t>
  </si>
  <si>
    <t>Oración, Vicente</t>
  </si>
  <si>
    <t>Vicente Oración</t>
  </si>
  <si>
    <t>Admi­ nistración de Correos de esta capital. D. Felipe de la ilosa , administrador principal , 300. D. Gabriel García Plaza, contador saq-enso , 83. D. Vicente Oración, oficial mayor interventor, 125. D. Apolinar Pócima, id. segundo, 100. (Se continuarán*) «a 1—r rm r—~■ ■ -f——ro CADIZ ; ÉN LA IMPRENTA REAL.</t>
  </si>
  <si>
    <t>Oramas, Francisco</t>
  </si>
  <si>
    <t>Francisco Oramas</t>
  </si>
  <si>
    <t>rero , 10. D. Pedro Díaz, 25 D. Juan Bautista Sán­ chez, 6. Juan Al varado, 8. D. Vicente Sánchez, 6 D. Manuel Crespo , 6. El ilustre cabildo, 12J00. D. Francisco Oramas, 16 D José Moran por resto de los pulperos, 122. Doña Francisca Cortazar, 62 y 4 D Francisco Pareja, 30. D.-Pablo Mendiola, 60. D. Francisco Easaga, 8. D, Fr…</t>
  </si>
  <si>
    <t>Orbea, Carlos</t>
  </si>
  <si>
    <t>Carlos Orbea</t>
  </si>
  <si>
    <t>fés, oficiales y soldados del regimiento de in­ fantería de esta capital, una mesada líquida del sueldo de cada uno, que importa, 40.32o y 3 y medio. D. Carlos Orbea, cura de Apata, 25. Admi­ nistración de Correos de esta capital. D. Felipe de la ilosa , administrador principal , 300. D. Gabriel García Plaza, contador saq-ens…</t>
  </si>
  <si>
    <t>Ordaz, Martín</t>
  </si>
  <si>
    <t>Martín Ordaz</t>
  </si>
  <si>
    <t>párrocos lian Penado su deber en los discursos que con este motivo han he­ cho á sus feligreses, celebrándose muy particularmente lo» de los doctores D. Martín Ordaz, rector de S. Fclix de Solovio y Santa María S.^lom6 , D. Andrés Maquieyra de Sia. María de Sar, D. Die­ go Mosqiuxi de S. Fructuoso, y D. Luis Rivat y D. Doming…</t>
  </si>
  <si>
    <t>Orden</t>
  </si>
  <si>
    <t>e que utilice las materias indígenas. ÍXERCITO DE CATALUÑA. Se enviarán las memorias antes del i.® de ma­ yo , y el premio se adjudicará en la sesión general Orden del general gobernador de la provincia ^tequies de julio del mismo año. (Se continuara.) de Tari osa. ESPAÑA. „Me apresuro á anunciar á las ffopas de mi mando que …</t>
  </si>
  <si>
    <t>Ordencz, Vicente Diez</t>
  </si>
  <si>
    <t>Vicente Diez Ordencz</t>
  </si>
  <si>
    <t>el del campo de Gibraltar. D. Ignacio Alonso CueviÜas, comándente de la partida de su nombre; en 5 de Mayo, la comandancia del resguardo de Burgos1. D. Vicente Diez Ordencz, sargento primero distinguido de mari­ na: en 7 ,.que se le coloque en una pkza de cabo ú oíia de este res­ guardo de igual consideración. Antonio Moreno,…</t>
  </si>
  <si>
    <t>Ordoñez, Fernando</t>
  </si>
  <si>
    <t>Fernando Ordoñez</t>
  </si>
  <si>
    <t>es p.g.ráu una multa de el mismo cuerpo ; ;&lt;I teniente del regí nte.ito de in­ tO francos, para lo qual se le» embargará la em­ fatúen.! íixidc Ceuta D. Fernando Ordoñez te­ barcación. niente da t¡¡ía• it.■«¡ 1 de li.t.n ; al ot&gt;o.ei.ie«íte 9. “ Nirgun barco de .transporte podrá llevar á fue de caballería D. Mauuel Galan subt…</t>
  </si>
  <si>
    <t>Ordoñez, Josef-de la Vega</t>
  </si>
  <si>
    <t>Josef-de la Vega Ordoñez</t>
  </si>
  <si>
    <t>392 D. Josef-de la Vega Ordoñez......... 2776 3 medio.de so apoderado D. Joan D. Manuel 3slsue.............. . ............ 474 3* Francisco Fernandez Hato......... . 10971 21 El teniente general D. Carlos de Doña María d</t>
  </si>
  <si>
    <t>Ordoñez, Manuel</t>
  </si>
  <si>
    <t>Manuel Ordoñez</t>
  </si>
  <si>
    <t>o y Antequera en el presente año.’ U* Bonifacio Rodríguez de la Guerra.’ Municipalidad dé Málaga; Alcalde ordinario. D. Juan de S, Pedro; Corregidor; D. Manuel Ordoñez.' Procurador general alférez mayor i D. Amonio Gordei. - Regidoresá D. Marine! Re«?g?I. .Regidores, D. Josef de Eduberri/ D. Pedro Daripe. ’ D. Nicolás Muñoz. …</t>
  </si>
  <si>
    <t>Orioñez, Miguel</t>
  </si>
  <si>
    <t>Miguel Orioñez</t>
  </si>
  <si>
    <t>co Martínez, D. J osé de Vegas, D. Antonio de Vegas, D. Mariano Lktadi y Don Marcee Morejon ; y á subtenientes de bandera á D. Buenaventura Dubreuil, D. Miguel Orioñez, D. Eusebío RoduTfo Reggio, Don ARtonio Infante, D. Juan Vuiaverde y D José Jguacio Cruzat En el de infantería déla Habana, á capitán de granaderos á D. Pedro …</t>
  </si>
  <si>
    <t>Orive, Andrés</t>
  </si>
  <si>
    <t>Andrés Orive</t>
  </si>
  <si>
    <t>. D. Juan Bustamante , 10. D. Agustín Fernandez, 10. D. Francisco Ilervoso , 6. D. Simón Hurtado, 6. D. Narciso Aponte , 6. D. Juan José Herdoyza, 4. D. Andrés Orive , 4. D. J*sé Alien , 4. D. Juan Laisequilla , 4. D. Pedro Delgado Alférez., 6. D. Florencio López , 2. D. Antonio López , 2 y 2. D. Manuel de Villar, 1Q0O. D. An…</t>
  </si>
  <si>
    <t>Ormancey</t>
  </si>
  <si>
    <t>a primer noticia que partida que atacó u retaguardia del enemigo. El tuvo de ello se dirigieron Its tropas de socorro so­ capitán Michaun, edecán dei general Ormancey, bre el punto atacado: el acercarse á Alhaurin, y el aprisionó é mismo ai secretario del general B .[es­ ataque que dieron los valerosos del 2i.° de drago­ tero…</t>
  </si>
  <si>
    <t>Ornano</t>
  </si>
  <si>
    <t>a sazot\ subteniente del io.° de cazad.orcs de á caballo, quq me Hallaba. Cambiar el frente por la derecha, cerrar se halló en el ataque que mandó el general Ornano, con éí, arrollarlej y derrocarle casi enteramente , ![ud y. fue uno de los primeros que llegaron á la batería, obra de un momento. JÍ1 segundo movimiento, qué y …</t>
  </si>
  <si>
    <t>tenia fuerza de infan­ Al capitán Ferrari, del 8.° de húsares, le llevó tería y artillería, y espesos bosques cubrían su fren­ la pierna una bala. El general Ornano, dé quien te y dáñeos. Se tiraron algunos cañonazos, y los hablé á V, M. en el parte del 2 5 , merece particu­ dos batallones fueron á contener la infantería, que…</t>
  </si>
  <si>
    <t>angre y nues- de á caballo. La división Delzon , so'tenida por la « tros bienes. Acordaos que hacéis este juramentó división de caballería ligera del general Ornano, « á presencia del Todopoderoso, que ve lo inas es- formaba la ala izquierda. Entrada la noche, el ge­ « condido de los corazones, y baxo los auspicios del neral …</t>
  </si>
  <si>
    <t>Orne, Domingo</t>
  </si>
  <si>
    <t>Domingo Orne</t>
  </si>
  <si>
    <t>s y á D. Gaspar Rico; de cazadores, á D. Ramón Veadreü , y de fe sileros á D. Juan Bautista Oyarzabal, marques de Montealegre, D. Manuel Uficaagoena, D. Domingo Orne, D. Fiancisca Xavier de ízcue, marques de Corpa, D. José Ramón Idiaqaez , conde de Torreblanca , D. J uan de Pertica, Don Jo3é Cabero y Salazar, D, Faustino del …</t>
  </si>
  <si>
    <t>Oronoz, Mateo</t>
  </si>
  <si>
    <t>Mateo Oronoz</t>
  </si>
  <si>
    <t>tareas mas penosas; D. Manuel Ferran que asdtió á mi lado en hs operaciones navales*, en que hizo particulares servicios; íes coman­ dantes ¿e buque D. Mateo Oronoz, D. Antonio U¿.arrechena. D Pe­ dro Echcmque, D. José Iguació Stitmarregui y D. Vicente G reía; el alférez de fragata D. José Mesa, mí ayudante, y los cadete* í'í…</t>
  </si>
  <si>
    <t>arina, D. Francisco de Sales Echever­ ría ; del alférez de fragata D. José de Mesa y Figueroa, y de !o3 ca­ pitanes y pilotos de baques particulares, D. Mateo Oronoz, D. An­ tonio Ugarrechena, D. José Ignacio Susuarregui, D. Pedro Echenique y D. Vicente García, concurriendo con solas 16 embarca­ ciones , entre goletas y lanch…</t>
  </si>
  <si>
    <t>Orouct</t>
  </si>
  <si>
    <t>uciones se llevó el puente de barcas el dia 22. Sin embargo los trabajos no padecieron interrupción. ,, Desde que dirigí á V. E. mi oficio del £0, el general Orouct ha tenido sus tropas en línea desde Mcdéllin sobre el Guadiana hasta .Zalamea de la Serena, aparentemente con el designio de mantener abierta la comunicación entr…</t>
  </si>
  <si>
    <t>Oroviogoitia, Gabriel</t>
  </si>
  <si>
    <t>Gabriel Oroviogoitia</t>
  </si>
  <si>
    <t>, 1. D. Tomas Castro , l. D. Juan Antonio Cainacho , 1. D. Luis Alfonso , capellán de Sta. Rosa , 2. D. Bernabé de Tamarjcia, 25. D. Manuel Concha,!. D. Gabriel Oroviogoitia, 6. D. Manuel de la Daga , 10. D. Francisco Moreno , 1. — D. Francisco Moretra y Matute , fiel de moneda , 1000. El monasterio del Prado , 20. — Batallón…</t>
  </si>
  <si>
    <t>Orozco, Manuel</t>
  </si>
  <si>
    <t>Manuel Orozco</t>
  </si>
  <si>
    <t>sis de Jaén , vacante por fa­ rante so ausencia ei coronel Mapent hace fas veces llecimiento de D. Aligue, de Agu..yo. de gobernador. {The Observer.) D. Manuel Orozco , pre .bíiero y ex- mercenario descalzo, el beneficio de ia. igic.su de Santo Do­ REINO DE ÑAPOLES. minga de Sííos de la dicha ciudad de Ubeti.- , va­ cante por…</t>
  </si>
  <si>
    <t>Orsoiino, JJrancisco</t>
  </si>
  <si>
    <t>JJrancisco Orsoiino</t>
  </si>
  <si>
    <t>o; ha­ Diputadas seculares bía nadie,y repentinamente se detuvo eT) forma de D. Angel María Tadei. mnrallayá distancia de un tiro de fusil dé ñn pue­ D. JJrancisco Orsoiino. blo. D. Francisco Tormos. ESPAÑA. ■ r&gt; Secretario D. Melchor G^.nez de la Tórre¿ Madrid. . tg de abril. BARRIO DÉ SAN NICOLAS. Alcalde de barrio Extracto…</t>
  </si>
  <si>
    <t>Ortega, Don Zacarías</t>
  </si>
  <si>
    <t>Don Zacarías Ortega</t>
  </si>
  <si>
    <t>serva el segun­ do de Soria, baxo las órdenes de su coronel D. Joaquín Gómez de la Serna. Las compañías de caballería reunida de Aragón, al mando dei capitán Don Zacarías Ortega, las coloqué en un pequeño valle algo distante de nuestra izquierda, para que saliesen al enemigo por retaguardia luego que se empezase la acción. „ …</t>
  </si>
  <si>
    <t>Ortega, Francisco</t>
  </si>
  <si>
    <t>Francisco Ortega</t>
  </si>
  <si>
    <t>a Bosa , IODO. El convento de la Merced, 2000.— Comisaría de Guerra y Marina. D. Francisco Miangolarra, minis­ tro interino , 200. El oficial segundo D. Francisco Ortega, contador de la corbeta Peruano , 160. El tercero D. José María Bastarre.chea , 200. El cuar­ to D. Antonio Allegue del Villar, 14Ó. D. José Santiago Campino…</t>
  </si>
  <si>
    <t>Ortega, Josef</t>
  </si>
  <si>
    <t>Josef Ortega</t>
  </si>
  <si>
    <t>en la niente de la octava compañía. ciudad de Mauchester y en sus contornos muchos Sexto batallón. carteles, en los quaies ambos partidos exhortaban D. Josef Ortega, sargento primero, á subte­ á sus apasionados á prepararse para la lucha pró­ niente de la primera compañía. xima. Hemos recibido copias de dichos carteles; Sépti…</t>
  </si>
  <si>
    <t>Ortega, Juan</t>
  </si>
  <si>
    <t>Juan Ortega</t>
  </si>
  <si>
    <t>tros de destruirle. te agregado D. Francisco Serrano á teniente de la ,, Es necesario hacer inmensos preparativos pa­ quinta compañía en la vacmte de D. Juan Ortega; ra construir navios de línea ; tenemos abundancia al subteniente agregado D. Josef M..rí.t Saavedra á de materiales; no nos faltan marineros ni dinero, subtenien…</t>
  </si>
  <si>
    <t>Ortega, Ramón</t>
  </si>
  <si>
    <t>Ramón Ortega</t>
  </si>
  <si>
    <t>rimen y la itfi en­ cía. — Dios guarde á Y. E. muchos años. Belviestre del Pinar y ju­ nio 7 de 1812. — JDr. D. Fermín Fernandez de la Cuesta. — Lie. D. Ramón Ortega. — Dr. JD. Domingo Salinas. — Excmo. Sr. vice­ presidente y vocales de la junta superior de Burgos y Segovia.” Extracto de la certificación. —,,Antonio Gomes Gil…</t>
  </si>
  <si>
    <t>Ortias, Francisco</t>
  </si>
  <si>
    <t>Francisco Ortias</t>
  </si>
  <si>
    <t>uerpo , 1023. El pro­ curador D. Manuel de Aguirre,(i. D. José Correa, 30, D. Nicolás Angulo, 25. D. Juan Madriñan, 30. D. Manuel Ignacio Aguirre, 10 D. Francisco Ortias , 20. D. Miguel Guerrero , 10. D. Pedro Díaz, 25 D. Juan Bautista Sán­ chez, 6. Juan Al varado, 8. D. Vicente Sánchez, 6 D. Manuel Crespo , 6. El ilustre cab…</t>
  </si>
  <si>
    <t>Ortiz</t>
  </si>
  <si>
    <t>lcance por el Veladero, quienes mataron mas de 70 in­ surgentes, entre ellos al coronel Navnrrete , haciendo prisioneros al de igual cla-e Marín y al teniente coronel Ortiz,y recogiendo va­ rias armas. Recomienda á sus dragones y al teniente Moran. En esta interesante acción solo tuvieron de pérdida las tropas nacionales 7 so…</t>
  </si>
  <si>
    <t>Ortiz, Antonio</t>
  </si>
  <si>
    <t>Antonio Ortiz</t>
  </si>
  <si>
    <t>........ 2200 Buei...................... 2200 D. Miguel de Flores, idí.I......................... 2200 D. Basilio Manso, diácono, id. en Espiel. 2200 D. Antonio Ortiz, id................... ................ 2200 Dt Francisco Gregorio de Osuna, lego, id. D. Luí- Bastillo, residente en Ecija.......... 2200 en Córdoba...........…</t>
  </si>
  <si>
    <t>Ortiz, Cários</t>
  </si>
  <si>
    <t>Cários Ortiz</t>
  </si>
  <si>
    <t>ntador D. Pedro Fernando Truxillo , 416. El oficial primero Don. Félix Saenz de Tejada, 200. El segundo D. Francisco Torres Esquivel, 125. El tercero D. Cários Ortiz , 100. El cuarto D. Mariano Almiron , 100. El quinto D Juan Ensebio Punentel, 83. El sexto D. Miguel de Jaras, 83. El séptimo D. Matías Gallardo , 83. El octavo …</t>
  </si>
  <si>
    <t>Ortiz, Clemente</t>
  </si>
  <si>
    <t>Clemente Ortiz</t>
  </si>
  <si>
    <t>Continúan los donativos del Perú D. Clemente Ortiz, S ps. fs. D. Mariano Arias , 8. D. Antonio Cos, 10. Y D. Antonio González , 25. — Intendencia de Tarma. El gobernador é inten­ dente I). llamón de Urrotia y las Casas , ofrece dar en Españ</t>
  </si>
  <si>
    <t>Ortíz, D Roberto</t>
  </si>
  <si>
    <t>D Roberto Ortíz</t>
  </si>
  <si>
    <t>, tocó la suerte de prenderle al granadero de la Corona Miguel Sardineta y al dragón de España José Uribc* Recomienda á los oficiales siguientes : al capitán D&gt; Roberto Ortíz, al teniente D. Manuel Enriqucz y al alférez D. Antonio Posada , deí batallón de Frontera ; á los tenientes D. Ramón Ponce de León y</t>
  </si>
  <si>
    <t>Ortiz, Eustaquio</t>
  </si>
  <si>
    <t>Eustaquio Ortiz</t>
  </si>
  <si>
    <t>ez Calvez , 66 y 5. D. Santiago Sánchez , 66 y 5. D. Fran­ cisco Iriondo , 66 y 5. D. Bartolomé Grillo , 66 y 5. D. José Julián de Sologuren, 66 y 5. D. Eustaquio Ortiz, 66 y 5. D. Juan Sanz, 66 y 5. Don José Iramain , 66 y 5. — Id. terceros. D. José Gervasio del Campo , 50. D. Manuel de Zumaeta, 50. D. Ignacio Odum; 50. D. T…</t>
  </si>
  <si>
    <t>Ortiz, Francisco</t>
  </si>
  <si>
    <t>Francisco Ortiz</t>
  </si>
  <si>
    <t>zón , 25. D. Miguel Terrario va y Aviles , 12. D Vi­ cente Aviles , 20. í&gt;. Manuel Andrade , 25. D, Antonio Gonza'ez , 100. Don Isidro Domínguez, 20. D. Francisco Ortiz , 20. D. Domingo González, 20. D. Manuel Rodríguez Quesada, 4. D. Manuel Ramos , 25. D. Vicente de la Mata, 10. D. Jacinto de la Mata, 10 D Francisco Paredes,…</t>
  </si>
  <si>
    <t>Ortiz, José Joaquín</t>
  </si>
  <si>
    <t>José Joaquín Ortiz</t>
  </si>
  <si>
    <t>dente y de uno de sus secretarios ; salieron electos para presidente el Sr. D. An­ tonio Payan, diputado por la Coruña; para vice-presidente el señor D. José Joaquín Ortiz, diputado por Panamá ; y para secretario el Sr. D. José Zorraquin, diputado por Madrid. El Consejo de Regencia se ha servido expedir el decrete que sigue: …</t>
  </si>
  <si>
    <t>Ortiz, Josef</t>
  </si>
  <si>
    <t>Josef Ortiz</t>
  </si>
  <si>
    <t>rancisco Manuel de Medina, id.......... 2200 D. Francisco de la Torre, id.......................... 2200 D. Bartolomé de León y la Hada, id......2aoó D. Josef Ortiz , id....................................... . 2200 D. Nicolás Tinaones, id.................................. 2200 D. Francisco Gómez, residente en HinoJosa. 220® …</t>
  </si>
  <si>
    <t>Ortiz, Vicente</t>
  </si>
  <si>
    <t>Vicente Ortiz</t>
  </si>
  <si>
    <t>na, Don José López Montoya , D. Juan Ramón Llórente, O J uan Muril!o, O. Francisco Benito, D. Francisco Alameda, D. Pedro Panla­ gua, D. Luis Muñoz?, D. Vicente Ortiz, D. Manuel Benito, D. Pe­ dro Latorre, D. Melchor Buba, D. Francisco Alvarez , D. Luis Angel García, O. Pedio Toruno, D Antonio Rosado, D. Ildefon­ so Sierra, D…</t>
  </si>
  <si>
    <t>Orue, María Dolores</t>
  </si>
  <si>
    <t>María Dolores Orue</t>
  </si>
  <si>
    <t>El teniente coronel D. Lucas AIvarez por sí y su hijo el cadete D. Lucas José , por uno , 9. El comisario ordenador D. Francisco de Isla por uno , 9. Doña María Dolores Orue por uno , 9. D. Ignacio González Cadrana por uno , 9, Doña Blanca Resentí por uno, 9. D. Braulio D ego de Vivanco , oficial roal honorario, por uno , 9. …</t>
  </si>
  <si>
    <t>OS, Ramón de LlorjDe P</t>
  </si>
  <si>
    <t>Ramón de LlorjDe P OS</t>
  </si>
  <si>
    <t>llo Gutiérrez. 226296 i.°de enero de 1806.... De 150 pesos. A D. Vicente Barbe-: : ría. 28266, I f 22198/ 32925( De 1de setiemb. de 1806. ■‘ 1 __ J A D. Ramón de LlorjDe 300 P“OS.&lt; deIlaéhij0. o t no/i j 31904 431801 De í.° de mayo de 807 464131 p)e 1.»0 de1 , J . 1 j ■ o- - _ t ,A h, Francisco Fersetiemb. de 1805.1 ( nandez …</t>
  </si>
  <si>
    <t>Osbek</t>
  </si>
  <si>
    <t>GAZETA DE MADRID DEL MARTES 7 DE ENERO DE iSia. m RUSIA. El doctor Osbek acaba de publicar su nuevo método de curar el mal sifilítico. Petersburgo 12 de noviembre. PRUSIA. La gazeta de ¡a corte continúa publicando va­ rios parres de oficio sobre los últimos acaecimien­ Berlín ,?.j de noviembre. tos de Turquía. Algunos son</t>
  </si>
  <si>
    <t>Oseñalde, Rafael</t>
  </si>
  <si>
    <t>Rafael Oseñalde</t>
  </si>
  <si>
    <t>D. Juan Josef Barrios, cura de Sta. María. D. Rafael Oseñalde, id. de S. Andrés. D. Rafael Hernández, id. de S. Sebastian. Seculares. D. Ignacio Abadía. 35. Antonio Garniz. D. Diego Palacio. D. Marcelo S. Román. [■ D. Paulino Sofia. D. Narciso Gonzalo</t>
  </si>
  <si>
    <t>Osíernaan</t>
  </si>
  <si>
    <t>viar entonces la caballería á perseguirlos. .,En seguida me dirigí hacía la división del general Doctorow, que según me había presumido estaba con el conde Osíernaan , y le mandé que se apoderase- de- otro collado para inquietar al enemi­ go cruzando los fuegos. Atacando en este momento el conde O-Denizeíf la izquierda del en…</t>
  </si>
  <si>
    <t>Osterman</t>
  </si>
  <si>
    <t>to ruso fue atacado, y los franceses sufrieron la pérdida de 6® hombres. „En los dias 30 y 31 el cuerpo de Oudinot atacó á los rusos, mandados por el general Osterman, quien le rechazó, matándole muchos hombres, cogiéndole 3® prisioneros, dos cañones y gran cantidad de bagages: la pér­ dida de los franceses se calcula en 5® h…</t>
  </si>
  <si>
    <t>encentre) al exército grande del enemigo, y que después de lina acción muy viva, que duró desde las seis de la mañana hasta las once de la noche, el conde Osterman sostuvo su posición. El general de infantería príncipe Bagration escribe con la misma fecha del segundo exército, que dirigiendo sus movimientos según el plan prem…</t>
  </si>
  <si>
    <t>Ostérmañ</t>
  </si>
  <si>
    <t>los nombre? de lo.s valientes que mas Piré executó con tanta pericia como valentía. Entre se han distinguido. Permqqiqe Y7. M. que le pids; tanto el general Ostérmañ , que aquella manada .ha­ el premio debido á su mérito. N[o puedo meno? dq bía salido de Witepsk con todo su cuerpo, tomaba recomendar particularmente ql general…</t>
  </si>
  <si>
    <t>Ostermau</t>
  </si>
  <si>
    <t>, por cuya muerte recayd el mando del des­ tacamento en el teniente general Altusioff. „A1 mismo tiempo salió de los bosques con tres regimientos el general Ostermau,. quien tenia órden de tomar otra colina , apo­ yado perla artillería gruesa, mandada por el general Tolstoy, cu­ yo fuego causó ei mejor efecto. Pero apenas hab…</t>
  </si>
  <si>
    <t>Ostolaza, José</t>
  </si>
  <si>
    <t>José Ostolaza</t>
  </si>
  <si>
    <t>s que dure la guerra, y ha entregado 200. D. Juan de Dios Ola■ciiea , vice-rector , 25. D. Leocadio Santallana , id., 25. D. José Freyre , id. 0 -25. D. José Ostolaza, regente y vice-rector honorario , 25. D. Francisco Pas­ tor , capellán y maestro , 12. D. Pedro Amezaga, id., 12. D. José Beltran, id., 6. D. Redro Rolando., i…</t>
  </si>
  <si>
    <t>Osv</t>
  </si>
  <si>
    <t>o alto allí el 25, y el enemigo atacó nuestra izquierda en Villa*Muriel; pero fué rechazado por la quinta división de infante­ ría al mando del mayor general Osv» ald , en ausencia del teniente ge­ neral Leith que se hallaba enfermo. ,,Mandé al tercer batallón de los .Reales que marchasen para Palencia á proteger la destrucci…</t>
  </si>
  <si>
    <t>Oswald</t>
  </si>
  <si>
    <t>armente por el territo­ rio ruso; serán enviados al Báltico , y de allí saldrán para todas las costas. El teniente general sir Edward Paget, el mayor general Oswald y el brigadier general Robinson están próximos á salir para la península; el pri­ mero mandará en clase de segundo general á las órdenes del marques de Wellington…</t>
  </si>
  <si>
    <t>1201 lies del mayor general Oswald, y este ataque, en el cual tuvieron parte las tropas españolas , obligó al enemigo á repasar el rio , y sufrir una pérdida considerable. ,,Eí terrible fuego que durante todo aquel dia sufri</t>
  </si>
  <si>
    <t>Otaroza, Manuel</t>
  </si>
  <si>
    <t>Manuel Otaroza</t>
  </si>
  <si>
    <t>rcio Roklarv, 41 y 5. D. Ma­ tías Alvarez , 41 y 5. —Escribanos. D. Amonio Somoza, 53 y 2 y medio. D. Antonio Martínez ,41 y 5. — Merinos y porteros. D. Manuel Otaroza, 45 v 6 y medio. D. Francisco de Paula Figueroa , 45 y 6 y medio. D. Antonio Perez , 45 y 6 y medio. D. Miguel Salabarria , 41 y 5. D. Boni­ facio López Ruiz ,…</t>
  </si>
  <si>
    <t>Otero, Juan</t>
  </si>
  <si>
    <t>Juan Otero</t>
  </si>
  <si>
    <t>2 rs. y medio. D. Fausti­ no Hurtado , 4. D. Juan Moscos , teniente del resguardo , 7. I). Juan Espino­ sa , guarda, tí. D. Faustino Duran , id., tí. D. Juan Otero , amanuense , 4. D. José María Arricia por el importe de 5 vestuarios de tropa de caballería, 14-5. Comerciantes de Piltra. D. Joaquín de Elguedo , juez diputado d…</t>
  </si>
  <si>
    <t>Oteyza, Francisco</t>
  </si>
  <si>
    <t>Francisco Oteyza</t>
  </si>
  <si>
    <t>regimiento de Badajoz, D. José Cruz Mulle?, alférez de navio de !a armada naciera t, D. José O riega, teniente dél regimiento de infantería del Rey, D. Francisco Oteyza, capitán de dragones deNumancia, D. Miguel Apciinario Fesnandez, capitán del regimiento de Cargas de Tineo, D. Miguel Valiejo, espitan del se­ gundo de Soria,…</t>
  </si>
  <si>
    <t>Oudinot</t>
  </si>
  <si>
    <t>19 (31) de julio. — Ayer y hay el teniente general eende WitlgecBtem batió en las cercanías de Dwor Juhibowa, entre Polct&amp;h y Sebetch, el cuerpo del mariscal Oudinot, persiguiéndolo te­ nazmente con la vanguardia y reserva. A estas horas les rusos se han apoderado ya de uua gran parte de los bagages del exército francés. Ai d…</t>
  </si>
  <si>
    <t>s" fueron entera­ mente derrotados, y su comandante el brigadier St. Genier fue hecho pri­ sionero con 2oo soldados. El i.° de este mes el cuerpo del general Oudinot se presentó delante de Duriaberg, y empezó el ataque del puente á las quatro de la mañana; pero fue rechazado por la guarnición. Según los partes del mayor gener…</t>
  </si>
  <si>
    <t>egado un correo del general conde Wittgenstein, el qual participa haberse sostenido una ac­ ción muy fuerte en los dias 30 y 31 del mes pasado con el general Oudinot en las cercanías de Polosgh ó Polock. Parece que Oudinot, habien­ do pasado el rio, marchaba adelante con intención de cercar á Riga, y cor­ tarle la comunicació…</t>
  </si>
  <si>
    <t>»»me participa que eti los días 30 y 31 de julio alcanzo una completa victoría sobre el mariscal Oudinot. La batalla se dio entre Schelesch y Polotzk. »Tres mil prisioneros, dos piezas de artillería y gran cantidad de bagages n son pruebas nada equívocas de la victoria. El conde anade que segu</t>
  </si>
  <si>
    <t>e una obs­ tinada y sangrienta batalla que duró tres días sin interrupción, ven­ cimos al pérfido y poieroao enemigo de nuestra patria. El cuerpo del mariscal Oudinot, compuesto de tres de las mejores divisiones de infantería, faé enteramente derrotado, refugiar,do-e ¿ un basque eu la maycr confusión, y atravesando después al…</t>
  </si>
  <si>
    <t>° de cazadores de á caballo, el 8.° de huíanos polacos, y el 14.0 de cazadores. „Ei 17 (29 ) de julio tuve avisos por mi destacamento de Dissa que el mariscal Oudinot había atravesado el Dwina con su cuerpo al O. de Sabash, al mismo tiempo que me anunciaban.de Donabourg. que Macdonald había pasado el rio por Jacobstadt, y se …</t>
  </si>
  <si>
    <t>n persigue actualmente á Macdonald, á fin de libertar á la Curlandia y la Livonia de sus opresores. Xa victoria que ha alcanzado contra el cuerpo del mariscal Oudinot ha inspi­ rado un nuevo valor á nuestras tropas; y como á este agregan un amor ar­ diente á la patria, ellas triunfarán de un exército compuesto de hombres de d…</t>
  </si>
  <si>
    <t>se dirigió inme­ diatamente con su exército hácia Druya sobre Macdóriald', cuya retirada de estas cercanías supo muy pronto. Pero noticioso de que el mariscal Oudinot había sido reforzado con n® hombres, tuvo'por conveniente volver sobre Polotsk, y atacando á una pequeña división francesa, la derrotó é hizo 600 prisioneros co…</t>
  </si>
  <si>
    <t>soldados. Añade el ge­ neral conde Wittgenstein que no es posible elogiar dignamente el valor y bizarría que mostraron las tropas en esta ocasión. El mariscal Oudinot fue herido gravemente en el hombro, lo que le obligó á entregar el mando de sus tropas al general Gouvion St-Cyr.” Cana que escribió su Eminencia el metropolita…</t>
  </si>
  <si>
    <t>olostk. ,^Ya tuve la honra de participar á V. M. por mi oficio de 12 del actual desde la aldea de Osweja que después de la segunda vez que derroté al mariscal Oudinot, este se había retirado precipitadamente, y que durante su retirada tuvo todcs los dias combates parciales con mi vanguardia. Pero ha­ biendo recibido nuevos re…</t>
  </si>
  <si>
    <t>338</t>
  </si>
  <si>
    <t>ch'ksWski ‘fue herido de un fusilazo y y el co'rónel Frolow de una baia-de cañón. Esta batalla produxo en el enemigo la mayor confusión. El dia 17 el mariscal Oudinot fue . herido ien la espalda, y el 18 el general francés Goiivion St-Cyr, que mandaba las tropas bávaras, tomó el mando dd exército. Espero que' no pueda emprend…</t>
  </si>
  <si>
    <t>S000 prisioneros. H aliándome cerca de Polotsk con mi cuerpo, re­ solví hacer un movimiento para observar el del mariscal Macdonald: entre tanto , el mariscal Oudinot habiendo recibida , ademas del cuerpo bávaro á las órdenes del general Wrede, otro refuerzo de (1) He aquí pintada en breves palabras la infeliz situación á que…</t>
  </si>
  <si>
    <t>Gamón han salido contusos ; el mayor general Kosatschkowsky se halla herido de una bala de fusil, y el coronel Froiow de una de cañón. El 5 (17), el mariscal Oudinot fué herido en el hombro: el 6 (18), tomó el mando el general francés Gouvion San Cyr, que mandaba en segundo lugar las tropas bávaras ; y espejo que no po­ drá e…</t>
  </si>
  <si>
    <t>Ovando, Francisco</t>
  </si>
  <si>
    <t>Francisco Ovando</t>
  </si>
  <si>
    <t>subtenientes en el cuerpo de artillería á los caballeros cadetes D. Manuel Gutiérrez Rastillos, D. José Venene, D. José Cadenas, D. Miguel E razquio, D. Francisco Ovando, D. R^mon Lavandeyrs, D. Lázaro Viílasante, D. Francisco Leoni, D. Francisco Torrado, D. Joaquín Pczusla, D. Mariano Aznarez, D. Luis Calieron, D. José Salom…</t>
  </si>
  <si>
    <t>Oya, José Mariano</t>
  </si>
  <si>
    <t>José Mariano Oya</t>
  </si>
  <si>
    <t>D. Ramón Montano , oficial primero de talla , 33. D. José María Soto , segundo, 33. D. Atanasio Davalos, tercero , 30. D. José Cañoli , aprendiz, 16. D. José Mariano Oya* gue , portero marcador, 29. D. Manuel Noguera , portero de la calle, 33. D. Ignacio Cisne ros Merino, 33. —E! monasterio de Sta. Catalina, 109. D. Domingo R…</t>
  </si>
  <si>
    <t>Oyarisde, Jo Antonio</t>
  </si>
  <si>
    <t>Jo Antonio Oyarisde</t>
  </si>
  <si>
    <t>s pueblos de Machan i, Pana y Naranjal , por mano de T&gt;. Julián de Campo, lul4 ps. fs. y 6 rs. D Juan Manuel de Larrainzar , 50. D. Pablo Franco, 50. D. Jo 11 Antonio Oyarisde , 100. £1 pueblo Je Balao , 47 y 7, E! administrador y empleados en Ja renta de correos, 55. El administrador contador y empleados e i la aduana , 359.…</t>
  </si>
  <si>
    <t>Oyarzabal, Juan Bautista</t>
  </si>
  <si>
    <t>Juan Bautista Oyarzabal</t>
  </si>
  <si>
    <t>ranaderos, al marques de la Celada déla Fuen­ te , al marques de Valdcliiios y á D. Gaspar Rico; de cazadores, á D. Ramón Veadreü , y de fe sileros á D. Juan Bautista Oyarzabal, marques de Montealegre, D. Manuel Uficaagoena, D. Domingo Orne, D. Fiancisca Xavier de ízcue, marques de Corpa, D. José Ramón Idiaqaez , conde de Tor…</t>
  </si>
  <si>
    <t>Oyes</t>
  </si>
  <si>
    <t>de nuestra wal!, Mr. Lawlér , el consejero Senlly , Mr. Burconstante fidelidad y de nuestro respeto á las le­ ke , el mayor Brian, Mr. Sutlyvan , el consejero Oyes de nuestro país, nos dan derecho para contar conell, el consejero Finn, Mr. Vyse, lord Glentcon la conlLnza de! trono y del parlamento. A pe­ worth , el consejero …</t>
  </si>
  <si>
    <t>P, Antonio</t>
  </si>
  <si>
    <t>Antonio P</t>
  </si>
  <si>
    <t>439</t>
  </si>
  <si>
    <t>dquiría el enemigo, cuya fuerza ascendía ya á 1000 hombres, formó el general Sar&amp;fibld una columna de gra­ naderos-al-mandó; dé los acreditados gefes D. Antonio P^erson y Don José María Coluby, con la que á muy corto tiempo se hizo dueño</t>
  </si>
  <si>
    <t>P, Juan</t>
  </si>
  <si>
    <t>Juan P</t>
  </si>
  <si>
    <t>iputados seculares D. Juan Mauuul Domínguez. D. Ventura Alcalde. -.Diputados seculares D. Juan Antonio García. D. Mariano López. D. Josef Rico Pablo. D. Juan P.trdo. D. Josef Prado. D. Manuel de Venayas. Secretario Secretario D. Josef Mendez. D. Antonio Regino López. BARRIO DE. XA PLAZUELA DEL GATO. BARRIO DE SAN ILDEFONSO. A…</t>
  </si>
  <si>
    <t>stardos ilustres que han nacido subteniente del regimiento de Madrid, 1.* de in­ eo Alemania, cuvo número es mui considerable. fantería de línea; y á D Juan P blo B.zard , sar­ gento primero de la sompañía de cazadores de Del i.° de junio. montaña de caballería de Segovia, á subteniente La sociedad de fomento de agricultura y…</t>
  </si>
  <si>
    <t>ntes vieren y enten­ dieren , sabed: Que las Cortes han decretado lo siguiente: „Las Cortes generales y extraordinarias han tenido á bien nom­ brar á D. Juan P¿rez VíHsmii para una de la» cinco plazas de re­ gente dei reyno, vacante por renuncia que de ella se sirvieron admi-' tir al conde de la Bbbíd. Lo tendrá entendido la …</t>
  </si>
  <si>
    <t>P, Julián</t>
  </si>
  <si>
    <t>Julián P</t>
  </si>
  <si>
    <t>acree­ Diputados "seculares dores, un pedazo de tierra comprendtrírvobí/^í-feneD. Vicente González. gas y 8 celemines deTisembradura, sito en término D. Julián P&lt; mbó y Robledo. , de la Vil la'de la Alameda;: Quien quísi&amp;réS toníjírarlo D. Cayetano Monter. ’ acucia ante dicho señor juez por la escribanía de nú­ .y. : :Secreta…</t>
  </si>
  <si>
    <t>P-ayon, Joaquín</t>
  </si>
  <si>
    <t>Joaquín P-ayon</t>
  </si>
  <si>
    <t>sus casas, D. Ramón A i uro. . el seguro correspondiente, precedido el txámeo de D. D .go E u¡&gt;. las circunstancias que previene el citado decreto de D. Joaquín P-ayon. 14 de enero. -D. Francisco González. 8.° Tanto estas justicias como las de los pue­ ü. íldtfoaso Mancilía. blos en que 'tuvieren su domicilio los dispersos qu…</t>
  </si>
  <si>
    <t>P-f, Juan</t>
  </si>
  <si>
    <t>Juan P-f</t>
  </si>
  <si>
    <t>contribuye igualmente para tario general de la prefectura deSa amanea; á Don sobrellevar las cargas del estado, es lo mismo que Antolin de Munarriz, D. Juan P-f.s y D. Juan imponerle una doble contribución. Francisco Pintado individuo: de ¡a municipalidad Después de otros muchos argumentos á favor de Madrid ; á D. Benito Mons…</t>
  </si>
  <si>
    <t>Pa, Antonio</t>
  </si>
  <si>
    <t>Antonio Pa</t>
  </si>
  <si>
    <t>i. Nuestros ministros de N gooins ecle­ siásticos y de Hacienda quedan em-rgad.os de la Ex-capuchinos. execocion de! presenre decreto. = Firmado = YO D. Antonio»Pa!omino , residente en Casti­ EL REI. = Por S. M. , el inii.i tr &gt; secretario dit llo de Locubin............................................ 2200 Estados Firmado ss …</t>
  </si>
  <si>
    <t>Pa, Domingo</t>
  </si>
  <si>
    <t>Domingo Pa</t>
  </si>
  <si>
    <t>los insurgentes, dispuse que el teniente del primer piquete D. Domingo Savariego, el capitán del segundo D. Francisco Soria y el teniente del tercero D. Domingo Pa­ checo , se apostasen en las bocas calles de la plaza con el objeto de contener los que pudieran estar dentro de otros 2 cuarteles, que se­ gún el guia tenían dent…</t>
  </si>
  <si>
    <t>Pa, Florécete</t>
  </si>
  <si>
    <t>Florécete Pa</t>
  </si>
  <si>
    <t>ida de Arutfe, cogiendo SCO fusiles, varios pertreche* y municiones de guerra y ICO p? Lioneros, entre ellos el comandante general interino, oc-rocel D. Florécete- Pa­ lacios, su segundo el teniente ccrcnd D. José Retírtenos, y 9 ofi­ ciales subalternos. E&gt;tos 11 individuos liegaron á esta cuidad, y que­ dan en seguridad.— D …</t>
  </si>
  <si>
    <t>Pa, Juan</t>
  </si>
  <si>
    <t>Juan Pa</t>
  </si>
  <si>
    <t>las gacetas de la jun­ ta superior de la Mancha de 29 de febrero y 7 de marta.) Murcia 8 de marta. Una carta que se ha recibido del famoso partidario D. Juan Pa­ jarea , natural de esta ciudad, su fecha en las ventas de Peñaguiiera, á 6 leguas de Toledo, da noticia de varios encuentros que ha te­ nido con el enemigo en lo que…</t>
  </si>
  <si>
    <t>Pablen</t>
  </si>
  <si>
    <t>erca de Vidoy. Por este movimiento se han asegurado perfectamente «las comunicaciones con el cuerpo del general Doctorow, al qual se le ha « unido el conde Pablen, que estaba en Grodno al principio de las hostilida«des. De este modo nuestros cuerpos no han perdido hasta ahora destaca-* «mentó alguno, ni han podido ser envuelt…</t>
  </si>
  <si>
    <t>o que se habia dicho al principio. El general Barclay de Tolly escribe desde Smolensko con fecha del ro: solo habla de un ataque de la caballería del conde Pablen sobre la retaguar­ dia del enemigo, que hizo retirar, cogiéndole 300 prisioneros, y el equipage del general. Sebastiani con todos sus papeles. it Habia frecuentes e…</t>
  </si>
  <si>
    <t>Pablen, Ven</t>
  </si>
  <si>
    <t>Ven Pablen</t>
  </si>
  <si>
    <t>teja de todas las posiciones ,\y defendiendo ks orillas del riachuelo Lutchep con tal obstinación que el enemigo perdió en ellas muchtein a gente. El general Ven Pablen ha sabido también tacar partido aun deles mas-pequeños .desfiladeros; y habiendo dispuesto'el dia 17 una em­ boscada muy á propósito en la* cercanías de G&amp;pcn…</t>
  </si>
  <si>
    <t>Pablen, Yon</t>
  </si>
  <si>
    <t>Yon Pablen</t>
  </si>
  <si>
    <t>á tomarla posírian que se le habia señalado para una acción general. El general Dteterow pasó al mismo tiempo ©1 Du­ na , y llegó al propio sitio. Al conde Yon Pablen se le dió el mando de la retaguardia que estaba apostada á 10 werstas del ©xércít o, y según noticias el enemigo avanzaba á atacarla. En esto</t>
  </si>
  <si>
    <t>Pablo, Josef Rico</t>
  </si>
  <si>
    <t>Josef Rico Pablo</t>
  </si>
  <si>
    <t>tado eclesiástico . Diputados seculares D. Juan Mauuul Domínguez. D. Ventura Alcalde. -.Diputados seculares D. Juan Antonio García. D. Mariano López. D. Josef Rico Pablo. D. Juan P.trdo. D. Josef Prado. D. Manuel de Venayas. Secretario Secretario D. Josef Mendez. D. Antonio Regino López. BARRIO DE. XA PLAZUELA DEL GATO. BARRI…</t>
  </si>
  <si>
    <t>Pablo, Juan</t>
  </si>
  <si>
    <t>Juan Pablo</t>
  </si>
  <si>
    <t>án dclCastillo (D.. Vicente del) t vecino ,de Cuenca. 'régimiento de Mtfrcia , a.° de inlantetía ligera. Cejudo (D. Josef), alcalde de corte. Hervás (D. Juan Pablo), maestro de ceremoniasr Charpenay (D. Cárlos), capitaa de tiradores de de.S.M. la guardia real. ÍÍOcés (D. Antonio)', capitán de artillería. Charricu (D. Juan Bau…</t>
  </si>
  <si>
    <t>Pac</t>
  </si>
  <si>
    <t>ar el dia hablar, y cnurió al cabo de pocos minuto'. Ya se 18 de noviembre , y el 20 volvió á salir para Si­ han recogido en la costa los coerpos del capitán Pac­ cilia. kenham y de 200 de sus compañeros. Al lado de Qnando llegó á Portsmouth la noticia de la la Saldanha se descubren los restos de otro bu­ absolución del docto…</t>
  </si>
  <si>
    <t>Pac, José</t>
  </si>
  <si>
    <t>José Pac</t>
  </si>
  <si>
    <t>ocne.a , 2. D. José Marlategui, 2. D. 'Francisco Roxas, 2. D. Gerónimo Larriva, 2. D. Manuel Zarate, 1. D. Pedro ÍJuidrobo , 2. D. Pedro González, 2. D. José Pac hoco , 2. D. Antonio Córdoba , 2. D. Manuel Maza , 2. Don Mariano Hurtado, 1 y /i. D. José Perez, 1. I&gt;. Manuel Chacal tana, 2. Pon Francisco Aguirre, 2. FU mismo re…</t>
  </si>
  <si>
    <t>Pach, Domingo</t>
  </si>
  <si>
    <t>Domingo Pach</t>
  </si>
  <si>
    <t>1237</t>
  </si>
  <si>
    <t>1237 escuadrón y 28 de guerrilla de los de S. Carlos con sú comandan­ te D Domingo Pach eco. Emprendida la marcha por caminos escabrosísimos, llegué á si­ tuar mi tropa al rededor de la alberca de Teremendo á las 3 y me­ dia de Ja mañana siguiente , de suerte que desde su entera c</t>
  </si>
  <si>
    <t>Pacheco, Baltasar</t>
  </si>
  <si>
    <t>Baltasar Pacheco</t>
  </si>
  <si>
    <t>). Ignacio Aillori Sala-, zar , escribano, 83. D. Antonio Baeza , teniente de juez de balanza, 66. Don Esteban Cabrera-, beneficiador de tierras, 83. D. Baltasar Pacheco , contador de moneda , 41. D. Miguel Navarro , id. , 21. D. Ramón Montano , oficial primero de talla , 33. D. José María Soto , segundo, 33. D. Atanasio Dava…</t>
  </si>
  <si>
    <t>sus satélites en toda el mundo f y úitimámente por el inmortal Weilington. Continúan los donativos dd Perú. El administrador de correos de Hualianca D. Baltasar Pacheco, 85 pesos fuertes. Id. de Huan-uco D. Manuel Alcaraz, 50. El administrador de ren­ tas de la villa de Chancay D. José Eugenio Iverico , 50. El guarda de di­ c…</t>
  </si>
  <si>
    <t>Pacheco, Domingo</t>
  </si>
  <si>
    <t>Domingo Pacheco</t>
  </si>
  <si>
    <t>mas por cada cañonazo (pie tirasen los ingleses,. .. , Cádiz. ¡5 de Nox.ie_rr.bre. Continúa el extracto de Irs partes de NucTa-.Efpañg. v El teniente D. Domingo Pacheco , ;detsde Zinapelcjuaro&gt; á 22 de Diciembre, comunícalo siguiente aí comandante general de la pro­ vincia de Meclioacan D. Toreuato Triixillo. „,Ayer como á la…</t>
  </si>
  <si>
    <t>Pacheco, Juan Bautista</t>
  </si>
  <si>
    <t>Juan Bautista Pacheco</t>
  </si>
  <si>
    <t>, 18. El brigadier D. Manuel Artazo , teniente rey de esta plaza, por 4, 36. El brigadier, D. José Sastre por uno, 9. El conde de Zaldivar por 5, 45. D. Juan Bautista Pacheco por 5,45. El coronel D. José Ovando , sargento mayor de esta plaza , por uno, 9. D. Joaquín Recio y Torio por 2, 18. El teniente coronel D. Pedro Valver…</t>
  </si>
  <si>
    <t>Pacheco, Rodrigo</t>
  </si>
  <si>
    <t>Rodrigo Pacheco</t>
  </si>
  <si>
    <t>Antonio Bexerano. éxito para los ingleses y sus aliados! Pero ¡¡altae D. Cayetano Lames. sunt stirpes stidtitiae Tenientes. D. Antonio Barba. ESPAÑA. D. Rodrigo Pacheco. J\Lidrid 10 dt enero. Subtenientes. D. Ramón Ruiz. El REI ha celebrado hoi consejo de ministres, DT.ro __ al que se ha dignado convocar á tos presidentes art…</t>
  </si>
  <si>
    <t>Pack</t>
  </si>
  <si>
    <t>o el ataque ayer á prima noche en 5 columnas separadas , compuestas de las tropas de las divisiones tercera y ligera, y de la brigada del briga­ dier general Pack. Las 2 columnas de ia. derecha , conducidas por el teniente, coronel O1 Coole, del segundo de caza lores, y del mayor Ridgc, del regimiento quinto, fueron destinada…</t>
  </si>
  <si>
    <t>n molestarnos considerablemente. „Por la mañana, las tropas ligeras de la séptima división y el cuar­ to de cazadores pertenecientes á la brigada del general Pack, vinie­ ron á las mano3 con las del enemigo en la altura llamada de nuestra Sra. de la Peña, donde se mantuvieron con el enemigo todo el dia. Nú obstante esto, el h…</t>
  </si>
  <si>
    <t>nsecutiva­ mente de una en otra altura , adelantando su derecha hasta ganar elflanco del enemigo á proporción que se iban adelantando. Id briga­ dier general Pack atacó con el mayor denuedo el uno de los Arapi­ les, pero sin mas fruto que el de distraer la atención del cuerpo ene­ migo, situado en él, déla marcha que al mismo…</t>
  </si>
  <si>
    <t>proporcionándoles nuevos medios de incomodarnos.. Las tropas ligeras de la séptima división y el regimiento de cazadores número 4.0 de la brigada del general Pack en la mañana del dia 22 se batieron con el enemigo en las alturas de nuestra Seño­ ra de la Peña, donde unos y otros se mantuvieron todo el día. Como el enemigo se …</t>
  </si>
  <si>
    <t>l mando del mayor general Clinton: la séptima división mandada por el ma­ yor genera! Hope, y la división española de D. Carlos de España: previne al general Pack que apoyase la izquierda de la quarta división, atacando la altura de los Arapiles, que el enemigo sostenía. La primera división ligera ocupaba el terreno de la izq…</t>
  </si>
  <si>
    <t>as del te­ niente general Sir R. Hill, y las de mi mando tomaron posición en las alturas de S. Cristóbal de la Cuesta en el mismo día. La brigada del general Pack ocupaba á Aldealueaga ; la del brigadier general Rradford á Cabrerizos , á nuestra dereclia; y la caballería británica cubría el frente. Mandé al teniente general H…</t>
  </si>
  <si>
    <t>Packenh</t>
  </si>
  <si>
    <t>formar juicio seguro de sus intenciones, consideré que en general era su objeto la izquierda del T riñes. En virtud de esto ordené al honorable mayor general Packenh;\m (que mandaba la tercera división en ausencia del teniente general Picton, que se halla enfermo) que atravesase ei Tórmes con las tro­ pas de su mando, inclusa…</t>
  </si>
  <si>
    <t>Packenham</t>
  </si>
  <si>
    <t>ugh-Swilli en la noche del 4 de este m.-s, de resultas de uo horrible temporal, la fragata la Sal­ El duque de Sustex ha vuelto á recaer. Los danha , capitán Packenham , estando cruzando al brikes de S. M. el Staunch, la Duquesa de Yorck este de su apostadero, y que no ha podido salvar­ y el Farguhar han perecido eu la costa …</t>
  </si>
  <si>
    <t>recha de la cuarta división, con las divisiones sexta y séptima de reserva ; y luego que estas tropas ocuparon sus puestos , mandé al honorable mayor general Packenham que sé adelantaré con’ la tercera división ¿ la cábtdlería del gene­ ral D’Urban y dos escuadrones del 14 de dragones ligeros, a las órdenes del teniente coron…</t>
  </si>
  <si>
    <t>60, al teniente coronel Wallace del 88, que mandó una brigada de la tercera división; al teniente coronel Lilis del 23, quemando la brigada del mayor general Packenham, mientras este avanzaba á la cabeza de la tercera división ; al honorable teniente coro­ nel Gieville del 28, que mandó la brigada del mayor general Hay de la …</t>
  </si>
  <si>
    <t>Packenham, Eduardo</t>
  </si>
  <si>
    <t>Eduardo Packenham</t>
  </si>
  <si>
    <t>reserva. „E1 ataque contra la izquierda del enemigo se liízo del modo que queda expresado, y tuvo un éxito completamente feliz. El honora­ ble mayor general Eduardo Packenham formó la tercera división, flanqueando al enemigo, y arrolló qllanto se le opuso. Estas tropas fueron sostenidas con la mayor bizarría por la caballería…</t>
  </si>
  <si>
    <t>Packenhatn</t>
  </si>
  <si>
    <t>los que acaban de llegar en este estado se hallan el mayor general Murray, El coronel Paysan tuvo aviso el 19 del cor­ quartel-maestre general, y el general Packenhatn, riente que las qnadrillas del Comisario y T*&gt;masicuñado del lord Welligton. También está enfermo líó se habían reunido entre Ciruelos y Yepes en el mariscal B…</t>
  </si>
  <si>
    <t>Padilla</t>
  </si>
  <si>
    <t>ra que mandaba su ayudante mayor O. Miguel de Soto, destina­ da hacia 8. Gerónimo y ranchos de Tepango y Cocinillas, dispersó la gavilla del perverso capitán Padilla, haciendo prisionera su íamida, quemando el rancho de su guarida , y apoderándose de varias armas y efecto»,: y en fia otros destacamentos derrotaron igualmente …</t>
  </si>
  <si>
    <t>rdes y 300 caballos enemigos, situados en O .orno, se halla­ ban rob.au.do los puebles circunvecinos á pretexto de requisición de grar-os, dispuso el teniente coronel Padilla una marcha rápida, me­ diante ia cual amanecimos ayer 28 á tiro de fusil de O3cmo, sin ser</t>
  </si>
  <si>
    <t>el Lesenne, que la ceiiduxo á ia carga. Asimismo es señalada la conducta del comandante de coraceros , D. Juan González An’eo, del mayor Dewitte, del capitán Padilla, y del ayudante mayor Don Ramón María Ramírez ; este último fué herido muy gravemente. No debo omitir tampoco la bizarría de- ios lanceros alemanes, ni ia de su …</t>
  </si>
  <si>
    <t>Padilla, Alonso</t>
  </si>
  <si>
    <t>Alonso Padilla</t>
  </si>
  <si>
    <t>................................... 2200 D. Andrés López Toiibio, id......................... 2300 D. Josef de Osuna, id. en Rambla............. 2200 D. Alonso Padilla , id...................... i.............. 2200 D. Lorenzo de Luque, ¡d .............................. 2200 D, Juan Carretero, id..............................…</t>
  </si>
  <si>
    <t>Padilla, Diego</t>
  </si>
  <si>
    <t>Diego Padilla</t>
  </si>
  <si>
    <t>X Asensio Cabrera y González., D. C irios María Godinez, Don Rafael Piñuela, y á los subtenientes graduados D. Juan Díaz Pino, D. J osé María Angulo, D. Diego Padilla, D. Pedro la Llave y Don Juan Gil de Montes; todos alumnos de la academia militar del cuarto exército. Jlemvacion de vales. Aunque por resolución de la junta Ce…</t>
  </si>
  <si>
    <t>Asensio Cabrera y Gonzá­ lez, D. Carlos María Godinez, D. Rafael Piñuela, y á los subtenientes gra­ duados D. Juan Díaz Pino, D. Josef María Angulo, D. Diego Padilla, Don Pedro la Llave, y D. Juan Gil de Montes: todos alumnos de la academia mi­ litar del quarto exército. Renovación de vales. Aunque por resolución de la junta …</t>
  </si>
  <si>
    <t>Padilla, Joaquín</t>
  </si>
  <si>
    <t>Joaquín Padilla</t>
  </si>
  <si>
    <t>ano , residente en Cabra... 2200 en Cataluña...................... ........................... 2200 D. Juan Carmona, subdiácono , id............ 22.a D. Joaquín Padilla, id.................................. 2200 D. Elias Olmedo, id.................................... 3200 Ex-agustinoi. D. Fraucisco Ruíz Pízarro, id...........…</t>
  </si>
  <si>
    <t>Padilla, Santos</t>
  </si>
  <si>
    <t>Santos Padilla</t>
  </si>
  <si>
    <t>rimero cántabro D. Fermín Escalera, previniendo atacase la co­ lumna enemiga de Saldan a, á cuya operación debía acompañarle el comandante'de partida D. Santos Padilla. Efectivamente , el 18 sobre las alturas de Saldaña y lugar de Viilafuentefué atacado el enemigo y desalojado de este pueblo ; pero como su fuerza de ca­ balle…</t>
  </si>
  <si>
    <t>Francisco Longa, los de la Rioja al del mismo empleo D Francisco Salazar, y los cazadores de Castilla de á caballo mandados por el teniente coro­ nel D. Santos Padilla ; y en el mismo dia emprendí mi marcha sobre Burgos, aproximándome á las 3 de la tarde á las Huelgas y hospital del rey, que abandonaron los enemigos, igualmen…</t>
  </si>
  <si>
    <t>Pádillo, Agustin</t>
  </si>
  <si>
    <t>Agustin Pádillo</t>
  </si>
  <si>
    <t>. art. vii. -En la villa de Pedroche se formará D. Juan Antonio Gutiérrez. media compañía. D. Juan de Frías. Queda nombrado capitán de ella D. A-onsO D. Agustin Pádillo. Montero , y subteniente D. Ataoasio Misas. art. ni. En la villa de Aguiíar se formará ART. viii. En las villas de Guijo y MonturUn batallón de quatro compañí…</t>
  </si>
  <si>
    <t>Padillo, Andrés</t>
  </si>
  <si>
    <t>Andrés Padillo</t>
  </si>
  <si>
    <t>s. D. Josef Joaquín Henares. D. Vicente Ort'z y Alguacil. D. Pedro Atiza. D. Juan Pioeda. D. Josef Vexijar. Subtenientes. D. Josef de Osuna y Quadra. D. Andrés Padillo. D. Félix María Carrillo. D. Pedro Perez Garnacha. Subtenientes. art. vi. En la villa de Valenzaela se forma­ D. Agustin Cubero, de granaderos. rá una compañía…</t>
  </si>
  <si>
    <t>Padrón, Pedro González</t>
  </si>
  <si>
    <t>Pedro González Padrón</t>
  </si>
  <si>
    <t>eados A D. Melchor Puertas para el del Cubo de' los números siguientes í 17 ,47 &gt; 73 T ®7D. Sancho, vacante por fallecimiento de D; Mar­ tin López. A D. Pedro González Padrón paTa el de San­ tiago de la Puebla, vacante por muerte de D. Be­ No es mi ánimo escribir un trataHó sntae la nito Martin. cnestion delicada de la libert…</t>
  </si>
  <si>
    <t>Padrón, Rafael</t>
  </si>
  <si>
    <t>Rafael Padrón</t>
  </si>
  <si>
    <t>D. Ignacio de Medina, D. Vicente Zavala, D. José María ViUavicsncio, D. Félix María Farias y D. Juan Pedro Pe*ayo ; el mismo de ras de caballería, á D. Rafael Padrón , D. José María Arcaya, D. Miguel MLUaco, D. Juan de Lugo, D Juan José Perez, D. José Antonio G'uirola y D. Joaquín Segarte ; de subteniente de las de infantería…</t>
  </si>
  <si>
    <t>Paez, Ramón López</t>
  </si>
  <si>
    <t>Ramón López Paez</t>
  </si>
  <si>
    <t>2t Don JoseF Napoleón por la gracia de Dios y D. Rafael Fausto Florín....................... 1840 6 por la constitución del estado, REI de las Espa- D. Ramón López Paez........................ 1565 19 ñas y de las Indias. D. Antonio Perez de la Lastra............ 1565 vista la consulta de la comisión de liquida­ D. Manuel de …</t>
  </si>
  <si>
    <t>Pagel, Sir Eduardo</t>
  </si>
  <si>
    <t>Sir Eduardo Pagel</t>
  </si>
  <si>
    <t>1298</t>
  </si>
  <si>
    <t>ron sostenidos con gran valor por los cazadores británicos — Habiéndoseme presentado una buena ocasión de dar un golpe al enemigo , mandé al teniente general Sir Eduardo Pagel que se moviese cenias divisiones primera y quinta sobre, el flanco derecho de aquel ; cuyo movimiento , habiendo sido bien execuíado , le obliga á reti…</t>
  </si>
  <si>
    <t>Paget, Arthuro</t>
  </si>
  <si>
    <t>Arthuro Paget</t>
  </si>
  <si>
    <t>ron de 10 á 1 2© ESPAÑA. hombres entre muertos, heridos, dispersos y pri­ sioneros. Entre los prisioneros se halla el teniente Madrid 4 de diciembre. general Arthuro Paget, segundo comandante del exército, y muchos centenares de oficiales. El REI nuestro Señor entró ayer jueves en esta Los lectores sensatos y los españoles qu…</t>
  </si>
  <si>
    <t>Paget, Sir Edward</t>
  </si>
  <si>
    <t>Sir Edward Paget</t>
  </si>
  <si>
    <t>la cañonearon. Las tropas han padecido mu­ cho con el rigor del tiempo , cual no he visto peor en esta estación. Siento mucho la pérdida del teniente general Sir Edward Paget, que ó por haber dado con algún destacamento, enemigo, ó por haber perdido el camino , cayó prisionero. ,,Con fecha de 7 comuniqué á V. E. mi opinión en…</t>
  </si>
  <si>
    <t>Pahlcfs</t>
  </si>
  <si>
    <t>traiga á Washington sin perder un suma arnba dicha , sin que se le pneda obligar en momento. lo sucesivo á dar cuenta de su inversión. Sabemos que el conde Pahlcfs, antiguo minis­ A pe'ar de esta resolución y de todas estas tro de Rusia cerca de los Estados-XJ.udos, pre­ providencias vigorosas se hicieron pedazos ayer no­ sen…</t>
  </si>
  <si>
    <t>Paianecs, Francisco</t>
  </si>
  <si>
    <t>Francisco Paianecs</t>
  </si>
  <si>
    <t>cxandro Hore................ 1 Capitán. . . D. José María Cela)a.. • .. 1 PRIMERA. Ordenes . 1 Triiiefctc... D. Bernardo Triineno... .. 1 Otro • •... D. Francisco Paianecs.......... .1 Teniente . . D. Ja&amp;n Mariscal.................. 1 Otro • •... D. Manuel Campos............. .. 1 Subteniente: D. Baltasar De’gadc.............…</t>
  </si>
  <si>
    <t>Paig, José María</t>
  </si>
  <si>
    <t>José María Paig</t>
  </si>
  <si>
    <t>spañas ha nombrado en 7 del cor­ riente, para las 16 plazas de ministros del tdbnnal supremo de justi­ cia , con el orden de preferencia que sigue, á D. José María Paig, D. Antonio Cartavarrh , D. Antonio López Quintaba, D. Francisco López Lisperguer, D. Gerónimo Diez, D. Ciríaco González Carva­ jal , D. Antonio Cano Manuel, …</t>
  </si>
  <si>
    <t>Pajarea, Juan</t>
  </si>
  <si>
    <t>Juan Pajarea</t>
  </si>
  <si>
    <t>sos al alcazar, y serian saqueadas sus casas. Ei 20 se supo que una columna enemiga de 200 hombros fué accm¡ tida al salir de Orgaz por la partida de D. Juan Pajarea, y que perdió 45 muertos, 10 prisioneros, mas de 40 heridos que entraron en Mora y los 955' 0 rs. que llevaban recogidos. En la refriega fué muerto el caballo de…</t>
  </si>
  <si>
    <t>Pajoi</t>
  </si>
  <si>
    <t>clinó á Todos los cuerpos enemigos se mueven con la la derecha, pasando i ücluniana. Pero el general mayor incertidumbre. El 30 de junio aun ignoraba barón Pajoi llegaba allí también, al mismo tiempo Hetmán Platow que hacia ya dos dias que los que entraba la vanguardia enemiga. El general Fa­ franceses eran dueños de Wilna. Y…</t>
  </si>
  <si>
    <t>Pajol</t>
  </si>
  <si>
    <t>oder, qué en un solo momento puede decretar su El príncipe de Eckmülh estaba el x 5 en Ighou- entera destrucción, sin que fuerza alguna pueda men: el general Pajol en Jachirsié, con avanzadas servirle de óbice para llevarla al cabo ? O la Espa-r sobre Swisloclc; lo que entendido al parecer por ña es estúpida , ó es loca. No h…</t>
  </si>
  <si>
    <t>. Los coraceros rusos cargaban sobre los regimientos n.° y n.° de cazadores, condu­ nuestra infantería ligera; pero fueron recibidos con cidos por el general Pajol, como igualmente las di­ una viva descarga de lusilería, y perseguidos vigo­ visiones Saint-Germain y Bruyeres, se han distin­ rosamente por la primera brigada de …</t>
  </si>
  <si>
    <t>Pakenh</t>
  </si>
  <si>
    <t>de siis inten­ ciones, concebí en vista de todo que sus intentos se limitaban á la izquierda del Tormes, y en consecuencia mandé al honorable, mayor general Pakenh2m, que mandaba la tercera división por hallarse enfermo el teniente ge­ neral Picton , que pasase el Tormes con las tropas de su mando y la ca­ ballería del brigad…</t>
  </si>
  <si>
    <t>Pakenham</t>
  </si>
  <si>
    <t>n , y dexando para la reserva las divisiones sexta y séptima. As? que esta.-» tropas ocuparon los puntos á que se les había destinado, mandé al mayor general Pakenham. que marchase con la tercera división, la caballería del general d’Urban, y dos esquadrones de dragones ligeros del regimiento num. 14.° mandado por el teniente…</t>
  </si>
  <si>
    <t>el Wallace dél regimiento 88.°, que mandaba úna brigada en la tercera división: el coronel Ellis del regimien­ to 23.que mandaba la brigada del mayor general Pakenham en la quarta división durante su ausencia, en que mando íá división tercera: el honorable coronel Grenville del regimiento 38A, &lt;|ue mandaba la brigada del mayo…</t>
  </si>
  <si>
    <t>Pal, Juan</t>
  </si>
  <si>
    <t>Juan Pal</t>
  </si>
  <si>
    <t>1518</t>
  </si>
  <si>
    <t>rarse tranquilamente con la presa sin perseguirlos. Así lo avisa con fecha de 25 de mayo al co» mandante general de Extremadura, marques de Monsalud, D. Juan Pal atea, enviando la balija interceptada. Varios destacamentos de tropas francesas andan recomendó, ha* ce muchos dias, los pueblos del partido de la Serena, y otros in…</t>
  </si>
  <si>
    <t>Palacio, Diego</t>
  </si>
  <si>
    <t>Diego Palacio</t>
  </si>
  <si>
    <t>cura de Sta. María. D. Rafael Oseñalde, id. de S. Andrés. D. Rafael Hernández, id. de S. Sebastian. Seculares. D. Ignacio Abadía. 35. Antonio Garniz. D. Diego Palacio. D. Marcelo S. Román. [■ D. Paulino Sofia. D. Narciso Gonzalo del Rio. Y para que el público pueda entenderse con dicha ¡unta, y no padezca atraso en ninguno de…</t>
  </si>
  <si>
    <t>Palacio, Joset Leandro</t>
  </si>
  <si>
    <t>Joset Leandro Palacio</t>
  </si>
  <si>
    <t>ere, do. grandes porciones de los teños víei.mas de las preocupaciones de sus podres. llámalos Lamuro y C !or- lo. El comand mre de la plaza interino D Joset Leandro Palacio huso GRAN BRETAÑA. precipitadamente á M.icatia, mandando .-ñusque se retirase la guarnición de la plaza y la de tus Londres 14 de mayo. castillos. ,, Agu…</t>
  </si>
  <si>
    <t>Palacios, Francisco</t>
  </si>
  <si>
    <t>Francisco Palacios</t>
  </si>
  <si>
    <t>es , subtenien­ te del primero de Guadix, D. Luis Castilla y O. Julián Lombar­ do , subtenientes de la Corona: á subtenientes, á D. Valentín del Rio, D. Francisco Palacios, D. Ildefonso Lillo, D. Pedro Ortiz de Lequizaman , D. Mateo Masegosa, D. Sebastian Vilches y Don' Antonio María Muñoz, cadetes de la escuela mi-ifar del t…</t>
  </si>
  <si>
    <t>Palacios, Gabriel Diaz</t>
  </si>
  <si>
    <t>Gabriel Diaz Palacios</t>
  </si>
  <si>
    <t>onde basan D. Elias Ronda. las aguas del puente cegado, de caber ocho fanegas y D. Juan Serra. 26 estadales, á 700 rs. cada fanega. Otra en dicho si­ D. Gabriel Diaz Palacios. tio de Garcicuchilla, que está por medio de otra de la D. Pedro Olmeda. antecedente, y también la cruza dicho camino de Ca­ rabanchel, y ai norte linda…</t>
  </si>
  <si>
    <t>Palacios, Gregorio</t>
  </si>
  <si>
    <t>Gregorio Palacios</t>
  </si>
  <si>
    <t>rpo de pilotos del comercio , 50. 15. Bernardo Martínez , 6. D. Manuel Villar, 25. D. Pió Garrido, 12. Don Pedro Tr el les , 12. D. Pedro Ruesta , 1. D. Gregorio Palacios, 25. D. José Antonio Miehilon , 1. D. Ramón Manzanares , 2. I). Gaspar Silva , 2. Don Francisco ligarte, 2. D. Matías Cuello , 2. D. Francisco Siadas , 4. 1…</t>
  </si>
  <si>
    <t>Palacios, Juan Andrés</t>
  </si>
  <si>
    <t>Juan Andrés Palacios</t>
  </si>
  <si>
    <t>D. Manuel Montero. 10 estadales, y su valer es de 720 reales cada fanega. D. Josef Molinero. Otra en el cerro del Castañar, que linda al oriente con D. Juan Andrés Palacios. tierra de D. Josef Zamorano, vecino de Leganes , y al D. Juan Cora. norte con el citado mayorazgo de Luzon; su caber tres fanegas y dos celemines, inclus…</t>
  </si>
  <si>
    <t>Palacios, Silvestre</t>
  </si>
  <si>
    <t>Silvestre Palacios</t>
  </si>
  <si>
    <t>Die­ go de Orbaneja; y empleos de alféreces de fusileros á los tenientes de infantería D. Alfonso de Tuero y Hevia , del regimiento de Can­ tabria y D. Silvestre Palacios, del batallón del general del cuarto exército, D. Joaquín Jurado Valdelomardel de Guadalaxara, Don Juan de Arcos y Gallego, del segundo de Sevilla, D. Pedro…</t>
  </si>
  <si>
    <t>Palacios, Tomas</t>
  </si>
  <si>
    <t>Tomas Palacios</t>
  </si>
  <si>
    <t>nza, 2. D. Miguel de Oyague , 1. D. Mariano de León , G. D. Cayetano 'Forres , capellán del monasterio de Sta. Catalina , G. D. J uíian Valdivia , 3. D. Tomas Palacios, 1. D. Fernando Bao Calderón , 1. 1). José Antonio Martínez, 1. D. Tomas Castro , l. D. Juan Antonio Cainacho , 1. D. Luis Alfonso , capellán de Sta. Rosa , 2.…</t>
  </si>
  <si>
    <t>Palad, Juan</t>
  </si>
  <si>
    <t>Juan Palad</t>
  </si>
  <si>
    <t>ca ele So­ ler; pero este se había ya retirado. Valencia de Alcántara 2 ' de junte. D. Fermín G nzakz , alfar z de ía cuarta compañía del cuer­ po de D. Juan Palad a se presentó-el 25 de mayo entre Paria y G°tafe, camino real de TVedo á Madr d. Pasaba á la sazón un correo; y observando González que se había adelantado p-lgo d…</t>
  </si>
  <si>
    <t>Palafox, Cipriano</t>
  </si>
  <si>
    <t>Cipriano Palafox</t>
  </si>
  <si>
    <t>t7yi8 del cortien- ciscano, para una canongía de la colegiata de To- 1 te se ha servido elREI nombrar ro, diócesis de Zamora, vacante por muerte de A D. Cipriano Palafox, conde de Teba , gen­ D. Miguel Rico de Arcedo. tilhombre de cámara; ál marques de Uluapa ma­ A D. Jostf Fernandez , presbítero, ex-geróniyordomo de la real …</t>
  </si>
  <si>
    <t>Palafox, Josef Sanz</t>
  </si>
  <si>
    <t>Josef Sanz Palafox</t>
  </si>
  <si>
    <t>á oficiales» para el aju:te de sus legítimos haberes; con cuyo fin visarán y cer­ Noveno batallón. tificarán dichas nóminas los gefes de cada cuerpo D. Josef Sanz Palafox» teoieote » i capitao de á continuación de ellas» diciendo la persona qne se la séptima compañía. bailare habilitada para su cobranza. Décimo batallan. D. P…</t>
  </si>
  <si>
    <t>Palarea, Juan</t>
  </si>
  <si>
    <t>Juan Palarea</t>
  </si>
  <si>
    <t>on medios para escapar , como.lo consiguieron en noviembre pró­ ximo pasado por la protección de lord Wellingtoa , y con el auxilio de una partida de D. Juan Palarea (el Médico) con, quien se hablan concertado. Los patriotas los esperaban en el lugar de Pepino, a, una legua de Talayera de la Reyna, donde se hallaba el cuartel…</t>
  </si>
  <si>
    <t>talados los campos en que depositaban sus esperanzas. Se habla de una nueva ventaja , conseguida estos dias por el co­ mandante de húsares mimándoos D. Juan Palarea. Cádiz 9 de marzo. El mi* rao ella 4 del corriente, en que el Sr. embarcador británico prese otó en pública audiencia sus c reden* ñihs á la Kcrraíb del rey no, d…</t>
  </si>
  <si>
    <t>r la retirada por estar herido , se refugió en una casa, de donde le sacaron los franceses y lo asesinaron inhumanamente. 'Es 6 de marzo sorprehendió D. Juan Palarea (el Médico) entre Villar del Homo y Narros á 46 franceses que escoltaban un carro de municiones, todos los cuales quedaron muertos ó prisioneros. Salieron de Cue…</t>
  </si>
  <si>
    <t>patria. „Dios guarde á Y. S. muchos años. Cuartel general de Flores d« Avila 25 de Julio de 1812 —Lord TVeiiingion , cuque de Ciudad• Rodrigo. — Sr. D. Juan Palarea.” Copia de la contestación á este oficio. Excmo. Sr.: he recibido con todo el aprecio que se merece el sable que Y. E. me ha dirigido de parte de S. A. R. el prín…</t>
  </si>
  <si>
    <t>812 BAZO EL GOBIERNO DE LA REGENCIA DE LAS ESP ANAS. --iTl ESPAÑA. Madrid 24 de noviembre. El capitán D. Miguel Xavier Calvo, comisionado por su gefe D. Juan Palarea para observar los movimientos del enemigo, le avisa desde Arévalo, con fecha de 16 del corriente, lo qué sigue : ,,Ayer noche entraron 200 enemigos de caballería…</t>
  </si>
  <si>
    <t>Palau, José</t>
  </si>
  <si>
    <t>José Palau</t>
  </si>
  <si>
    <t>nte de la quinta partida, pasó el rio, desalojó á los enemigos de algunos parapetos , hirió á 3 ó 4, y los persiguió hasta mas allá de' camino hondo. D. José Palau, comandante de la primera partida patriótica , hizo prisioneros el 10 á 2 franceses que iban del campamento de S. Miguel de los Reyes á Naquera; atacó después á lo…</t>
  </si>
  <si>
    <t>Palavicini, Eugenia</t>
  </si>
  <si>
    <t>Eugenia Palavicini</t>
  </si>
  <si>
    <t>s, TXATXOI. D. Josef María y D. Hipólito Durazo.............. ............................. 36750 En el del Príncipe, á las siete de la noche, se re­ Doña Eugenia Palavicini................... 77176 presentará por la compañía española la comedia anti­ D. Ingrans Bins..... ................. ......... 2000 gua en tres actos tit…</t>
  </si>
  <si>
    <t>Palembini</t>
  </si>
  <si>
    <t>eyno, el coronel D. Matías de Torres, los excesos y crueldades que en el 7 de este mes cometieron en las vi­ llas de Villel y Mochales las tropas dei general Palembini, y Fos castigos y trops ías que Emenszaban á los moradores de Calatayud por la supuesta írajcíen que les atribuía el comandante francés del fuerte de aquella c…</t>
  </si>
  <si>
    <t>Palla</t>
  </si>
  <si>
    <t>Gaceta de Madrid n.º 105</t>
  </si>
  <si>
    <t>vanguardia rosa mandada por el general Palla- nuestra? villas de fábricas y á nuestras ciudades en eow." ' '. otro tiempo tan opulentas, á Liverpool , por exemAUSTRIA. pío, y allí hallarán testimonios darosé irrefragables de la miseria extrema</t>
  </si>
  <si>
    <t>Pallares, Pedro</t>
  </si>
  <si>
    <t>Pedro Pallares</t>
  </si>
  <si>
    <t>estaban en 8. Vicente ; así lo verificó llegando ántes que ellos ; y situándose cerca de la Casa llamada el Cuartel adelantó al teniente de Olivencia D. Pedro Pallares con una guerri-</t>
  </si>
  <si>
    <t>Pallete, Domingo</t>
  </si>
  <si>
    <t>Domingo Pallete</t>
  </si>
  <si>
    <t>o á la cabeza de su compañía, no paró hasta ponerse encima de los cañones, y el se­ gundo murió al pie de ellos ; los otros tres con el sub­ teniente D. Domingo Pallete, se sostuvieron con la mayor serenidad, y rescataron á su comandante del medio de las bayonetas enemigas. El teniente de Numantinos, D. Juan Bautista Roche, i…</t>
  </si>
  <si>
    <t>Blanco Rielera, D. Ramón Araos, D. José Gándara, Don Antonio Herrara, D. Antonio Fernandez, D. José Xímenez y Don Francisco M alano; á I03 tenientes D. Domingo Pallete, y D. Ro­ que B rrasie y D. Juan Rutista Roche; al subteniente D. Tadeo Saiesa ; al arquitecto D- Domingo Radiola, á D. Mu uel Beitran, D. José del Valle y D. …</t>
  </si>
  <si>
    <t>Palma, Casimiro</t>
  </si>
  <si>
    <t>Casimiro Palma</t>
  </si>
  <si>
    <t>uerra. D. Bartolo­ mé Avenio, cura de Macate , 50. D. Bernardino Torres, 12. D. Antonio Ro­ mero, 4. D. Francisco García, 6. D. Santiago Valencia, 4. D. Casimiro Palma, 2. D. Antonio Ramírez, 2. D. José Mexia, 2. D. Hilario Olivera, 10. D. Ma­ nuel de Torres, 10. D. Carlos Villa-Chica, 8. D. José Sánchez, 6. D. José Alegre, 1…</t>
  </si>
  <si>
    <t>Palma, Marcos</t>
  </si>
  <si>
    <t>Marcos Palma</t>
  </si>
  <si>
    <t>to D Juan Ensebio Punentel, 83. El sexto D. Miguel de Jaras, 83. El séptimo D. Matías Gallardo , 83. El octavo D. Pedro José Carrillo , 66. El noveno D. Marcos Palma, 66. El décimo D. Francisco Chacón , 60. El un­ décimo D. Tomas Doblado, 50. El duodécimo D. Lorenzo Amat, 50. El agregado D. Domingo Gangutia , 66. El escribien…</t>
  </si>
  <si>
    <t>Palmo, Martin</t>
  </si>
  <si>
    <t>Martin Palmo</t>
  </si>
  <si>
    <t>ntes de granaderos á D. Arnaido Guillemard , D. Juan Fer­ nandez y D. Diego Barrado; á subtenientes de fudleros á D. José Urcullo, D. Pedro de Vegas, D. Martin Palmo, D. Juan Itobayna, D. Bernardo Domínguez, D. Jacobo Dubreuü, 1). Luis Pana, Don 3JabIo de Ltrin, D. Juan María Grifón, D. Francisco Martínez, D. J osé de Vegas, …</t>
  </si>
  <si>
    <t>Palomar, José María</t>
  </si>
  <si>
    <t>José María Palomar</t>
  </si>
  <si>
    <t>Asimismo S. A. se ha servido conceder en el batallón de in« fardería íixo de Go&amp;temala , compañía de ganaderos á D. An« Ionio María, y de fusileros á D. José María Palomar ; tenencia de granaderos á D. José Garci- Aguirre, y de fusileros á O. Maca* rio Sánchez; subtenencia de granaderos á D. Femando Sánchez, y de fusileros á …</t>
  </si>
  <si>
    <t>Palomares, Marrin</t>
  </si>
  <si>
    <t>Marrin Palomares</t>
  </si>
  <si>
    <t>a. 1100 D. Manneí Flores, residente en Madrid.... 2200 D. Domingo Muñoz, id. en Bedmar...... 2200 D. Benito Guillen y Cerdan, id................ 2aoo D. Marrin Palomares , id. en Jaén............ 2200 D. Manuel Ibañez, id. en Navalcarnero.... 2200 D. Juan Joaquín Jordán, id. en Arquiilos D. Carlos Valeriano Arraniz y Valdes, …</t>
  </si>
  <si>
    <t>Palomares, Melchor</t>
  </si>
  <si>
    <t>Melchor Palomares</t>
  </si>
  <si>
    <t>.............. 2200 D. Pedro de Cañas, id................................. . 2200 D. Josef de Os tos , id....................................... 2200 D. Melchor Palomares , id.,........................... 220® D. Juan Cortés, id............................. .. ............. 2200 D. Juan Manrique, residente enCañcte de D. Juan…</t>
  </si>
  <si>
    <t>Palombini</t>
  </si>
  <si>
    <t>capitanes , 5 tenientes, 3 subalternos , y 4S1 entre sargentos , tambores , mú siecs, cabos y sol­ dados : igual suelte tuvo ua ayudante de campo del general Palombini, que se hallaba allí á la sazón; y la fuerza redante hasta el nú­ mero de 690 de que constaba su total, quedaron muertos en el campo y calles del pueblo, sin q…</t>
  </si>
  <si>
    <t>guida el convento y empezó á minarlo ; pero tuvo que desistir de la empresa por la aproximación de fuerzas ene­ migas muy superiores, mandadas por el general Palombini, quien no se atrevió á atacarle en su retirada. El tercer exército ha vuelto á avanzar por el reyno de Granada, ocupando la fuerte pcsicion de la venía del B u…</t>
  </si>
  <si>
    <t>os españoles, asesinados cobardemente por los franceses el 8 de este mes, en la en­ trada que hizo en aquel pueblo un destacamento de !a división del general Palombini, han sido pasados per las armas en Morí!Tejo 11 Ímsioneros hechos á la misma ; á saber, el teniente coronel Jabais li, gobernador que fué de Calatayud, otro of…</t>
  </si>
  <si>
    <t>bierno espero vuestra contestación. — Cuartel general ambulante 24; de mayo de 1812. — Oj saluda vuestro servidor atento — El ge* neral Duran. —* Sr. general Palombini.” Oficio del coronel I). Matías de Torres á la misma junta, ,,Excmo. Sr.: Las circunstancies deJ tiempo no me han permi­ tido un rato de sosiego para contestar…</t>
  </si>
  <si>
    <t>. ;En los primeros días de este me» se presentó en las inmediacio­ nes de Tadeltt una-'división italiana de 3700 infantes y 300 caballos al mando del general Palombini, que se dirigía hácia Logre pero hahlsndb tenido, según se díxo, orden de trasladarse á Ma­ drid , tomó el 13 el camino de Soria. Las partidas de la división n…</t>
  </si>
  <si>
    <t>Palomino, Juan Francisco de Castro</t>
  </si>
  <si>
    <t>Juan Francisco de Castro Palomino</t>
  </si>
  <si>
    <t>. En América. La Regencia del rey no se ha servido promover ea el regimiento de infantería de Cuba, á capí tan á D Bartolomé Mora­ les : á ayudante á D. Juan Francisco de Castro Palomino; á tenien­ tes á B. Gabriel Menoeal y D. Joaquín Ekmii ; á subtenientes de granaderos - á O. Francisco Valera y D. Carlos Laurent, á subteni…</t>
  </si>
  <si>
    <t>Palomino, Manuel</t>
  </si>
  <si>
    <t>Manuel Palomino</t>
  </si>
  <si>
    <t>lunga, segundo de la contaduría, 50. D. Pablo Posada, tercero de la administración , 20 y 6. D. Nicolás Berastain , tercero de la contaduría, 20 y 6. D. Manuel Palomino, cuarto de la administración, 12 y 4. D. Fidel Hontañon , cuarto de la contaduría , 37 y 4. D. Camilo” Mon­ tes , escribiente de la. administración , 12 y 4. …</t>
  </si>
  <si>
    <t>Palomino, Pedro</t>
  </si>
  <si>
    <t>Pedro Palomino</t>
  </si>
  <si>
    <t>sos y detractores de su gloria. Continúan los donativos del Perú. D. Modesto Antonio Roa, 4 ps. fs. D. Vicente Toro, capellán del Espirita Santo , 4. D. Pedro Palomino , 2. D. Tiburcio Reyes , l. T). Manuel Gutiér­ rez , 1.—E! coronel v comandante de ingenieros D. Pedro Antonio Molina , por el mes ele febrero, 50. El teniente…</t>
  </si>
  <si>
    <t>Paloobiai</t>
  </si>
  <si>
    <t>quedó en mi poder el mejor de les baíafones enemigos que guar­ necen la paite baxa de Aragón , y frustrada la tentativa que" hizo para su rescate el general Paloobiai, de que he dado pnxte á V. S. con fecha, de 29 del anterior y primeros dias del corriente, llegué á reunir sobre TOO prisioneros. JEt no haber un punto de segur…</t>
  </si>
  <si>
    <t>Palqoij, José María</t>
  </si>
  <si>
    <t>José María Palqoij</t>
  </si>
  <si>
    <t>, 25. D. Juan de la Roca , 25. D. Andrés Gómez , 25. D. José Fiaría Dávila , 25. D. José Puente , 25 D, Manuel Sequin , 25. D. Pedro Echeverría , ti. D José María Palqoij , 17. D. Pedro José Colmenares , pres­ bítero , 12. D. José María Galindo, 12. D. Juan Contreras , 12 D. Félix Devo’.i ? 10. D. Manuel Moreno , 10. D. Vicen…</t>
  </si>
  <si>
    <t>Pana, Benaidmo</t>
  </si>
  <si>
    <t>Benaidmo Pana</t>
  </si>
  <si>
    <t>almente hacer mención del batallen primero de Palma , á las ór­ denes del capitán D. Manuel Porta, y con particularidad del coman­ dante de cazadoras D. Benaidmo Pana, el que elogia mucho el porte de sn segundo D. Antonio Camps, que quedó muerto, y al teniente D. Antonio Fio!, herido. V. E. se servirá observar que la mayor pé…</t>
  </si>
  <si>
    <t>Panadería, Francisco</t>
  </si>
  <si>
    <t>Francisco Panadería</t>
  </si>
  <si>
    <t>Juan aquel tribunal. Se vende á 14 rs. en rústica, y se ha­ llará en la casa de la Academia, que es la llamada casi de Retz, y al comisario de guerra D. Francisco Panadería , en la P^aza mayor, y en el despacho de la Casano, individuos de la junta suprimida de quar- real academia española , calle de Valverde. teíes y edificio…</t>
  </si>
  <si>
    <t>Panadero, Antonio</t>
  </si>
  <si>
    <t>Antonio Panadero</t>
  </si>
  <si>
    <t>de los Sres. D. Isidoro Antillon y D. Lorenzo Calvo de Rozas : el 7, de D. Antonio Panadero, alcalde de Miguel-Esteban, y de D. Alon­ so de Castro por sí y en nombre de varios pueblos de la provincia de Orense : el 11 , del juez de primera instancia del Puerto de San­ ta María, Sr</t>
  </si>
  <si>
    <t>Panatier</t>
  </si>
  <si>
    <t>158</t>
  </si>
  <si>
    <t>y pérdida de las acciones del 93 y 24 de julio, reunió 7000 infantes y 600 caballos con el designio de ▼indicar el honor de sus armas humilladas. El general Panatier con 3000 infurtes y 400 caballos ocupó el punto de los Arcos: Brun con 2000 de los primeros y 100 de los últimos ei de Sta. Cruz ; y Reille con igual fuerza de a…</t>
  </si>
  <si>
    <t>Pañelió, Juan</t>
  </si>
  <si>
    <t>Juan Pañelió</t>
  </si>
  <si>
    <t>o á Caleüa, no convoy eneurgn, de­ sando muertas ó h: ndos á 50 solíalos da la escolia . y cegando 7 proponeros y una porción de acémila?. Ei capilan D. Juan Pañelió con el segundo baíal oe de S. Fersandj desalojó ei día 14 de las altaras de 8. Férreo! y Mor, jo- to á un cuerpo enemigo de done fuerza, matáaioie aguaos hombres…</t>
  </si>
  <si>
    <t>Panla, Pedro</t>
  </si>
  <si>
    <t>Pedro Panla</t>
  </si>
  <si>
    <t>anta Cruz , D. José Acero, D. Juan Tena, Don José López Montoya , D. Juan Ramón Llórente, O J uan Muril!o, O. Francisco Benito, D. Francisco Alameda, D. Pedro Panla­ gua, D. Luis Muñoz?, D. Vicente Ortiz, D. Manuel Benito, D. Pe­ dro Latorre, D. Melchor Buba, D. Francisco Alvarez , D. Luis Angel García, O. Pedio Toruno, D Ant…</t>
  </si>
  <si>
    <t>Pannetier</t>
  </si>
  <si>
    <t>orden. Zaragoza 28 de abril. El 16 una coiuna mandada por el coronel Mr. barón d’Arquet, compuesta del tercer regimien­ Cofia ele una carta del señor general Pannetier&gt; to de tiradores de la guardia , de boo hombres del fecha en Huesca el 2 4 de abril de 1812. 28.° de línea y de 2ou Caballos , que escoltaban ,,Mi querido gene…</t>
  </si>
  <si>
    <t>Panneúer</t>
  </si>
  <si>
    <t>n. El intendente Mr. Dumeer, asú­ ihiento 60.* entre Pina y Bujaralos. Habiendo sa­ rente del conejo de Estado, el corregidor y ro­ bido en Haesca eL general Panneúer qua Mina, dos los empicados civiles y militares de la ciudad Malcarado é Irribaras hadan noche con toda su dieron tn este tiempo pruebas de su valor y de su cab…</t>
  </si>
  <si>
    <t>Paokenam</t>
  </si>
  <si>
    <t>xército aliado ; pero el Excmo. Se. duque de Ciudad* Rodrigo la hizo atacar al instante, y fué desalojada con él mayor denuedo por el honorable mayor general Paokenam con la tercera división de su mando: yo tuve orden para sos­ tener en segunda línea este ataque con la división de tropas nacionales de mi cargo, cuyo movimient…</t>
  </si>
  <si>
    <t>Para, Ma</t>
  </si>
  <si>
    <t>Ma Para</t>
  </si>
  <si>
    <t>a resulta á D. Josef Aranda , cx-doJuan de Morales y Ribas, al ex-carmelita calza­ minico. do D. Juan de Prados. Para la deHuecijt,su último poseedor D. Ma­ Para el u.ain de Alcázar, vacante por moer- riano Bcltran, á D. Manuel Gómez, ex-franciscano te de D. Bartolomé Mario, al presbítero D. Fran­ del orden tercero. cisco Pv/…</t>
  </si>
  <si>
    <t>Paraman, Julián García</t>
  </si>
  <si>
    <t>Julián García Paraman</t>
  </si>
  <si>
    <t>Casio. D. Antonio Villaducva. BARRIO DB XAS MONJAS DE TINTO, SARRIO Z&gt;S SAN PLACIO». Alcalde de barrio Alcalde de barrio D&lt; Manuel Redondo Manrique. D. Julián García Paraman. _ Diputado eclesiástico Diputado eclesiástico D. Francisco Martínez Adan. D.............................. Diputados secutans Diputados seculares D. Pedr…</t>
  </si>
  <si>
    <t>Pardave, Antonio</t>
  </si>
  <si>
    <t>Antonio Pardave</t>
  </si>
  <si>
    <t>. Manuel Aidaieo , i. Id. D. Tadeo Rozas , 2. Sargento n»ayor D. Juan Duran , 4. Capitán D. Se­ bastian A costa, 4. Subteniente D. José Ralao, 1. Id. D. Antonio Pardave, 2,—- Partido de Ckimcay. Doña Natividad Nuñez , 2. D. Juan Bureta, 4. L iña Jacoba Pacheco, 1. .Lucas Barrete, l. Doña .Narcisa Pacheco, 4 rs. Martin Rivas, …</t>
  </si>
  <si>
    <t>Pardo, Francisco</t>
  </si>
  <si>
    <t>Francisco Pardo</t>
  </si>
  <si>
    <t>ncorbo, y en Monasterio otro de municiones que de Bur­ gos dirigían al mismo Bribiesca. Con esta noticia destaqué en la ma­ drugada del 15 al a ferez D. Francisco Pardo, para que atacando al convoy de Monasterio, le impidiese socorrer al otro. Yo roe pre­ senté á este último enfrente de Quintanavides, una legua de Mo­ nasteri…</t>
  </si>
  <si>
    <t>Pardo, Josef María</t>
  </si>
  <si>
    <t>Josef María Pardo</t>
  </si>
  <si>
    <t>Gil Antonio L igana. Diputados secutarte .; 5 r x i D. Josef María de B ldosola. D. Juan del Riego. ; ; ol . I Secretarlo D. Manuel L-ipez de Ribas. D. Josef María Pardo. • D. Manuel González Robles.- : ^iiví „CL Secretario BARRIÓ DB LA HDERTA DEL BATO. D. Ramón García Xímenéz. s Alcalde de barrio BARRIO DB! LA LATINA, ,, D. …</t>
  </si>
  <si>
    <t>Pardo, Manuel</t>
  </si>
  <si>
    <t>Manuel Pardo</t>
  </si>
  <si>
    <t>comunica ai Sr. virey los partes que le diri ­ gieron desde Tenango del Vade en 0 y 10 del pasado Junió los ofi­ ciales D Matías Martínez y Aguirre, D. Manuel Pardo , D. Miguel Ignacio Beistegui y D. José Calafat. El primero dice que habiendo salido de Tres Villas con S2 hom­ bres de.su escuadrón y 100 de infantería con. eí o…</t>
  </si>
  <si>
    <t>Parece, Kamens</t>
  </si>
  <si>
    <t>Kamens Parece</t>
  </si>
  <si>
    <t>GRIA. larga lista de los oficiales retirados qae han sido Presburgo 2 / de marzo. empleados nuevamente en el exército. ’ Ha llegado aqui de Moscou el general Kamens- Parece que nó se comunicará ya á la dieta en ki, hermano mas or del difnnto general en gefe la actual sesión ninguna propuesta ni resolucioo del exército de Vala…</t>
  </si>
  <si>
    <t>Paredes, Francisco</t>
  </si>
  <si>
    <t>Francisco Paredes</t>
  </si>
  <si>
    <t>cisco Ortiz , 20. D. Domingo González, 20. D. Manuel Rodríguez Quesada, 4. D. Manuel Ramos , 25. D. Vicente de la Mata, 10. D. Jacinto de la Mata, 10 D Francisco Paredes, 200. D. Mi­ guel Navarrete , 4. D. Miguel Camino , 30. D. Joaquín Malo, 6. D. José Ma­ ría Tello , 6. D. Juan Silvestre Touroi , 20. D. Lorenzo Espinosa , 3…</t>
  </si>
  <si>
    <t>Paredes, Gregorio</t>
  </si>
  <si>
    <t>Gregorio Paredes</t>
  </si>
  <si>
    <t>—Real pratomedicato. El protomédico Don. Hipólito Ünanue , 25ü. Alcalde examinador D. Miguel Tafur, 50. Id. Don Ju.se Vergara, 50. id. supernumerario D. Gregorio Paredes, 25. Fiscal D. Jo­ sé Pezet, 25. Escribano Gerónimo Yrillafuerte, 17. Portero, Pablo Tello , 2. — médicos. D, Gabriel Moreno, catedrático de matemáticas, 100…</t>
  </si>
  <si>
    <t>Paredes, Rafael</t>
  </si>
  <si>
    <t>Rafael Paredes</t>
  </si>
  <si>
    <t>554</t>
  </si>
  <si>
    <t>s los cuerpos de la división que ya iban de­ lante para que tomasen posición : envié el resto del batallón de Ara­ gón con su comandante en comisión, D. Rafael Paredes, á unirse á tos que estaban á la entrada del pinar ; el batallón de voluntarios de Molina lo coloqué á la izquierda del de Aragón sobre la misma línea: detras …</t>
  </si>
  <si>
    <t>Pareja, Francisco</t>
  </si>
  <si>
    <t>Francisco Pareja</t>
  </si>
  <si>
    <t>D. Manuel Crespo , 6. El ilustre cabildo, 12J00. D. Francisco Oramas, 16 D José Moran por resto de los pulperos, 122. Doña Francisca Cortazar, 62 y 4 D Francisco Pareja, 30. D.-Pablo Mendiola, 60. D. Francisco Easaga, 8. D, Francisco Irrisarri , 20. El protomedico D. Ignacio Hurtado, y su mug&lt;r Doña María de los Santos Serna,…</t>
  </si>
  <si>
    <t>Parí, Podro</t>
  </si>
  <si>
    <t>Podro Parí</t>
  </si>
  <si>
    <t>en este dia ha manifest ido que es jutíd no t í. concepto que de él se tiene. No puedo meaos de hacer presento á V. E. , que ei gefe de estado mayor D. Podro Parí til s&gt; ha contribuido mucho con su ac­ tividad y su celo al buen éxito de esta operación, restableciendo el orlen en a gimas compañía* que lo habían perdido ; y tam…</t>
  </si>
  <si>
    <t>Parían, Dionisio</t>
  </si>
  <si>
    <t>Dionisio Parían</t>
  </si>
  <si>
    <t>l comercio, 15.570 y 1. — Oficiales de la secretaría de cámara. D. Manuel Gallegos, 143 y 2. D. Andrés Ámezaga, 95 y 4. D. Francisco Montoya, 79 y 5. D. Dionisio Parían,, 71 y 5. D. Manuel Vera, 63 y 7. D. José Ureta, 55 y 5. D. José Castillo , 47 y 6. D. José. Cicilia, 47 y 6. D. Pedro Robles , 41 y 5. D. Manuel Solano, 41 y…</t>
  </si>
  <si>
    <t>Parias, Mariano</t>
  </si>
  <si>
    <t>Mariano Parias</t>
  </si>
  <si>
    <t>edo, 2.0 de ¡infantería de linea , Condados, ciudades ó al- Número de Número de deas. electores, miembros. D. Alonso Cuenca, subteniente, á teniente: D. Mariano Parias, subteniente , á regiente: Don Francisco Navarro» sargento i.°, á subteniente: Londres.......... 7000 4 D. Juan Antonio Lafuente , sargento i.°, á sub­ W estmi…</t>
  </si>
  <si>
    <t>París</t>
  </si>
  <si>
    <t>rsenne, especial encargado de su emperador para la agregación de Navarra al imperio francés, reunió 19000 infantes y 2000 caballos, combinando con el general París y el gobernador de Jaca la ocupación de: Gállego. Después de un plan meditado, resolvió destruir el valle de Roncal, abrigo de los enfermos y heridos, y á su parec…</t>
  </si>
  <si>
    <t>onde Pannetier. Del t8. ,,E¡; copia conforme. — El general de brigada, Las gazetas inglesas hablan de la profunda im­ comandante superior en Aragón , barón París.” presión que el asesinato de Mr. Perceval ha cau­ Vitoria 24 de mayo. sado ea Inglaterra. Pero el sentimiento de horror no es el solo que este acontecimiento excita…</t>
  </si>
  <si>
    <t>S. Martin. No es inverosímil que es­ te movimiento tenga por objeto el rtíhrzir al exéicií© de M^rmont en Castilla. Cádh \0 de julio. La división del general París que h&amp;bia pasado de Arf gon ó Castila estaba el 18 de junio en Medinaceli y Arcos , donde tenían SOCO cabezas de ganado lanar y 1000 de ganado vacuno, robadas en l…</t>
  </si>
  <si>
    <t>París, Francisco</t>
  </si>
  <si>
    <t>Francisco París</t>
  </si>
  <si>
    <t>en vez de producir Guardia Real; ai teniente de ¡a comii.oi 1 oe tira­ una mutua reconciliación , ha dado márgen á que dores del regimiento de Malaga D. Francisco París se aumenten el odio y la malevolencia; y causan­ ayudante mayor del primer b tallón del mismo do una mayor división en el espíritu público , no cuerpo; al sub…</t>
  </si>
  <si>
    <t>París, Francisco Hernández</t>
  </si>
  <si>
    <t>Francisco Hernández París</t>
  </si>
  <si>
    <t>oficial de de la sección de lo mismo de nuestro consejo de la extinguida contaduría d&lt; I plomo. 3^66 2if Estado, liemos decretado y decretamos lo que D. Francisco Hernández París-, em­ sigue - pleado en Ja contaduría de sau'n.o.. 3&lt;47 27Í articulo 1. ,,Se declaran acreedores del esta­ D. F rancisco Xavier Canseco, oficial do …</t>
  </si>
  <si>
    <t>...... 7.218420 17 £ D. Josef María y D. Fernando Gallego.............................................. 879116 Total...................... 9.053607 7 D. Francisco Hernández París.... 30000 Doñ&lt; Ramona Santillana.............. 25000 Qaeá una suma importan nueve millones,cin­ D. Fernando Bernaldo de Quirds. 7374 *8 cuenta y tre…</t>
  </si>
  <si>
    <t>Parnitse, Juan Biptlsta</t>
  </si>
  <si>
    <t>Juan Biptlsta Parnitse</t>
  </si>
  <si>
    <t>l reconocimiento de ios feudos; sin embargo, la Sr. D. Frutos Alvaro Benito................. 300 investidura teudri lugar respecto de todos aque­ Sr. D. Juan Biptlsta Parnitse................ 200 llos vasallos nuesrros que no la hubiesen, recibid© . Sr. D. Cristóbal Cimbolii...................... 50 todavía, de«pues de h.foei…</t>
  </si>
  <si>
    <t>Parra, Francisco</t>
  </si>
  <si>
    <t>Francisco Parra</t>
  </si>
  <si>
    <t>ado, ni pararseá cxámitiar si les era ven­ D. Jaan de Aranda, i L en J len................. 2 200 tajoso ó perjudicial. ¿Y quáJ será el resultado? El D. Francisco Parra, id............. .................... 2200 mismo que tuvieron las guerras de las comunidades D. Manuel Santiago, id. en Porcuna.......... 2200 y d - sucesión …</t>
  </si>
  <si>
    <t>Parrales, Miguel</t>
  </si>
  <si>
    <t>Miguel Parrales</t>
  </si>
  <si>
    <t>Muela , D. José María Ximcnez , D. Domingo Draper , D. Ma­ nuel Guio, D. Juan Utrero , D. Benigno Merchau, D. Víctor Casasola , D. Pascual del Rey , D. Miguel Parrales, D. Francisco Ay uso, D. Miguel González, D. Antonio (González, D. Angel Liare, D. José Uiloa,D Francisco Acosta, D. Justo Clemente, D. José Sánchez, D. Eustaq…</t>
  </si>
  <si>
    <t>D. Josef Muela, D. Josef Mafia XimenezDon Domingo Draper, D. Manuel Guio, D. Juan Utrero, D. Benigno Merchan, D. Víctor Casasola, D. Pascual del Rey, D. Miguel Parrales, D. Francis­ co Ayuso, D. Miguel González, D. Antonio González, D. Angel Llave, D. Josef Ulloa, D. Francisco Acosta, D. Justo Clemente, D. Josef Sánchez, D. E…</t>
  </si>
  <si>
    <t>Parraverde, Miguel</t>
  </si>
  <si>
    <t>Miguel Parraverde</t>
  </si>
  <si>
    <t>naderos. D. Juan Martin de la Torre, de tiradores. Subtenientes. D. Pedro Morales. D. Josef Ximenez. D. Estanislao Agnilar. D. Juan de Ortega Luengo. D. Miguel Parraverde. art. v. En la villa de Espejo se formarán dos D. Josef Joaquín de Priego. compañías. D. Gerónimo Montilla. Quedaa nombrados para capitanes y oficiales D. A…</t>
  </si>
  <si>
    <t>Pas</t>
  </si>
  <si>
    <t>minis­ fresca la memoria de los dias de amargura que ha­ tro de lo Interior, los quales se cercioracáo de la bían pasado por ellos, para que el señor D. Pas­ calidad y procedencia de dichos algodones. cual Fita dexara de recordar, aunque con harto art. vil. Verificada esta comprobación serán dolor, esta triste época; de compa…</t>
  </si>
  <si>
    <t>Pas, Francisco</t>
  </si>
  <si>
    <t>Francisco Pas</t>
  </si>
  <si>
    <t>s Ola■ciiea , vice-rector , 25. D. Leocadio Santallana , id., 25. D. José Freyre , id. 0 -25. D. José Ostolaza, regente y vice-rector honorario , 25. D. Francisco Pas­ tor , capellán y maestro , 12. D. Pedro Amezaga, id., 12. D. José Beltran, id., 6. D. Redro Rolando., id* 6. D. José Navarrete , id. , 6. D. José Tacaño, id., …</t>
  </si>
  <si>
    <t>Pasaba</t>
  </si>
  <si>
    <t>n G nzakz , alfar z de ía cuarta compañía del cuer­ po de D. Juan Palad a se presentó-el 25 de mayo entre Paria y G°tafe, camino real de TVedo á Madr d. Pasaba á la sazón un correo; y observando González que se había adelantado p-lgo d* su escc-lt», que ere dé unos 120 so‘d; ’o^ , entre ellos 40 de cebaden-’ . dividió á lo? s…</t>
  </si>
  <si>
    <t>Pascu</t>
  </si>
  <si>
    <t>erdad es notoria, Al subteniente de la compañía de cazadores de y se halla confirmada por el testimonio de todos montaña de caballería de Goadalaxara D. Pascu.il los comandantes de los diferentes cuerpos, el con­ Fidalgo teniente de la misma compañía. sejo fne de dictamen que ante todas cosas se espe­ Al subteniente que fue d…</t>
  </si>
  <si>
    <t>Pascua</t>
  </si>
  <si>
    <t>. Juan Antonio Monvella............... 57816 31 esperanzas. Doña Rosa de Simón Puntero........... 9980 20 También se cultiva la poesía con mas esmero D. Pascua! Méndez de Zúñiga, co­ que en otro tiempo, á lo que sin duda ba contri­ mo marido de Doña Maria Na­ buido la favorable acogida que ha tenido del púb!¡. varro de Barcos…</t>
  </si>
  <si>
    <t>Pascual</t>
  </si>
  <si>
    <t>e han tomado fas*providencias convelientes para prender­ los y castigarlos. 2 a Dbs muertos, heridos, y contuso$ del estado mayor son, el briga­ dier D. Pascual blüupoey^que mugió en el ampo; herido el tenien­ te coronel CkKkdyud-inté íefExcmo. Sr. general en gefe ; y contu­ so el ayudante segundo de e.siadó mayor D. José Ant…</t>
  </si>
  <si>
    <t>Pascual, Agustín</t>
  </si>
  <si>
    <t>Agustín Pascual</t>
  </si>
  <si>
    <t>QUILt.0. Alcalde de barrio D. Mariano Sánchez. BARRIO DE' LAS CALESAS. Diputado eclesiástico D. Andes Banitez. Alcalde■ dé-barrio Diputados seculares D. Agustín Pascual. ¡ D. Andrés ladeo Perez. Diputado -eclesiástico D. Francisco Rodríguez. D. Manuel de la Torre.. i D. Eugenio Aguado. Dipul ados seculares , y el último secre…</t>
  </si>
  <si>
    <t>Pascual, Mariano</t>
  </si>
  <si>
    <t>Mariano Pascual</t>
  </si>
  <si>
    <t>1235</t>
  </si>
  <si>
    <t>matar á estos renegados. No pudo lograrlo, á pesar de sus buenas disposicio­ nes ; porque á las 5 horas de su llegada al Mas de las Malas ya salla el D. Mariano Pascual con su comitiva de renegados para Zaragoza, y entre ellos un infame Capuchino, administrador de los bienes na­ cionales de toda la tierra baxa; pero no por es…</t>
  </si>
  <si>
    <t>Pasíjuel, José</t>
  </si>
  <si>
    <t>José Pasíjuel</t>
  </si>
  <si>
    <t>Delgado , 8. B. Juan Piñeiro, 8. D. Felipe Arria, 8. D. Mariano Ay lucrdo, 13. D. Ma­ nuel llenera, S. D. Pedro Norieaga, 8. D. Juan de la Peña , 8. D. José Pasíjuel , 8. D. José María Torres, 8. D. Ignacio Icaza, 8. D. Manuel Icaza, 8. D. Carlos Icaza, 8. D. Manuel Solar, 8. D. Juan Garro, 8 D. Joaquín Jordán , 8. D. Cosme M…</t>
  </si>
  <si>
    <t>Pasqnal, Pedro</t>
  </si>
  <si>
    <t>Pedro Pasqnal</t>
  </si>
  <si>
    <t>. Manuel Santos.......... . * f I mortal dd&lt; Otro .,. .. D. Juan Muntsiroso.. . . • » 1 Rey. . .. Cadete.. .. 0. Fernando Chencha.. . • * Otro ... .. D. Pedro Pasqnal. 1 l tercera. O tro •»»• o D. Diego Garce* • • •.. . A .•« CastrcpoL Capitán. .. D. Fernando, YiUaamü. . p •. '] /nr ( Oapitd.n • •« D. Ceiareo García., • *,. i…</t>
  </si>
  <si>
    <t>Pasquier</t>
  </si>
  <si>
    <t>Gaceta de Madrid n.º 59</t>
  </si>
  <si>
    <t>e en que dice Vdihrd: „0. advierto piezas concernientes á este negocio, que le había que mi oído se parece á una niebla densa, que me pasado el señor barón Pasquier, prefecto-de Policía. impide percibir y distinguir b" objetos, ha. ta oue Estas piezas «e reducen á tres, á saber, el informe el sol venga á disipar a.” Mr. Fabre…</t>
  </si>
  <si>
    <t>Pastor</t>
  </si>
  <si>
    <t>tro para Cuenca con vtres carros de tabaco y otros efectos, y un sobrino del gene tal Daultane. Se dice que pronto sal­ drá otro para Andalucía. — El comandante Pastor acaba de coger un correo de Francia que venia escoltado con 50 hombres, de lo* que solo ha escapado el que traía la correspondencia militar ; pero la pública y…</t>
  </si>
  <si>
    <t>Pastor, Juan Francisco</t>
  </si>
  <si>
    <t>Juan Francisco Pastor</t>
  </si>
  <si>
    <t>ó ciudad donde esten ó ¡aflu­ Por deeretos de 15 del corriente se ha dignaos yan los tales señores, si no se han sacado los jóve­ do S. M. promover á D. Juan Francisco Pastor» nes de sus casas; si no han abandonado muchos' primer teniente dé la primera compañía de zapa­ otros (a* mismas por irse á buscarlos, y qué res­ dores …</t>
  </si>
  <si>
    <t>1 17 de fragata, capitán de oavío, y de una nuev.i com­ D. Joaquín de Cifuentcs............. 1173 8f pañía de guardias marinas, creada en e! departa­ D. Juan Francisco Pastor............ 270 2 {jé1 mento de Cartagena. En este destino al mismo D. Josef Lacroust....................... 4061 8¿ tiempo que el Sr. Mazarredo velaba …</t>
  </si>
  <si>
    <t>Pastor, María Petra</t>
  </si>
  <si>
    <t>María Petra Pastor</t>
  </si>
  <si>
    <t>te sobre la disciplina y moral de los alumnos, es­ landia.................................. 4873 17 cribía un excelente tratado de navegación para su Doña María Petra Pastor..... ...... 34909 enseñanza , y descendía con delicia á adiestrarlos Dona María de [a. Encarnación por sí mismo en las prácticas del pilotage. Esmosicn..…</t>
  </si>
  <si>
    <t>Pastor, Vicente</t>
  </si>
  <si>
    <t>Vicente Pastor</t>
  </si>
  <si>
    <t>José María Cartagena por ios servicios importantes que ha hecho, y por los cnai-e* te eonaidero acreedor á plaza de subteniente de zapado­ res ; y é D. Vicente Pastor, vecino de Aranda , que ha abandona­ do sus bienes por servir á la patria, y á quien por el distinguido mérito que ha eos traído en esta operación, considero mu…</t>
  </si>
  <si>
    <t>Pastor, Yictor</t>
  </si>
  <si>
    <t>Yictor Pastor</t>
  </si>
  <si>
    <t>al de las compañías primeras, y guerrillas de ambos batallocesV. E. sabe graduar el mérito de ios que se distinguen , como lo hará con el subteniente D. Yictor Pastor y el cadete D. Narciso Iriarte, ambos del tercer batallón, á quienes cuento entre los 7 heridos y na muerto, que hacen toda mi pérdida. — Nuestro Señor guarde á…</t>
  </si>
  <si>
    <t>Pastrana, Vicente</t>
  </si>
  <si>
    <t>Vicente Pastrana</t>
  </si>
  <si>
    <t>j , 17. D. Pedro José Colmenares , pres­ bítero , 12. D. José María Galindo, 12. D. Juan Contreras , 12 D. Félix Devo’.i ? 10. D. Manuel Moreno , 10. D. Vicente Pastrana , 10. — Estudiantes de medicina. D. Mariano Campero, 17. D. Mariano Murga, 8. D. Norberto Ve­ ga , 4. D. Isidro Andrade , 4. D. Ramón Anderos, 4. D. José Peq…</t>
  </si>
  <si>
    <t>Patino, Francisco</t>
  </si>
  <si>
    <t>Francisco Patino</t>
  </si>
  <si>
    <t>ítero, yendo mui á propósito que la sabiduría carnal ex-franciscano; vacantes la primera por fallecimien­ solo enseña delirios y engaños (i).’* to de D. Francisco Patino, y la segunda por as­ censo de D. Francisco Aleará. G azeta de la regencia del 4 de junio. Y para qne sirvan en encomienda los beneficios que se expresan á l…</t>
  </si>
  <si>
    <t>Patricio</t>
  </si>
  <si>
    <t>sperar ó comprometer el amor Mi amigo, el que desde ella me habia llevadd propio de ella, quundo no fuese el ..honor de qua á aquel pueblo , se llama D. Patricio, y el nom­ justamente es zelosa. Pero reflexione vmd. bien sí bre dei que aili se hallaba emigrado de Valencia la operación política , dirigida en Bayona en el año e…</t>
  </si>
  <si>
    <t>Patrie</t>
  </si>
  <si>
    <t>Gaceta de Madrid n.º 214</t>
  </si>
  <si>
    <t>parece que indican sos es­ tuir á la Europa el comercio y la navegación , usur­ peranzas de vmd. i pados á todos por aquella enemiga. Pero como pa­ y D. Patrie io. Tanto peor para nosotros , que ra atacarla entre tanto no haya otros medios que e* formando un orgullo de esta dilación , capaz de con­ de oponerse ú su comercio ,…</t>
  </si>
  <si>
    <t>Patrón, Pablo</t>
  </si>
  <si>
    <t>Pablo Patrón</t>
  </si>
  <si>
    <t>Almacenes de pólvora. Fiel de almacenes Don Luis Drliz , 66. D Manuvl Lauiarca , guarda , 20. D. Ventura Aguilar , ensa­ yador mayor interino , 150. D. Pablo Patrón, capitán retirado del estado ma­ yor de esta plaza , 145. (Se continuará.) CADIZ : EN LA IMPRENTA REAL.</t>
  </si>
  <si>
    <t>Pavía, Félix</t>
  </si>
  <si>
    <t>Félix Pavía</t>
  </si>
  <si>
    <t>ia real D. Juan Quintanr» á mayor del mismo cuerpo en Londres 2¡¡ de febrero. la vacante de D. Joan Bautista Barage; y al capi­ tán del propio cuerpo D. Félix Pavía á coman­ Ann no está enteramente formado el nuevo dante de batallón en reemplazo de D. Juan Quinministerio. El lord vizconde de CaSflereagh" fue tano. ayer á C-rl…</t>
  </si>
  <si>
    <t>Pavía, Manuel</t>
  </si>
  <si>
    <t>Manuel Pavía</t>
  </si>
  <si>
    <t>f Vigil............ ........................... 723 24 Extracto de las minutas de la secretaría de D. Baltasar de Ostabat............ 4093 27 Estado. D. Manuel Pavía................................... 913 10 En nuestro palacio de Madrid á 20 de junio D. Miguel López................................... 3*5* f de 1812. D. Antoni…</t>
  </si>
  <si>
    <t>Pavón, Francisco González</t>
  </si>
  <si>
    <t>Francisco González Pavón</t>
  </si>
  <si>
    <t>6 y 5. — Id. terceros. D. José Gervasio del Campo , 50. D. Manuel de Zumaeta, 50. D. Ignacio Odum; 50. D. Tomas Larrea, 50. D. Joaquín de Arece , 50. D. Francisco González Pavón, 50.— Oficiales amanuenses. D. José Mariano Bustarnanie , 41 y 5. D. Ignacio Talamantes yBaeza,41y5. D. Gregorio Laiseca , 41 y 5. — Contadores de mo…</t>
  </si>
  <si>
    <t>Pavón, Ildefonso</t>
  </si>
  <si>
    <t>Ildefonso Pavón</t>
  </si>
  <si>
    <t>de la Vega, id. en Seral, la falsa opinión pública. ¿Solo habéis de ha­ go.via................. 2200 blar qnando esperáis ser aplaudidos de la muche­ D. Ildefonso Pavón,id. en id....................... 2200 dumbre? ¿En qué está pues vuestro mérito para D. Manuel Vegas, id. en Fuente Santa con la patria si sacrificáis sus inte…</t>
  </si>
  <si>
    <t>Pavón, Josef María Muña</t>
  </si>
  <si>
    <t>Josef María Muña Pavón</t>
  </si>
  <si>
    <t>.............................. 2 200 D. Diego Sánchez, residente en Córdoba.. 2200 D. Jos:f Escribano , id............. ........................ 2200 D. Josef María Muña Pavón, id................... 2200 D. Gcrónimo de L-roir, id............. ............... 22CO D. Rafael Veleña, id................................... 2200 D.…</t>
  </si>
  <si>
    <t>Paysan</t>
  </si>
  <si>
    <t>mero de loS oficiales enfermos de nuestro exér­ cito de Portugal. Entre los que acaban de llegar en este estado se hallan el mayor general Murray, El coronel Paysan tuvo aviso el 19 del cor­ quartel-maestre general, y el general Packenhatn, riente que las qnadrillas del Comisario y T*&gt;masicuñado del lord Welligton. También es…</t>
  </si>
  <si>
    <t>Payssan</t>
  </si>
  <si>
    <t>y decretamos lo que sigue: siete que fueron cogidos, tomándoles sus caballos. articulo i. ,,Se formará una compañía coa Entre la gente del mando del coronel Payssan solo la denominación de compañía fixa de infantería de fue herido el nominado Ruiz, de cuyo aliento lu­ Guadalaxara', destinada para la guarnición de di­ ce uu pa…</t>
  </si>
  <si>
    <t>Paz, Francisco Cándido</t>
  </si>
  <si>
    <t>Francisco Cándido Paz</t>
  </si>
  <si>
    <t>Sr. D. Josef Vaca de Guzinan. Ministros. Sr. D. Francisco Alfonso de Tuero. = Sr. D. Ildefonso Cres­ po Mayor. = Sr. D. Vicente María Cabero. = Sr.- D. Francisco Cándido Paz. = Sr. D. Ramón Satue. =Sr. D. Josef García de la Torre. = Sr. D. Ra­ món Macia Lleopat. = Sr. D. Manuel Lartiga. = $r. D. Francisco Marchamalo. Fiscales…</t>
  </si>
  <si>
    <t>Pazos, Domingo</t>
  </si>
  <si>
    <t>Domingo Pazos</t>
  </si>
  <si>
    <t>nto de Granada , 4.° de infantería de línea , á subteniente del de Castilla , i.° de infan­ S. M. ha nombrado ministro de Guerra y de tería ligera; y D. Domingo Pazos, subteniente Marina al stñor mariscal de campo Togny, y mi­ de la compañía de cazadores de montaña de caba­ nistro de Policía general al señor duque de Cam- lle…</t>
  </si>
  <si>
    <t>Pc, Sir Home</t>
  </si>
  <si>
    <t>Sir Home Pc</t>
  </si>
  <si>
    <t>on la junta ó diputación del señorío. Sin des­ montar todavía , recibí aviso de que los ingleses trataban de des­ embarcar. en la costa , y de que su comandante Sir Home Pc&gt;ham deseaba que &gt;o amrgcra á Bilbao á ña de contener las co­ { nnivas enemigas que se habían puesto en marcha sobre Lequeitie, M trico y el resto de la co…</t>
  </si>
  <si>
    <t>Pcniatcuski</t>
  </si>
  <si>
    <t>restablecer la"'existencia política de Polonia, como lo biza cinco anos ha en ia guerra pasada con Rusia; y corría la vez de que rfrecia la cocona al príncipe Pcniatcuski, y casarle con la princesa Augusta de Saxonia. PORTUGAL, Lisboa 6 de junio. Oficio del mariscal general marques de Torres Vedras (lord fí e* llingion) 4 D. …</t>
  </si>
  <si>
    <t>Pcntigoso, Cristóbal</t>
  </si>
  <si>
    <t>Cristóbal Pcntigoso</t>
  </si>
  <si>
    <t>nero. Parte dirigido á la junta superior de la provincia de Toledo por los comaniantes D. Claudio Escalera, L&gt;. Vicente Giralda , 1). FeliciaCuesta y D. Cristóbal Pcntigoso. “Excmo. Sr.: No pudiendo mirar con indiferencia la libertad, con que la columna volante de D. Benito , de 270 infantes y 115 caba­ llos , se había propue…</t>
  </si>
  <si>
    <t>Pcñuelas, Luis Pcrez</t>
  </si>
  <si>
    <t>Luis Pcrez Pcñuelas</t>
  </si>
  <si>
    <t>­ terreno, porque esto depende de la calidad del sne- litado para el despacho de la escribanía del número de lo, de la temperatura de la estación &amp;c. D. Luis Pcrez Pcñuelas en sus ausencias y enfermeda­ Como la sitíenla en qne está encerrada la si­ des , se cita , llama y emplaza á todos los que puedan tener derecho á los bie…</t>
  </si>
  <si>
    <t>Pcreira, Sebastian</t>
  </si>
  <si>
    <t>Sebastian Pcreira</t>
  </si>
  <si>
    <t>Union se com­ D. Samiago López , subteniente agregado , á portaron bien ; y parte del regimiento de Braga, teniente de la primera compañía. siendo el coronel Sebastian Pcreira, comandante D. Juan de la Rosa, teniente ,á teniente de tic uno de los rtferido* batallones. Esta división la segunda compañía. ¿ no perdió banderas , …</t>
  </si>
  <si>
    <t>Pcwys</t>
  </si>
  <si>
    <t>s cortaban la comunicación con el cuerpo de ía plaza , y ata­ caban el fuerte por su garganta, el del ceníro en minero de íOO ■hombres, al arando del capitán Pcwys del 83, escaló ía obra por su ángulo saliente, cji un- punto en que la empalizada había sido muy estropeada por el fuego, de las baterías de los s fiadores. Los pi…</t>
  </si>
  <si>
    <t>Pczusla, Joaquín</t>
  </si>
  <si>
    <t>Joaquín Pczusla</t>
  </si>
  <si>
    <t>nene, D. José Cadenas, D. Miguel E razquio, D. Francisco Ovando, D. R^mon Lavandeyrs, D. Lázaro Viílasante, D. Francisco Leoni, D. Francisco Torrado, D. Joaquín Pczusla, D. Mariano Aznarez, D. Luis Calieron, D. José Salomón y D. Juan Arnaiz ; en atención á la aplicación , aprovechamiento y bue­ na conducta que han manifestado…</t>
  </si>
  <si>
    <t>Pe, Esteban</t>
  </si>
  <si>
    <t>Esteban Pe</t>
  </si>
  <si>
    <t>guel Primero, D. Antonio Urblna, D. Earique Fu­ rias, D. Juan Dionisio Arcaya, D. Pablo Hernández, D. José Ma­ ría Telíería, D. Juan Agustín Oberfco, D. Esteban Pe tí, D. Manuel Osteycochea y D. Manuel E ysaga; de teniente de las mismas milicia» de infantería, á D. Torlbio Bsttüaeourt, D. Casimiro García, D. C &gt;sme Armera, D.…</t>
  </si>
  <si>
    <t>Pé, Pedro</t>
  </si>
  <si>
    <t>Pedro Pé</t>
  </si>
  <si>
    <t>Te!lita , D. Joaquín Martel y D. Pedro Antonio de la Torre, los do* últimos graduados de te­ nientes : y subtenencias á los cadetes del mismo cuerpo D. Pedro Pé­ rez Ponce y D- Manuel Carvajal, y á los de la academia militar del cuarto exército Tomas García y i?.-Agustín liada. Buques que han recogido correspondencia en la ad…</t>
  </si>
  <si>
    <t>Pe, Pedro Regalado</t>
  </si>
  <si>
    <t>Pedro Regalado Pe</t>
  </si>
  <si>
    <t>. El secretario del gobier­ no y capitanía general, D. Juan Ibañez por 4,36. D. Agustín Valdés por 4 j 36. Él coronel D. Mauricio de Zúñiga por 2,18. D. Pedro Regalado Pe­ droso por 10,90. El auditor de guerra de esta plaza, D. pomingo Sautibañez por 2, 18 D. Juan Montero por uno, 9. El coronel D. José Ricardo O-farrilt por 1…</t>
  </si>
  <si>
    <t>Ped</t>
  </si>
  <si>
    <t>ne;.......... .. • 1 • f Coronel. . . D. Antonio Gaspar Blanco • 1 Irlanda. . 5 CaP' el .tenA coronel. . D. Aguitin Noguera... •. • 1 • V Subt. aban. D Ped ro Sánchez............. .... • 1 • V RIME 11A . C Capitán. • . D. Tomas de !a Fuente. • • • 1 • Cantabria &lt; Ayudante. . D&gt; Mateo Primo. ••••«»» • • 1 C Teniente . . D. Ale…</t>
  </si>
  <si>
    <t>Ped, Pedro</t>
  </si>
  <si>
    <t>Pedro Ped</t>
  </si>
  <si>
    <t>ino también como valientes soldados ; así como en el batallón de Rioja el capitán D. Pedro Sologaistoa , el te­ niente ü. José Díaz, los subtenientes D. Pedro Ped rosa, D. José Bernatd y D. Leandro Baró , y los soldados* D.: Estbban .Quarteto , y Agustín Jarqüe : y eri eh de Soria, el cabo primero Francisco Atasío y el soldad…</t>
  </si>
  <si>
    <t>Pedraja, Mariano</t>
  </si>
  <si>
    <t>Mariano Pedraja</t>
  </si>
  <si>
    <t>ntas de tierra y sus subalternos, por un año, por 6, 54. El co-nnalor y empleados en el hospital real de S. Ambrosio, por 3 durante la guer­ ra , 20. D. Mariano Pedraja, por uno en 0 meses , 9. 1). Nicolás £\rez , id. 9. D. Simón del Moral, por 2 en un año, 1S. El mismo como encargado por el Gobierno para la colección de dona…</t>
  </si>
  <si>
    <t>Pedresa, Simón</t>
  </si>
  <si>
    <t>Simón Pedresa</t>
  </si>
  <si>
    <t>tes, 4 reyes de armas, y una numere sa ccmitiva de personas de distinción y oficiales de todas graduaciones ; luego la c.'u’ad, cu­ yo penden llevaba D. Simón Pedresa ; y cerraba el acoró pF ñamiento una compañía del depósito militar, también con mírica. Llegados á la plaza, subió al tablado el corregidor con les rej?s de arm…</t>
  </si>
  <si>
    <t>Pedro</t>
  </si>
  <si>
    <t>etener los progresos del cartaginés. Fernando (14) , y quando la unión de Valencia, En este intermedio, sano este de sn ..Jjeipda, baxo el reinado de D. Pedro el iv en 1347 y hizo redoblar los ataques: ya tres torres y el lien­ 1348 (if); y en fi°» que fue tomada por D Pe­ zo que sostenían habían caído á tierra, y los es- dro…</t>
  </si>
  <si>
    <t>tallo­ nes- el coronel Di Pabló Astcte, el teniente coronel D. Mariano Lech nga, y (‘1 de igual clase O. Domingo Luis Astcte. los sargentos ma­ yores D. Pedro .Barrera, D. Felipe de las Eras, D Martin de Indacoechea, y algunos oficiales han manifestado un valor extraordinario, digno dé la preferente consideración de Y 8.-—La …</t>
  </si>
  <si>
    <t>distinguido mérito que han contraido los indivi­ duos del consejo, interino de-Regencia. D¿ Joaquín Blake, capitán general de los reales exercitos*. D. Pedro deAgar, capitán de navio de la real armada, y D. Gabriel de Ciscar, gefe de escuadra , des­ empeñando sus importantes funciones con un celo y patriotismo dignos del reco…</t>
  </si>
  <si>
    <t>Y asi es mui importante qne las pri­ Por decreto de 20 del mismo el REI se ha meras cste-n bien abastecidas de ia primera nuteria, servido nombrar á D. Pedro tí-arcía Pinillos pro­ sin lo qual no podrían continuar. curador síndico de I3 municipalidad de esta curtí.; Es de esperar que, atendiendo al gran consu­ al conde de Can…</t>
  </si>
  <si>
    <t>ofrece á la meditación de los sicilianos, y mero del coro de la misma santa iglesia de Grana­ de’donde pueden inferir las consecuencias que les da; i D. Pedro. Qaerejazn, presbítero y ex-franamenazan , y tales son les auspicios baxo los gua­ ciscano , para el beneficio en encomienda de la .par­ les lord Bentink llega á Sicili…</t>
  </si>
  <si>
    <t>uer­ Géiona'JP;‘Manuei), coronel del ieál caerpo.de ra de primer^late. ‘ -.ingenieros. . . ' Cardenal ( Dv^Disograeias) comisario de policía Güibert.(D Pedro), sargento de. caballos ligeros , de Madrid. dé la' guardia'Veiil." . Casamayor (D. Pedro) &gt; del comercio dé Sevilla. Gtízáblmiaga ('£&gt;.-Feliciano), ayudante primero Cas…</t>
  </si>
  <si>
    <t>canal , qne quia jde S. Bartolomé íde Salamanca, vacante por secqmunicará con el del Schiazza ».y servirá igual- muerte de D. Leonardo de la Peña , á D. Pedro méate para rectificar y ensancharla madre;de estp Marrin.' Rodrigues» ex.jncrcenario calzado. rio,;ypara desecar las lagunas qne se encuentran , Y para,otro de la parro…</t>
  </si>
  <si>
    <t>io D. Manuel Arce. D. Francisco Marchámalo. BARRIO DEL AMOR D« DIOS* BARRIO BE SAN PASCUAL. Alcalde de barrio Alcalde de barrio D. Fraacisco Carreño. D. Pedro de loio.</t>
  </si>
  <si>
    <t>iástico D. Ramón Romero. D. Juan Romnaldo'de Rozas. Diputados seculares Diputados seculares D. Manuel Moreda. D. Fernando dél Sotiibo. D. Pedro Bazo. D. Pedro Madrid. D. Severiaoo Xaramillo. D. Lorenzo Marqueta. , Secretario ‘ Secretario D. Juan Roiz Divila. D. Luis López de Castro. BARRIO DE LAS BARONESAS. BARRIO DE LAS NINA…</t>
  </si>
  <si>
    <t>cumple años de la reyna­ na estra señora , su augusta madre, el 17 de diciembre, y del bautizo del recien nacido infante , hijo del infante de España D. Pedro y de la princesa Dcñ% María Teresa. Al lord Weiiington, ademas del tí­ tulo de conde de Vimeyro, se ha dado ahora el de marques de Torres-Vedras; a* ronde de Redondo se…</t>
  </si>
  <si>
    <t>n- &gt;. te de anilleoda D. Mariano Castro, vecino de id. , 560. El coronel D. Tomas Bueno , vecino de id. 50-&gt;. £1 cabo Juan Manuel Pajares, de id., 10.D. Pedro .fosé de la 'forre cura de Huacho, 25. El presbítero.D. Podro red roso, iníái p:e5e de la doctrina de Pacchas, 12. Id, D. José y D, Manuel Cevalios, id,, 12. 1). Antoni…</t>
  </si>
  <si>
    <t>mágica, Ya se v** Al ex-trinitario calzado D.Juan Zato para el como anda por entre tiz mes y pucheros, no es de Cazaiegas, vacante por destitución de D. Pedro maravilla que la pobre esté grasicnta, mugrienta, Josef Periusa. holliníeota y empecinada. Y^eamos pues si pode­ Y a¡ ex-carmelita descalzo D. Pedro Cervan­ mos lavar á…</t>
  </si>
  <si>
    <t>va aumen­ ñez para el de la villa de Armiñon, en la misma tándose todos los años, según resulta de las listas provincia, vacante por fallecimiento de D. Pedro de los nacidos, cuyo número ha sido durante el de Estrada ; y á D. Josef Gómez Mariñon , medio año último mucho mayor que el de los muertos. beneficiado de la parroquia…</t>
  </si>
  <si>
    <t>los maestros ar­ D. Nicolás Berroya y Aíviz, D. jos^f Fernandez meros ; pero no podrán de modo alguno vender, Mayoral, D. Manuel A: vatez deSorribis, D. Pedro comprar ni negociar armas usadas. Bermudez y Riobó, D. Antonio Pellico, D. Pedro 10. Las personas particulares que hubieren P.-iItco , D. Josef M ogauti, D. Alexo D iz,…</t>
  </si>
  <si>
    <t>aqui; el que no esté Fernandez ( D. Juan), cazador de montaña de contento que se vaya. Avila. O. B. ¿ De veras ? ¿ con que de veras deter­ Galaberr {D. Pedro), hacendado. mina vmd- no irse? Venga un abrazo. Siempre Ingles ( D. Josef) , hacendado. dixe yo que D. Pedro era hombre de juicio. Jura Real (Marques de) , caballero ma…</t>
  </si>
  <si>
    <t>s recursos y obstáculos que cada uno dé elloa gro , y sea por el santo que quiera.- Lo cierto es, podrá encontrar, y previsto todos los trances y Sr, D. Pedro, que á la tercera va la vencida , y accidentes de la guerra; y en vis:a de todo decidcF que ahora no ha de ser como lo de Ocaña y Ta­ vmd. rotundamente que vienen á Mad…</t>
  </si>
  <si>
    <t>Y en coche podrán veoir, si no encuen­ les v portugueses, y eso no vale la pena. tran en el camino qnien les diga nada, y si tieneo JD. B. Por Dios, D. Pedro, no diga vmd. bien guardadas las espaldas. El diablo es este exér- esas cosas; tenga vmd. juicio. clto del centro, y este exército de Valencia, que JD. P. Dios nos lo dé…</t>
  </si>
  <si>
    <t>gente, si la mata­ ni aquí lo creía nadie , por rn.¡s que se empeñaba ban pm tas calh-s, y si las mugares se presentaban t-li pcrsu-idit .0 el pobre D. Pedro, :,q leí que se en púolico. Tal era la impenetrable barrera que casó con la hija tonta del hidalgo c u.sabido por habían opuesto á la comunicación , y tai el cúmu­ el dr…</t>
  </si>
  <si>
    <t>tel general de Granada 19 de setiembre de 181.2.= Exento. Sr. = Francisco Ballesteros.” Madrid 12 de octubre. Con motivo de la muerte del Sr. Infante D. Pedro, acaecida en RioJar.eyro, acordó la Regencia se vístala corte de luto por un mes, que em­ pezó en 19 de setiembre. El limo. Sr. Gefe político en comisión de esta capita…</t>
  </si>
  <si>
    <t>se repartiesen á sus correspondientes destinos. Reunidos con D. Pedro Baranda ios regidores del ayuntamiento consti­ tucional D. Manuel de Riláacova, D. Pedro,Uñarte y D. Lucas de Carran­ za, y. los de la municipalidad-D. Juan Antonio Pico, D. Genaro Faustino dél Rincón, D. Lorenzo Iruegas,D.. Diego Barreda, D. Josef Ocharan,…</t>
  </si>
  <si>
    <t>le obedezcan y auxilien en el desempeño .de sus i funciones’. Dios guarde á V. S. muchos años. Cádiz 19 de noviembre de 1812.=: Josef Pizarro. =r Sr. D. Pedro, Sainz- de Baranda.'’ - ; Pueblo sábió. y generosp j, él Gobierno aplaude tu prudente conducta, y yo no cesaré jamas de admirarla; enseñado por una larga alternativa de…</t>
  </si>
  <si>
    <t>.^Kobrin 15 de agnsío. — ÍI general comandante B. Pero Venga vmd. acá, Sr. D. Pedro-, ;qué en gefe de! séptimo cuerpo dd ejército grande, si he de hacer yo.? ¿ MI opinión hará acaso que esto se íJipado 5= Regnier. acabe una hora mas presto? ¿Han de pedir mi voto para que es</t>
  </si>
  <si>
    <t>Pedrosa, Pedro</t>
  </si>
  <si>
    <t>Pedro Pedrosa</t>
  </si>
  <si>
    <t>da de pasar un brazo, y el de ca­ zadores D. Josef Bernaz , los subtenientes D. Cipriano Galvez, D. Manuel Hurtado, D. Vitorino Tabuenca, mi ayudante D. Pedro Pedrosa, el sar­ gento 2.0 Agustín Jargue , que salió herido, y el distinguido D. Timo­ teo Ruiz: las compañías de granaderos, cazadores y primera de fusileros se han p…</t>
  </si>
  <si>
    <t>le 'pasó un brazo , y el de cazadores D. José Remad , los subtenien­ tes D. Cipriano Garde, D. Manuel Hurtado y D. Victorino Tnbuei'r ca, mi ayudante D. Pedro Pedrosa , el sargento segundo Agustín Jarque . que salió herido, y el distinguido D. Timoteo Raíz : las compañías de granaderos, cazadores y primera de fusileros se han…</t>
  </si>
  <si>
    <t>Pedroso, Francisco Xavier</t>
  </si>
  <si>
    <t>Francisco Xavier Pedroso</t>
  </si>
  <si>
    <t>Calderón, por 2 (durante sn año) 18. D. Francisco Ajuria, por 2, durante un año, y en adelante por «no, 18. D. Juan de la Sierra, por uno (un año) 9. D. Francisco Xavier Pedroso , por 3, durante la guerra, 27. Í&gt;. Manuel García Caraballo ha ofrecido 1000. ps. de contado y 50 men­ suales durante un año. El presbítero D. José F…</t>
  </si>
  <si>
    <t>Pedroso, Ignacio</t>
  </si>
  <si>
    <t>Ignacio Pedroso</t>
  </si>
  <si>
    <t>Velez por uno, 9. D. Luis Amedey por uno , 9. D. Ramiro Hervías por 2 , 18. Doña Monserrate Chacón por uno , 9. D. José Matías de Azebal por 2 , 18. D. Ignacio Pedroso , durante la guerra por 4 , 36. El Dr. D. Dionisio Vicente Matamoros por uno , 9. El capitán D. José Urquidí por 2,18. El marques de Villalta por 10,90. El com…</t>
  </si>
  <si>
    <t>Pedroso, Joaquín</t>
  </si>
  <si>
    <t>Joaquín Pedroso</t>
  </si>
  <si>
    <t>D. BeJen Ramírez, id., 9. D. Ramón Hano v Ve­ ga y su hermano D. Ignacio, por 4, 36. D. José María de So-oícngo, anualmente durante la guerra , 500. D. Joaquín Pedroso, id., 100. El moreno Juan Nepomuceno Diez, id., 54. D. Juan Antonio Cordero, id., 54. D. Do­ mingo Urquijo, id., 54. D. Pedro Benitez, id. , 54. D. Juan Nadin …</t>
  </si>
  <si>
    <t>Peinado, Andrés</t>
  </si>
  <si>
    <t>Andrés Peinado</t>
  </si>
  <si>
    <t>.. 2100 testamento de Cirios n. E.tablecidt una nueva D. Jutn Vi iarejj, id................ *200 dinastía en Francia sobre el trono de los B irbones» D. Andrés Peinado, id. en Jaén.................. 2200 todos los políticos sensatos con M.-ieron que era im­ D. Melchor Peral, id.................................... 2200 posible…</t>
  </si>
  <si>
    <t>Peinado, José María</t>
  </si>
  <si>
    <t>José María Peinado</t>
  </si>
  <si>
    <t>n Bautista Asturias. — Sr. Dr. D. Antonio de Larrazabal, diputado en Cóites per Guatemala.” En una círta que el comisionado del cabildo de Goaíem-da, D. José María Peinado, escribe desde la ciudad de S. 8a vador con fe­ cha de 7 de enero al mismo Sr. D. Antonio de L ¡untaza bal, reitere las muestras de jubito y de lealtad con…</t>
  </si>
  <si>
    <t>Peirano, Carlos</t>
  </si>
  <si>
    <t>Carlos Peirano</t>
  </si>
  <si>
    <t>.....1. . . . 1. . . . 2. . Total..................24. ... 71. ... 13. . . 108. . Entre los muertos se cuenta al capitán D. José Ruiz y al tenien­ te D. Carlos Peirano, del regimiento de Tres Villas; y entre los he­ ridos al subteniente del regimiento de México D. Francisco Alvarez; al capitán D. Francisco Hidalgo ; al ayudan…</t>
  </si>
  <si>
    <t>Pelaez, Manuela</t>
  </si>
  <si>
    <t>Manuela Pelaez</t>
  </si>
  <si>
    <t>drés Villanueva , 4 rs. Gregorio Ro­ dríguez, 1. José Manuel Pojuela, 4 rs. Doña Andrea Huerta, 1, Doña Fran­ cisca Pineda, 1. D. Juan Villanueva, 1. Doña Manuela Pelaez , 1. Varios individuos, 3 y 7 reales. — Pueblo de Sayán. El capitán Don Anselmo Manuel Salinas, 100 pesos, D. Francisco Santibañez , 25, y ofrece igual canti…</t>
  </si>
  <si>
    <t>Pelegrin, Ramón López</t>
  </si>
  <si>
    <t>Ramón López Pelegrin</t>
  </si>
  <si>
    <t>idente del tribunal supremo de justicia á IX Ra­ món Soto Posada, decano que faé del consejo y cámara de Indias; y para fiscales del mismo tribunal á D. Ramón López Pelegrin, fiscal que fué dei consejo de Hacienda, y á D. Miguel de Eizaguirre, fis­ cal de lo criminal en la audiencia de Lima. Asimismo la Regencia de las España…</t>
  </si>
  <si>
    <t>Pelegrin, Tomas</t>
  </si>
  <si>
    <t>Tomas Pelegrin</t>
  </si>
  <si>
    <t>rar su biea y pr jsperidad paralo venidero; se ha servido nom­ bra? á. D. Lorenzo Luis de Robles, D Ramón Masía de Lleopart, D. Antonio José Gallado, D. Tomas Pelegrin, D. Ertaaislao Fita, D. José Manuel de loa Senderos y D. Manuel Antonio Rodrigo por jueces de primera instancia interines de Xerez, Puerto de Sta. María, Medin…</t>
  </si>
  <si>
    <t>Pelíy</t>
  </si>
  <si>
    <t>es del enemigo , que suponiéndolos españoles, cayeron sobre el flanco y retaguardia de nuestras tropas* Tuvimos en esta ocasión alguna pérdida , y el teniente coronel Pelíy del 16 de dragones, habiendo perdido su caballo, fué hecho prisio­ nero. „La detención que este accidente ocasionó dio lugar para que el enemigo adelantas…</t>
  </si>
  <si>
    <t>Pelli, Benito</t>
  </si>
  <si>
    <t>Benito Pelli</t>
  </si>
  <si>
    <t>al, y redención de derecho» El 3 de diciémbre ana partida de 400 infante» conservados, promulgados en el reino de Westfa- y 100 caballos, al mando de D. Benito Pelli, qoa lia ¡ y en los demas países á que perteasciau lo* venia de Junquera, confiada en la superioridad de tres nuevos.departamentos. »□ número, atacó la villa de …</t>
  </si>
  <si>
    <t>Pellicer, Antonio</t>
  </si>
  <si>
    <t>Antonio Pellicer</t>
  </si>
  <si>
    <t>ciado de la conira.los revolucionarios mientras dure la guerra parroquia de S. .Joan de la mistng. . actual. Veinte y qoatro horas, después de la ca­ D. Antonio Pellicer, hacendado. pitulación se entregará la isla á los Estados-Uni­ D. Pedro Galabert , hacendado.v dos de América, con condición de que el puerto de D. Francisco…</t>
  </si>
  <si>
    <t>Pellico, Antonio</t>
  </si>
  <si>
    <t>Antonio Pellico</t>
  </si>
  <si>
    <t>ez meros ; pero no podrán de modo alguno vender, Mayoral, D. Manuel A: vatez deSorribis, D. Pedro comprar ni negociar armas usadas. Bermudez y Riobó, D. Antonio Pellico, D. Pedro 10. Las personas particulares que hubieren P.-iItco , D. Josef M ogauti, D. Alexo D iz, D m obtenido la competente licencia para poder osar Tomas O-…</t>
  </si>
  <si>
    <t>Pelly</t>
  </si>
  <si>
    <t>en la misma posi­ retaguardia, de nuestras tropas. Tuvimos en esta ac­ ción ; repararon el puente de Tordesillas, y hacen ción, ^alguna pérdida; y el teniente coronel Pelly, lo mismo con el de Toro, hasta donde llegan, El del ijó.” de dragones, fue hecho prisionero, habien­ general Hill debe hoi ó mañana llegar al Adaja (rio …</t>
  </si>
  <si>
    <t>Pelogui, Juan Bautista</t>
  </si>
  <si>
    <t>Juan Bautista Pelogui</t>
  </si>
  <si>
    <t>oña Mercedes X i menea, 10. Doña Francisca Berasíegui , 25. — Dependientes de minas. D. José España , 10. D. Francisco Mazorra, 8. D. José Lemus, 25. D. Juan Bautista Pelogui , 25. D. José Minavales , 20. D. Pedro Sierra, G. D. Guillermo Arriaga , G. 1). Joaquín Li.zarnturi, 25. D. Juan Miota, 10. D. José Martínez, 8. D. Tibu…</t>
  </si>
  <si>
    <t>Peña, Anselmo</t>
  </si>
  <si>
    <t>Anselmo Peña</t>
  </si>
  <si>
    <t>, 8. D. Juan de üfeían, 8. D. Juan José Qui­ ñones, 8. D. Manuel Urquiju, 8. D. Manuel Crias, 8 D. Pedro Truxillo, 12. D. Toribio Alarco , 7 y 7 rs. D. Anselmo Peña , 8. I). Isidoro Caraved» , 8. t&gt;. Luis Obregoso , 8 D. Martin Garro , 8. D. Juan Vázquez , 8. D. Francis­ co Casas,-8. D. Hipólito Carrillo , o Ü Manuel Pinillos…</t>
  </si>
  <si>
    <t>Peña, José</t>
  </si>
  <si>
    <t>José Peña</t>
  </si>
  <si>
    <t>é Navarrete , id. , 6. D. José Tacaño, id., 12. D. Felipe Cárdenas, 4 y 2- rs?. D. Miguel Mascare, S. I). Manuel Tejada, '8. D. Antonio Amezaga , 35. D. José Peña, 13. D. José Dámaso Árgueda, 8. D. Matías pastor, 8. D. Manuel Fuente, 8. D. Isidro Guillen, 8. í). Santiago León , 6. D. Jacinto Ríos , 8. D. Miguel Rodríguez , 8.…</t>
  </si>
  <si>
    <t>Peña, José García</t>
  </si>
  <si>
    <t>José García Peña</t>
  </si>
  <si>
    <t>o Manuel Alcántara, y O. Joaquín Nuñ.-z. Del presidio: ...O. - J dan-Jacinto‘Jztueta, IX Ciémeote Brítaoaj&amp;s, D.-An­ tonio Guarnan, O. F^u4ino Rubio, D. José García Peña, D. Fmi* cisco Ármendi, D/M^íchor. de S^m&amp;mvas ,• IX Antonio Baquero, e! cabo de brigada D. José Ruta y D Francisco Sánchez. T^dos losdemas qus seL-iaaüsnron…</t>
  </si>
  <si>
    <t>Peña, Josef García</t>
  </si>
  <si>
    <t>Josef García Peña</t>
  </si>
  <si>
    <t>rime­ ro Manuel Alcántara y D. Joaquín Nuñez. Del presidio: D. Juan Jacinto Iztueta , D. Clemente Britapajas, D. Antonio Guzman, D. Faustino Ru­ bio, D. Josef García Peña, D. Francisco Armendi, D. Melchor de Somarrivas, D. Antonio Saquero , ei cabo de brigada D. Josef Ruiz, y D. Fran­ cisco Sánchez. Todos Los demas que se hal…</t>
  </si>
  <si>
    <t>Peña, Tomas</t>
  </si>
  <si>
    <t>Tomas Peña</t>
  </si>
  <si>
    <t>Balboa. Alcalde de Harria' . a ' Dipittados seculares D. Cár!os:Bosch. &gt; -i D. Pedro Perez García. Diputados seculares D. Francisco Agustin, Crespo. D. Tomas Peña. - D. Francisco Santíüsté. D. Tomas Zapalena. Secretario D. Manuel Medina. D. Josef Ibarra. Secretaria D. Rafael Oarrichena. ' “■ QUARTEL DE-SAN MARTIN. QUARTEL DE …</t>
  </si>
  <si>
    <t>Pena, Vicente</t>
  </si>
  <si>
    <t>Vicente Pena</t>
  </si>
  <si>
    <t>Viana,tres mesadas de su actual sueldo que im­ portan , 615 y 1 y tres cuartos rs. El ministro tesorero interino D. Domingo de las Casas una mesada. D. Vicente Pena, oficial mayor, 30. D. Manuel Celis, 25. D. José Domínguez , 33 y 2 y medio. D. Francisco Taramona, 10. D. Pablo Antonio Moreno , 10. D. Francisco Ameta f oficial…</t>
  </si>
  <si>
    <t>Peñalosa, Angela</t>
  </si>
  <si>
    <t>Angela Peñalosa</t>
  </si>
  <si>
    <t>....... 2346 17 art, ir. Se entregarán i esto* interesados lat D. Rafael Yarza............ 8t2 8f cédulas hipotecarias correspondientes , con arreglo Doña Angela Peñalosa , por su apode­ al artículo 3.° de nuestro decreto de 9 de junio de rado D. Miguel Baleayo.................. 4151 17 1809. D. Joaquín de Lezaeta............…</t>
  </si>
  <si>
    <t>Penas, Femando</t>
  </si>
  <si>
    <t>Femando Penas</t>
  </si>
  <si>
    <t>, algodones hilados, géneros colonia­ caballería de línea; al subteniente de Caballeril de les, ni iexidos de lana y algodoo , sin una guia que linea D. Femando Penas!.ico teniente de ¡a moma diga para quién son y en qué cantidad. arma; :tl teniente agregado á la com parda &lt;\: gen­ 10. Desde i.u de enero próximo de los objeto…</t>
  </si>
  <si>
    <t>Penin</t>
  </si>
  <si>
    <t>tan de cazadores de lidad de Madrid , y director de la real academia la cdmpaníi de Gnadalaxara. de las Artes. Xareño ( D. Pedro Vicente ), visitador general Penin (D. Josef), zapador del regimiento de gra­ de rentas, y director de los resgaardos marítimos naderos de la guardia real. y terrestres de las provincias de Murcia, …</t>
  </si>
  <si>
    <t>Penne</t>
  </si>
  <si>
    <t>Barbones , baxolas órdenes del capitán general de Andalucía • y los 15616 rs. restantes para que sírvan pera vestir la división de la caballería del general Penne , con intervención de D. Francisco Ghipoll su comisionado, habiendo mandado S. A. tri­ butarles las mas expresivas gracias , y que se publique inmediatamente en la …</t>
  </si>
  <si>
    <t>Pequeño, José</t>
  </si>
  <si>
    <t>José Pequeño</t>
  </si>
  <si>
    <t>ana , 10. — Estudiantes de medicina. D. Mariano Campero, 17. D. Mariano Murga, 8. D. Norberto Ve­ ga , 4. D. Isidro Andrade , 4. D. Ramón Anderos, 4. D. José Pequeño , 4. D. Juan Fernandez, 2. D. José Gordilio , 2. D. José Cañizares, 2. D. Juan Melgar , 2. D. Lorenzo Vargas , 2. D. José Ramírez , 2. D. Juan Sta. María, 2. — C…</t>
  </si>
  <si>
    <t>Peral, Melchor</t>
  </si>
  <si>
    <t>Melchor Peral</t>
  </si>
  <si>
    <t>Francia sobre el trono de los B irbones» D. Andrés Peinado, id. en Jaén.................. 2200 todos los políticos sensatos con M.-ieron que era im­ D. Melchor Peral, id.................................... 2200 posible se mantuviese en España una r«nii suya D. Francisco de A-¡as, residente en Jaén, tan débil y sin apoyo; y ma…</t>
  </si>
  <si>
    <t>Perales, Luis</t>
  </si>
  <si>
    <t>Luis Perales</t>
  </si>
  <si>
    <t>Cuesta, id................ ...... 2200 D. Juan Fernandez, íd........................ 2200 D. Francisco Molina , id.............................. 2200 D. Luis Perales, residente en Puente Do a D.1 Martin de Carmona, id........................... 1200. Goozaló...................................................... 220 1&gt;. Aotoni…</t>
  </si>
  <si>
    <t>Peralez, Joaqnin</t>
  </si>
  <si>
    <t>Joaqnin Peralez</t>
  </si>
  <si>
    <t>a. Subtenientes. art. vi. En la villa de Valenzaela se forma­ D. Agustin Cubero, de granaderos. rá una compañía. D. Francisco de Ribas, de tiradores. D. Joaqnin Peralez queda nombrado espiran; D. Leoncio Sánchez. D. Pablo Olivas teniente, y D. Juan Josef Gu­ D. Josef Buelga.*. ' tiérrez sobtenientel D. Pedro Espinosa. art. vi…</t>
  </si>
  <si>
    <t>Peralte, Hilado</t>
  </si>
  <si>
    <t>Hilado Peralte</t>
  </si>
  <si>
    <t>con­ tribuyendo con sus aceitadas disposiciones al Vg?o de la empresa. Mis fuerzas solo constaban de 400 infantes y 2i caballos ai mando del espitan D. Hilado Peralte, que desde iu:g^ ^ río 1?, vanguar­ dia enemiga, y siguió en ío restante de la acción flu quesudoTé in­ comodando continuamente al enemigo. Hubiera pcf &gt; ; esté…</t>
  </si>
  <si>
    <t>Peray, Mariano</t>
  </si>
  <si>
    <t>Mariano Peray</t>
  </si>
  <si>
    <t>de Betanzos : á terier tes , á D Ju?.n ve Fiores , teniente del regimiento de Castilla, D. José de Toda, tenien­ te de granaderos del de Pontevedra , D. Mariano Peray , teniente del segundo batallón del Rivero, D. Francisco Romay , subteniente uel regimiento de Betanzos , y D. Laureano Sauz, teniente de la extin­ guida compañ…</t>
  </si>
  <si>
    <t>Pere</t>
  </si>
  <si>
    <t>nte , D. J ,ñé G -l azo, D. Francisco de Tdas y O. Fnlix J &gt;n«s ; y loa m irÍ3oaíes de cam­ po D. Martin’G urnía y L£Msr-'.»rri, D. Migas! Vaicarcel, D. Pere­ grino Jacorné y D. Tomas O-DjügjÚ. Continúan los donativos del Perú, Los pueblos de Machan i, Pana y Naranjal , por mano de T&gt;. Julián de Campo, lul4 ps. fs. y 6 rs. D …</t>
  </si>
  <si>
    <t>Pere, Juan Luis</t>
  </si>
  <si>
    <t>Juan Luis Pere</t>
  </si>
  <si>
    <t>alarza, portero , D. Ig« O tiacio Ayllon , escribano, 12 Conductores del número. D. José Marín, 40. D. G regorio Teran , 40. D Bernardo Abregu , 4l&gt;. D. Juan Luis Pere.z , 40. D José Ascue , 40 D. Nicolás León , 40. D. Bern udino groa , 40, Don Melchor Lamas, 4-0'. D. Estanislao Alzamora , 40. i). Manuel Quodros , 40. D. Igna…</t>
  </si>
  <si>
    <t>Perea, Francisco</t>
  </si>
  <si>
    <t>Francisco Perea</t>
  </si>
  <si>
    <t>de los electores. Hice po­ el subteniente que fue del .mismo cuerpo , con des­ co ti man que una de las sociedades de los Ami­ tino á Nueva-España ¡ D. Francisco Perea sub­ gos de la reforma publicó el siguiente estado , que teniente de la compañía fixa de artillería de la patentiza la enorme desproporción que hai en el plaza…</t>
  </si>
  <si>
    <t>Peredo, Francisco</t>
  </si>
  <si>
    <t>Francisco Peredo</t>
  </si>
  <si>
    <t>amara.' D. Ignacio' Hermosa. D. Lu ¡s Caballero. D. Joan de Camuo. D. Juan Ahumada.D. Juan de la Torre Pner. Contador. . . D. Josef Molina Fernandez. D. Francisco Peredo. D. Juan de Gálvez Huesman. D. Antonio Perez Dávila. Secretario. D. Guillermo Terri. D. Pedro Fernandez Nieto. Municipalidad de Toledoj Corregidor. AVISO. D.…</t>
  </si>
  <si>
    <t>Pereliós, Salvador</t>
  </si>
  <si>
    <t>Salvador Pereliós</t>
  </si>
  <si>
    <t>el grueso del exército tiene que Tenientes generales. estarse dentro de la ciudad sin poder hacer nada. ( The Courrier.) El dnque de Castro- Piñano , D. Salvador Pereliós, D. Pedro Roca , D. Francisco Rovira. IMPERIO FRANCES. Mariscales de campo. París ±4 de enero. Él conde Artnildez de Toledo. Brigadieres. Estado aproximado …</t>
  </si>
  <si>
    <t>Perer, Francisco de Paula</t>
  </si>
  <si>
    <t>Francisco de Paula Perer</t>
  </si>
  <si>
    <t>etanzos , y D. Laureano Sauz, teniente de la extin­ guida compañía de gastadores , incorporada en el mismo batallón de zapadores : á subtenientes , á D. Francisco de Paula Perer „ sub­ teniente del regimiento de voluntarios de León, D. Benigno Y*nes, subteniente del de la Corona, D. Manuel García y D José Sainé, sargentos pri…</t>
  </si>
  <si>
    <t>Perera, José</t>
  </si>
  <si>
    <t>José Perera</t>
  </si>
  <si>
    <t>el de infantería déla Habana, á capitán de granaderos á D. Pedro Castilla. En el de milicias disciplinadas de -infantería de la Habana, á teniente á D. José Perera. Y en el de dragones de milicias discipli­ nadas de Matanzas, á capitales del escuadrón desmontado á D. Dloiiisio Martínez y D. Rafael Caraballo•; á tenientes del …</t>
  </si>
  <si>
    <t>y compañía, por uno, 9. D. Francisco Delgado Vetez, id., 9. D. Manuel Urueta, por 4, 36. D. Francisco Polo , por uno, 9. D. Antonio Duarte , id., 9. D. José Perera, id., 9. D. Bonifacio Tariego, id., 9. D. Andrés Lesama, por 2, 18. D. José Marcial &lt; e Echarri, id., 18. D. Manuel Mas, por uno, 9. D. Do* mingo Cabrera , id., 9,…</t>
  </si>
  <si>
    <t>Peres, Macuel</t>
  </si>
  <si>
    <t>Macuel Peres</t>
  </si>
  <si>
    <t>1085 «o de su empleo D. Melchor Gome* , que lia dado pruebas de mucho valor en la misma; é igualmente recomienda al teniente D. Macuel Peres, que estaba de su ayudante interino en aquel día, y al sargen­ to primero Gerónimo Ramírez, que se distinguió como tisne acredi­ tado su guerrilla. Soy testigo presencial de todo , y de con</t>
  </si>
  <si>
    <t>Pereyra, Joaquín López</t>
  </si>
  <si>
    <t>Joaquín López Pereyra</t>
  </si>
  <si>
    <t>por importe de una pieza de cinta de banda , mandada construir para el señor du- • v que de Ciudad-Rodrigo.#..-............... ........ 11 ú5 Idem á D. Joaquín López Pereyra y-capitán de Húsares de Castilla , para qisct ¡-continué su viage al sexto exército.................. ......... . 500 Idem á L&gt;. Gabriel Velasco por mita…</t>
  </si>
  <si>
    <t>Pereyra, Sebastian</t>
  </si>
  <si>
    <t>Sebastian Pereyra</t>
  </si>
  <si>
    <t>mas sin embaído el brigadier Wilscn informó á S. E. que los dos batallones de la Union se comportaron bien, y parte del remiento de Braga, siendo el coronel Sebastian Pereyra, comandante de uno de les referidos batallones. Esta dividen no perdió bande­ ras , y sus disperses son unos 3G0 , con los que se practicará lo mis­ mo …</t>
  </si>
  <si>
    <t>Perez</t>
  </si>
  <si>
    <t>socorros necesarios á, la vida. El Sr. Calleía logró aprisionar, cerca de la hacienda de S. Gabriel-, á los cabedlas mariscales Piedra y Bravo, y al coronel Perez con 30 hombres, que iban huyendo casi desarmados; cuya aprehensión la verificaron los ofi­ ciales voluntarios Tabeada y Castillo. Entre los papeles cogidos: á Morei…</t>
  </si>
  <si>
    <t>Perez, Alfonso</t>
  </si>
  <si>
    <t>Alfonso Perez</t>
  </si>
  <si>
    <t>iástico D. Francisco'Cabanas. D. Francisco Galindo. ; ,. D. Nicolás Iuiesta. Diputados seculares Secretario D. Marcos Labia. D. Estiban Felipe Moría. D. Alfonso Perez. . Secretario BARRIO DE SAN ISIDRO. D. Toma* Cordero. Alcalde de barrio BARRIO DE SAN FRANCISCO. D. Francisco Xavier.de C.baza. Diputado eclesiástico Alcalde de…</t>
  </si>
  <si>
    <t>usive, anunciado en la gazeta del sábado 17, pág. 294, y en el dia­ rio del lunes 19, pág. 480, debe decir 29 exemplares, los que se tomaron, nueve á D. Alfonso Perez, que cobró 144 rs. por ellos, al respecto de 16 rs. cada uno; y los 20 á D. Hipólito Nieto, quien al mismo respecto cobró 320 rs., como consta de los recibos qu…</t>
  </si>
  <si>
    <t>Perez, Antonio</t>
  </si>
  <si>
    <t>Antonio Perez</t>
  </si>
  <si>
    <t>Sienta desde luego qne la religión es De áí se valió Felipe u contra su primogénito Don una cosa necesaria en la sociedad , y que merece Carlos y su secretario Antonio Perez. ¿Se quería el cuidado y aicncn-ues del gobierno. La religión saber qué ¡ufluxo corresponde en las cosas de in­ católica debe sin duda ser el mas noble e…</t>
  </si>
  <si>
    <t>3 y 2 y medio. D. Antonio Martínez ,41 y 5. — Merinos y porteros. D. Manuel Otaroza, 45 v 6 y medio. D. Francisco de Paula Figueroa , 45 y 6 y medio. D. Antonio Perez , 45 y 6 y medio. D. Miguel Salabarria , 41 y 5. D. Boni­ facio López Ruiz , 3 y 4. D. Fernando de Mazo y su sobrino D. Francisco Penagos Mazo , 2000. El marque…</t>
  </si>
  <si>
    <t>Pérez, Antonio</t>
  </si>
  <si>
    <t>Antonio Pérez</t>
  </si>
  <si>
    <t>caballería de línea con Madrid 6de enero. agregación al regimienro 3.° de cazadores á c,,ba­ Extracto de las minutas de la secretaría de Es- ilo; y á D. Antonio Pérez, capitán que fue del tado. regimiento de dragones de Lusitania, capitán de En nue» o palacio de Madrid á 3 r de diciem­ Caballería de línea en clase de reformad…</t>
  </si>
  <si>
    <t>................................ 913 10 En nuestro palacio de Madrid á 20 de junio D. Miguel López................................... 3*5* f de 1812. D. Antonio Perez..........i.......... . 649 2t Don JoseF Napoleón por la gracia de Dios y D. Rafael Fausto Florín....................... 1840 6 por la constitución del estado, R…</t>
  </si>
  <si>
    <t>Perez, Antonio María</t>
  </si>
  <si>
    <t>Antonio María Perez</t>
  </si>
  <si>
    <t>próximo á la una en punto de su el decreto siguiente! mañana en la escribanía de provincia, que despacha Gran cancillería de la Orden Real de España. D. Antonio María Perez. Quien quisiere hacer postura En nnestro palacio de Madrid i 27 de mayo á ellos acuda ante el susodicho, que admitirá las quo de 1812. se hicieren, siendo…</t>
  </si>
  <si>
    <t>Pérez, Antonio María</t>
  </si>
  <si>
    <t>Antonio María Pérez</t>
  </si>
  <si>
    <t>nosotros esta amarga reconvención! El Biutita Guitart , y escribanía de provincia que des­ IÓV..1 tiene ei mismo derecho a los Sienes que á los pida D. Antonio María Pérez, donde se admitirán h in n.-res; y si con una inano debemos pagarle el las que hicieren, siendo arregladas. t danto d- nuestros alectos, con la otra el de …</t>
  </si>
  <si>
    <t>Perez, Benito</t>
  </si>
  <si>
    <t>Benito Perez</t>
  </si>
  <si>
    <t>AÑÁS DEL JUEVES 9 DE JULIO DE 1812. ESPAÑA. 1 * Panamá 30 de marzo de 1819. Han llegado á esta ciudad la real audiencia de Sta. Fé y el nue­ vo virey D. Benito Perez, cuyo carácter es activo y eficaz. Esta maSana se presentó el ayuntamiento á cumplimentar á la real audien­ cia , y el regidor decano D. Miguel Berraudez hizo la…</t>
  </si>
  <si>
    <t>Perez, Bernabé Mateo</t>
  </si>
  <si>
    <t>Bernabé Mateo Perez</t>
  </si>
  <si>
    <t>o eclesiástico Alcalde dt 'barrio D.................... D. Antonio Soldado. Diputados seculares Diputado eclesiástico D. Manuel Rodríguez d&lt;¡ Castro. D. Bernabé Mateo Perez. D. Muías Mesonero. Diputados reculares D. Ramón Basualdo. D. Ramón de Campos/ D. Ignacio Campesino. D. Francisco Perpiñan. " . Secretario D. Josef Flores…</t>
  </si>
  <si>
    <t>Perez, Diego</t>
  </si>
  <si>
    <t>Diego Perez</t>
  </si>
  <si>
    <t>servido nombrar subtenientes de in­ fantería con destino á los cuerpos del segundo y tercer exército á D. Juan Vela, D. Juan Mozas, D. José Carrasco, D. Diego Perez, Don León Gordo, D. José González Yuste, D. Juan Marmol Calero, Don Calixto Rodríguez, D. Ildefonso Rulz, D. Agustín Lázaro, D. Juan Biirguiilos, D. Santiago Lópe…</t>
  </si>
  <si>
    <t>ervido nombrar subtenientes de infantería, con destino á los cuerpos del segundo y tercer exército, á D. Juan Vela, D. Juan Mozas, D. Josef Carrasco, D. Diego Perez, D. León Gordo, Don Josef González Yuste, D. Juan Manuel Calero, D. Calixto Rodríguez, Don Ildefonso Ruiz, D. Agustín Lázaro, D. Juan Burguillos, D. Santiago Lópe…</t>
  </si>
  <si>
    <t>Perez, Eugenio</t>
  </si>
  <si>
    <t>Eugenio Perez</t>
  </si>
  <si>
    <t>i bien, quedaron en nuestro poder los infames espurios españoles el teniente comandante de la compañía de jurados D. Bernardo Tortosa, el co­ misario D. Eugenio Perez, el director de las obras de fortificación de las for­ talezas de Tarancon y Cuenca D. Mariano Inza, y D. Antonio Maldonad, individuo de la junta criminal; los …</t>
  </si>
  <si>
    <t>Perez, Florentino</t>
  </si>
  <si>
    <t>Florentino Perez</t>
  </si>
  <si>
    <t>en que se declaran acreedores al D. Josef Lucena, id........................................... 22c® erario público varios ex-regulares por las can­ D. Florentino Perez, id................................... ateo tidades que ti cada uno se le especifican. P. Francisco Perez , iJ...................................... 2200 D. F…</t>
  </si>
  <si>
    <t>Perez, Francisco</t>
  </si>
  <si>
    <t>Francisco Perez</t>
  </si>
  <si>
    <t>Mirabal, 2. D. Juan Murcies, 4. 1&gt;. Fernando Palomino , 3. D. Manuel Roxas , 2. D. Nicolás Milla, 1. Don Antonio Ortega, T. D. Valentin Hurtado , 2. D. Francisco Perez , 2. D. Ma­ riano Tello, 1. D. Sebastian Daga, 2. IX Ramón Acuña, 4. D. Andrés Melendez, 1. D. Pablo Piñan, 1. D. José Serna, l. D. Manuel Acdsta, 1. Teniente …</t>
  </si>
  <si>
    <t>o Liaño. Diputado eclesiástico y secretario Diputados seculares D. Josef Antonio lbarrola. D. Juan Bebndia. - Diputados seculares D. Joaquín Sánchez. D. Francisco Perez. D. Andrés Sevillano. D. Marcos González del Campillo. Secretario D. Benito Mendez. BARRIO DE AFLIGIDO». BARRIO DEL HOSPICIO. Alcalde de barrio D. Blas Muñoz.…</t>
  </si>
  <si>
    <t>........................ 22^0 D. Juan de los Reyes, id.................... ............ 2200 P. Francisco Carrasco , id......................... 2200 D. Francisco Perez , id....................................... 2200 D. Nicolás Armada, id.............................. 2200 D. Lúeas de León , id...............................…</t>
  </si>
  <si>
    <t>Pérez, Francisco de Reguera</t>
  </si>
  <si>
    <t>Francisco de Reguera Pérez</t>
  </si>
  <si>
    <t>Regencia de las Españas se ha servido conferir compañía de granaderos en el regimiento de infantería de BuenosAyres á D. José Piris, y de fusileros á D. Francisco de Reguera Pérez, D. Francisco de Vera primero, D. Antoni» Vianguet, Don José Francisco de Vera, D. José Vila y D. Juan Crisóstomo Mar­ tínez ; la ayudantía del pri…</t>
  </si>
  <si>
    <t>Pérez, Gaspar</t>
  </si>
  <si>
    <t>Gaspar Pérez</t>
  </si>
  <si>
    <t>la igle­ sia ; y á sus imitadores el comandante del primero y primera sec­ ción D. Martín de Bgufiuz, contuso en el pecho; al subteniente de húsares D. Gaspar Pérez .al teniente del tercero D. Felipe Retiña, herido», y á lo* capitanes, de nacionales B. Tontas de Lira y D. Beni­ to García dei Barrio, y ai deí primero D. Pedia …</t>
  </si>
  <si>
    <t>Perez, Gerónimo Quintanilla</t>
  </si>
  <si>
    <t>Gerónimo Quintanilla Perez</t>
  </si>
  <si>
    <t>able que evacúen luego el rey no dé Valencia. v • &lt; Por providencia del tribunal del consulado de esta plaza , en au­ tos de concurso de acreedores á D. Gerónimo Quintanilla Perez, pen­ dientes en dicho tribunal, se ha mandado emplazar á cualquiera’ que se considere con derecho á los bienes de dicho concürso para que ocurra á…</t>
  </si>
  <si>
    <t>Perez, José</t>
  </si>
  <si>
    <t>José Perez</t>
  </si>
  <si>
    <t>D. Manuel Salazar, administrador de alcabalas 60. D. Fernando Ximenez, notario del santo ofi­ cio , 25. D. Agustín Aadrade, alcalde de españoles, 25. D. José Perez , ca-; pitan del regimiento provincial de dicha villa, 25. D. Ignacio Fernandez, ayudante del mismo regimiento, 25. D. Cipriano Laos , teniente , 25. D. Luis Andra…</t>
  </si>
  <si>
    <t>rate, 1. D. Pedro ÍJuidrobo , 2. D. Pedro González, 2. D. José Pac hoco , 2. D. Antonio Córdoba , 2. D. Manuel Maza , 2. Don Mariano Hurtado, 1 y /i. D. José Perez, 1. I&gt;. Manuel Chacal tana, 2. Pon Francisco Aguirre, 2. FU mismo real Convictorio en plata labrada del uso de los colegiales, 3000. D. Manuel María del Valle ? oi…</t>
  </si>
  <si>
    <t>lorca 1). Mariano Yerástégui, D- Fran­ cisco Yillagomez, D. Miguel Fernandez Carcalen,, D. Manuel Fér■ñaiidéz dé'IqS1 Senderos, 0.' Francisco Soler , D. José Perez, D. Luis Arzu, D. Rafaei Lacy , D. Antonio Elizaldi, D. Francisco Reyes y D. Manuel PezueiaCADL6 : EN LA IMPRENTA REAL.</t>
  </si>
  <si>
    <t>Pérez, José Julián</t>
  </si>
  <si>
    <t>José Julián Pérez</t>
  </si>
  <si>
    <t>ecretarios, estos, sin voto: los primeros fueron el Df. D; Feliciano C hielan a, D¿ Manuel de Sarratea y el Dr. D. Juan José de Paso; y ioak segundos D. José Julián Pérez, secretario de gobierno, O. Bernardina de Rivadavia, de guerra, y D. Vicente López , de hacienda.. El nuevo gobierno tomó, como era de esperar, un rumbo dif…</t>
  </si>
  <si>
    <t>Perez, Josef</t>
  </si>
  <si>
    <t>Josef Perez</t>
  </si>
  <si>
    <t>de marzo último, relativos á las pensione.*.que D. Casimiro García , ¡d. del lugar de Cueto. 3200 han de gozar los ex-regulares; vista la exposición D. Josef Perez, id. de MaarcOeras.^.......... 3200 dé huestto ministro interine de Negocios eclesiás­ D. Josef Martínez, id. de San Román...... 1200 ticos , y oida la sección de …</t>
  </si>
  <si>
    <t>PereZ, Josef Martin</t>
  </si>
  <si>
    <t>Josef Martin PereZ</t>
  </si>
  <si>
    <t>E LA REVOLTISA DE, ESPAÍÍA. A D. Castor López de Guzman, cura de .Re­ dueña , para el de Villaminaya , vacante por muer­ Ridkulum acri fortius, te de D. Josef Martin PereZ. t El que diga que la obra que escribo es robada» A D. Felipe Rodríguez, cura de la Olmeda de copiada ó traducida , ro merece perdón de Dios.. Cebolla, par…</t>
  </si>
  <si>
    <t>Perez, Juan</t>
  </si>
  <si>
    <t>Juan Perez</t>
  </si>
  <si>
    <t>............... 2a00 Ex-ntercenarlos descalzos. D. Josef de Torres , diácono , id............... 3200 D. Benito Alonso, residente en Madrid..... 2200 D. Juan Perez, id...................... 2200 D. Márcos Guerra, lego, id. en Alcalá.... non, D. Josef Lechuga , id............. 2200 D. Diego Guerrero, id. eo la Guardia...... 22…</t>
  </si>
  <si>
    <t>, id.,........................... 220® D. Juan Cortés, id............................. .. ............. 2200 D. Juan Manrique, residente enCañcte de D. Juan Perez, id............................... ............... 2200 las .Tor&gt;es........................................................... 22co D. Francisco Fernandez, id......…</t>
  </si>
  <si>
    <t>uez, id................2200 D. Tomas Martínez, id... ........... .................. 2 2CO D. Patricio Nuñi-z Nieto, id.......................... 2200 D. Juan Perez, residente en Montilla......... 2200 D. Pedro J &gt;sef de Luque, id......................... 2 200 D. Juan S ntos, id. en Ecij ■.......................... 2200 D B,r…</t>
  </si>
  <si>
    <t>Perez, Juan Amonio</t>
  </si>
  <si>
    <t>Juan Amonio Perez</t>
  </si>
  <si>
    <t>utados seculares Diputado eclesiástico D. M’gnel Cabrero. D. Luis del Río y del Barrio. D. J'taquín Rodrigo. Diputados seculares D1. Jusef Sebastian. D. Juan Amonio Perez. Secretario D. Pedro de las Muelas. D. Fermín Gutiérrez. D. Juan Ximenez. ¡ Secretario BARRIO DEL CARMEN CALZADO. D. Manuel Aotonio Echeverría. Alcalde de'b…</t>
  </si>
  <si>
    <t>Perez, Juan José</t>
  </si>
  <si>
    <t>Juan José Perez</t>
  </si>
  <si>
    <t>ix María Farias y D. Juan Pedro Pe*ayo ; el mismo de ras de caballería, á D. Rafael Padrón , D. José María Arcaya, D. Miguel MLUaco, D. Juan de Lugo, D Juan José Perez, D. José Antonio G'uirola y D. Joaquín Segarte ; de subteniente de las de infantería, á D. Alonso Gil, D Leopoldo Tolleria , D. Jo:é Antonio Zamuripa, D. Rafae…</t>
  </si>
  <si>
    <t>Perez, Juan Santiago</t>
  </si>
  <si>
    <t>Juan Santiago Perez</t>
  </si>
  <si>
    <t>ados.seculares ña, y el sainete el Page pedigüeñó. ActDres'‘en'la co­ D. Pablo Muñoz de ja Vega. media. Señoras M aria García . Rosario García y Tor­ D. Juan Santiago Perez., res. Señores Infantes, Cristiani, Avecillafy. Sfiarez. D. Víctor Vicario. En el de la Cruz, á las quatro y media de la larde, Secretario ce ejecutará la…</t>
  </si>
  <si>
    <t>Perez, Julián</t>
  </si>
  <si>
    <t>Julián Perez</t>
  </si>
  <si>
    <t>stas provincias, han conferido sus plenos poderes, S. E. el Sr. virey á los Sres. D. José Acevedo y D. Antonio Garfias, y la Excma. Sra. junta al Sr. D. Julián Perez para que ar­ reglen el.correspondiente tratado, quienes después &lt;Jp cangear debidamente sus respectivos poderes, han con­ venido en los artículos siguientes: 1 A…</t>
  </si>
  <si>
    <t>Pérez, Julián</t>
  </si>
  <si>
    <t>Julián Pérez</t>
  </si>
  <si>
    <t>icularmente á su segundo O. Manuel Toraz y al sargento mayor D. Múreos Tarrero, que mandaron las guerrillas', á los capita­ nes D. Eustasio Martínez, D. Julián Pérez, al ayudante meyor Don Francisco -X buenoai subteniente D. Francisco Martínez, ai según» do ayudante D. Francisco Sancho, al cabo primero Angel Solía, y al solda…</t>
  </si>
  <si>
    <t>Perez, Manuel</t>
  </si>
  <si>
    <t>Manuel Perez</t>
  </si>
  <si>
    <t>Bautista Cabaleri; los de tenientes á D. Gregorio Domínguez. D. José Martínez, D. Juan Matalobos, D. Bernardo Mari ño, Id. Manuel Iglesias y Vázquez, D. Manuel Perez, í&gt;. Ma­ teo Pi con , D. «luán de Neyra y D. Esteban González ; y los de subtenica íes á D. Joaquín San Marrtin , D. Juan Perez y Barros, D. Ma­ nuel Fifgueyra ,…</t>
  </si>
  <si>
    <t>Pérez, Marcelino</t>
  </si>
  <si>
    <t>Marcelino Pérez</t>
  </si>
  <si>
    <t>S. Manuel Travitaso , 8. José Cruz , (3. Manuel Cáceres, 6. Francisco Faustos , G. Agustín Martínez , G. Francisco Román, 6. Escolástico Sánchez, o. D. Marcelino Pérez , 4. Vicente Castro, 4. Eduardo Pompello, 4. Manuel José Herrera, 4. Ignacio Cáceres , 4. Miguel Guzman , 4. José Maticorena, 4. N. Salamanca, 4. Sebastian Dáv…</t>
  </si>
  <si>
    <t>Perez, María Falipa</t>
  </si>
  <si>
    <t>María Falipa Perez</t>
  </si>
  <si>
    <t>go Migue! Bravo de Rivero , 500. Don Juan José Leuro, contador general de tributos, 318 y 4. El fiscal D. José Pareja, por sí y á nombre de su esposa Doña María Falipa Perez de lia, 1000. D. Alonso Maqueda , ayuda de cámara del Sr. virey, 30. Doña Juana María de Jáuregui, 20. D. Juan Quiñones , 25. — Ministe­ rio de real haci…</t>
  </si>
  <si>
    <t>Perez, RamoD López</t>
  </si>
  <si>
    <t>RamoD López Perez</t>
  </si>
  <si>
    <t>io D. Pedro Grigoén y Almousa. D, Felipe Gutierre*. BARRIO DE JESUS. BARRIO DB LA BUENA* VISTA. Alcalde de barrio ¿. Alcalde de barrio D. Juan Forit. D. RamoD López Perez. Diputado eclesiástico Diputado eclesiástico D. Manuel Agu'iUr. 2&gt;. Lorenzo López. Diputado secular Diputados seculares D. Blas de Torres. D. Hilaria Avenda…</t>
  </si>
  <si>
    <t>Pérez, Ramón</t>
  </si>
  <si>
    <t>Ramón Pérez</t>
  </si>
  <si>
    <t>diácono, id. en San Cespe............................................ 22co Cristóbal................. 2200 D. Alexandto Mptitalvo, id. de la villa de D. Ramón Pérez, id. en Aidea el Corvo..,. 2200 . Nieva............. v*.-...........................-i............ . aaqq D. Antonio de Bartolomé , id. en id........... 2200 D,&lt; …</t>
  </si>
  <si>
    <t>Perez, Tomas</t>
  </si>
  <si>
    <t>Tomas Perez</t>
  </si>
  <si>
    <t>á las siete de la noche, se re­ biendo precedido tasación de cierta porción, se ha presentará por la compañía española la tragedia en tres hecho por D. Tomas Perez postura á las que se expre­ actos titulada la Monja novicia, y el sainete los Payos sarán en las tres quartas partes de su valor en metálico, hechizados. la que se…</t>
  </si>
  <si>
    <t>.................................. 2200 P. Juan Ruiz , id....................................... ^...... 2200 D. Antonio de Marios , id. en Torre Xi- D. Tomas Perez, id........................................... 2200 ....................................... ....... ............................... 2 200 D. Josef Julián Requena …</t>
  </si>
  <si>
    <t>Péricibho, Simón</t>
  </si>
  <si>
    <t>Simón Péricibho</t>
  </si>
  <si>
    <t>. D. Clemente Antonio Uribarren. D. Francisco de Torre*. Diputados ‘seculares D. Juan López. D. Estéban Rodríguez. Secretario D. Antonio Febrer. L. ' D. Simón Péricibho. D. Francisco Redondo. j Secretario BARRIO DE SANTA ISABEL. D. Francisco Jaracho. T ' Alcalde de barrio BARRIO DE CAPUCHINOS DE LA PACIENCIA. D. Dionisio Pére…</t>
  </si>
  <si>
    <t>Perigord</t>
  </si>
  <si>
    <t>a, ds? las montañas. Al paso que se nada del 4 todo el mundo cumplió con su obliga­ iban formando los regimientos, dirigía las eolunas ción ; pero el conde Perigord, coronel del i&gt;.’ de hácist el (ramino de Moikow. Al llegar cerca de cazadores de á caballo, se distinguió, rechazando Valonóos, camino da Stubna, encontré la ret…</t>
  </si>
  <si>
    <t>Pernetty</t>
  </si>
  <si>
    <t>aquel dia se pasó en observarse mutuamente. la reserva de la guardia, principió á hacer fuego; La posición del enemigo era mui estrecha. La pér­ y el general Pernetty se puso con yo piezas ñ h dida de la podcion del dia anterior habia debilita­ cabeza de ¡a división Compans'(quarta del primer do su izquierda, la qual estaba a…</t>
  </si>
  <si>
    <t>Pero</t>
  </si>
  <si>
    <t>or cion ser útil con mis consejos al segundo cuerpo, xste medio impedir, los movimientos de nuestra ar­ siendo de U ;q&gt;rdlN*ciomü,ll 'general' Legra'!d. Pero tillería y volamos las caxas.dc moniciones. , espero i . ¡a poco? días al m..ri cal duque de RegEste cañoneo y bombardeo fueron sostenidos gir&gt;; y t; rsí^yaji'o. úuérpq …</t>
  </si>
  <si>
    <t>Pero, P</t>
  </si>
  <si>
    <t>P Pero</t>
  </si>
  <si>
    <t>on motivo hemos empeñado, qne los actuales gefas que la di­ de haber lmido de la ciudad y reino de Valencia rigen. al ocuparle las tropas imperiales. D. P- Pero esos grandes hombres ya no exis­ Estos antecedentes, y ios que mi amigo tenia ten, y nuestra situac ión de todos modos es hoi mui de la opinión contraria del otro sob…</t>
  </si>
  <si>
    <t>Perón</t>
  </si>
  <si>
    <t>rne sueco, según escriben de Getemburgo con fecha de 24 de febrero, ha declarado que los franceses en­ traron en Stralsund coñ capa de amigos; que el general Perón, su gobernador, tenia instrucciones para usar de la fuerza y defender la plaza, y ha ofrecido publicar estas instrucciones. El gobernador ha sido llamado para dar …</t>
  </si>
  <si>
    <t>Perpiñan, Francisco</t>
  </si>
  <si>
    <t>Francisco Perpiñan</t>
  </si>
  <si>
    <t>uel Rodríguez d&lt;¡ Castro. D. Bernabé Mateo Perez. D. Muías Mesonero. Diputados reculares D. Ramón Basualdo. D. Ramón de Campos/ D. Ignacio Campesino. D. Francisco Perpiñan. " . Secretario D. Josef Flores. D. Antonio de Pineda. Secretario D. Bernardo de la Vega. QUARTEL DE AVAPIES, BARRIO DEL AVE MARIA. QUARTEL DEL BARQUILt.0.…</t>
  </si>
  <si>
    <t>Pesquera</t>
  </si>
  <si>
    <t>ano Navarrete” 3. ° Oficio dirigido con fecha de 8 de Mayo por el Sr. Truxillo al lllmo. Sr. obispo electo de Mechonean D. Manuel Abad y Queypo. ,,El capitán Pesquera, comisionado por mí para prender al re­ belde é inhumano asesino y cabecilla Salto, á quien indulté de la pena de la vida por sus delitos de insurrección el 22 …</t>
  </si>
  <si>
    <t>Peta, Gregorio</t>
  </si>
  <si>
    <t>Gregorio Peta</t>
  </si>
  <si>
    <t>t 29 y á un tal Homo , aprendiz trastejador, natural D. Francisco Xavier Ramos............... 3934 if de Suresnes, de edad de 1-8 años y nneve mese», D. Gregorio Peta......Á...................... 3001 9 convencidos, la primera de haber incitado hacia D. Tomas Campillo..................... 260 3» quatro meses á dicho jóven á q…</t>
  </si>
  <si>
    <t>Peters</t>
  </si>
  <si>
    <t>las universidades de la Alemania pro­ catur: el Congreso, de 36, capitán Smith : el Es- testante, parece increíble que un hombre con tan­ sex, de 32, capitán Peters: el Hornet, de 16, tas ocupaciones haya podido dar vado á todas, y capitán Lawrencé: el Argus,dc 16, capifan SiA- que los áchaqueá de la vejez no hubiesen detenid…</t>
  </si>
  <si>
    <t>Petite, Andrés Fernandez</t>
  </si>
  <si>
    <t>Andrés Fernandez Petite</t>
  </si>
  <si>
    <t>.... v-vír.......... 2200 D. Joaquín Araujo, residente en Segovia... 2200 D. Antonio Nuñez, id. en id........................ . 2 2®o Ext- dominicos. D. Andrés Fernandez Petite , id. en id.,... 2200 ,C # , \i D- Juan Mingnez , id. en id........................ 2200 D, Santiago, de. Conjrt, natural del imperio D. Josef Franco,…</t>
  </si>
  <si>
    <t>Péttit</t>
  </si>
  <si>
    <t>terior llegó á esta ciudad el coronel Baynes, ayu­ dante general de las fuerzas' inglesas en el baxo-Canádá acompaña­ do del mayor Clarck, edecán del general Péttit, comandante ae las tropas americanas en la frontera del Canadá. A su llegada fúé presen­ tado al general Dearbom en su cuartel general de Greenbush, don­ de tuvo …</t>
  </si>
  <si>
    <t>Peyron</t>
  </si>
  <si>
    <t>JUEVES 16 DE ABRIL DE 1812. SUECIA. Estol olmo 21 ae, febrero. S. M. ha recibido y mandado publicar las relaciones siguientes, que le ha dirigido el general Peyron, comandante en geíe de la Pamerania sueca. 1.a Por mi último parte de 27 del ñus pasado habrá sabi lo V. M. la entrada de las tropas francesas en ia Pomerania Suec…</t>
  </si>
  <si>
    <t>Pfister</t>
  </si>
  <si>
    <t>stos necesarios , ó dén , y ha nombrado diputados para la dieta al no? Si Jo sor», como yo lo probaré en caso nece­ Señor tesorero Stockar y ai señor consejero Pfister. sario, ¿qué jusiicia ni razón puede haber para tan escandalosa diferencia? ¿Porqué no se h„ce una Zurich 3 2 de mayo. masa general, y sin distinción alguna se…</t>
  </si>
  <si>
    <t>Phalen</t>
  </si>
  <si>
    <t>ión alemana» ¿Para esto vender al Sobera­ campo de batalla los cuerpos del general de divi­ no, la patria y la religión ? ,¡ Mezquindad 1 Quando sión conde Phalen , y de los coroneles Adriahow un general &lt;5 ministro asi lo deshonra» ¿qué idea y Jesowayski, . tunará de la moralidad de sü nación ? ¿ Y cómo pa- El príncipe de Sc…</t>
  </si>
  <si>
    <t>Philipon</t>
  </si>
  <si>
    <t>de , la plana mayor y toda la guarnición. To­ davía no he adquirido relación exacta de la fuerza de esta, ni del número de los prisioneros : pe ro el general Philipon me ha informa­ do' que constaba de 5000 hombres á principies del sitio , de los que 1200 fueron muertos ó heridos durante las operaciones, sin con­ tar la perdi…</t>
  </si>
  <si>
    <t>Phillips</t>
  </si>
  <si>
    <t>Sidao el 20 de Abril último ; ia primera es concerniente á la toma de posesión de Macassar por el destacamento enviado á este efecto , mandado por el capitán Phillips, del exéreíto de Madras , habiéndose rendido el comandante francés sin resistencia alguna ; y la segunda anuncia el ajuste de un tratado de paz y de alianza con…</t>
  </si>
  <si>
    <t>Pi, Juan José</t>
  </si>
  <si>
    <t>Juan José Pi</t>
  </si>
  <si>
    <t>Caraved» , 8. t&gt;. Luis Obregoso , 8 D. Martin Garro , 8. D. Juan Vázquez , 8. D. Francis­ co Casas,-8. D. Hipólito Carrillo , o Ü Manuel Pinillos, 8. D. Juan José Pi­ nillos , 8. I). Santiago Pinillos , 8 1). Luis Menacho , 8. D. Vicente Navar•rete , 3. D. Miguel Velez Villa , 8. D. Manuel Ai 1 Ion , 8. i). Pedro Caveto, •8. …</t>
  </si>
  <si>
    <t>Pi, Pascual Gil y Francisco</t>
  </si>
  <si>
    <t>Pascual Gil y Francisco Pi</t>
  </si>
  <si>
    <t>450</t>
  </si>
  <si>
    <t>na­ turales , cuya natural energía pareció al pronto que había quedado amortiguada con la catástrofe de la capital. El 7 de marzo , las guerrillas de D. Pascual Gil y Francisco Pi­ có , compuestas de 60 hombres á pie y 20 á caballo, hallándose en las inmediaciones de Castalia, fueron envueltos por una numerosa columna enemiga…</t>
  </si>
  <si>
    <t>Piad</t>
  </si>
  <si>
    <t>trdvjo en que emplearse. de la academia .i. ói-na ; al t&lt;-ñnr Vasahí-F.andi, Todos los días se distribuyen gratis 1200 racio­ profesor Je Tu'i-n; al profesor Piad’, de Kie' , y nes de sopa económica ; á ¡38 personas de las maf. al señor IT. tV'nann B.uig, botánico de Fionia. pobres se la», da leña, y dentro de poco a* les da­…</t>
  </si>
  <si>
    <t>Piar, José María</t>
  </si>
  <si>
    <t>José María Piar</t>
  </si>
  <si>
    <t>ministrador prin- cipal de correos D. José de Fuertes, 1000 anua'es que disfruta de sobresuel­ do. El contador D. Félix López Ayllon , mensuales, 18. D. José María Piar, id., 9. D. Juan Alonso Carriazo, id., 9. D. Juan Suavedra, id. , 4. D. Juan. José Hortelano , id., 2. D. Juan Cayetano de Miranda, id., 12. D. José Her­ nánd…</t>
  </si>
  <si>
    <t>Piatow</t>
  </si>
  <si>
    <t>e esquadrones franceses. Hoy se reúnen las colunas. segunda y tercera en Porieschye: la prime­ ra, que se dirige á Lisna y Rudna, cubre su marcha. El general Piatow, que solo lleva dos dias de marcha, recibió orden de situar su cuerpo enfrente de Smolensko, á fin de cubrir los movimientos del primer exército. El prínci­ pe Ba…</t>
  </si>
  <si>
    <t>Pic</t>
  </si>
  <si>
    <t>4*3 „IjOs oficiales y soldados de la tercera división, se han distinguí» do como acostumbran en estas operaciones. El teniente general Pic­ ton me ha recomendado particularmente la conducía del teniente coronel Williams del 60 , y del teniente coronel Ridge del quinto, muerto desgraciadamente en el asalto del castillo, del te…</t>
  </si>
  <si>
    <t>Pica, Vicente</t>
  </si>
  <si>
    <t>Vicente Pica</t>
  </si>
  <si>
    <t>isos, Por decreto del real tribunal del consulado de Cádiz, de 27 de mayo de este año, se emplaza á los interesados en el concurso de acreedo­ res de D. Vicente Pica, para que acudan á producir su derecho en el pre­ ciso término de 12 meses: pasado el cual, les parará todo perjuicio.—Por otra providencia del mismo tribunal, d…</t>
  </si>
  <si>
    <t>Pichard, Jnin Bautista</t>
  </si>
  <si>
    <t>Jnin Bautista Pichard</t>
  </si>
  <si>
    <t>chor de Anguita á capitán en Graciano Leger, ay udante sob-oficial, á subte­ la misma arma; y á D. Francisco Saldarriaga, ca­ niente en la vacante de D. Jnin Bautista Pichard: pitán del regí miento núm. i.* de cazadores á ca­ eo lot esquadrooes de lanceros españoles á D. Jo- ballo, á commdantedel esquadron segundo de ca­ «•f …</t>
  </si>
  <si>
    <t>Pico, Joan Antonio</t>
  </si>
  <si>
    <t>Joan Antonio Pico</t>
  </si>
  <si>
    <t>rrio Diputado eclesiástico D. Nicolás Parapor. D............................... Diputado eclesiástico Diputados- seculares D......................... D. Joan Antonio Pico. Diputados seculares, y el último exerce las D. Rafael Risco. dones de secretario, D. Domingo Rcinoso. D. Pedro Casavus., Secretario D. Rafael González del …</t>
  </si>
  <si>
    <t>Pico, Juan Antonio</t>
  </si>
  <si>
    <t>Juan Antonio Pico</t>
  </si>
  <si>
    <t>Baranda ios regidores del ayuntamiento consti­ tucional D. Manuel de Riláacova, D. Pedro,Uñarte y D. Lucas de Carran­ za, y. los de la municipalidad-D. Juan Antonio Pico, D. Genaro Faustino dél Rincón, D. Lorenzo Iruegas,D.. Diego Barreda, D. Josef Ocharan, Don Manuel de la Viña, D. Antolin Munarnz y D. Pedro Pinillos, aproba…</t>
  </si>
  <si>
    <t>Picoaga</t>
  </si>
  <si>
    <t>camino casi inexpugnable de un morro flanqueado por la laguna y por montes superiores, me aguardaron en él: me di», rigí á la frente de! batallón del coronel Picoaga y mi caballería toda con 5- piezas al cargo de los distinguidos oficiales Castriflon- é Hiñojosa , que rompieron el fuego , que fue contestado por el enemigo con…</t>
  </si>
  <si>
    <t>de su pericia, pues con ella, ademas de 10 expuesto, puso en fuga una columna enemiga que de Guaqui se di­ rigía á Caza, y le tomó dos cañones- — El coronel Picoaga me acom­ pañó con la nobleza y carácter valiente que le es genial, y disfruta del mismo escudo en unión del coronel Pierola, teniente coronel D. Ru­ fino Bcrcolme…</t>
  </si>
  <si>
    <t>Picton</t>
  </si>
  <si>
    <t>recha en el muro de !a tais abroga ; y componiéndose todas estas co mimas de las tropas de bi tercera división, estuvieron baso e! mando del teniente general Picton. — La. cuarta columna consistía en los regimientos 49 y 52, y parte de! 35, que siendo de l;i división ligera á las órtFnes del mayor guieryl Crav/íord . ¿Picado …</t>
  </si>
  <si>
    <t>tercera división en las operaciones que con tanto valer y exactitud desempeñó la tarde del 19, es la mas relevante prue­ ba del talento del teniente general Picton y del mayor general Mackinson , que las han dirigido y mandado; pero permítame V. E. que llame particularmente su atención hacia el distinguido proceder del t-mien…</t>
  </si>
  <si>
    <t>general Bowes que mandaba la tropa que guar­ necía nuestras trincheras. En esta ocasión perdimos al capitán Cuthbert, ayudante de campo del teniente general Picton , oñcial que daba grandes esperanzas, y quedó muerto ; y el teniente coronel Fleteher fué levemente herido , bien que espero que pronto estará en disposición de co…</t>
  </si>
  <si>
    <t>illa hasta mediados de marzo, y acababa por consiguiente de llegar, y la reuní en la misma tarde al exércíto. „El plan del asalto era que el teniente general Picton con la ter­ cera división escalase el castillo de Badajoz, mientras que el des­ tacamento que guarnecía las trincheras , perteneciente á la cuarta di­ visión , á …</t>
  </si>
  <si>
    <t>serie délas operaciones del sitio, y todos^cllos se distin­ guieron, y fueron heridos en el asalto. Me confieso particularmente obligado al teniente general Picton por el modo con que combiró el ataque del castillo, lo sostuvo , y estableció sus tropas en puerto tan importante. ,,Las disposiciones del teniente general Leith p…</t>
  </si>
  <si>
    <t>&lt; r el ca­ mino de S. Muñoz ; y la de la izquierda, compuerta de la tercera, los portugueses de Pak y Bradfort, y la división de España, mandadas por general Picton ¿ por el camino de Santi Espíritus. „En esta disposición llegamos delante de esta ciudad el 12 por la mañana sin ninguna novedad, excepto algunas es­ caramuza s d…</t>
  </si>
  <si>
    <t>to la izquierda del T riñes. En virtud de esto ordené al honorable mayor general Packenh;\m (que mandaba la tercera división en ausencia del teniente general Picton, que se halla enfermo) que atravesase ei Tórmes con las tro­ pas de su mando, inclusa la caballería del brigadier general D’Urban, y que se colocase detras de Ald…</t>
  </si>
  <si>
    <t>Piedramillera, Juan</t>
  </si>
  <si>
    <t>Juan Piedramillera</t>
  </si>
  <si>
    <t>Urquijo.’’ D. Juan Dages Menor..................... 3429 *7 D. Joan López de Guznian............ 1263 *7 Por decreto de i» del corriente el REI se ha D. Juan Piedramillera....... .............. 26353 servido nombrar para el beneficio de la parroquial D. Lois y D. Josef María Cásale... 406 r 85 de Vidania , en Guipúzcoa, vacan…</t>
  </si>
  <si>
    <t>Piehard, Juan Bautista</t>
  </si>
  <si>
    <t>Juan Bautista Piehard</t>
  </si>
  <si>
    <t>hatre , te­ quín Pecino y D. Lorenzo Sagasta, subtenientes, niente ■ i capitán en la vacante de O. Petit; á Don i tenientes; y á D. Manuel Gutiérrez, sargento Juan Bautista Piehard , «obteniente, i teniente en primero, á subteniente: al teniente de infantería reemplazo de D. Francisco Xavier Chaire, y á Don de linea D. Josef …</t>
  </si>
  <si>
    <t>Pierola</t>
  </si>
  <si>
    <t>tuase 4 y nos cortase la comunicación entre ambos: situado en él con oportunidad, ordené á mi mayor general que cou el real de Lima , el batallón del coronel Pierola y una piezas coronase las alturas, aguardase mis órdenes, y sostuviera ¿i Ramírez.; nYa el enemigo , noticioso de mi aproximación , había salido de Guaqui con» 1…</t>
  </si>
  <si>
    <t>le tomó dos cañones- — El coronel Picoaga me acom­ pañó con la nobleza y carácter valiente que le es genial, y disfruta del mismo escudo en unión del coronel Pierola, teniente coronel D. Ru­ fino Bcrcolme, y mis fieles y valerosos edecanes , conde de Casa Real, D. Mariano Campero, D. «Tesé García Santiago, D. José Moya, Don J…</t>
  </si>
  <si>
    <t>Pigenc, Isidro</t>
  </si>
  <si>
    <t>Isidro Pigenc</t>
  </si>
  <si>
    <t>410</t>
  </si>
  <si>
    <t>410 easo. E! teniente D. Isidro Pigenc se portó con el valor que le es propio. — Oios guarde á V. S. muchos años. S. Esteban de L’cmana 27 de febrero de 1S¿2.— Juan Sadurní. — Sr. D. Francisco Revirad ’— Recomiendo á V. E. este benemérito capitán que en todos tiem­ p</t>
  </si>
  <si>
    <t>Pili</t>
  </si>
  <si>
    <t>a ; pero mientras se dis­ putaba la brecha con tanto furor y encarnizamiento, ios abados es­ calaron el castillo, rindiendo de este molo ia plaza. El gobernador Pili! i pon y ge fes de estado mayor, que se habían retirado ai faerte de 8. Cristóbal, se entregaron prisioneros á las 2 de B madrugada. Kí mismo día 7 por la tarde …</t>
  </si>
  <si>
    <t>Pillaud</t>
  </si>
  <si>
    <t>ene­ trar por el flanco izquierdo del enemigo. La segunda columna se componía de cinco cuerpos de infantería y una brigada de yagers, mandados por el coronel Pillaud , con 4 piezas de artillería de cam­ paña del segundo cuerpo á Jasw órdenes del teniente general B ¿kavute. La tercera columna iba á las órdenes del mayor genera…</t>
  </si>
  <si>
    <t>Pimtiós, Pedro</t>
  </si>
  <si>
    <t>Pedro Pimtiós</t>
  </si>
  <si>
    <t>ati Antonio Pico , IX Genaro Faustino Rincón , D. Lorenzo früegas , D. Diego Barredayid José Ocharán y O. Manuel'de la Veñá, D. Antolin .M un arria y D. Pedro Pimtiós, todos baxo la preBideuciá del expresado D. Pedro Sáinz de; Baranda. Por acuerdo dél rtíisirto ayuntamiéiUG s#e ,dirigió a; los habitante» de Madrid un aviso , …</t>
  </si>
  <si>
    <t>Piñan, Pablo</t>
  </si>
  <si>
    <t>Pablo Piñan</t>
  </si>
  <si>
    <t>io Ortega, T. D. Valentin Hurtado , 2. D. Francisco Perez , 2. D. Ma­ riano Tello, 1. D. Sebastian Daga, 2. IX Ramón Acuña, 4. D. Andrés Melendez, 1. D. Pablo Piñan, 1. D. José Serna, l. D. Manuel Acdsta, 1. Teniente de milicias de Tarma IX Juan Echevarría, 100. Procurador de la ciudad-IX Pe­ dro Espinosa , 10. Capitán D. .Es…</t>
  </si>
  <si>
    <t>Pineda, Bartolomé</t>
  </si>
  <si>
    <t>Bartolomé Pineda</t>
  </si>
  <si>
    <t>de Priego. compañías. D. Gerónimo Montilla. Quedaa nombrados para capitanes y oficiales D. Alfonso de Vida, y Gamboa. de ellas. Capitanes. Tenientes. D. Bartolomé Pineda. D. Joaquín Cañete, de granadero». D. Juan Francisco Ramírez. D. Manuel Bujalance, de tiradores. D. Juan de Tienda. Tenientes. D. Josef Joaquín Henares. D. V…</t>
  </si>
  <si>
    <t>Pinedo, Juan Perez</t>
  </si>
  <si>
    <t>Juan Perez Pinedo</t>
  </si>
  <si>
    <t>esiástico D. Cayetano Sae¿. D. Cayetano Aravaca. Diputados seculares Diputados seculares D. Gregorio Zorrilla. D. Agustin Villa. D. Domingo Villamif. D. Juan Perez Pinedo. Secretario I&gt;. Antonio María Bonomo. D. Saturio Angel de VeLsco. BARRIO DE SANTO TOMAS. barrio de los, angeles. Alcalde de barrio Alcalde de barrio I). Man…</t>
  </si>
  <si>
    <t>Piñeiro, Buenaventura</t>
  </si>
  <si>
    <t>Buenaventura Piñeiro</t>
  </si>
  <si>
    <t>ta por todos los me­ El mismo como padre , tutor y ad­ dios oosibies. ministrador de la persona y bie­ Los señores Bieter, Kcemg, Volmet y La- nes de D. Buenaventura Piñeiro.. 1530 2 fónd continúan dedicándose á la pintura, sobre to­ D. Isidoro Gaspar de Aranzazu, co­ do 4 la de paisage; pero conociendo al mismo tiem­ mo padr…</t>
  </si>
  <si>
    <t>Pingarron, Eimon Navarro</t>
  </si>
  <si>
    <t>Eimon Navarro Pingarron</t>
  </si>
  <si>
    <t>de ministros togados á D. M mú Femando Ruiz del Burgo, D. Esteban Antonio de O rellana, D. Juan Miguel Paez de la Cade­ na, D. Manuel Torras Cónsul, D. Eimon Navarro Pingarron , Don Francisco M vin y D. Francisco Toxibio de Ugarte : para la de fis­ cal militar á D. Martin González de Menchaca, mariscal de campe de ios exércit…</t>
  </si>
  <si>
    <t>Piniilos, Peaio García</t>
  </si>
  <si>
    <t>Peaio García Piniilos</t>
  </si>
  <si>
    <t>s: rá buxo eí mando del príncipe de Hoheazo- D. Agustín Ventades.......................... 180 17 licr.t. D. Vicente Zuza , por medio de su apoderado D. Peaio García Piniilos. 9837 8§ BAVIERA. D. Juan Hernández.............................. 11621 2jf Por réditos devengados procedentes Nuremberg so de mayo. de impistci mes per…</t>
  </si>
  <si>
    <t>Pino, Juan Díaz</t>
  </si>
  <si>
    <t>Juan Díaz Pino</t>
  </si>
  <si>
    <t>osé Muñoz Silleros, D. Agustín Moli­ na, IX Asensio Cabrera y González., D. C irios María Godinez, Don Rafael Piñuela, y á los subtenientes graduados D. Juan Díaz Pino, D. J osé María Angulo, D. Diego Padilla, D. Pedro la Llave y Don Juan Gil de Montes; todos alumnos de la academia militar del cuarto exército. Jlemvacion de v…</t>
  </si>
  <si>
    <t>osef Muñoz Silleros, D. Agustín Molina, D. Asensio Cabrera y Gonzá­ lez, D. Carlos María Godinez, D. Rafael Piñuela, y á los subtenientes gra­ duados D. Juan Díaz Pino, D. Josef María Angulo, D. Diego Padilla, Don Pedro la Llave, y D. Juan Gil de Montes: todos alumnos de la academia mi­ litar del quarto exército. Renovación d…</t>
  </si>
  <si>
    <t>Pintado, Juan Fr-wcisco</t>
  </si>
  <si>
    <t>Juan Fr-wcisco Pintado</t>
  </si>
  <si>
    <t>de Prusi.i, ó del .nt.¡ue de Yon k. Entre­ puesta de 1&gt;. Martin Antonio Hüici, D. Juan Ca­ gue vmd. a tales bomb.e, á ¡o. mejh. chos para que tante y D. Juan Fr-wcisco Pintado, y encargada jueguen con ellos como con !t s si iniuguiboí , les de vetar sobre ¡a distribución de los alojamientos quiten la mascara ó disfraz que lle…</t>
  </si>
  <si>
    <t>Piñuela, Rafael</t>
  </si>
  <si>
    <t>Rafael Piñuela</t>
  </si>
  <si>
    <t>Moreno, D. Andrés Rodríguez, D. Josef Martínez, D. Josef Muñoz Silleros, D. Agustín Molina, D. Asensio Cabrera y Gonzá­ lez, D. Carlos María Godinez, D. Rafael Piñuela, y á los subtenientes gra­ duados D. Juan Díaz Pino, D. Josef María Angulo, D. Diego Padilla, Don Pedro la Llave, y D. Juan Gil de Montes: todos alumnos de la …</t>
  </si>
  <si>
    <t>Pió</t>
  </si>
  <si>
    <t>el Manzanares por el valle de Perales , y siguiendo por las cercanías de «la puerta de la Campanilla, puerta de los Pozos , y viñas de la montaña del príncipe Pió, confinantes con la Grangilla, entró y cogió 18 pares de muías de José. Emprendió en seguida su retirada por el bosque del Pardo, habiendo dexado burlados á 200 dra…</t>
  </si>
  <si>
    <t>Pioeda, Juan</t>
  </si>
  <si>
    <t>Juan Pioeda</t>
  </si>
  <si>
    <t>isco Ramírez. D. Manuel Bujalance, de tiradores. D. Juan de Tienda. Tenientes. D. Josef Joaquín Henares. D. Vicente Ort'z y Alguacil. D. Pedro Atiza. D. Juan Pioeda. D. Josef Vexijar. Subtenientes. D. Josef de Osuna y Quadra. D. Andrés Padillo. D. Félix María Carrillo. D. Pedro Perez Garnacha. Subtenientes. art. vi. En la vil…</t>
  </si>
  <si>
    <t>Pircz, Ramón</t>
  </si>
  <si>
    <t>Ramón Pircz</t>
  </si>
  <si>
    <t>s de primera necesidad, y dexea de Marcó del Pont, subinspector de infantería de la emplear á los negros en el cultivo del café, que en segunda ídem; D. Ramón Pircz, gefe del estado el dia tiene mui poco valor. mayor de la segunda ídem ; el conde Renvé, ofi­ También fia nombrado la asamblea una comi­ cial agregado, en Valenci…</t>
  </si>
  <si>
    <t>Piré</t>
  </si>
  <si>
    <t>yudante de tra Ja gran calzada. Éxecutando la misma evolución campo del Rei, y gefe de su estado mayor, con todos los batallones de la, derecha, .'el general Piré una partida de 60 caballos á reconocer el terreno. uedó á la derecha con el 8.a de húsares , y cargó A unas tres leguas de Bauske dió con las avanzadas enodadamente…</t>
  </si>
  <si>
    <t>Pirez, Pedro</t>
  </si>
  <si>
    <t>Pedro Pirez</t>
  </si>
  <si>
    <t>rica: ü. Francisco Xavier de Mariatcgui, subteniente agregado al segunda de Soria; O. Bisiiio Roldan y Go* diuez, subteniente agregado al de Africa ; D. Pedro Pirez, cadete del regimiento infantería del infante D. C-drlos; D. José Carlier , y Don Francisco de Paula Piazaola, cadetes y alumnos de la academia mili­ tar de la is…</t>
  </si>
  <si>
    <t>Pirez, Ruuon</t>
  </si>
  <si>
    <t>Ruuon Pirez</t>
  </si>
  <si>
    <t>E R I Ó F R A N C E S. de guerra en el lugar acostumbrado á los señorea mariscales de campo D. Carlos O D mell, D. Jo— sef Miranda, D. Josef Zay.is, D. Ruuon Pirez, . . . Ródez's'tf de manzo. L). Francisco M.rcó del Pont y D. Josef Lardizahal; y á los señores brig idieres D. Joaquín do La última coluna dé los conscriptos no h…</t>
  </si>
  <si>
    <t>Piris, José</t>
  </si>
  <si>
    <t>José Piris</t>
  </si>
  <si>
    <t>ncia del reyno.” En América. La Regencia de las Españas se ha servido conferir compañía de granaderos en el regimiento de infantería de BuenosAyres á D. José Piris, y de fusileros á D. Francisco de Reguera Pérez, D. Francisco de Vera primero, D. Antoni» Vianguet, Don José Francisco de Vera, D. José Vila y D. Juan Crisóstomo M…</t>
  </si>
  <si>
    <t>Pita, Juan Miguel</t>
  </si>
  <si>
    <t>Juan Miguel Pita</t>
  </si>
  <si>
    <t>D,oña Teresa de ¿ayas, id., SCO. D. Pe­ dro Sotolongo, id., 17. El licenciado D. José María Éncinoso de Abreu, id , 25. D. José Astor, id. , 25 y 4. D. Juan Miguel Pita , id. , 10. P. Fran­ cisco y D. Pedro de Cárdenas , id., 100. D. Francisco Antonio Mimos , id., 17. El conde de Zaldivar y D. Pedro Juan de Erue , por recolei…</t>
  </si>
  <si>
    <t>Pita, Ramón</t>
  </si>
  <si>
    <t>Ramón Pita</t>
  </si>
  <si>
    <t>arcía, por un año , al mes, 5. El doctor D. Juan Perez Delgado, por uno durante la guerra , 9. D. Pedro Fernandez , id., 9. D. Bonito CMombi, id., 9. D. Ramón Pita, id., 9. El escribano D. Cayetano Ponton, id., 9. D. An. tonio Rodríguez , mensuales , 4. El comisario ordenador administrador prin- cipal de correos D. José de Fu…</t>
  </si>
  <si>
    <t>Pízarro, Fraucisco Ruíz</t>
  </si>
  <si>
    <t>Fraucisco Ruíz Pízarro</t>
  </si>
  <si>
    <t>....... 22.a D. Joaquín Padilla, id.................................. 2200 D. Elias Olmedo, id.................................... 3200 Ex-agustinoi. D. Fraucisco Ruíz Pízarro, id................... . 2200 D. Pedro Díaz, residente en Córdoba...... 2200 D. Vicente de la Cruz , id............. ............ 2200 D. Juan de Osuna…</t>
  </si>
  <si>
    <t>Pizarro, José</t>
  </si>
  <si>
    <t>José Pizarro</t>
  </si>
  <si>
    <t>duque del Infantado. Joaquín de Mos­ quera y Figueroa. — Juan Viílamcencio. — Ignacio Rodríguez de Ri• vas, — En Cádiz á 26 de Setiembre de 1812. — A D. José Pizarro. El mariscal de campo D. Miguel de Alava, con fecha de 23 de setiembre, delante de Burgos, dice al Sr. g*fe del estado mayor general entre otras cotas lo siguien…</t>
  </si>
  <si>
    <t>1240</t>
  </si>
  <si>
    <t>duque del Infantado, —Joaqu n de Mosquera y Figucroa. — Juan Viltavícencio. — lgn ardo Rorfrdruex de Ritas. — Én Cádiz á 26 de Setiembre de 1812. — A D. José Pizarro. Circular del ministerio de Hacienda* _ Los secretarios de las Curtes generales y extraordinarias, con fe­ cha de i 4 del corriente , me dicen lo que sigue : „La…</t>
  </si>
  <si>
    <t>eroa — El Duque del Infantado ■— Juan Vi ¿iazicencío. — Ignacio R&lt;drigve% de Rizas. — Juan Pére% Viilamil. — En Cádiz á 21 de Diciembre de 1812. —■*A D. José Pizarro.” Circular del ministerio de Hacienda. Habiéndose ya puesto enteramente expeditas á los intendentes de exército y de campaña las funciones que les están señalada…</t>
  </si>
  <si>
    <t>Pizarro, Josef</t>
  </si>
  <si>
    <t>Josef Pizarro</t>
  </si>
  <si>
    <t>tico de ella D. An­ tonio Ignacio de Cortabarría la orden siguiente, comunicada por el Excmo. Sr. secretarlo del despacho de la Gobernación del reyno D. Josef Pizarro.</t>
  </si>
  <si>
    <t>Planas, Poucio</t>
  </si>
  <si>
    <t>Poucio Planas</t>
  </si>
  <si>
    <t>408</t>
  </si>
  <si>
    <t>o no pu^do dexar de recomendar coa particularidad al capita* IX Julián Cutí, á los subtenientes O. Mariano Aballo y O. Juan Fortiana, y al abanderado D. Poucio Planas; ios cuales, después de fa­ tigado. la tropa, me siguieron en el alcance del enemigo con sable en mano, logrando hacer la mayor parte de -os prisioneros: é igua…</t>
  </si>
  <si>
    <t>Plato</t>
  </si>
  <si>
    <t>aquella ciudad , anunciando qntre otras cosas lo que sigue: „ El general Barclay de Tolly y el príncipe Bagration se han reunido eñ *&gt; Smolensko. El general Plato w , que manda la vanguardia del general Barclay » de ToUy*.tiene, diariamente escaramuzas con el enemigo, las quales son tod w das ventajosas, á las armas rusas. El…</t>
  </si>
  <si>
    <t>e Witepsle. (.The Plim. Teleg.) Del i.° de setiembre. El conde de Wíttgensteín atacó el cuerpo de Maedonald, y lo derrotó y persiguió hasta Drena. El general Plato w en 27 de julio tuvo una refriega, en que cogió 5 00 franceses y un coronel prisioneros-</t>
  </si>
  <si>
    <t>Platow</t>
  </si>
  <si>
    <t>deciinaquiata de infantería, y otra de caballería á las órdenes del general Níarkow, las guardias imtperiaIes, ni los cuerpos de cosacos que manda el general Platow, que son muy numerosos. . . Las cartas de Konigsberg de 4 del corriente confirman ía noticia de ha­ berse pasado á los rusos dos regimientos prusianos, uno de cab…</t>
  </si>
  <si>
    <t>niente general Tutschkow y del conde Schuwaiow se acercaban á Swen«zeny; el cuerpo del general Doctorow está en marcha desde Oschmany á «Swenzeny; el general Platow ha salido de Bájalostoke , y se dirige hacia « vYileika; y el príncipe Bagration continúa aproximándose al primer exér«cito." SUECIA. Carlsham j&gt; de julio. Han co…</t>
  </si>
  <si>
    <t>as de caballería, la arrolló y persiguió hasta dentro de las mismas calles de Nowogrodka. Al dia siguiente 27 conseguimos mayores ventajas, porque el general Platow, que estaba situado en la pequeña ciudad de Mer, como hubiese sido atacado por el ene­ migo , que había reforzado su vanguardia, logró batir completamen­ te á tre…</t>
  </si>
  <si>
    <t>n Rosnezki; pero los 6 regimien­ tos fueron batidos completamente y nos llenamos de prisioneros — Todas las tropas se portan con el mayor valor. — El general Platow alaba principalmente la conducta del ayudante general Mussiltschikow, que con el regimiento de húsares de sü mando sostuvo á los cosacos. En el suplemento á la ga…</t>
  </si>
  <si>
    <t>s por la posteridad. ,, £)e orden de S. M. el Emperador de Rusia. = Barclay de Tclly.’* Extracto de un boletín del exército ru o d?l i § de julio. El general Platow destruyó enteramente tres regimientos polacos (huía— ros) : dos coroneles y muchos oficiales fueron hechos prisioneros ; y el gene­ ral Dulnau, que matidaba estas…</t>
  </si>
  <si>
    <t>este fin quatro compañías de cada regimiento de la guardia de caballería, un batallón de la guardia de á pie, y el regimiento 59 de in­ fantería. El general Platow ha publicado una proclama, por la qual ofrece iooO rublos y la mano de una señora de su familia al que le presente la cabeza de Bonaparte. El duque de Angulema obt…</t>
  </si>
  <si>
    <t>pretendió el enemigo hacerse fuerte; pero faé constantemente repelido á pesar de no haber entrado en acción nues­ tro octavo cuerpo; entre tanto, el general Platow pudo continuar su marcha para unirse al primer exército. La pérdida del enemigo se regula por lo menos en 5000 hombres entre muertos y heridos; ia nuestra no exced…</t>
  </si>
  <si>
    <t>de Noviembre, el general Millaradovitch llegó á una aldea, distante 40 werstas de Viasma , en el camino de Smolensko , persi­ guiendo al enemigo. El general Platow se dirigió por la derecha del camino , á fin de alcanzar la cabeza de la columna , mientras el exército que manda el mariscal Kutusow se encaminaba por la iz­ quie…</t>
  </si>
  <si>
    <t>ón, cuartel maestre-general de ¡todo el exército flanees, ha sido hecho prisionero con SCO hombres de diferentes gra­ dos , en el ala derecha, por el general Platow, cerca de Doughovtchstchina. ,jEl mayor general Kutusow , que ha tomado el mando del cuer­ po que estaba á las órdenes del general Winzingerode , se reunió con ‘s…</t>
  </si>
  <si>
    <t>Plauzonne</t>
  </si>
  <si>
    <t>para expresar con esta unión la que desde valiente regimiento, formado en coluna, penetraba este dia reinará entre las dos naciones. en la aldea, el general Plauzonne cayó herido mor­ Luego que se acabó de firmar, el obispo cele­ talmente de un balazo; mas el 106. , lleno de in­ brante entonó el Domine salvum fac imperato— tr…</t>
  </si>
  <si>
    <t>ismo ardor en el inaíis^ttft» Boiseroiles, de quien e&amp;toi mui satisle- -centro y derecha de las tropas de mi mando; y de cfio, sucedió en el mando al general Plauzonne , y vuelta del ala izquierda, donde mi presen.da había dió excedentes disposiciones para conservar en nues­ sido necesaria, di nuevas disposiciones para el ata…</t>
  </si>
  <si>
    <t>Plaza, Femando</t>
  </si>
  <si>
    <t>Femando Plaza</t>
  </si>
  <si>
    <t>lvestre Touroi , 20. D. Lorenzo Espinosa , 30. D. Jo­ sé Ramón Menendez, 25. D. Félix de la Cruz, 4. D. Cristóbal Barragan, 10. D. Ramón Córdoba, 12. D. Femando Plaza, 4. Colectado por el ayu­ dante de gobierno, 483. Id. posteriormente del pueblo de Bab .hoyo, 22. D. Pedro Nicolason , 5. El prior de S. Juan de Dios , 100. D. …</t>
  </si>
  <si>
    <t>Plaza, Gabriel García</t>
  </si>
  <si>
    <t>Gabriel García Plaza</t>
  </si>
  <si>
    <t>y 3 y medio. D. Carlos Orbea, cura de Apata, 25. Admi­ nistración de Correos de esta capital. D. Felipe de la ilosa , administrador principal , 300. D. Gabriel García Plaza, contador saq-enso , 83. D. Vicente Oración, oficial mayor interventor, 125. D. Apolinar Pócima, id. segundo, 100. (Se continuarán*) «a 1—r rm r—~■ ■ -f——…</t>
  </si>
  <si>
    <t>Plaza, José</t>
  </si>
  <si>
    <t>José Plaza</t>
  </si>
  <si>
    <t>ea, 140. El oficial mayor de la comisaría de guer­ ra y capitán de milicias D. Juan Bailera, 50. El segando D. Tomas Meló, 45 y 6 y medio. El tercero D. José Plaza, 40. — Cuerpo de ingenieros. El coronel D. Pedro Antonio de Molina, comandante , 250. El mismo por tres meses de su oferta de 50 ps. durante la guerra, 150. El ten…</t>
  </si>
  <si>
    <t>Plaza, Manu Rodríguez</t>
  </si>
  <si>
    <t>Manu Rodríguez Plaza</t>
  </si>
  <si>
    <t>idalgo, 50. D Gregorio Mascóte, 10. D. Francisco Carbajai , 30. Vicente Pacheco, 10. D. Ramón Calvo, 100. D. Miguel Isusi, 1Ó. D. Vtcente Chacón, 30. D. Manu-1 Rodríguez Plaza, 10. D. Mariano Eraso, 2. D. José María Castro, ayudante de Piura , 47 y 2 y medio. Don Antonio Mirón , 10. D. Juan Buzca. 15. J#sé Maria Gainza, 6 D. …</t>
  </si>
  <si>
    <t>Plenas</t>
  </si>
  <si>
    <t>te 3, uní partida patriótica se llevó el ganado que los fr nceses de Malar ó tenían pastando en los alrededores de la ciu­ dad. El 4 las partidas del comandante Plenas tuvieron 6 horas de tiretjo con les mismos, á quienes mataron é hicieron prisioneros &amp;Q Bordados , sin pérdida alguna por su parte. Eá 5 u?i destacamento de 20…</t>
  </si>
  <si>
    <t>Plessen</t>
  </si>
  <si>
    <t>el bosque, siendo sostenido por campo. un esquadron de caballería ligera de Westfália, Si hubiese de citar todos los individuos que se mandado por el comandante Plessen. han distinguido, debería hacerlo nominalmeote de E! capitán D. Alexandro Dautejeac, del regi­ todos los que componían la coluna ; pero n&gt;&gt; pue­ miento Real E…</t>
  </si>
  <si>
    <t>Plowes, Juan</t>
  </si>
  <si>
    <t>Juan Plowes</t>
  </si>
  <si>
    <t>daba á la mia, porque la santa ben­ D.. Jpsef Jáuregui, D. Antonio dé la Rocha, dita se empeñó en que habia d; inocularme su locu­ D. Manuel Maroto, D. Juan Plowes , D. A.ntonio ra ; y como yo soi asi, y que no hai quien me sa­ Mendiverri, D. Cayetano O.duña, D. Baltasar de qúe , aunque me prediquen frailes descalzos , de que…</t>
  </si>
  <si>
    <t>Plugo, Luis</t>
  </si>
  <si>
    <t>Luis Plugo</t>
  </si>
  <si>
    <t>a de infantería que formaba la derecha del el regimie nto Red Extr ngero , mandado por su enemigo, situada en la altura frente al bosque, hi­ coroné' D. Luis Plugo , dcx.mdo 40 hombres muer­ zo movimiento con demostración de dirigirse al tos , y abandonando al pie de los atrincheramien­ puente: mandé pasar el barranco á una d…</t>
  </si>
  <si>
    <t>Pluma, Pascual</t>
  </si>
  <si>
    <t>Pascual Pluma</t>
  </si>
  <si>
    <t>un año, 27. X). Sebastian José de Peñalver, por 3 , durante el tiempo que fuere de su agrado , 27. D. Antonio de Frias, por 2, durante la guerra, 18. D. Pascual Pluma, por uno id., 9. D. José Na­ ranjo , por uno, por el tiempo que le sea posible ,9. El marques de CasaPeñalver, 4000 ps. D. Juan Francisco Manrique y su esposa, …</t>
  </si>
  <si>
    <t>Pner, Juan de la Torre</t>
  </si>
  <si>
    <t>Juan de la Torre Pner</t>
  </si>
  <si>
    <t>G irmcndia. D. M:ga.l Crok. D. Sar.ti ,go Polidura. D. Timoteo Magnamara.' D. Ignacio' Hermosa. D. Lu ¡s Caballero. D. Joan de Camuo. D. Juan Ahumada.D. Juan de la Torre Pner. Contador. . . D. Josef Molina Fernandez. D. Francisco Peredo. D. Juan de Gálvez Huesman. D. Antonio Perez Dávila. Secretario. D. Guillermo Terri. D. Pe…</t>
  </si>
  <si>
    <t>Pobes, Norberto</t>
  </si>
  <si>
    <t>Norberto Pobes</t>
  </si>
  <si>
    <t>y sus obras son una de las de Ribavellosa, en la misma provincia , vacante principales partes que adornan varios parages del rei­ or fallecimiento de D. Norberto Pobes, al presno.' £n eí juicip que forma dé ellas el autor del Dic­ ítero D. Máreos Díaz de Tuesta. cionario histórico de los mas ¡lustres profesores de las ¡pellas…</t>
  </si>
  <si>
    <t>Pócima, Apolinar</t>
  </si>
  <si>
    <t>Apolinar Pócima</t>
  </si>
  <si>
    <t>ipe de la ilosa , administrador principal , 300. D. Gabriel García Plaza, contador saq-enso , 83. D. Vicente Oración, oficial mayor interventor, 125. D. Apolinar Pócima, id. segundo, 100. (Se continuarán*) «a 1—r rm r—~■ ■ -f——ro CADIZ ; ÉN LA IMPRENTA REAL.</t>
  </si>
  <si>
    <t>Podro</t>
  </si>
  <si>
    <t>El coronel D. Tomas Bueno , vecino de id. 50-&gt;. £1 cabo Juan Manuel Pajares, de id., 10.D. Pedro .fosé de la 'forre cura de Huacho, 25. El presbítero.D. Podro red roso, iníái p:e5e de la doctrina de Pacchas, 12. Id, D. José y D, Manuel Cevalios, id,, 12. 1). Antonio Correa, capitán de artillería, ademas de lo que di ó con los…</t>
  </si>
  <si>
    <t>Poig</t>
  </si>
  <si>
    <t>837</t>
  </si>
  <si>
    <t>a de piratas, que hablan apre­ sado 2 barcos españoles cargados de trigo y bacalao, infeáfcbau la costa, y aun baxaban á robar á tierra. Instruido el capitán Poig de todo, determinó el dia 25 de mayo próximo pasado atíicar á les 3 piratas, que se hallaban fondeados en la playa de Cambrils y Sslou» y á pesar de tener estos 49 …</t>
  </si>
  <si>
    <t>Policía, Liniers</t>
  </si>
  <si>
    <t>Liniers Policía</t>
  </si>
  <si>
    <t>o ocupaban todo con daño de ios criollos. Sin embargo, la revolución Cartas interceptadas a Hálaseos , ministro de no fue' sangrienta. La ficción del general Liniers Policía. travo la guerra civil, de la qual fue victima él, Peters'burgo 6de jtilib. La proclama inserta en habiendo perecido á manos de los que le debían su las …</t>
  </si>
  <si>
    <t>Políntz</t>
  </si>
  <si>
    <t>iente : ,,Nada ha ocurrido de parttcu'l: r sino el haber atacado el enemi­ go con 7 á 8000 hombres una retaguardia nuestra de 6000, que mari­ daba el general Políntz; en cuya acción los franceses fueron batidos, dexando en nuestro poder prisioneros' al general St. Gemer, que mandó la acción , y á Í50 hombres. — Ei exército, c…</t>
  </si>
  <si>
    <t>Polo, Andrés León</t>
  </si>
  <si>
    <t>Andrés León Polo</t>
  </si>
  <si>
    <t>ienda de SrBtas dé ÁlbotñozV A D. Agnstin González para el de Pelabravo,’ en el obispado' de Cúenc3’, vacamé' por faliecivacante por fallecimiento de D. Andrés León Polo.- miento de D. Lorenzo Ramírez. ........... ' ” A D. Gerónimo Hernández Martin para el de Canillas de abaxo , vacante por muerte de D. Ga­ briel Domínguez. A…</t>
  </si>
  <si>
    <t>Polo, Fabián</t>
  </si>
  <si>
    <t>Fabián Polo</t>
  </si>
  <si>
    <t>a Fuente , clérigo de menores, na­ razón; p. ro abusando de u moderación y toleran­ tural de Madrid. cia del g' bizmo, y ¿enerados á vista de los mo­ D. Fabián Polo, corredor intruso, conocido vimientos militares dei ixército del cer.rro, cuyo por el apodo de Bala-rasa inglesa. objeto no p &gt;dian adivinar , continuaban su re­ …</t>
  </si>
  <si>
    <t>Polo, Fabian</t>
  </si>
  <si>
    <t>Fabian Polo</t>
  </si>
  <si>
    <t>Madrid ; D. Nicolás YangUa», ayuda de cámara que fué de Cárlos IV, natural de Náxera ; B. José de la Fílente, clérigo de menores, natural de Madrid; D. Fabian Polo , corredor intruso , conocido por el apodo de Bala-rasa inglesa.” Pera nada ex¿dio a mejor el estado de la opinión de esta capital que el diálogo que se inserta en…</t>
  </si>
  <si>
    <t>Polo, Francisco</t>
  </si>
  <si>
    <t>Francisco Polo</t>
  </si>
  <si>
    <t>Amable , id., 9. D. José Rabeyro, por 4 , 36. D* Manuel Ruiz y compañía, por uno, 9. D. Francisco Delgado Vetez, id., 9. D. Manuel Urueta, por 4, 36. D. Francisco Polo , por uno, 9. D. Antonio Duarte , id., 9. D. José Perera, id., 9. D. Bonifacio Tariego, id., 9. D. Andrés Lesama, por 2, 18. D. José Marcial &lt; e Echarri, id., …</t>
  </si>
  <si>
    <t>Polo, Juan</t>
  </si>
  <si>
    <t>Juan Polo</t>
  </si>
  <si>
    <t>te Algarra, comandante de escuadrón de cazadores de Olivencia, con 50 ca­ ballos de su cuerpo y 40 del de dragones de Almansa; el teniente de Almansa D. Juan Polo, que estaba de avanzada con una corta par­ tida , contuvo al enemigo hasta que fu é de día : pero este, recono­ ciendo su cortísima'fuerza, lo cargó de tal manera, …</t>
  </si>
  <si>
    <t>Polo, Miguel</t>
  </si>
  <si>
    <t>Miguel Polo</t>
  </si>
  <si>
    <t>4 y 4. D. Juan Mencliaca , capitán de la fragata corsaria, 40. Su segundo D. Luis Ruem , 25. Su primer teniente D. Rafael Larragoin, 12. Su escribano D. Miguel Polo, 10. Su tripulación , 93 y G. La dotación del corsario Flecha, 76 y 4. D. Juan del Pino Manrique , oidor de esta real audiencia, 395.— Curas y feligresía de Huana…</t>
  </si>
  <si>
    <t>Polo, Ramón</t>
  </si>
  <si>
    <t>Ramón Polo</t>
  </si>
  <si>
    <t>eral Venegas serán probablemente inútiles, pedicionario ,. y segundo comandante de la van­ •y los insurgentes, hacen quanto pueden por mover guardia; D. Ramón Polo, segundo comandante una revolución general. A estas horas va ya der­ general de Ja quarta división expedicionaria ; Don ramada mucha sangre española. Et general .V…</t>
  </si>
  <si>
    <t>Pombar, Domingo</t>
  </si>
  <si>
    <t>Domingo Pombar</t>
  </si>
  <si>
    <t>Eraso, 2. D. José María Castro, ayudante de Piura , 47 y 2 y medio. Don Antonio Mirón , 10. D. Juan Buzca. 15. J#sé Maria Gainza, 6 D. José Ariza, 6. D. Domingo Pombar, 16. D. Antonio Lardo, 16. D. Ramón Ribero, 10. D. José Juan de Echevarría , 25. D. Juan Midan, 100. D. Bernardino Salado . 12. D Ignacio Aviles, 100. D. José …</t>
  </si>
  <si>
    <t>Pomonby</t>
  </si>
  <si>
    <t>eneral Drouet, en fuerza de 2500 hombres, estaba acariñada entre Usagre y este pueblo, dispuse que la brigada del mayor general Anson, mandada por el teniente coronel Pomonby, y la defmayor general Le-Marchant, se adelantasen en el discurso de la noche des­ de Villatranca y los Santos, midiendo de tal modo el tiempo, que lle­…</t>
  </si>
  <si>
    <t>Pon, Silvestre</t>
  </si>
  <si>
    <t>Silvestre Pon</t>
  </si>
  <si>
    <t>Herrera, 100. D. Juan Calderón , 50. D. Domingo Miranda,’ 25. D. Francisco Antonio de Taegui , 50. D. Ramón Caballero , 25. D. José do ílercsa , 50. D. Silvestre Pon ce de León , 25. D. Francisco González, 50. D. Simón Muñoz, 25. D. Manuel Miranda, 12. D. José María Viso, 25. D. Francisco de Otero , 40. D. Francisco Merino, 2…</t>
  </si>
  <si>
    <t>Ponce, Agustín Perez</t>
  </si>
  <si>
    <t>Agustín Perez Ponce</t>
  </si>
  <si>
    <t>. ♦ • 1 Ajad. l.° . D. Miguel Apolinarío... • 0 • 1 Subteniente O Ramón Ocorio....... • • 1 Cid. aband. O. Rodrigo Perez Pones.. 0 1 • . Cadets . . . D. Agustín Perez Ponce... • 1 • LO tro............. O. José Mane;.......... .. • 1 • f Coronel. . . D. Antonio Gaspar Blanco • 1 Irlanda. . 5 CaP' el .tenA coronel. . D. Aguitin…</t>
  </si>
  <si>
    <t>Ponce, José</t>
  </si>
  <si>
    <t>José Ponce</t>
  </si>
  <si>
    <t>ía , 25. D. Juan Midan, 100. D. Bernardino Salado . 12. D Ignacio Aviles, 100. D. José de.Silva , 6. D. Juan Ferrusola, 50. D. Atanasio l.arios , 10. D José Ponce , 2. D Jcsé de la Vera , 4. D. Pedro Gaiecio , 2. D. Pedro Gamez , 3. D. Gregorio Astyte , 4- La cuadri­ lla de negros trabajadores de aguardientes, 8. D. Manuel Mo…</t>
  </si>
  <si>
    <t>Ponce, José María</t>
  </si>
  <si>
    <t>José María Ponce</t>
  </si>
  <si>
    <t>é Ruiz, tenientes del regimiento de la Corona, D. Marcos Antonio Mane so, teniente del primero de Gnariix, D. Antonio Bravo , teniente de Aimansa , y D. José María Ponce, teniente de Guadalaxara: á ayu­ dante mayor segundo, á D. Juan José Fernandez, subteniente del! regimiento de Alpujarras : á tenientes, á D. Bruno Portillo,…</t>
  </si>
  <si>
    <t>Ponce, Juian María</t>
  </si>
  <si>
    <t>Juian María Ponce</t>
  </si>
  <si>
    <t>iciesdel prefecto de Toledo, D. Rairen Salas , lo manda retirar, debien­ do pasar á servir esta prefectura en comisión el prcficto que fe.ó de Xr-rez D. Juian María Ponce. Para Mórula h n nombrado pre­ fecto á D. Francisco T^-ran, intendente que era de Badr k-z . y pa&gt; ra Xerez al regidor de M adrid L). Fulgencio de ia R va A…</t>
  </si>
  <si>
    <t>Ponce, Miguel</t>
  </si>
  <si>
    <t>Miguel Ponce</t>
  </si>
  <si>
    <t>r, cerca de Brrcarrota , en Extremadura , á caballo de Córdoba, compuesto de 22 hombres, una partida enemiga de 70 hombres , mandada por mandados por D. Miguel Ponce, traxo el 16 de di­ Asensio: 35 de ellos fueron muertos ó cogidos, ciembre presos á i 2 bandidos que cogió en la Sier­ contándose entre los primeros al gefe Asen…</t>
  </si>
  <si>
    <t>Ponce, Pedro</t>
  </si>
  <si>
    <t>Pedro Ponce</t>
  </si>
  <si>
    <t>or «no, 9. D, Vicente García Caraballo , id., 9. D. Raytnundo Marnefo Valdes , id., 9. D. Jo.'é Sequevra y Palma , id., 9. D. Antonio Blauco, id., 9. D. Pedro Ponce , id. , 9. D. Domingo Aldana , id., 9. El capitán D. Rafael O-farrilI , por 6,54. D. Juan de ¿4.1calá, por 2, 18. D, Manuel de la Holia, por uno, 9. D. Juan de la…</t>
  </si>
  <si>
    <t>Ponferrada, Manuel</t>
  </si>
  <si>
    <t>Manuel Ponferrada</t>
  </si>
  <si>
    <t>. S. el mérito de mí edecán el capitán D. Be­ nito Blas de la Abaricga, que ha estado constantemente conmigo, y el de mis ayudantes de campo teniente D. Manuel Ponferrada y sub­ teniente D. Mariano Sierra; pero con mas particularidad el del refe-, rido Ponferrcda, que ha acreditado grande valor y prudencia en la execucion de …</t>
  </si>
  <si>
    <t>Poni</t>
  </si>
  <si>
    <t>l se­ gundo lo manda el mariscal duque de Reggio (Óudinct) ; y el ter­ cero e! mariscal duque de Elohingen (Nej ). Murat manda la caba­ llería , y el príncipe Poni&amp;tomki el cuerpo polaco. El cu tipo pru­ siano del cargo del general Grawert está á las órdenes de Maodo« nald. Asisten también á esta guerra el príncipe virey de I…</t>
  </si>
  <si>
    <t>Ponia</t>
  </si>
  <si>
    <t>gloria. La di\risiól» Legrand sostuvo con bezas de puente so&amp;re el Borístenes. honor el fuego de todas fas tropas enemigas. El quinto, mandado por el príncipe Ponia- El 31 el enemigo se dirigió al Drissa para ata­ towsky, está en Mohilow,, con dos puf mes y ca­ bal al dnqpe dé Regg’rq por el flanco; pero el ma­ bezas de puent…</t>
  </si>
  <si>
    <t>Poniato</t>
  </si>
  <si>
    <t>erta dé rtiatowsky, que se habia venido por la derecha, se cadáveres rusos de la acción del s. hallaba áYiro de envolver esta posición. A las qua- El príncipe Poniato a sky, que formaha la dere­ tro principió el ataque, y en cosa de una hora que­ cha del eve'rcito, se puso en movimiento para ro­ dó tomado el reducto con todos…</t>
  </si>
  <si>
    <t>Poniatosvsky</t>
  </si>
  <si>
    <t>s acá deSmoiensko. Desde el cam­ de las tres quartas partes del campo de batalla. En­ po de batalla hasta esta ciudad todas las aldeas y tre'tanto el príncipe Poniatosvsky lidiaba en el bos­ todos Los bosques están atestados de muertos y he­ que con suerte varia. ridos rusos; aquí hemos encontrado :S. Quedaban todavía al enem…</t>
  </si>
  <si>
    <t>Poniatousky</t>
  </si>
  <si>
    <t>entrada de Moskow por tres caminos dife rentes, Mojaisk , Jvenigerod y Kalonga. El Rey de Ñápeles estaba el 9 en Koubinskoe, el Virey en Rousa, y el príncipe Poniatousky en Eerninkoe; el quartel general pasó el 12 de Mojaisk á Peselina ; el estaba en el castillo de Beruska, y el 14 al medio dia entramos en Moskow. El eremigo …</t>
  </si>
  <si>
    <t>Poniatowski</t>
  </si>
  <si>
    <t>^ehlau; el mariscal duque de Elchingen, que manda el tercer cuerpo, en Soldass; el príncipe Virey en Rastembourg; el Rey de Westfalia en Varsovia; el príncipe Poniatowski en Pultusk: el Emperador trasladó su quartel general el 12 á Konigsberg sobre el Pregel, el 17 á Insterburgh, y el 19 á Gumbinnen. Todavía restaban al­ guna…</t>
  </si>
  <si>
    <t>millares de caballos que se ha visto pre­ cisado á confesar, el saqueo de los arrabales de W ilna, y el descontento que le ha causado la conducta del príncipe Poniatowski, ó, lo que es lo mismo, del general francés Fisher, que realmente manda á los polacos &amp;c. &amp;c. £kc.; en fin todos los contratiempos, y sobre todo la falta de…</t>
  </si>
  <si>
    <t>caballería ocupaba á Leckovo: el duqfse de Elchingen en Loozno: el prínci­ pe de Eckmüih en Doubronwva: el príncipe Poniatowski con el quinto cuer­ po en Mohiiow : el quartel general en Witepsk: el segundo cuerpo al man­ do del duque de Reggio sobre Drissa: el décimo cuerpo mandado por el du­ que de Tarento sobre Dunaberg y R…</t>
  </si>
  <si>
    <t>la derecha sobre Smolensko y la izquierda sobre el Borístenes, todo falta de resolución del general; el Emperador marchó sobre la derecha, y mandó al príncipe Poniatowski que mudase su frente, avanzando con la derecha hasta el Borístenes, que ocupase uno de los arrabales por puestos y baterías, des­ truyele el puente, y corta…</t>
  </si>
  <si>
    <t>s. La Rusia daba á Soldapp; el príncipe virei en Rastemburgo; el Rei entender en ella que ni-aun las apariencias, quería de Westfalia en Varsovia; el príncipe Poniatowski salvar. La Francia empleó todos los medios de con­ en Pultusk; el Emperador trasladó su quartel gene­ ciliación ; mas todo fue en vano. ral el 12 desde Preg…</t>
  </si>
  <si>
    <t>Poníatowsky</t>
  </si>
  <si>
    <t>echo el meivoir movimiento. El 28 se reunió, con dos divisiones, se encontraba el 4 en Wfichy se puso en movimiento hacia el Dwina por una new. Si el príncipe Poníatowsky ha perseguido marcha de flanco. EL&gt;osu vanguardia entró en So- con la diligencia correspondiente el cuerpo de Baleinicki; pero atacada por la caballería lig…</t>
  </si>
  <si>
    <t>PoniatoWsky</t>
  </si>
  <si>
    <t>, si los unos son bárbaros, los otros resisten á taguardia de Bagration, estaba el 14 en RomanOw. los turcos, y otros soñolientos se arman en masa El príncipe PoniatoWsky tenia también allí el 16 &gt;ara recobrar la Polonia ? Pelead enhorabuena su quartel general. ! ;asra el último suspiro por la independencia de En el combate d…</t>
  </si>
  <si>
    <t>Poniatowsky</t>
  </si>
  <si>
    <t>$a-ciro del príncipe Bagration. Véase adjunto el de­ ]¡Jo de Witepsk , llegó al mismo sitio el 13. talle del príncipe de Eekmiilh sobre cí mismo. El príncipe Poniatowsky salió de Mohilow, y -El duque de Tarento encontró en Dunaburgo llegó el 13 también á Roma no w. 20 cañones en vez de los ocho que habíamos anun­ El 14 al ama…</t>
  </si>
  <si>
    <t>noche de agosto, un espectáculo igual al que las nes , pasó el Emperador á la derecha, mandando al erupciones del Vesubio presentan á los habitantes príncipe Poniatowsky cambiar dé frente , adelan­ de Ñapóles. tando aquella, y apoyándola al Borístenes , ocupar Una hora después de la media noche el enemi­ uno de los arrabales …</t>
  </si>
  <si>
    <t>ombres muertos , heridos ó pri­ á dos leguas del camino real; el príncipe de Eckmüih sioneros en dichas dos acciones puede graduarse sobre esté, y el príncipe Poniatowsky sobre la ori­ en 25 ó 30®. , ■ lla izquierda del Osma. 1 Al dia siguiente al del combate de Vaiontina La toma de Srnolensko parece haber hecho una distribuy…</t>
  </si>
  <si>
    <t>s , Mojaisk , Jvenígerod y Kalouga. El Reí de Nápoles estaba el 9 en Koubinskoe; Un periódico de Alemania ha publicado la no­ el virei en Rousa, y el príncipe Poniatowsky en Feticia siguiente sobre el doctor Heyne, que murió minkoe: el quartel general paso el 12 de Mojaisk «n Gottinga el dia 14 de julio de este año. á Peselin…</t>
  </si>
  <si>
    <t>trario; nos.iparece que seis leguas, después de una acción mui gloriosa para' esta providencia tardía producirá un efecto entera­ nuestras tropas. El príncipe Poniatowsky se apostó mente contrario al que deseamos. Los americanos detras'del Nara, en el sitio donde éste rio se. junta verán en ella nuestra debilidad , y será mas…</t>
  </si>
  <si>
    <t>o. En el segundo boletín , fecho en Tereja á 27 de Octubre, sigue la relación de la marcha del exéreito dé*este modo. El 22 se enca­ minó á Nereaj el príncipe Poniatowsky. El 23 se disponía el exército á seguir este movimiento , cuando al medio dia supimos que el enemigo , habiendo dexado su campo atrincherado , se dirigía á*…</t>
  </si>
  <si>
    <t>s de á pie. Se empe­ go el honor 8cc. = Firmado = el general :omuajan­ ñó en seguida un vivo fuego de fusilería, un caño­ te del quinto cuerpo Joscf, príncipe Poniatowsky. neo de los mas fuertes , que duró hasta medio día. Mandé que se tomase el collado por asalto, y ESPAÑA. los primeros batallones consiguieron dominarlo des­…</t>
  </si>
  <si>
    <t>Póniauna</t>
  </si>
  <si>
    <t>urante la acción, izquierda, apoyada al Borístenes; eL mariscal prín­ sin dexar de batirse, y causando á los enemigos cipe de Eckmülh el centro, y el príncipe Póniauna pérdida nada inferior á la que pudo sufrir. Lúe towsky la derecha; la guardia de reserva en el hecha prisionera una compañía de voltisores'del re­ centro; el v…</t>
  </si>
  <si>
    <t>Pons, Magín</t>
  </si>
  <si>
    <t>Magín Pons</t>
  </si>
  <si>
    <t>upa usa tic la sexta división D. An­ tonio Pasant, y cielos subtenientes de la secunda y cuarta compa­ ñía de la cuarta división , l).. Juan Orriol y D. Magín Pons , unido»</t>
  </si>
  <si>
    <t>Pons, Tomas</t>
  </si>
  <si>
    <t>Tomas Pons</t>
  </si>
  <si>
    <t>a defensa, capituló con todos los honores déla guerra, quedando prisionera la guarnición, compuesta del expresado Molina, del subteniente de Orihueia D. Tomas Pons, y 56 hombres, entre ellos 6 heridos. La pérdida del enemigo ha sido do mucha con­ sideración , respecto al vivo fuego que sufrió de fusilería y granadas de mono á…</t>
  </si>
  <si>
    <t>Ponsomhy</t>
  </si>
  <si>
    <t>ército estaba como á unas dos millas y media en el puente del Retamar sobre el rio Guadarra­ ma; y habiéndose adelantado la brigada de caballería del coronel Ponsomhy , v una brigada de infantería de la sépfcimá división para sostener las tropas avanzadas , se retiró el enemigo á Majalahonda inmediatamente que observó estas t…</t>
  </si>
  <si>
    <t>Ponsonby</t>
  </si>
  <si>
    <t>433 „EI teniente coronel Ponsonby siguió al enemigo por Villa garcía poco deapn.es de amanecer, y faé escaramuzando con éi hasta quo el general Le-Marehant, con su brigada, llegó por el otro lado de las alturas de entre el camino de Llerena y Bienvenida. Dispuse enton­</t>
  </si>
  <si>
    <t>sa en Villagarcía la mañana del 11 del corriente con las bri­ gadas de los mayores generales Le-Marcbant y Anson, hallándose esta ultima al mando del teniente coronel Ponsonby. „Tengo la honra de remitir á V. E. copia de la carta que me di­ rigió el teniente general Sir Tomas Graham, incluyendo el parte que le dió el teniente…</t>
  </si>
  <si>
    <t>estro exército distante cosa de dos millas, en el puente del Retamar, sobre el rio Guadarrama, y habién­ dose adelantado la brigada de caballería del coronel Ponsonby, y una briga­ da de infantería de la séptima división en apoyo de nuestras avanzadas, el enemigo se retiró sobre Majadahonda al momento que avistó estas tropas;…</t>
  </si>
  <si>
    <t>Ponsonby, Federico</t>
  </si>
  <si>
    <t>Federico Ponsonby</t>
  </si>
  <si>
    <t>dier general D’ürban , y al teniente coronel Heryey del 14 de dragones, al coronel lord Eduardo Somersct, que manda el 4 de dragones , y al honorable coronel Federico Ponsonby, que manda el 12 de dragones ligeros. „Debo asimismo hacer mención del teniente coronel Wcodford, que sostenido por dos compañías de fusileros del mand…</t>
  </si>
  <si>
    <t>rante la noche : esta mañana al acercarnos abandonó la ciudad, pasó el Pisuerga, y voló ei puente. Fce per­ seguido siempre de cerca por ei honorable teniente coronel Federico Ponsonby, que con Un destacamento del 12 de dragones ligeros cruzó por medio de la ciudad ; pero habiéndose pasado ¿ ’gun tiempo antes que llegase la i…</t>
  </si>
  <si>
    <t>Ponsonby, Guillermo</t>
  </si>
  <si>
    <t>Guillermo Ponsonby</t>
  </si>
  <si>
    <t>que mandaba una brigada en la sex­ ta división, al mayor general Jorge Anson , que mandaba una brigada de caballería, al coronel Hiude, al honorable coronel Guillermo Ponsonby, que mandó la brigada del mayor general Le-Marchant des­ pués de la muerte de este oficial, al mayor general Anson , que man­ dó una brigada de la cuar…</t>
  </si>
  <si>
    <t>Ponton, Cayetano</t>
  </si>
  <si>
    <t>Cayetano Ponton</t>
  </si>
  <si>
    <t>ctor D. Juan Perez Delgado, por uno durante la guerra , 9. D. Pedro Fernandez , id., 9. D. Bonito CMombi, id., 9. D. Ramón Pita, id., 9. El escribano D. Cayetano Ponton, id., 9. D. An. tonio Rodríguez , mensuales , 4. El comisario ordenador administrador prin- cipal de correos D. José de Fuertes, 1000 anua'es que disfruta de …</t>
  </si>
  <si>
    <t>Ponz, Antonio</t>
  </si>
  <si>
    <t>Antonio Ponz</t>
  </si>
  <si>
    <t>y los amantes de las bellas artes desean se exponga á la pública vene­ ración, retirando la de cartón que hay en dicha capilla, porque, según di­ ce D. Antonio Ponz, secretario de la expresada academia , en su viage de España, tomo v, página 196, es de las efigies de escultura mas mal he-* chas que hay en Madrid* La persona q…</t>
  </si>
  <si>
    <t>Por</t>
  </si>
  <si>
    <t>Gaceta de Madrid n.º 42</t>
  </si>
  <si>
    <t>1 Los réditos anuales de la deuda de Washington aj de diciembre. h Loisiana importan.................... 675000 Continúa el informe presentado por el secretario Por consiguiente el importe total de Estado de la tesorería. de los réditos anuales de la deuda en i.° de enero de 1812 es de 2.22248a Deuda pública. Restando esta ca…</t>
  </si>
  <si>
    <t>queda D. Sebastian de Molliriedo.......... ........ 14349 2 5 ~ encargado de la execucion del presente decreto. = Firmado=YO F.L RKl.aePor S. M., su ministro Por réditos de jures. . secretario de Estado = Firmados:Mariano Loisdfc El hospital de la corona de Aragón... 11741 n Urquijo.” E! real hospicio de Madrid...............…</t>
  </si>
  <si>
    <t>7¿S Madrid / de Julia. témvnte , í capitán; á D. Martin Alos y D. Jotef Gi ra Ido , subteniente* , á tenientes, y ¿I sargento Por decretos de i.* del corneóte &lt;e tu servido primero D. Eustasio Samaniego á subteniente: en S. M. promover eo el regimiento de tiradores de el regimiento i.° de cazadores á caballo a D. Joa­ la guar…</t>
  </si>
  <si>
    <t>Por, Dionisio</t>
  </si>
  <si>
    <t>Dionisio Por</t>
  </si>
  <si>
    <t>l " pTtán de la gendarmería destinada á esta .capital; «amara á los que disfrutan-da este honor.'............... " al Végonclo tepienie de iogenieros D. Dionisio Por la noche se dignó S. M» teriér en' las salas "Echagarai á ,primer teniente: en el mismo cuerpo; de su real palacio recibí miento genérál'de las "al sargento prim…</t>
  </si>
  <si>
    <t>Por, José Yazquez</t>
  </si>
  <si>
    <t>José Yazquez Por</t>
  </si>
  <si>
    <t>Mosquera y Figueroa, premier.'te. — Juan María Vüiaticencio.—• Ignacio Rodríguez de Urcas.— El con­ de def Abisbal. En Cádiz á 13 de junio de 1812.—A D. José Yazquez Por ia secretaría áel despacho de hacienda se ha circulado la rea! orden siguiente á los dominios de Ultramar : — Eu 17 de octubre próximo pasado comunicaron los…</t>
  </si>
  <si>
    <t>Por, Josefa Za</t>
  </si>
  <si>
    <t>Josefa Za Por</t>
  </si>
  <si>
    <t>ias, corno tado á los individuos que se expresan á conti­ administrador judicial de los ma­ nuación. yorazgos y demas rentas que po­ see la expresada Doña Josefa Za­ Por créditos de pensiones, jubilaciones, limosnas, pata Altamirano.............................. 3351 33 asignaciones, sin Idos y viudedades. D. Carlos Pando y A…</t>
  </si>
  <si>
    <t>Por, Nicolás</t>
  </si>
  <si>
    <t>Nicolás Por</t>
  </si>
  <si>
    <t>o Villas á D. Vicente Zamora. a Para el de Mañosa al ex carmelita descalzp l5on Madrid 16 de julio. Domingo Caballero. Para el de Olmeda de Cebolla i D. Nicolás Por decreto de 30 de junio S. M. s$ lia servi­ Montes. do nombrar para la plaza de alcalde del barrio de Para el de Redueña á D. Juan Mariano Bombín. S. Cayetano de e…</t>
  </si>
  <si>
    <t>Porlier</t>
  </si>
  <si>
    <t>vicio de S. M. B. el Sr. Howard Douglas, y el gefe de estada mayor con algunas oficiales de este cuerpo. Oviedo Jó de diciembre. Las descubiertas del brigadier Porlier llegan muchas veces al puente de Colloto, una legua de esta ciudad, en la que siguen los pa­ rapetos, estacadas, y acopio de-grauos que hacen los enemigos. En …</t>
  </si>
  <si>
    <t>ó su marcha hácia la Montaña. Los enemigos de aquella pro­ vincia se hallan reunidos en Torrelavega, Santander y Reynosa. Toranzo 19 de diciembre. El brigadier Porlier se dirige desde las cercanías del Iníiesto ro­ bre Gijon, para llamar la atención de los enemigos ^ y atacar la guar­ nición de aquel pueblo, si las circunstan…</t>
  </si>
  <si>
    <t>s grados han podido de los almacenes de Valladoiid, Sala­ manca y Patencia. San tiego SI de enero. En los dias 18 19 y 20 de este mes la división del brigadier Porlier obtuvo varias ventajas contra el enemigo, asegurándose que de 3 batallones franceses so!o liab an vuelto 3 compañías muy derrota­ das y algunos carros de herid…</t>
  </si>
  <si>
    <t>38</t>
  </si>
  <si>
    <t>es 1 -guas de Xaiapa. Ravon puso sitio en 19 de abril á la ciudad de Tolnca con 8 '3 hombres; pero fue rechazado en sus asaltos, y ^perseguido por el brigadier Porlier.----Entre México y S Juan del Rio fue desbaratado el 29 de mayo el sueco Lailson por 36 lanceros de S. Luis Po­ tosí. __ En Te iango derrotó el señor Castillo …</t>
  </si>
  <si>
    <t>Porlier, Rosendo</t>
  </si>
  <si>
    <t>Rosendo Porlier</t>
  </si>
  <si>
    <t>iedoni*. — Carlos St^art. — Ricardo Rryniunáe Nogucgra” ESPAÑA. México 3 de diciembre de 1811. Operaciones de la división del hrigaíisr de lew armada D Rosendo Porlier, comandante general de To 'uca , desde el 11 de setiembre hasta el 19 de octubre. Habiendo entrado el 11 de setiembre los rebeldes en Ixilahuaca, robado los ca…</t>
  </si>
  <si>
    <t>Porras, Antonio</t>
  </si>
  <si>
    <t>Antonio Porras</t>
  </si>
  <si>
    <t>Tenientes. de 1812. B. Alfonso Ar joña. Don Josef Napoleón por ia gracia de Dios y D. Tomas Núcete. por la constitución del.estado, REI de las Espa­ D. Antonio Porras. das y de las Indias. D. Francisco Castilla. Hemos decretado y decretamos lo que signe: articulo t. ,,Con arreglo á lo prevenido ed Subtenientes. nuestro decret…</t>
  </si>
  <si>
    <t>tersbtfrgo del'Dwina. D. Antonio Ortiz de Zarate-, presidente de la jun­ Parece que los, rusos retinen:sus: fuerzas,en Du-' ta criminal de Segovia, y D. Antonio Porras, juez, naburgo , donde-nos esperan , resueltos-d dar .una. primero de la juma criminal de Ciudad-Real, fiscal. batalla antes, de entrar en ,sus antiguas provin…</t>
  </si>
  <si>
    <t>a&gt; rezelarse que habia proyeetqs bien serios cisco Iturribarría, D. Francisco de León Bcijilichu, contra la ciudad, hizo pasar dos divisiones y dos y D. Antonio Porras, fiscal: y de jueces de pri­ regimientos de infantería ae la guardia para refor­ mera instancia, con la misma calidad, D. Boque zar las quatro divisiones que l…</t>
  </si>
  <si>
    <t>Porres, José</t>
  </si>
  <si>
    <t>José Porres</t>
  </si>
  <si>
    <t>r los progresos de la columna enemiga que había penetrado por el vado de la alquería de la Cigarra, con 2 piezas de artillería, al mando del teniente D. José Porres. Se puso á la cabeza de dicho batallón eí ex­ presado gefe de estado mayor D. José Morete, quien dispuso sa­ liesen las compañías de granaderos y cazadores en gue…</t>
  </si>
  <si>
    <t>Porta</t>
  </si>
  <si>
    <t>536 Uheda 9 de abril. El ataque que hizo la división del brigadier Porta el 5 del cor­ riente contra la escolta que protegía nn convoy francés, entre las vi­ llas de Baylen y Guadarróman, hace el mayor honor á la bizarría de nuestras tropas, que sin exceder el número de 509 infantes y 150 caballos, batieron á 950 infantes y S…</t>
  </si>
  <si>
    <t>e ocultaron en la maleza. Conociendo el comandanta francés de Ai* dujar la culpa de los juramentados cogidos con las armas en la ma­ nó , escribió al brigadier Porta el oficio de que es copia la del nú­ mero l.Q; la del 2.° lo es de su contestación; y todo 1© e*evo á V. E. para que se sirva dar noticia de ello á la Regencia d…</t>
  </si>
  <si>
    <t>también el teniente juramentado D. A K?ír&lt;5S C&amp;riaga que defendía Sa csu?a de les opresores: nuestra pérdida no pesa de 2 efez’dores mal heridos. El brigadier Porta reco­ mienda eficazmente Kos 3 referidos oficiales y la tropa que tenían á sus órdenes; pero merecen particularidad el teniente Fenrer por haber contribuid o esen…</t>
  </si>
  <si>
    <t>Portal, Josef</t>
  </si>
  <si>
    <t>Josef Portal</t>
  </si>
  <si>
    <t>te. D. Antonio García , id....................................... 2200 ESPAÑA. D. Irsef de Feria , id.......................................... 2 2co D. Josef Portal, id............................................. 22co D. Salvador O doñez, id.................................. 2200 Madrid 20 de julio. D. Sitnon Milán, id.....…</t>
  </si>
  <si>
    <t>Portaz, Antonio María</t>
  </si>
  <si>
    <t>Antonio María Portaz</t>
  </si>
  <si>
    <t>nte, D. José Sánchez, D. Eustaquio Hidalgo, D. Basilio Aguado, D. Tomas Aparicio, Don Fernando Villanueva, D. Antonio Ansaldo , D. Sebastian de Moya, D. Antonio María Portaz, D. Antonio Moreno, D. Andrés Rodrí­ guez, D. José Martínez, D. José Muñoz Silleros, D. Agustín Moli­ na, IX Asensio Cabrera y González., D. C irios Marí…</t>
  </si>
  <si>
    <t>Porte</t>
  </si>
  <si>
    <t>á reple­ garse á Ubeda, abandonando el campo. La acción duró desde las 9 y media de la mañana del referido dia hasta ocrea ds la u¡?a de la tarde. El brigadier Porte me pondera el valor y serenidad con que se han conducido los cíhiales y tropa que tenia b&amp;xo su* ór .tenes, y- añade que los enemigas dexaron ea ei campo de bate…</t>
  </si>
  <si>
    <t>Portel, Pedro</t>
  </si>
  <si>
    <t>Pedro Portel</t>
  </si>
  <si>
    <t>onsejo Diputado eclesiástico de S. M., juez de primera instancia ¡apesta cojrtejr«dada en 11 del corriente, se ha mafidadclvVácííf:!fl{jtó&gt;l,iiía su­ D. Pedro Portel. basta por término de zueVé diaí acree­ Diputados "seculares dores, un pedazo de tierra comprendtrírvobí/^í-feneD. Vicente González. gas y 8 celemines deTisembra…</t>
  </si>
  <si>
    <t>Pórtela, José</t>
  </si>
  <si>
    <t>José Pórtela</t>
  </si>
  <si>
    <t>de sargento mayor á D. José María Guerrero, capitán del regimiento de infantería de línea de volunta­ rios distinguidos de Cádiz; los de capitanes á D. José Pórtela . Dolí Jaciuto Alvarez del Pazo, D. Ramón Miguel de Soto, D. Pedro Roullosa, D. José García Verdugo, D. Pedro José Pórtela, D Francis­ co Rodríguez, D. Rosendo La…</t>
  </si>
  <si>
    <t>Pórtela, Pedro José</t>
  </si>
  <si>
    <t>Pedro José Pórtela</t>
  </si>
  <si>
    <t>dos de Cádiz; los de capitanes á D. José Pórtela . Dolí Jaciuto Alvarez del Pazo, D. Ramón Miguel de Soto, D. Pedro Roullosa, D. José García Verdugo, D. Pedro José Pórtela, D Francis­ co Rodríguez, D. Rosendo Lagoa, D* Xavier Perez Címbrelo y D. Manuel Fernandez; los de ayudantes mayores á D Francisco Ca­ rayaca y D. Juan Bau…</t>
  </si>
  <si>
    <t>Porter</t>
  </si>
  <si>
    <t>iciones para el oesta con toda la pompa y circunstancias de una guerra gloriosa. Salió á recibir­ los y á darles priesa en su marcha un mensagero del coronel Porter, quien &gt;arece teme la venida de algunos huéspedes no convidados. Según se dice Íos ingleses han pedido que se Ies entregue el fuerte americano de Niagara; y habié…</t>
  </si>
  <si>
    <t>Portilla, Bartolomé Cevailos</t>
  </si>
  <si>
    <t>Bartolomé Cevailos Portilla</t>
  </si>
  <si>
    <t>cios indispensables, no serían suficientes para em­ Tenietites, prender el sitio regular de una plaza que tuviese D. Bartolomé Cevailos Portilla. una guarnición proporcionada, y los víveres y mu­ D. Juan Manuel Escarnida. niciones correspondientes, aun quaucio el enemigo D. j oscf Puerta. uo perturbase los trabajos der sitio …</t>
  </si>
  <si>
    <t>Portillo, Bruno</t>
  </si>
  <si>
    <t>Bruno Portillo</t>
  </si>
  <si>
    <t>aría Ponce, teniente de Guadalaxara: á ayu­ dante mayor segundo, á D. Juan José Fernandez, subteniente del! regimiento de Alpujarras : á tenientes, á D. Bruno Portillo, sub­ teniente de Alcázar de S. Juan, D. Salvador María Suaivz, subte­ niente de Alpujarías , D. Francisco de Paula Benavides , subtenien­ te del primero de Gu…</t>
  </si>
  <si>
    <t>Portillo, Pédro</t>
  </si>
  <si>
    <t>Pédro Portillo</t>
  </si>
  <si>
    <t>las 3 de la mañana á un tiro de fmil del par&amp;ge en que los enemigos de Castalia se forman , Segtíñ acostumbran, diadamente. El gefe del estado ma yor D. Pédro Portillo , situó, según mi orden , el trezo que mandaba Valdés, en batalla y ea disposición de ejecutar el ataque, como en la orden se previno. Con eí regimiento de Bay…</t>
  </si>
  <si>
    <t>Portocarrero, Tomas</t>
  </si>
  <si>
    <t>Tomas Portocarrero</t>
  </si>
  <si>
    <t>tiago López, 2. D. Juan Navarrete , 2. D. "Martin Fer­ nandez , 2. D. Juan Loaisa, 2. D. Camilo Mariatégui., 2. D. Pablo Manco 2. D. Juan Batalla, 2. D. Tomas Portocarrero , 2. D. Francisco Zandagoza, D. Pedro Omdoranchey &gt; 2. D. Vicente Navarte , 2. D. Manuel Vengocne.a , 2. D. José Marlategui, 2. D. 'Francisco Roxas, 2. D. …</t>
  </si>
  <si>
    <t>Posada, Diego Antonio</t>
  </si>
  <si>
    <t>Diego Antonio Posada</t>
  </si>
  <si>
    <t>on José Darregueiva , alcayde interino , 125. — Oficiales primeros. D. Juan de la Daga, 83 y 2 y medio. D. Francisco María Charum , 83 y 2 y me­ dio. D. Diego Antonio Posada , 166 y 5. D. Antonio Franca, 83 y 2 y me­ dio. D. Manuel Ferreiros , 83 y 2 y medio. D. Manuel Duran , 83y 3 y medio. ( Se continuarán.) a m. CADIZ ; EN…</t>
  </si>
  <si>
    <t>Posada, Pablo</t>
  </si>
  <si>
    <t>Pablo Posada</t>
  </si>
  <si>
    <t>de la contaduría , 22 y 1. D. Manuel Castellanos , segundo de la administración , 12 V 4. D Esteban Fernandez (’olunga, segundo de la contaduría, 50. D. Pablo Posada, tercero de la administración , 20 y 6. D. Nicolás Berastain , tercero de la contaduría, 20 y 6. D. Manuel Palomino, cuarto de la administración, 12 y 4. D. Fide…</t>
  </si>
  <si>
    <t>Potestad, Francisco</t>
  </si>
  <si>
    <t>Francisco Potestad</t>
  </si>
  <si>
    <t>.. 2200 imperio tiránico eri los mires , obj to único de la D. An tonio Gircía, id.............. 2200 guerra, y para la que desgraciadamente se había D. Francisco Potestad , id............................. 2200 proporcionado á la I iglaierra el principal campo D. J iscf C rr i i lo de Albornoz,id.............. 2200 de batalla…</t>
  </si>
  <si>
    <t>Potocki, Alexuudro</t>
  </si>
  <si>
    <t>Alexuudro Potocki</t>
  </si>
  <si>
    <t>a tomar esta determina­ n&lt; ra'vó ror ncerero del 15 de este me* senador pa­ ción , según él mismo los ha expuesto en el tribu­ latino ¿ S. lí. Mr. e! conde Alexuudro Potocki, nal del banco del Rei. Como por una parte, ha di­ ministro de Po'ícm del ducado, en atención á los cho el procurador general, estoi persuadido de que di…</t>
  </si>
  <si>
    <t>Pourt</t>
  </si>
  <si>
    <t>Croi. de los pesos y\ medidas: 7.0 la de las posadas y Por madama la condesa de Arberg, madama la lugares públicos ; las licencias para bailo y demas condesa Pourt.né.:. dtverdon-s públicas: 8.® la vigilancia sobre los ex- Por madama la condesa de Mortemart, mada­ trangeros : 9.0 la concesión de pasaportes: io. el ma la baron…</t>
  </si>
  <si>
    <t>Powys</t>
  </si>
  <si>
    <t>0 hombres de la tercera división, formados en destacamentos; el de la derecha al mando del mayor Shaw del regimiento 74; el del centro mandado por el capitán Powys del 83; y el de la izquierda por el mayor Rudd del 77. La comunicación entre la plaza y la Picuriña, filé ocupada á su derecha é izquierda per los destacamentos de…</t>
  </si>
  <si>
    <t>Pozo, Manuel</t>
  </si>
  <si>
    <t>Manuel Pozo</t>
  </si>
  <si>
    <t>rria , 200. El ahoga­ do D. Manuel Vidaurre, por lo respectivo á marzo , 50. La caxa general d« censos de indios , 25000. — Clerecía de S. Sebastian. D. Manuel Pozo, cape­ llán de Nazarenas, 12. ( Se continuará.) CADIZ: EN LA IMPRENTA REAL.</t>
  </si>
  <si>
    <t>Prada, Claudio Fernandez</t>
  </si>
  <si>
    <t>Claudio Fernandez Prada</t>
  </si>
  <si>
    <t>Casimiro Esparza, 6.—D. José Pinto y Torre Tagle , cura de la doctrina de Tapa , 100. D. Joaquín Miguel de Arna­ do , subdelegado de Cajamarca , 200. D. Claudio Fernandez Prada, hacendado ,de Laran , 1000. Dependientes de dicha hacienda. D. Francisco Carvajal, 25. I). Manuel Chaves y Caravero, 25. D. Manuel Roxas, médico, 25.…</t>
  </si>
  <si>
    <t>Prada, Juan</t>
  </si>
  <si>
    <t>Juan Prada</t>
  </si>
  <si>
    <t>Perez de la Canal , cura de S. Lázaro, 100. D. Nicolás Rueda, capellán del hospital de S. Lázaro, 12. D. Carlos Marin , 12. D. Félix Egusquiza , 12. D. Juan Prada, 25. D. Fer­ nando Quirós , 25. D. José Antonio Fuente, 4. D. Francisco Cavero , 2. Don Silvestre Peñaranda, 2. D. Sebastian Guerrero , 2. Y D. Matías y D. Clemen­ …</t>
  </si>
  <si>
    <t>Pradeñas, Sebastian</t>
  </si>
  <si>
    <t>Sebastian Pradeñas</t>
  </si>
  <si>
    <t>ñol que haya tenido rano teniente efectivo del mismo cuerpo en la va­ la desgracia de ser procesado baxo tales principios. caste por fallecimiento de D. Sebastian Pradeñas. ¿Y un tribunal guiado por estas reglas ha de ser aun pregonado como necesario para proteger y Por decreto del mismo día ha tenido á bíeQ Conservar en Espa…</t>
  </si>
  <si>
    <t>Prado, Ignacio</t>
  </si>
  <si>
    <t>Ignacio Prado</t>
  </si>
  <si>
    <t>pios del. cabildo # 2000. El subdelegado P. Domingo Fernandez, 100. El alcalde de primer voto , sargento mayor D. Tonbió Acebal , 200, Id. de segundo D. Ignacio Prado , 50. EÍ alférez real D. Manuel Bernospi , 10O. El alcalde provisional D. Pedro Antonio Echegolien , coronel , 100. El regi­ dor decano D. José Vidurrisaga , te…</t>
  </si>
  <si>
    <t>Prado, Josef</t>
  </si>
  <si>
    <t>Josef Prado</t>
  </si>
  <si>
    <t>es D. Juan Mauuul Domínguez. D. Ventura Alcalde. -.Diputados seculares D. Juan Antonio García. D. Mariano López. D. Josef Rico Pablo. D. Juan P.trdo. D. Josef Prado. D. Manuel de Venayas. Secretario Secretario D. Josef Mendez. D. Antonio Regino López. BARRIO DE. XA PLAZUELA DEL GATO. BARRIO DE SAN ILDEFONSO. Alcalde de barrio…</t>
  </si>
  <si>
    <t>Pranak</t>
  </si>
  <si>
    <t>ndidos, tos con 14 de los suyos. Los enemigos dexaron xutre ellos un satgento, y cogiendo ocho c-balios. ademas 18 caballos en poder del vencedor. El capitán Pranak elogia sobremanera la con­ ducta del capitán Gayo, comandante de los caza­ AVISO. dores de montaña. En virtud de providencia del Sr. D. León de SaSan Roque. Balle…</t>
  </si>
  <si>
    <t>Pravia</t>
  </si>
  <si>
    <t>138</t>
  </si>
  <si>
    <t>dida alguna por su parte. Los enemigos hay noticia de que habian llevado 10 heridos. Son muy dignos de elogio tanto el ¡subteniente Llanos, - como el sargento Pravia y toda la tropa, pues no siendo sino 50, rechazaron y batieron á 300 enemigos. Cádiz 3 de febrero. En los dias 24, 20 y 30 de enero han fondeado en este puerto l…</t>
  </si>
  <si>
    <t>Preens</t>
  </si>
  <si>
    <t>Gazeta de la Regencia de las Españas n.º 112 (extraordinaria)</t>
  </si>
  <si>
    <t>923</t>
  </si>
  <si>
    <t>s guarde á V, S. muchos años. Cuartel ge­ neral de Madrid á 15 de agosto de 1812. — Miguel de Alava” P. D. „Después de escrita esta, se ha rendido el general Preens en Guadalaxara al Empecinado con 900 hombres. No quiso capitular sino con el señor du­ que de Ciudad-Rodrigo; pero este le hizo saber que si no capitulaba con el …</t>
  </si>
  <si>
    <t>Prendel</t>
  </si>
  <si>
    <t>ISIS quetes en Tchernsga-Círas. Hasta ahora no lie podido averiguar la causa que obligó ai enemigo á abandonar á Dmitrow. ,,Eí teniente coronel Prendel hace incursiones desdé Wolskolemsk eii los contornos de Mojaísk y Roussa, corno también el teniente coronel Tschemosubow en los distritos de Viasma y Gjaíh. Se han cogido dos …</t>
  </si>
  <si>
    <t>Presos, Antonio Vicente</t>
  </si>
  <si>
    <t>Antonio Vicente Presos</t>
  </si>
  <si>
    <t>tender en, Madrid a G de mayo. el suelo, y les robaron 2920 rs., que.era el dine­ ro que llevaban para la,.compra de ¡¿.rano. El corregidor de Priego D. Antonio Vicente Presos estos ocho reos por la justicia de Col­ Tcrralbo, á quien por sus servicios anteriores el menar, que principió la causa , y concluid ¡ por la REI conde…</t>
  </si>
  <si>
    <t>Preste, Juan Baptista</t>
  </si>
  <si>
    <t>Juan Baptista Preste</t>
  </si>
  <si>
    <t>ones del consejo de Estado, á los directo­ Sr. D. Juan Baptista S i &gt;se-e................ 200 res generales de bienes nacionales y del tesoro pú­ Sri D. Juan Baptista Preste..... .............. 80 blico, y al consejero de Estado eonde .de Melito. Sr. D. Salvador Darrigoi....................... 80 Sr. D. Vicente Navarro.......…</t>
  </si>
  <si>
    <t>Prevosfc, Sir Jorge</t>
  </si>
  <si>
    <t>Sir Jorge Prevosfc</t>
  </si>
  <si>
    <t>Núm. 165. 1353 QÁÍMtÁ. £&gt;£ LA REGENCIA &gt;1 DEL MARTES Í5 DE DICIEMBRE DE 18IÍ* GRAN-BRETAÑA. JLbnúre$ 11 de Noviembre. &gt; .... El teniente general Sir Jorge Prevosfc, gobernador de las pro­ vincias de la América septentrional, ha remitido los detalles que le había comunicado con feoha de 17 de Agosto el mayor general Isaac Broc…</t>
  </si>
  <si>
    <t>Prevost, Sir Jorge</t>
  </si>
  <si>
    <t>Sir Jorge Prevost</t>
  </si>
  <si>
    <t>buques y propiedades de los sóbdicos de S. M. como presas de guerra, negándose también á ratiécar una suspensión de armas, ajustada entre el teniente general Sir Jorge Prevost , gobernador general del Canadá por S. M. , y el general Dearborn , comandante de las fuerzas americanas en las provincias Septentrionales de ios Estad…</t>
  </si>
  <si>
    <t>Priant</t>
  </si>
  <si>
    <t>ousaye , Tiré , Jacquinot y Dufour, cipales alturas de la posición que se bailaba detras como los generales Dery y Dumont, que fueron del pueblo, 1.1 general Priant stvtuvo este movi­ al frente de las diferentes cargas, han tenido todos miento son todo el resto de sil división, colocada caballos muertos ó heridos. Tampoco deb…</t>
  </si>
  <si>
    <t>Priest</t>
  </si>
  <si>
    <t>media antigua Sut deseos de extender los donocjmientos qué •n tres actos^ titulada el Diablo predicador, y Mayor habia adquirido, y la celebridad del doctor Priest- contrario amigo, en la que se presentarán dos magnífi­ leí,le coridiiXeron á Londres, en donde se perfec­ cas decbraciones nueVas pintadas por el célebre profesor…</t>
  </si>
  <si>
    <t>Prieto</t>
  </si>
  <si>
    <t>RETAÑA. general Lardizabal envió la segunda’seccidn, com­ puesta de los regimientos de Africa y de Cuenca, Lóndres r6~ de marzo. al mando del segundo comandante Prieto, por el camino qjie va en derechura desde iHostalet de PnEl dia 7 de este mes hubo en Ennis nna junta sols al convento del Valí de Jesús ¡ y él .se colocó de l…</t>
  </si>
  <si>
    <t>Prieto, Antonio</t>
  </si>
  <si>
    <t>Antonio Prieto</t>
  </si>
  <si>
    <t>a de este, no se ha formalizado hasta 11 y 12 de agosto, que hicieron en­ trada las puertas....#......................................... 1400 En 1 á D. Antonio Prieto y compañía, contratista que fue de líquidos, por la misma razón.................................................. 2000 En 2 ídem á Juan Pariente y compañía, co…</t>
  </si>
  <si>
    <t>Prieto, Bernardo</t>
  </si>
  <si>
    <t>Bernardo Prieto</t>
  </si>
  <si>
    <t>; á tenientes de fu­ sileros á D. Antonio Dubrevii, D. Francisco Cañedo, D. Juan Do­ mínguez , D. J usé Bernardo, D. Pedro Rey-yo , D. Carlos Reggio, D Bernardo Prieto, D. Cirilo Lessacier, í). Juan Galguare, Don Francisco Dalcourt, D. Francisco Devilliers y D. Juan José Bou; á subtenientes de granaderos á D. Arnaido Guillema…</t>
  </si>
  <si>
    <t>Prieto, Francisco</t>
  </si>
  <si>
    <t>Francisco Prieto</t>
  </si>
  <si>
    <t>e Ca­ lañas , y habiendo sabido en el camino que se hallaba eV enemigo en aquel punto, mandé al alférez del primer escuadrón de húsares de Andalucía, D. Francisco Prieto, se adelantase con unos cuantos ca­ ballos y examinase la verdad. Avanzó dicho oficial, y hallando en las inmediaciones de la villa unos paisanos, supo por e…</t>
  </si>
  <si>
    <t>Prieto, Jnlian Antonio</t>
  </si>
  <si>
    <t>Jnlian Antonio Prieto</t>
  </si>
  <si>
    <t>imprenta es una de las machas engañifas con que A D. Gerónimo Gil para el de Arcediano, va­ han querido alucinar á los incautos. cante por muerre de D. Jnlian Antonio Prieto. Los-que quieren mover una revolución en uti A D. Antonio Felipe Grande para el del Vi­ pueblo es necesario que le: presenten venta jas, y llar de Gallim…</t>
  </si>
  <si>
    <t>Prieto, Juan</t>
  </si>
  <si>
    <t>Juan Prieto</t>
  </si>
  <si>
    <t>........... ;............. 2200 D. Josef Castellón, id. en Ecija................... 2200 D. Antonio Casaubon, id................................ arco D. Juan Prieto, id................... 2200 D. Antonio de Navas, id................................. 22.00 D. Mariano González, id................................ 2200 D. Pablo V…</t>
  </si>
  <si>
    <t>Prieto, Venceslao</t>
  </si>
  <si>
    <t>Venceslao Prieto</t>
  </si>
  <si>
    <t>zo. L). Francisco M.rcó del Pont y D. Josef Lardizahal; y á los señores brig idieres D. Joaquín do La última coluna dé los conscriptos no ha es­ Zea, D. Venceslao Prieto, IX Antonio Burriely perado para, salir á que¡ llegue el dia señalado. D. Manuel Velasco; y al coronel D. Francisco de A pesar de la gr nde extensión de este…</t>
  </si>
  <si>
    <t>Primado</t>
  </si>
  <si>
    <t>­ eran llamados, ó que lo. han sabido demasiado to en Ascfutleoburgo en el palacio de S. A. Ern.* tarde para poder conformarse con lo dispuesto en el Príncipe Primado, tomaron SS. M.VÍ. el camino él en el intervalo fixado para este efecto; ó final­ de Wurtzburgo, donde hicieron noche, después mente que no ha dependido de ello…</t>
  </si>
  <si>
    <t>ente del departamento del Pero para los hombres ilustrados, que son los Loira inferior. menos, ¡a causa de un siglo á esta parte de todos S. A. S. el príncipe Primado, gran dnqne de los sucesos de Europa , y aun del Asia y Améri­ Francfort, ha enriado al prefecro del Ourte una ca , en que aquella domina ó influye , está en la…</t>
  </si>
  <si>
    <t>Primero, Miguel</t>
  </si>
  <si>
    <t>Miguel Primero</t>
  </si>
  <si>
    <t>Podro Jo mi Alcina, D. Manuel U&amp;bina, D. José Díaz Ace vedo v D. J nan Cádos nez ; el mismo ele caballería, á D José M dalles, D. Podro Luís Icteupi, D. Miguel Primero, D. Antonio Urblna, D. Earique Fu­ rias, D. Juan Dionisio Arcaya, D. Pablo Hernández, D. José Ma­ ría Telíería, D. Juan Agustín Oberfco, D. Esteban Pe tí, D. M…</t>
  </si>
  <si>
    <t>Príncipe, Tomas</t>
  </si>
  <si>
    <t>Tomas Príncipe</t>
  </si>
  <si>
    <t>pos francos, entre ellos el de! difunto Márquíufzy mandado en el dia por D. Cayetano de la Puente , el de S&amp;crnil, el de Merino, el de Padilla, el de D. Tomas Príncipe, el de Salazar y «tros operan i las inmediaciones dei exército según la, dirección que se les da. »Según las noticias mas fidedignas, el general C:-ffsrelli , …</t>
  </si>
  <si>
    <t>Pringle</t>
  </si>
  <si>
    <t>el mayor general Le-Marchant des­ pués de la muerte de este oficial, al mayor general Anson , que man­ dó una brigada de la cuarta división, al mayor general Pringle, que mandaba una brigada de la quinta división , y la división toda des­ pués que fué herido el teniente general Leith ; á los brigadieres ge­ nerales Bradford y…</t>
  </si>
  <si>
    <t>destruido; pero el enemigo descubrió &gt;un vado , y poje ¿él hizo pa¡?ar un cuerpo considerable de infantería y caballería. Entonces hice'que el mayor general Pringle y el brigadier general Bames lo atacasen á las órele-</t>
  </si>
  <si>
    <t>Prió, José</t>
  </si>
  <si>
    <t>José Prió</t>
  </si>
  <si>
    <t>icial subalterno, dos sargentos y 7 soldados. Berga 29 de mayo. Extracto de varios partes publicados en las gacetas del principado de Cataluña. I. De D. José Prió, hay le de Ager, á la junta superior. —Ager 12 de abril de 1812. —- Ei 3 dei corriente supe que el enemigo vadea­ ba el Noguera de Aragoa, á 2 horas de esta villa, …</t>
  </si>
  <si>
    <t>Proctor</t>
  </si>
  <si>
    <t>cciones entre las tropas que mandaba él teniente coronel St. Jorge y el enemigo cerca-del rio de los* Gansos , donde este fue siem­ pre rechazado. ÉL coronel Proctor tuvo orden de tomar el mando de Amhertsburg, aumentando su guarnición con 60 hombres del re­ gimiento 41. Los destacamentos de milicias se ofrecieron voluntaria­…</t>
  </si>
  <si>
    <t>Prohoroíf</t>
  </si>
  <si>
    <t>e cazadores de la di­ be solo á Platow y Uvaroíf, que iban cubriéndola. visión de AisoufietT. Eos del 41." de cazadores dicen que en su regiinien- El sargento Prohoroíf, del regimiento de Raito apenas habian quedado 50 hombres por com­ zau , declara que su coronel Aveus fue muerto , y pañía. que al tiempo de la retirada vió e…</t>
  </si>
  <si>
    <t>Prós</t>
  </si>
  <si>
    <t>n las qne él proponía. Al teniente del mismo regimiento D. Juan Tri,, Después propaso S. E. que se disentiese en vino ayudante mayor, en neemp'azo de D. Prós­ particular el veto del señor mariscal de campo Don pero Charlier. Francisco Marcó del Pont, el qual había opinado Al subteniente del mismo regimiento D. Fer­ que debia …</t>
  </si>
  <si>
    <t>Pruden</t>
  </si>
  <si>
    <t>no me en­ bio! ¡admirable! ¡es quanto c.be ! ¡eso era lo que gaño , que es ana injusticia atribuir á las mugeres yo queria ! ¿ Pero nó hai mas ? No , Doña Pruden­ los males qué^padecemos, y que los hombres han cia, añada vmd- muí todavía. Díg les a esos seño­ sido los que se hau engañado , y los que nos han res que acá no som…</t>
  </si>
  <si>
    <t>Prudencio</t>
  </si>
  <si>
    <t>1176</t>
  </si>
  <si>
    <t>ibir las acciones y los documentos que van prevenidos , s&lt;$ .dará á¡t cada vocal una, esquela rubricada por el secretario interino .del mismo banco,..D. Prudencio.;Hernández Sía. Cruz,. que deberá .presentar al tiegipo entrar en la junta para asegurar la legit,innjdad de la representación de cada individuo., No siendo posible…</t>
  </si>
  <si>
    <t>Puctzen</t>
  </si>
  <si>
    <t>rtadísimas mnniebras; y por fin la artillería de á caballo, al mando del general Kutmow, íe obligó á retirarse con pérdida. Hemos hecho prisionero al coronel Puctzen, al servicio de Wurtemberg, con SO soldados. El comandante en ge fe alaba la conducta del conde H utrifcfF, y la bizarría de los cosacos imperiales y de los huía…</t>
  </si>
  <si>
    <t>Puente, Joié María</t>
  </si>
  <si>
    <t>Joié María Puente</t>
  </si>
  <si>
    <t>751</t>
  </si>
  <si>
    <t>enerales del rey no, con motivo de la publica­ ción de la con&amp;ttucion de la monarquía. En la serien del 8 de jurio se dió cuenta de la enhoiabuena de D. Joié María Puente, corregi­ dor de Salamanca. El dia 15, de la de la audiencia de Cataluña que felicitaba á S. M. desde Manresa. El 17 , del intendente de Guadalaxara D. José…</t>
  </si>
  <si>
    <t>Puente, José</t>
  </si>
  <si>
    <t>José Puente</t>
  </si>
  <si>
    <t>D. Manuel Rubia, 25 D. José Manuel Valdés , 25. D.'Lo­ renzo niñones , 25. D. Juan de la Roca , 25. D. Andrés Gómez , 25. D. José Fiaría Dávila , 25. D. José Puente , 25 D, Manuel Sequin , 25. D. Pedro Echeverría , ti. D José María Palqoij , 17. D. Pedro José Colmenares , pres­ bítero , 12. D. José María Galindo, 12. D. Juan …</t>
  </si>
  <si>
    <t>Puente, Juan</t>
  </si>
  <si>
    <t>Juan Puente</t>
  </si>
  <si>
    <t>. 60 bién ha dado otra estatua de nuestros antiguos D. Agustín Duro.............................. 40 Reyes, para ocupar un oportuno sitio en la plaza D. Juan Puente.................................. 40 de S. Miguel: providencias que , si bien honran á D. Antonio Ximenez........................ 36 la municipalidad , acreditan …</t>
  </si>
  <si>
    <t>Puerta, Simón García</t>
  </si>
  <si>
    <t>Simón García Puerta</t>
  </si>
  <si>
    <t>.... 5400 D. Ramón Ruiz, portero mayor de Doña María Angela Azpiroz................ 30600 ella, por........................................... 255522 D. Simón García Puerta...................... 14760 Doña Josefi* Alvares de Llamas ........ 18000 Por réditos de imposiciones en el fondo vitalicio. D. Josef Gonzalo Ruiz de Texa…</t>
  </si>
  <si>
    <t>Puertas, Melchor</t>
  </si>
  <si>
    <t>Melchor Puertas</t>
  </si>
  <si>
    <t>la extracción de la real lotería celebradi, arriba, vacante por muerte de D. Francisco Oliva. en la tarde del 27 del corriente hao salido sorteados A D. Melchor Puertas para el del Cubo de' los números siguientes í 17 ,47 &gt; 73 T ®7D. Sancho, vacante por fallecimiento de D; Mar­ tin López. A D. Pedro González Padrón paTa el de…</t>
  </si>
  <si>
    <t>Pueyo, Casimiro</t>
  </si>
  <si>
    <t>Casimiro Pueyo</t>
  </si>
  <si>
    <t>añía del quinto batallón del regimiento de zapadores minadores , á D. Juan Ignacio Cervsra, capitán segundo del batallón de vo’unt&amp;rio3 de Barbastro, D. Casimiro Pueyo, subteniente del regimiento de infante­ ría primero de Mallorca, y O. Leandro García y Moreno, cadete del batallón ligero voluntarios de Mérida. Ea .atención á…</t>
  </si>
  <si>
    <t>Puga, Sebastian</t>
  </si>
  <si>
    <t>Sebastian Puga</t>
  </si>
  <si>
    <t>s , 7$ y 4. Pedro José Vargas , 25. D. Alexo Guiraldez, 25. D. Gaspar Casanova , 25. D. Isidro Arauz, 6. D. José Bernal , 25. D. Ramón Menendez , 25. D. Sebastian Puga, 50. El comendador de la Merced , 50. D. Dio-, go Granados , 20. D. Luis Noli, 10. Teodoro Garóes , 4. Tomas Duarte , 4. D. Manuel Bravo, 5. D. José Florencia,…</t>
  </si>
  <si>
    <t>Puig</t>
  </si>
  <si>
    <t>uig-por tan distinguido servicio hechoí la patria; y ío mismo han hecho Jos dueños de les 2 barcos que te­ nían apresados, por habérselos devuelto el capitán Puig con sus car­ gamentos. Extracto de varios partes dirigidos al general en gefe del primer exército, D. Luis Lacy. I. Del comandante D. Manuel Alegre. —Talarn 24 de m…</t>
  </si>
  <si>
    <t>Puig, Pedro Antonio</t>
  </si>
  <si>
    <t>Pedro Antonio Puig</t>
  </si>
  <si>
    <t>Tolese. Habiendo pasado á la playa de la villa de Cambrils , corregi­ miento de Tarragona, con el xabeque nombrado el Santo Cristo de Sta. Cruz , el capitán Pedro Antonio Puig, mallorquín , armado en corso y mercancía con 6 cañones y 24 hombrea de tripulación, tuvo noticia por el ayuntamiento de dicho pueblo, de que habla en …</t>
  </si>
  <si>
    <t>Puirredon</t>
  </si>
  <si>
    <t>dida .que lo exijan las des­ ex-preside re Saavedra y el canónigo.Funes han gracias. El mismo fuego arde en los pechos de loí marchado ¿‘Ghite/cbn el general Puirredon , des­ habitantes de Sarita Fe , del Perú y de toda la pués de di iberv sido derrotados, por Goyenecheí, América.’' que se hallaba últimamente en Tujui con fue…</t>
  </si>
  <si>
    <t>, y unos 2© á 3© fusiles, y al­ en primer lugar porque se s.¡he qtle en el mes de gunos fabricantes de armas, de papel, de loza y noviembre estaba el general Puirredon con el ge­ de vidrio." neral Modes en Tujui levantando un. exército He aqoi la relación oficial de la insurrección considerable; en segundo iug.tr la represent…</t>
  </si>
  <si>
    <t>Pulido, Pedro Perez</t>
  </si>
  <si>
    <t>Pedro Perez Pulido</t>
  </si>
  <si>
    <t>.................. 2200 ' Mencia................................................ .'....... 2300 D. Josef de Ortiz, diácono, id................ . 2200 D. Pedro Perez Pulido, id. en Cabra......... 2200 D. Benito Diaz , residente en Moutilla..... 2200 DF Manuel de Galvez , íd............................. 2200 D. Josef González H…</t>
  </si>
  <si>
    <t>Punce, Juan</t>
  </si>
  <si>
    <t>Juan Punce</t>
  </si>
  <si>
    <t>. Bern udino groa , 40, Don Melchor Lamas, 4-0'. D. Estanislao Alzamora , 40. i). Manuel Quodros , 40. D. Ignacio Silva, 40. D. José Al gal ovo , 40. D. Juan Punce, 40. D. Ma­ riano Diaz , 40. Carrera de Valles. Administrador de Chancay D. Nicolás Romero , 12. Id. de Huaura D. Tomas Fernandez , 25. Id. de Barranca Don Gregori…</t>
  </si>
  <si>
    <t>Punentel, Juan Ensebio</t>
  </si>
  <si>
    <t>Juan Ensebio Punentel</t>
  </si>
  <si>
    <t>x Saenz de Tejada, 200. El segundo D. Francisco Torres Esquivel, 125. El tercero D. Cários Ortiz , 100. El cuarto D. Mariano Almiron , 100. El quinto D Juan Ensebio Punentel, 83. El sexto D. Miguel de Jaras, 83. El séptimo D. Matías Gallardo , 83. El octavo D. Pedro José Carrillo , 66. El noveno D. Marcos Palma, 66. El décimo…</t>
  </si>
  <si>
    <t>Puniutowsky</t>
  </si>
  <si>
    <t>vigtiimaquinta. Viendo el enemigo obligado á retirarse después de un largo tiroteo. A que no se le perseguía, quiso á su vez tomar la este tiempo el príncipe Puniutowsky repelía por mi orensiva, 6 hizo todos sus esfuerzos para arrojarme derecha al enemigo, que se le presentó, y se apo­ de mi posición; pero siempre fue rechaza…</t>
  </si>
  <si>
    <t>Puntero, Rosa de Simón</t>
  </si>
  <si>
    <t>Rosa de Simón Puntero</t>
  </si>
  <si>
    <t>alde........................ 17051 20 en la que bai ya en el dia jóvenes que dan grandes D. Juan Antonio Monvella............... 57816 31 esperanzas. Doña Rosa de Simón Puntero........... 9980 20 También se cultiva la poesía con mas esmero D. Pascua! Méndez de Zúñiga, co­ que en otro tiempo, á lo que sin duda ba contri­ mo ma…</t>
  </si>
  <si>
    <t>Pusterlá, Manuel María</t>
  </si>
  <si>
    <t>Manuel María Pusterlá</t>
  </si>
  <si>
    <t>su jactancia., al déspota que presumió esclavizarnos!—* .Londres 22 de febrero de 18 Í2. — Eí duque átl Infantado». ARTICULO DE OFICIO. El b rigadier D. Manuel María Pusterlá , comandante-. general' del condado de Niebla, con. fecha ea Ayaruonte á 2 dví presente mes, dice al señor gefe del estado'mayor aera! lo-que sigue: „Ex…</t>
  </si>
  <si>
    <t>Q, Luis</t>
  </si>
  <si>
    <t>Luis Q</t>
  </si>
  <si>
    <t>5. 1). Domingo Pimentei , por sí y por la botica de la Bueña-muerte , 25. D. José Gil , 25. D, Fran­ cia o 5 lo mes , 25. D. Mariano Egoaguirre , IG. D. Luis Q, ni ros , 12. D. Ale* x andró Boh urques , 12. i). José Isidoro Alcedo, 12. D. Mariano Espino'a, 10. 1). Luis Sánchez Baharuonde, 10. D. Marcelino Velarde , 10. I&gt;. Jo…</t>
  </si>
  <si>
    <t>Q-uadrado, Fernando</t>
  </si>
  <si>
    <t>Fernando Q-uadrado</t>
  </si>
  <si>
    <t>Mauúei Ruiz, 2. La universidad de S. Marcos, 8000. D. Antonio José Buendia, á cuenta de su oferta de 330 ps. anuales, 110. D. Antonio de O vague, 60. D. Fernando Q-uadrado, oidor de esta real audiencia , 600. D. MiguA Li­ sa guirre , fiscal del crimen de la misma , 334. D. Juan Agustín Santibañez, cura de Pampa de Tangos , 10…</t>
  </si>
  <si>
    <t>Qaijand, Josef</t>
  </si>
  <si>
    <t>Josef Qaijand</t>
  </si>
  <si>
    <t>8io D. Josef Qaijand, id. del valle de To- abril, 18 de agosto y fde setiembre de 1809 , y facizo........ i........... ......................................... lioa si de marzo último, relativos á las pensione</t>
  </si>
  <si>
    <t>Qcampo, Manuel</t>
  </si>
  <si>
    <t>Manuel Qcampo</t>
  </si>
  <si>
    <t>d po­ lítica de la nación española , formará una^ de las épócás mas señala­ das é ilustres desús anales. ’ &gt; t . Continúan les donativos del Perú.. i D. Manuel Qcampo, 6 pesos fuertes. .Taime ©eltrárt ,4,b. Francisco 1.0pez , 4 r^. D. tibaldo Aranda , 1. D Juan de Aranda , 1. D. Félix Vidal,'4' rs. i). Vicente Dul#»nto.,j. Cl…</t>
  </si>
  <si>
    <t>Qnando, Anto</t>
  </si>
  <si>
    <t>Anto Qnando</t>
  </si>
  <si>
    <t>alcalde da edición de la mecánica analítica del senador del mismo barrio D. Juan de Mata Morales. conde Lagrange. Por otro'decreto de la misma fecha D. Anto­ Qnando se pnbiicó esta obra por la primera nio Chavarría ba sido nombrado individuo de la vez,.todos los geómetras la miraron como una de municipalidad de Toledo. las pr…</t>
  </si>
  <si>
    <t>Qnesada, Josef</t>
  </si>
  <si>
    <t>Josef Qnesada</t>
  </si>
  <si>
    <t>200 cena.......................... ................ ........... ............. 2200 D. Josef Mendez, id.......................................... 2200 D. Josef Qnesada, id.......................... 2200 Ex-carmelitas descalzof. D. Josef Alcoba, id............................................' 2200 D. Juan Clavero, residente en …</t>
  </si>
  <si>
    <t>Qniran, Manuel</t>
  </si>
  <si>
    <t>Manuel Qniran</t>
  </si>
  <si>
    <t>isco San Román. D. Josef Piro Molíoa¿ D. Mariano Yoldi. D. Pedro López Blanco. J&gt;. Nicolás Palacios. Secretario Secretario D. Juao Francisco de Hato. D. Manuel Qniran. BARRIO DE LAS TRINITARIA*. SARRIO DE LA SUENA-DICHA. Alcaide de barrió Alcalde de barrio D. Alfonso dé Pinos. D. Joah Antonio de AlisedO-,» Diputado eclesiásti…</t>
  </si>
  <si>
    <t>Quarin</t>
  </si>
  <si>
    <t>o los poetas de la Beoda A pesar de lo que se había ahondado última­ y de la Jonia pudieron en una época mui poste­ mente acerca de la enfermedad del barón Quarin, rior escribir obras por el mismo estilo , sin cono­ qoe es un anciano de mas de 8c¡ años, y uno de cerse siquiera unos á otros. Esta sabia memoria in­ los doctores…</t>
  </si>
  <si>
    <t>Qudinot</t>
  </si>
  <si>
    <t>7 * ® Otro oficio. „E1 conde Wittgenstein da parte de que después de la segunda acción del 29 de julio (10 de agosto) el mariscal Qudinot se retiro con precipitación, siendo frecuentemente atacado por la vanguardia rusa que lo perseguía de cerca; pero que habiendo recibido refuerzos considerables, hizo alto en Polotsk , donde…</t>
  </si>
  <si>
    <t>Qué, Alexan</t>
  </si>
  <si>
    <t>Alexan Qué</t>
  </si>
  <si>
    <t>981</t>
  </si>
  <si>
    <t>ropietarios, negociantes jes, y defender su independencia. No hai remedio, y m-rcaJeres abandonaron todos sus haberes. patrón, continuó mí ingles, el Emperador Alexan¿Qué dicen vrnds. de esta lógica? Pues ven acá, dro no ha podido defender la frontera de su impe­ alma de Dios, si los otros se han ¡do, y se han de- rio, y desd…</t>
  </si>
  <si>
    <t>Que, José Manuel</t>
  </si>
  <si>
    <t>José Manuel Que</t>
  </si>
  <si>
    <t>ito de V. E.: el tino, previsión y serenidad del primero afianzan en esta acción la opinión que de ant• termino se ha adquirido: el ayudante de V. E. D. José Manuel Que. vedo dirigió por sí mismo la masa que formó el batallón de CiudadReal, mandado por sn primer mayor D. Joaquín Morcan , tan opor­ tunamente , qoe desbarató á …</t>
  </si>
  <si>
    <t>Querejazi, Francisca</t>
  </si>
  <si>
    <t>Francisca Querejazi</t>
  </si>
  <si>
    <t>, 100, y ofrece )o mis­ mo anualmente durante la guerra. D. Miguel Alvarez , 50. D. Juan Manuel Quirós , 400. El marques de la real Confianza , 200. Doña Francisca Querejazi* y su hijo D. Pablo Avellafuerte , 500. D José Gutiérrez de la Parra ,400 Doit José de Lizarralde , 500. D. Domingo González Castañeda , 200, y otros tan…</t>
  </si>
  <si>
    <t>Querejazu, Tomas</t>
  </si>
  <si>
    <t>Tomas Querejazu</t>
  </si>
  <si>
    <t>pa de infantería, 203. Los oficiales , sargentos y tropa de caballería , 163 y 2 y medio. D. Ma­ tías Querejazu, canónigo de esta Sta. iglesia, 1000. D. Tomas Querejazu, 500. Doña Rosa Catalina Vázquez de Velasco , 500. Doña Constanza de la Puente y Querejazu, 500. D. Juan Antonio 4ndueza, cura de Yangai, 100. El cirujano Mig…</t>
  </si>
  <si>
    <t>Quesada, Jacinto</t>
  </si>
  <si>
    <t>Jacinto Quesada</t>
  </si>
  <si>
    <t>G. Id. D. Santos Cabrejos, 12. Id. D. Bartolomé Dapelo r6. Id. D. Eulalio Guzman , 4. El alférez D. José Manuel Muro, 12. Id. D. José Ledesma, 2. Id. D. Jacinto Quesada, 6, Id. D. Francisco Barragan, 6. Id. D. Joté Villalobos, 12. El portaguión D. Silvestre Rodríguez, 25. El cadete. Don José María de las Muñecas, 4. Id. D. Sa…</t>
  </si>
  <si>
    <t>Quesada, Manuel</t>
  </si>
  <si>
    <t>Manuel Quesada</t>
  </si>
  <si>
    <t>t9dos los recomiendo muy particularmente. — Dios guar­ de á V. E. muchos años. Carrejo y Mayo. — Lorenzo Herrero*—? Continúan los donativos del Perú, D. Manuel Quesada, 4 pesos fuertes. D. Nicolás Castro, 30 D. Loren­ zo Bodero, G. D. Santiago Serón, G. El ayudante de gobierno y varios i ndtviduos , 7$ y 4. Pedro José Vargas …</t>
  </si>
  <si>
    <t>Quesada, Manuel Rodríguez</t>
  </si>
  <si>
    <t>Manuel Rodríguez Quesada</t>
  </si>
  <si>
    <t>i­ cente Aviles , 20. í&gt;. Manuel Andrade , 25. D, Antonio Gonza'ez , 100. Don Isidro Domínguez, 20. D. Francisco Ortiz , 20. D. Domingo González, 20. D. Manuel Rodríguez Quesada, 4. D. Manuel Ramos , 25. D. Vicente de la Mata, 10. D. Jacinto de la Mata, 10 D Francisco Paredes, 200. D. Mi­ guel Navarrete , 4. D. Miguel Camino …</t>
  </si>
  <si>
    <t>Quevedo, Francisco Gómez</t>
  </si>
  <si>
    <t>Francisco Gómez Quevedo</t>
  </si>
  <si>
    <t>de la Cruz, á las quatro y media de la tarde, Ciempozuelos................................ 480 se executará la comedía titulada las Minas de Polonia, D. Francisco Gómez Quevedo por con tonadilla y sainete. Se cobrará de subida. EN LA IMPRENTA REAL.</t>
  </si>
  <si>
    <t>Quevedo, Josef Manuel</t>
  </si>
  <si>
    <t>Josef Manuel Quevedo</t>
  </si>
  <si>
    <t>cito de V. E. : el ti­ no, previsión y serenidad del primero afianzan en esta acción la opinión que de antemano se ha adquirido: el ayudante de V. E. D. Josef Manuel Quevedo dirigió por sí mismo la masa que formó el batallón de Ciudad-Real, mandado por su primer mayor. D. Joaquín Moreau, tan oportunamente, que desbarató á los…</t>
  </si>
  <si>
    <t>Qui, Juan José</t>
  </si>
  <si>
    <t>Juan José Qui</t>
  </si>
  <si>
    <t>ncisco Delgado, 8. Don Manuel Herrera , 6. D. José Amezaga , 35. D. Francisco León , 5. D. Ma­ nuel León, D. Diego Noriega , 8. D. Juan de üfeían, 8. D. Juan José Qui­ ñones, 8. D. Manuel Urquiju, 8. D. Manuel Crias, 8 D. Pedro Truxillo, 12. D. Toribio Alarco , 7 y 7 rs. D. Anselmo Peña , 8. I). Isidoro Caraved» , 8. t&gt;. Luis…</t>
  </si>
  <si>
    <t>Quiiez, Pascual</t>
  </si>
  <si>
    <t>Pascual Quiiez</t>
  </si>
  <si>
    <t>es fundamenta- originales los dictámenes pirticnb.res de lo-, minis­ lef de ir nionarqu:.;; d“spues de htber exeettado tros D. Justo Ib ir N :varro , D. Pascual Quiiez y providencias tni.i . - i -.s de eü -.s; después de haber D. Jnset N.o ano Vidal , que no conformtírid-o-.ü p.-otv SÍ.-...1'&gt; d »n a.-Lerion al órd.eii establ…</t>
  </si>
  <si>
    <t>Quijana, Juan</t>
  </si>
  <si>
    <t>Juan Quijana</t>
  </si>
  <si>
    <t>ownie, que fué herido y prisionero, como del ca­ pitán de ia compañía de cazadores de Guadix D. Francisco Cabre­ ra ; del subteniente de dicho cuirpo D. Juan Quijana , y del de la le­ gión ligera de caballería dni Condado D. Simón Rodríguez, que igualmente fueron heridos. El segundo ayudante de estado mayor D. Manuel O bregón…</t>
  </si>
  <si>
    <t>Quilos, Salvador</t>
  </si>
  <si>
    <t>Salvador Quilos</t>
  </si>
  <si>
    <t>í&amp;ei CcvakfOB ÍÍ8?a:era. • Capitán. .. D. A ntonio Cava ley ro..... 1 Batallón Otro . •. . . O. Francisco Velaícte. .. .. 1 áet Gtnt~&lt; T*tntfci k . , D. Salvador Quilos.......... .. . 1 tai* * • • • O ro ..... O. Ramón Piad**.................. 1 Ot •(£...#« D. Antonio de Torr. 1 Sitóte n unte O. Diego Aboban............. • f …</t>
  </si>
  <si>
    <t>Quinministerio, Juan</t>
  </si>
  <si>
    <t>Juan Quinministerio</t>
  </si>
  <si>
    <t>Bautista Barage; y al capi­ tán del propio cuerpo D. Félix Pavía á coman­ Ann no está enteramente formado el nuevo dante de batallón en reemplazo de D. Juan Quinministerio. El lord vizconde de CaSflereagh" fue tano. ayer á C-rltou-House , y recibió los sellos de ma­ Por decretos del mismo día se ha dignado S. M. nos del Prínc…</t>
  </si>
  <si>
    <t>Quiñones, Benigno</t>
  </si>
  <si>
    <t>Benigno Quiñones</t>
  </si>
  <si>
    <t>Belanconvt, oficial de libros, 30. D. Juan Casanova , id., 25, D. Andrés Váleles Archivero, id., 10. Escribiente D. Pe­ dro I anguenein , id., 6. II. D. Benigno Quiñones, id., 6. Icl. D. Lu»s Blan­ ca, id., 6. Ei contador principal de exército I). Juan José de la lioz y sus subalternos, durante la guerra, 06 ps. y 4 iv. mee s…</t>
  </si>
  <si>
    <t>Quiñones, José María</t>
  </si>
  <si>
    <t>José María Quiñones</t>
  </si>
  <si>
    <t>rtaguión D. Silvestre Rodríguez, 25. El cadete. Don José María de las Muñecas, 4. Id. D. Santiago Burga, G. Id. D. Manuel An­ tonio Quiñones , 2. Id. D. José María Quiñones , 4. Los individuos de la dé­ cima compañía , 8. D. Tomas Ausejo , comandante militar de lea , 200. (Se continuará.) CADIZ; EN LA IMPRENTA REAL.</t>
  </si>
  <si>
    <t>Quiñones, Juan</t>
  </si>
  <si>
    <t>Juan Quiñones</t>
  </si>
  <si>
    <t>á nombre de su esposa Doña María Falipa Perez de lia, 1000. D. Alonso Maqueda , ayuda de cámara del Sr. virey, 30. Doña Juana María de Jáuregui, 20. D. Juan Quiñones , 25. — Ministe­ rio de real hacienda. El ministro contador D. Fernando ¿ambraoo , por sí y su esposa Doña Francisca Viana,tres mesadas de su actual sueldo que i…</t>
  </si>
  <si>
    <t>Quintaba, Antonio López</t>
  </si>
  <si>
    <t>Antonio López Quintaba</t>
  </si>
  <si>
    <t>a las 16 plazas de ministros del tdbnnal supremo de justi­ cia , con el orden de preferencia que sigue, á D. José María Paig, D. Antonio Cartavarrh , D. Antonio López Quintaba, D. Francisco López Lisperguer, D. Gerónimo Diez, D. Ciríaco González Carva­ jal , D. Antonio Cano Manuel, D. Tadeo Segundo Gómez, D. Ma­ nuel dei Cast…</t>
  </si>
  <si>
    <t>Quintana, Antonio</t>
  </si>
  <si>
    <t>Antonio Quintana</t>
  </si>
  <si>
    <t>Aivarez de Navia; subtenencia de granaderos á D. José: González; de fusileros á D. José Ramón Moreno, D. José Benito Mendez, D. José García Cárdenas, D. Antonio Quintana, D. Anto­ nio Villegas, D. Pedro Perez Uriondov D. José Guerra y D. José María Celada; y de bandera á D. Juan López y D. José Benito Azcuénaga. En la compañí…</t>
  </si>
  <si>
    <t>Quintana, Jorge</t>
  </si>
  <si>
    <t>Jorge Quintana</t>
  </si>
  <si>
    <t>tri­ «toridad que teníais con Dios en la tierra? Albu ir con 200 ducados anuales al ex- franciscauo «canzadnos, santo gloriosísimo, el pronto remedio D. Jorge Quintana. «de tantas calamidades; prosperad los preciosos Por decreto del mismo dia S. M. se ha digna­ «dias de nuestro augusto y amado Soberano , que do nombrar indivi…</t>
  </si>
  <si>
    <t>Quintanilia, Juan</t>
  </si>
  <si>
    <t>Juan Quintanilia</t>
  </si>
  <si>
    <t>as Lagunas, D. Francisco de Inda, conde de Lung^ncho, D. Hipólito Íbañíz, D. Francisco Moreyra y D. Joa­ quín María Ferrer; tenencias de granaderos á D. Juan Quintanilia, D. José Garrea y D. Antonio Taranco, de cazadores, á D. Jo­ sé Francisco de Isasi, y de fusileros á D. Pedro Abadía, D. José de la Riva Agüero , D Jacinto d…</t>
  </si>
  <si>
    <t>Quintano, Juan</t>
  </si>
  <si>
    <t>Juan Quintano</t>
  </si>
  <si>
    <t>io de su apoderado D. Pascual En nuestro" palacio de Madrid á 16 de julio Salinas............................................... 15065 26% de 18 1 2. D. Juan Quintano.......................... 11550 Don Josef Napoleón por la gracia de Dios y D. Eustaquio Salcedo, por medio por la constitución del estado, REl de las Espinas de…</t>
  </si>
  <si>
    <t>Quintano, Juan Cdraaco</t>
  </si>
  <si>
    <t>Juan Cdraaco Quintano</t>
  </si>
  <si>
    <t>778 el Sr. D. Florencio del Castillo, diputado por la ciudad de Cartago, provincia de Cust&amp;rica, y para secretario el Sr. D. Juan Cdraaco Quintano, diputado per ia provincia de Falencia. Hablé adose canronicado de ofnlo y á su debido tiempo, por ei ministerio de estado, al enbaxador de S. M. B. en esta corte, la constitución …</t>
  </si>
  <si>
    <t>Quintanr, Juan</t>
  </si>
  <si>
    <t>Juan Quintanr</t>
  </si>
  <si>
    <t>uardia real D. Juan Bautista Barage á coronel del regimiento Real Irlandés: al coman­ GRAN BRETAÑA. dante de batallón de fusileros de la guardia real D. Juan Quintanr» á mayor del mismo cuerpo en Londres 2¡¡ de febrero. la vacante de D. Joan Bautista Barage; y al capi­ tán del propio cuerpo D. Félix Pavía á coman­ Ann no está…</t>
  </si>
  <si>
    <t>Quintero, Cayetano</t>
  </si>
  <si>
    <t>Cayetano Quintero</t>
  </si>
  <si>
    <t>entre los primeros un practicante del hospital, que habiéndose- descarriado cayó en poder de los rebeldes , y fué cruelmente asesinado.— El ca­ pitán D. Cayetano Quintero, que salió para Rioverde, llegó desde Aguayo al valle del Maiz el 7 de agosto, y á la tarde siguiente se di­ rigió en busca de una reunión de rebeldes, que …</t>
  </si>
  <si>
    <t>Quinto, Agustín</t>
  </si>
  <si>
    <t>Agustín Quinto</t>
  </si>
  <si>
    <t>es de este esclarecido reyno.” Alicante 19 de abril. Con fecha de 26 de febrero, ei nuevo director general de policía de Valencia, por los franceses, D. Agustín Quinto , dirigió una proclama á los habitantes de aquella ciudad, que se insertó en la gaceta de 2 de marzo , y manifiesta el estado del espíritu público, y cuan vana…</t>
  </si>
  <si>
    <t>Quiroga, Josef</t>
  </si>
  <si>
    <t>Josef Quiroga</t>
  </si>
  <si>
    <t>......................... 2200 D. Juan Josef de Armda , id.......................... 2200 D. Juan Pedro Guerra, id.............................. 220® D. Josef Quiroga, ¡d—.,..,...................... ....... 2200 D. Juan Perez Villafranca, residente en D; Juan Josef de Alcaide, id.................. . 3200 Bujalance............…</t>
  </si>
  <si>
    <t>Quiros, Francisco López</t>
  </si>
  <si>
    <t>Francisco López Quiros</t>
  </si>
  <si>
    <t>o, residente en Córdoba.. 2200 D. Diego Falconero , id............................i...... 22 OO D. F ruando Camacho, id..’...................... 2202 D. Francisco López Quiros , diácono, id... 2 200 D. Fernando Rodríguez , id en Montilla... 2200 D-J uan N ivarro , id,........................................ 2200 D. Antonio La…</t>
  </si>
  <si>
    <t>Quirós, José</t>
  </si>
  <si>
    <t>José Quirós</t>
  </si>
  <si>
    <t>,, permaneció en su punto, desde donde destacó á reforzar las guerrillas de los patriotas la compañía de cazadores de Galicia y al mando del teniente D. José Quirós, oQ hombres de la primera compañía del primer batallón de la Sierra, á las órdenes de su capitán D. Francisco Velafde, y pos­ teriormente, para sostenerlas, media…</t>
  </si>
  <si>
    <t>Quirós, Juan Manuel</t>
  </si>
  <si>
    <t>Juan Manuel Quirós</t>
  </si>
  <si>
    <t>egundo voto , 50. D. Eugenio de Burtubay , 500. D. José Lago y Lemus , 100, y ofrece )o mis­ mo anualmente durante la guerra. D. Miguel Alvarez , 50. D. Juan Manuel Quirós , 400. El marques de la real Confianza , 200. Doña Francisca Querejazi* y su hijo D. Pablo Avellafuerte , 500. D José Gutiérrez de la Parra ,400 Doit José …</t>
  </si>
  <si>
    <t>Quixote</t>
  </si>
  <si>
    <t>Gaceta de Madrid n.º 50</t>
  </si>
  <si>
    <t>las guerras extranjeras, go manchego para defender la cristiandad del turco. inútiles y perjudiciales para la nación, el fanatismo, ¡ Hai mas, decía D. Quixote, sino mandar por público al egoísmo, todo* los vicios en fin, opuestos á su pros­ pregón que se junten en la corte para un dia señalado peridad, no solo habían impedid…</t>
  </si>
  <si>
    <t>n que veo á muchos desencadenar­ dría añadir, si no tetpiera qqe ma declarasen por se contra la opinión privada de ciudadanos pa­ el Sancho del nuevo D. Quixote. cíficos , sumisos y 'obedientes d su Soberano, ri­ ¡Cómo! ¿se tne pone vmd.. serio? Vamos, no se diculizándolos, y comparándolos con los anima­ enfade-vmd., yaqui pa…</t>
  </si>
  <si>
    <t>Quixotes</t>
  </si>
  <si>
    <t>á quien deseo abrazar, y madre de Dios , y nes desasen lidiar con nuestra quando no, manifestarle mi memoria y gratitud suerte, sin "enir á meterse á D. Quixotes; porqaé quando venga la paz (que no está tan distante co­ verdaderamente ¿no es una especie de locura que mo vmd. piensa) con un tonel de buen Xerez, habiendo sosten…</t>
  </si>
  <si>
    <t>Qulntanilia, José</t>
  </si>
  <si>
    <t>José Qulntanilia</t>
  </si>
  <si>
    <t>, los coroneles de Lena , inmemorial del Rey y primero de Catalu­ ña, D. Jayme Butler, D. Felipe Borenguér y D. Antonio Sota; y los sargentos mayores D. José Qulntanilia, y O. Constancio Martí­ nez , que mandaban ios regimientos de Cangas de Tineo y Sigüenaa.73 Continúan los donativos del Perú, El juez ele aguas D. Juan Mena,…</t>
  </si>
  <si>
    <t>R, Antciij</t>
  </si>
  <si>
    <t>Antciij R</t>
  </si>
  <si>
    <t>eron marcha y la tropa presentó 1. s ar­ ias s, se descubrió el retrato de nuestro amado monarca, que hsta entone»s había estado cubierto. En seguida D. Antciij R b e¡¿ Moñino, caballero de la orden de Cirios III, vecino de este pttbF, hi­ zo la lectura de la constitución , y acto continuo el comanda i te de desmontados el te…</t>
  </si>
  <si>
    <t>R, Sir</t>
  </si>
  <si>
    <t>Sir R</t>
  </si>
  <si>
    <t>-Oveju­ na , rey no de Córdoba, con las tropas de su mando, y el mariscal Soult en Sevilla, según las últimas noticias que me ha dirigido el teniente general Sir R. HUI. — IVellington (1).” ESPAÑA. Elche de la Sierra 18 de abril, Gerónimo Ramírez, sargento del batallón de Jaén, hombre de mu­ cha reputación por su valor, de qu…</t>
  </si>
  <si>
    <t>s enemigos establecidos en el paso del rio Tajo en Almaraz. SJA causa de los indispensables preparativos para esta expedi­ ción , no pudo el teniente general Sir R. Hill comenzar su marcha, con - arte de la segunda división de infantería, hasta 12 del corrien­ te y consiguió ei objeto de su expedición el día 19, tomando por a…</t>
  </si>
  <si>
    <t>que tiene intención de pasar por aquel punto el Duero luego que reciba los refuerzos que espera de los exércitos. deí norte y cen­ tro. — EL teniente general Sir R. Hill desfiló con el exército de sn mando desde la Albuhera el dia 2 del co riente, y se adelantó contra el enemigo que se fué retirando con dirección á Córdoba. S…</t>
  </si>
  <si>
    <t>R, Sír</t>
  </si>
  <si>
    <t>Sír R</t>
  </si>
  <si>
    <t>del Duero. El puente de Tordesiílas está compuesto, y asimismo habi­ litan los enemigos el de Toro. „ Entre tanto, las tropas del mando del teniente general Sír R. Hill llegarán hoy ó mañana al Adaja. Aquel general recibid mis ordo-</t>
  </si>
  <si>
    <t>errett. No he recibido la relación de nuestra pérdida en esta ocasión , pero sé que será de unos 40 hom­ bres. Ningún oficial fué herido. El teniente general Sir R. Hill elo­ gia la conducta de las tropas. ,.El edificio de la China en el Retiro , teda hi artillería que no pudo retirarse, las obras &amp;c., fueron destruidas ántes…</t>
  </si>
  <si>
    <t>orjas, desde su cuartel general d* Ciudad-Rodrigo con fecha 19 de Noviembre. ,,E1 8 del corriente pasaron el Tormes en Alba las tropas del te­ niente general Sir R. Hill, y las de mi mando tomaron posición en las alturas de S. Cristóbal de la Cuesta en el mismo día. La brigada del general Pack ocupaba á Aldealueaga ; la del b…</t>
  </si>
  <si>
    <t>la quinta división. La destrucción de los ña y del conde de Penne Villeinur están con el te­ puentes sobre el Carrion no pudo efectuarse , lo niente general Sir R. Hill. que motivó la mudanza de nuestra izquierda. El Tengo noticias del norte, que refieren que Ton­ puente de Villamuriel se ha destruido; pero esto ga tomó un ce…</t>
  </si>
  <si>
    <t>R-óbago, Simón</t>
  </si>
  <si>
    <t>Simón R-óbago</t>
  </si>
  <si>
    <t>pe Saenz , 2. D. Fedto Bernuy, 2. D. Agustín Vaides, 2. D. liste van Avila , 2. D. Francisco Villegas , 1. El Sr. virey D. Fernando Aba cal , lOtiOO. D. Simón R-óbago , secretario tlcl virey nato ocr sí y su espesa Doña Manuela Avelia Fuerte, 1200. D. José Mu-</t>
  </si>
  <si>
    <t>Ra, Blas</t>
  </si>
  <si>
    <t>Blas Ra</t>
  </si>
  <si>
    <t>24 con este fin en la casa del mismo Feret, á quien D. Genaro Martínez de Baños............. 1087 2 estuvo esperando todo el dia, y quando llegó, le D. Blas Ra*,con Cornejo....................... 2870 9 acometió con un martillo , y le dio varios golpes D. Adrián Márcos Martínez................. 1436 3 en la cabeza; pero Feret…</t>
  </si>
  <si>
    <t>Rabada, Manuel</t>
  </si>
  <si>
    <t>Manuel Rabada</t>
  </si>
  <si>
    <t>de D. J osef C ■ Ibento , residente eo Viliafraa- Rocubi.................... 3200 ca ds lis Agujas......... ....... ........................... 2 200 D. Manuel Rabada, lego, id. en Córdoba. 1100 D. Vicente -López Hervís, id en Villacarrillo , provincia de Jaén.......................... 2200 Ex- hospitalarios de S. Juan de Dio…</t>
  </si>
  <si>
    <t>Rabal, Meliton</t>
  </si>
  <si>
    <t>Meliton Rabal</t>
  </si>
  <si>
    <t>ceses , se retiraba ya de dia, seguido por una compañ a de estos , cuando ob­ servó que venía á sostenerle un destacamento, mandado por ei tenien­ te D. Meliton Rabal. Cotí este motivo se erabas ó después de pasar un puente; y queriendo atravesarle los frúncese», fueron detenidos p r el fuego de Tidal. y retrocedieron atemori…</t>
  </si>
  <si>
    <t>Rabeyro, José</t>
  </si>
  <si>
    <t>José Rabeyro</t>
  </si>
  <si>
    <t>?daría Luisa, Doña Mariana y D. Diego Mayoli, id., 9. Don Miguel Pascual de la Peña, id., 9. D. Vicente Santurio, id., 9. D. Manuel Amable , id., 9. D. José Rabeyro, por 4 , 36. D* Manuel Ruiz y compañía, por uno, 9. D. Francisco Delgado Vetez, id., 9. D. Manuel Urueta, por 4, 36. D. Francisco Polo , por uno, 9. D. Antonio Du…</t>
  </si>
  <si>
    <t>Raclovitsk</t>
  </si>
  <si>
    <t>dad. Los rusos tratan y se conducen en su dos; y entre estos últimos el general de división De- propio pais como pudieran en el mas tsnemigo. roy, ci general Raclovitsk y ei coronel Coionge, Este es excelente, y generalmente mui abastecido comandante de la artillería bávara. de todo: los caminos con especialidad son soberbios…</t>
  </si>
  <si>
    <t>Rad, Domingo</t>
  </si>
  <si>
    <t>Domingo Rad</t>
  </si>
  <si>
    <t>ha anunciado en el diario de 116 años. La mitad de su vida la pasó en casa de Berlín , que el Rei le ha concedido la dimisión délos descendientes del príncipe Domingo Rad— de todos los encargos militares que ha tenido hasta ziwill, coronel del 9.* regimiento'de caballería, ahora , y dice que se cree obligado i despedirse de q…</t>
  </si>
  <si>
    <t>Radía, Ramón</t>
  </si>
  <si>
    <t>Ramón Radía</t>
  </si>
  <si>
    <t>ranaderos, graduado deteniente core?el, D.Joaquin S¿ntitteban, al teniente D. Andrés Fchauri, que mandaba la compañía de caza­ dores , al subteniente D. Ramón Radía, al primero Asensio Grana­ da, al distinguido D. Francisco Belsa, al cabo primero Juan Rome­ ro, al de segunda clase Agapito Pineyia, y á los sondes Francisco Np.…</t>
  </si>
  <si>
    <t>Rafael</t>
  </si>
  <si>
    <t>de la Inganni (D. Franciico), subteniente del regimienv guardia real. ' "tó Real Extraugiro; Chauved (D. Pedro), soldado de tiradores de la Irazabal (D. Rafael), comisario de guerra dt4 guardia real. ‘ primera clase. . Cholet (D. Santiago), soldado de caballos ligero) Jáuregui (D. Manuel) , g«fe de división del midéla guardia…</t>
  </si>
  <si>
    <t>melita calzado D. Juan Gómez. Para la de Vayacas y Carataunas, sn último Para el de IsW.r y Tablate , vacante por re­ poseedor D. Antonio García , á D. Rafael de la nuncia de D. Josef Mt-xía, al ex-caorn-üia calza­ Chica, ex-franciscano descalzo. do D. Dionisio Bueno. Para la de Campotejar, su ú'tiino poseedor Y para el d- IV…</t>
  </si>
  <si>
    <t>Raguiesky</t>
  </si>
  <si>
    <t>I. ■El enemigo cometió el mayor error en permitir la unión de los dos gran­ des exércitos. La debemos principalmente al vigoroso^ ataque hecho por el general Raguiesky el 23 de julio, que detuvo los movimientos de! enemigo, y proporcionó al primer exercito adelantar dos marchas hacia el del pnncipe Bagration Despnes de e^te t…</t>
  </si>
  <si>
    <t>Raimond</t>
  </si>
  <si>
    <t>juramento que Suchet ha exi­ gido de los valencianos es de guardar fidelidad á Napoleón , y de procurar atraer á su partido á tos demas del reyno. El general Raimond , de quit n se dixo que se quedaría en Aranjuez, ha llegado hoy escoltado de 500 holandeses: con éi han veni­ do algunos prisioneros y carros y 92 oficiales fran…</t>
  </si>
  <si>
    <t>Raini, José</t>
  </si>
  <si>
    <t>José Raini</t>
  </si>
  <si>
    <t>97 iPeuíscola 8 de diciembre. Ei I- del corriente salió de esta nlaza la partida de D. José Raini *. bla con el objeto «le recoger desertores y dispersos. La noche siguiente intentaron los franceses sorpreliender la Torre Nueva que se estaba fortificando ; pero fueron recibidos con un vi­</t>
  </si>
  <si>
    <t>Raíz, Joan Josef</t>
  </si>
  <si>
    <t>Joan Josef Raíz</t>
  </si>
  <si>
    <t>2200 D. Manuel Gallego , id. en Madrid............ 2200 D. Antonio Mirtinez Conde, id.................. 2 2co D. Francisco Alvarez de Villanueva, id. D. Joan Josef Raíz , id. en Viüardonpardo. 2200 desde 14 de setiembre de 1809, en que D. Josef de la Torre &gt; id. en Andujar....... 2200 se le encargó el cuidado del archivo de l…</t>
  </si>
  <si>
    <t>Raíz, Timoteo</t>
  </si>
  <si>
    <t>Timoteo Raíz</t>
  </si>
  <si>
    <t>D. Manuel Hurtado y D. Victorino Tnbuei'r ca, mi ayudante D. Pedro Pedrosa , el sargento segundo Agustín Jarque . que salió herido, y el distinguido D. Timoteo Raíz : las compañías de granaderos, cazadores y primera de fusileros se han portado con un singular valor, y todo el resto del batallón ha des­ empeñado á mi satisfacc…</t>
  </si>
  <si>
    <t>Rajaweki</t>
  </si>
  <si>
    <t>o dePisch, y como mas seguro había tomado el de Moícikw y Smolemk j; que el dia ántes había tenido tu vanguardia un encuentro, ch el cual el taniente general Rajaweki h&amp;titt denotado la vanguar­ dia del exército del general Davoust, obligándole á retroceder 13 weratas. Estos avisos hicieron Variar el plan del comandante en ge…</t>
  </si>
  <si>
    <t>Rajewski</t>
  </si>
  <si>
    <t>rpo, dexar el camino de Pisck, y que había tomado el de Moteslaw y Smolensko; que su vanguardia habia tenido el dia anterior un choque, en el qual el general Rajewski habia desbaratado la vanguardia del exército del general Davoust. oblgándole á retroceder 12 werstas.. E^tos avisos mudaron el primer pian del comandante en gef…</t>
  </si>
  <si>
    <t>escribe con la misma fecha del segundo exército, que dirigiendo sus movimientos según el plan preme­ ditado , su vanguardia, mandada por el teniente general Rajewski, llegó en la noche del 10 (22) á Daschkouka, donde fue atacada por un cuerpo ene­ migo superior en fuerza, y compuesto de cinco divisiones, á las órdenes de los …</t>
  </si>
  <si>
    <t>ravió en los matorrales, y fue volvió á entrar en Mojaisk no llevaba la mitad de cogido después de la retirada del exercito, declara su gente. que el general Rajewski, comandante del cuerpo Los regimientos de tiradores de Minsk, Tode exercito, recibió una fuerte contusión, que le bolsk, Wolhinia y Krementschug, como también o…</t>
  </si>
  <si>
    <t>Ralao, José</t>
  </si>
  <si>
    <t>José Ralao</t>
  </si>
  <si>
    <t>sé Espinosa, 25. Id. D. Manuel Aidaieo , i. Id. D. Tadeo Rozas , 2. Sargento n»ayor D. Juan Duran , 4. Capitán D. Se­ bastian A costa, 4. Subteniente D. José Ralao, 1. Id. D. Antonio Pardave, 2,—- Partido de Ckimcay. Doña Natividad Nuñez , 2. D. Juan Bureta, 4. L iña Jacoba Pacheco, 1. .Lucas Barrete, l. Doña .Narcisa Pacheco…</t>
  </si>
  <si>
    <t>Rambla</t>
  </si>
  <si>
    <t>e Agramunt, situ4ndcse en el pueblo de Ciar vadi, y habiendo tenido noticia que habían dexndo en ella una gran porci n de «rrano, dispuse fuese dicho capitán Rambla 4 extraer ^ , tomo lo verificó, llevándose 23 sacos entre trigo y cebada, qne fué to ú rico qus se enoontró, y quedan en poder de esta comisión para el sumí-</t>
  </si>
  <si>
    <t>Ramcnet, Francisco</t>
  </si>
  <si>
    <t>Francisco Ramcnet</t>
  </si>
  <si>
    <t>onio Garces de Marcilla, D. Crisóstomo Lallave, conde de Priegue, D. Antonio Mañiz y Alvarez, marques de Almeyda , y D. Manuel Torrado; los coroneles D. Francisco Ramcnet, D. Be­ nito Losada, O. José Cedillo, el marques de San Esteban, D. Mi­ guel Cándamo, D. Diego Roch, D. Teobaldo Rodríguez y D. José Armisen; el capitán de …</t>
  </si>
  <si>
    <t>Ramet, Francisco</t>
  </si>
  <si>
    <t>Francisco Ramet</t>
  </si>
  <si>
    <t>as rea íes d en otro desD. Migael Correas. tioo, según fueren su grado y servicios antes de la Subteniente. insurrección y su aptitud á continuarlos. D. Francisco Ramet. 10. Se concederá el permiso de retirarse á sut akt. ni. Nuestros ministros de lo Interior y casas á los que asi lo solicitensean de la clase de la Guerra que…</t>
  </si>
  <si>
    <t>Ramí, Gaspar</t>
  </si>
  <si>
    <t>Gaspar Ramí</t>
  </si>
  <si>
    <t>, 4. 1&gt;. Fran­ cisco Figueiras, 2. Manuel Artiaga , 1. Doña Catalina Carrasco , 2. Doña Ma­ ría Blanco por sí y su madre , 2. D. Baltasar Vargas , 4. D. Gaspar Ramí­ rez , 1. D. Pedro Vinces , 2. 1). Sebastian Ramírez, 1. D. Francisco Cbire, 1. Doña Petrona Vaca, tí. Remitidos de lina manga sin acompañar la razón da los indiv…</t>
  </si>
  <si>
    <t>Ramí, Juan</t>
  </si>
  <si>
    <t>Juan Ramí</t>
  </si>
  <si>
    <t>s 100.000 ps. que ofreció, 30.000. D. Francisco Moreno y Escanden , oidor de esta real audiencia, 395. D. Francisco Esterripa, alcalde de corte, 400. D. Juan Ramí­ rez, gobernador de íínaroehiry, 300. D. Francisco Calderón y Fastamente, co­ ronel de 'Farma, 2000. D. Antonio Alvarez y INI oran , teniente coronel de id., 2000. …</t>
  </si>
  <si>
    <t>Ramírez</t>
  </si>
  <si>
    <t>upando nosotros los puesto* de donde ios desalojamos»: A las 9 del dia oí á mi derecha un fuego inerte y muy empeñado de artillería , que sostenía el coronel Ramírez-; lo queme hizo creer que había empezado la acción, con lo que aceleré mi inarcha á to­ mar el camino que de Guaqui desemboca en Caza , antes que el. exércáto en…</t>
  </si>
  <si>
    <t>alidad, y 6 cargas de botica : y dando al saqueo de la tropa los almacenes de víveres abundantísimos , di fuego á lo demas, replegándome en busca del coronel Ramírez, que pasó la noche con sus tropas como yo ; y siendo el cansancio de todas extremado , pues en 40 horas ni durmieron ni comieron, volví ayer á este punto, donde …</t>
  </si>
  <si>
    <t>Ramirez</t>
  </si>
  <si>
    <t>es, cuja sepultura ordené ayer, habiéndose notado entre ellos mu­ chos oficiales. De nuestra parte solo lie tenido 7 muertos y 1§ herí* dos: y la del coronel Ramirez consiste en lo que V. E. notará, por el parte original que le incluyo, recomendando á este digno gefe, cuya serenidad y valor es superior á todo elogio, al igual…</t>
  </si>
  <si>
    <t>venidas en Jas angosturas de Tapacan y Patina, burlando ai enemigo qas fundaba gran parte de sus esperanzas en este género da defensa. ,,Colocado t-i brigadier Ramírez en vanguardia, fue el priii-u*' qu3 descendió la cuesta coa 6 oi; y los batallones de! real d, I, na, Paruro y guerriik's de i exército de caballería ó infante…</t>
  </si>
  <si>
    <t>Fuente la Higuera. En la mañana del 27 determinó Bascourt hacer urí.reconocimiento sobre Aimansa, para loque se adelantaron 60 caballos al mando del coronel Ramírez ; mas este héroe cargó*de tal manera sobre el enemigo, que le obligó á retirarse, sin darle tiempo para exigir una_.fuerte contribución en dinero y. 1© fanegas de…</t>
  </si>
  <si>
    <t>Ramírez, Antonio</t>
  </si>
  <si>
    <t>Antonio Ramírez</t>
  </si>
  <si>
    <t>Avenio, cura de Macate , 50. D. Bernardino Torres, 12. D. Antonio Ro­ mero, 4. D. Francisco García, 6. D. Santiago Valencia, 4. D. Casimiro Palma, 2. D. Antonio Ramírez, 2. D. José Mexia, 2. D. Hilario Olivera, 10. D. Ma­ nuel de Torres, 10. D. Carlos Villa-Chica, 8. D. José Sánchez, 6. D. José Alegre, 10. D. Mariano Lucar, 6…</t>
  </si>
  <si>
    <t>Ramírez, BeJen</t>
  </si>
  <si>
    <t>BeJen Ramírez</t>
  </si>
  <si>
    <t>un soldado, 9 ps. fs. mensuales. D.Erancisco Goly, id., 9. D. Manuel Gasue , id., 9. D. Pedro Valenzuela , per 6 meses . 9. D, Manuel Puebla, id., 9. D. BeJen Ramírez, id., 9. D. Ramón Hano v Ve­ ga y su hermano D. Ignacio, por 4, 36. D. José María de So-oícngo, anualmente durante la guerra , 500. D. Joaquín Pedroso, id., 100…</t>
  </si>
  <si>
    <t>Ramírez, Cristóbal</t>
  </si>
  <si>
    <t>Cristóbal Ramírez</t>
  </si>
  <si>
    <t>............ 2200 no, id............................................. i.......... 22CG D. Juan Muñoz, id........ ............................... 2200 D. Cristóbal Ramírez, residente en Luceóa. 2200 D. Josef Morales y Sdlazar, id.................... 2200 D. Juan de Lucena , id...... ............ ............. 22C0 LS. Miguel R…</t>
  </si>
  <si>
    <t>Ramírez, Ignacio</t>
  </si>
  <si>
    <t>Ignacio Ramírez</t>
  </si>
  <si>
    <t>o- ballo, á commdantedel esquadron segundo de ca­ «•f Moreno, espitan , i comandante de esquadron; zadores de montaña de Avila. Asimismo se ha ser­ A D. Ignacio Ramírez , teniente, á capitán , y á vido S. M. nombrar por otro decreto de la misma D. León Villegas y D. Juan Bailen , subtenientes, fecha ayudantes de tercera clase…</t>
  </si>
  <si>
    <t>Ramírez, Joan</t>
  </si>
  <si>
    <t>Joan Ramírez</t>
  </si>
  <si>
    <t>Melendez Valdés, id.*.»............... 2200 D. Josef de Texada, Td............................... 2200 D. Andrés Benitez, resideute en Montoro. 2200 D. Joan Ramírez ; id.......................... 2200 D. Francisco Ñoñez, id. en Cabeza del D. Juan dé Dios Pastor", id...... .................. 2200 Buei...................... 220…</t>
  </si>
  <si>
    <t>Ramírez, José</t>
  </si>
  <si>
    <t>José Ramírez</t>
  </si>
  <si>
    <t>. Ramón Anderos, 4. D. José Pequeño , 4. D. Juan Fernandez, 2. D. José Gordilio , 2. D. José Cañizares, 2. D. Juan Melgar , 2. D. Lorenzo Vargas , 2. D. José Ramírez , 2. D. Juan Sta. María, 2. — Cirujanos, i). José Gay i no Chacaltana , 25. Tomas Ortigoso , 25. Fabiafi Salas, 25. José Santos Montero , 25. Ramón Castro , 25. …</t>
  </si>
  <si>
    <t>Ramírez, Juan Francisco</t>
  </si>
  <si>
    <t>Juan Francisco Ramírez</t>
  </si>
  <si>
    <t>rados para capitanes y oficiales D. Alfonso de Vida, y Gamboa. de ellas. Capitanes. Tenientes. D. Bartolomé Pineda. D. Joaquín Cañete, de granadero». D. Juan Francisco Ramírez. D. Manuel Bujalance, de tiradores. D. Juan de Tienda. Tenientes. D. Josef Joaquín Henares. D. Vicente Ort'z y Alguacil. D. Pedro Atiza. D. Juan Pioeda…</t>
  </si>
  <si>
    <t>Ramírez, Lorenzo</t>
  </si>
  <si>
    <t>Lorenzo Ramírez</t>
  </si>
  <si>
    <t>. Agnstin González para el de Pelabravo,’ en el obispado' de Cúenc3’, vacamé' por faliecivacante por fallecimiento de D. Andrés León Polo.- miento de D. Lorenzo Ramírez. ........... ' ” A D. Gerónimo Hernández Martin para el de Canillas de abaxo , vacante por muerte de D. Ga­ briel Domínguez. A D. Juan Tebarnedo para el de Ca…</t>
  </si>
  <si>
    <t>Ramírez, Luis</t>
  </si>
  <si>
    <t>Luis Ramírez</t>
  </si>
  <si>
    <t>niente de las de infantería, á D. Alonso Gil, D Leopoldo Tolleria , D. Jo:é Antonio Zamuripa, D. Rafael Tejerla, D. -Fernando GB , D. Anastasio Nava, D. Luis Ramírez, D. José Trinidad Guardia, D Pedro María O berta, D. Francisco Manzano, D. J .sé Lorenzo López y D. J é Mumei Listem; y de alférez de las de cabsterí*, á D. M'mu…</t>
  </si>
  <si>
    <t>Ramirez, Valentín</t>
  </si>
  <si>
    <t>Valentín Ramirez</t>
  </si>
  <si>
    <t>a límites de una y otra. La pragmática, en vez de de la lotería............................... 2290 remediar los efectos.de este conflicto, empleó su D. Valentín Ramirez , id..... id..... id. 2200 autoridad en hacerle mayor y mas estrepitoso , ad­ D. Diego Hereda , caballerizo de mitiendo por una contradicción inconcebible lo…</t>
  </si>
  <si>
    <t>Ramón</t>
  </si>
  <si>
    <t>; segundas tenencias de cazadores á los de fusileros D. En­ rique Zuloaga y O Juan de Dios Vargas ; segundas tenencias de fu­ sileros á los adereces, D. Ramón de .Zuloaga , de granaderos , 1&gt;. Jo­ sé de ¡as Cuevas, B José María Vergara, D. Francisco Xavier VaUariuo, D. Vicente Cortés, O. Minml Monti, de cazadores, D. Flo­ ren…</t>
  </si>
  <si>
    <t>mayor, al marques de Torre-Tagls ; ayudantías á D. Francisco Antonio Goy tá­ salo, O- Dámaso Ar as y D. Fernando Dueñas; subtenencias de ban­ dera á D. Ramón deErrea, D. Manuel del Valle, D. Juan Gil, D. Juan Ignacio Mendizabal, D. Rafael Palomeque y D. Juan Pa­ nero; compañías de granaderos, al marques de la Celada déla Fuen…</t>
  </si>
  <si>
    <t>ban de 50, tuvieron orden para marchar á Zaragoza, y en efecto lo verificaban el 3 del que rige al mando de su actual gefe, conocido con ebnombré del sargento Ramón, que últimamente había sido agraciado por sus amos con el grado de alférez en precio de sus iniquidades; pero recelando, no sin funda­ mento , que el resultado se…</t>
  </si>
  <si>
    <t>Ramos, Francisco</t>
  </si>
  <si>
    <t>Francisco Ramos</t>
  </si>
  <si>
    <t>apod. rado D. Santiago voi ingles al amanecer del 9 de agosto de aquel S fotos............... 180 17 mismo año, pues él solo previo un éxito Dvorabio D. Francisco Ramos, y en sq de la arriesgada maniobra que proporcionó esta nombre so apoderado D. San­ ventaja, y que rodos graduaban de temeraria. tiago Santos.................…</t>
  </si>
  <si>
    <t>Ramos, Francisco Xavier</t>
  </si>
  <si>
    <t>Francisco Xavier Ramos</t>
  </si>
  <si>
    <t>92 3 da con Pedro Feret, albañil, de edad de 68 años, D. Juan Gabriel de Fombellida.......... ioat 29 y á un tal Homo , aprendiz trastejador, natural D. Francisco Xavier Ramos............... 3934 if de Suresnes, de edad de 1-8 años y nneve mese», D. Gregorio Peta......Á...................... 3001 9 convencidos, la primera de …</t>
  </si>
  <si>
    <t>Ramos, Manuel</t>
  </si>
  <si>
    <t>Manuel Ramos</t>
  </si>
  <si>
    <t>Diputados seculares D. Diego Romere. ; D. Ignacio García. • ;D. Simón Sainz de Baranda. rD. Francisco ¿Villegas..'- ' Dí Jacinto García de la Parra. D. Manuel Ramos. : ■ Secretario Secretario D. Migoel Perez. " D. Pedro Ezquerra. ¡BARRIO DE LAS DESCALZAS REALES. BARRIO DE SANTIAGO* Alcalde de barrio Alcalde de barrio D. Josef…</t>
  </si>
  <si>
    <t>Andrade , 25. D, Antonio Gonza'ez , 100. Don Isidro Domínguez, 20. D. Francisco Ortiz , 20. D. Domingo González, 20. D. Manuel Rodríguez Quesada, 4. D. Manuel Ramos , 25. D. Vicente de la Mata, 10. D. Jacinto de la Mata, 10 D Francisco Paredes, 200. D. Mi­ guel Navarrete , 4. D. Miguel Camino , 30. D. Joaquín Malo, 6. D. José…</t>
  </si>
  <si>
    <t>Ramsay</t>
  </si>
  <si>
    <t>una firmeza sin igual en todos sus movimientos. Igualmente se distinguieron Bulis , mayor de la artillería montada al mando del mayor Douman .= y el capitán Ramsay. „E1 exército continuó su marcha el 24, y tomó posición en Carrion , situándose su ala derecha en D ucuas, y la izquierda en VillaMuriel; y el primer batallón del …</t>
  </si>
  <si>
    <t>Ranas, Juan</t>
  </si>
  <si>
    <t>Juan Ranas</t>
  </si>
  <si>
    <t>uela náutica, D. Manuel López ,2.— Real casa de moneda. El suoerintendente I). José de la Rivay Agüero, 500. El contador L&gt;. Eugenio Valdivieso, 350. D. Juan Ranas , ensayador primero , 250. D. Pa­ blo Cano Melgarejo , ensayador segundo , 125. D. Santiago Urquizu , juez de balanza, 116. I&gt;. Manuel de Mena , fundidor mayor, 25…</t>
  </si>
  <si>
    <t>Rapp</t>
  </si>
  <si>
    <t>el noveno que se compone de las divi­ siones Henedelette, Logrange, Durutte y Partcnneanx, y ocupa el país comprehendido entre el Eiba y el Oder. E* general Rapp, go­ bernador de Da- ízí-k, tiene á sus órdenes la división holandesa del general Dnendds: el general de división Hogendrop es gobernador de Konigsberg. Las cartas d…</t>
  </si>
  <si>
    <t>neaux. Lemberg, ha hecho un movimiento sobre su iz­ La división Daendels está á las órdenes del ge­ quierda , acercándose á Lublin. neral de división conde Rapp , gobernador de El equipage de puentes, á las órdenes del ge­ Dantzick. neral Eblé, llegó el 23 á dos leguas del Niemen. El general de división conde Hogendorp es go­…</t>
  </si>
  <si>
    <t>Raquero, Josef</t>
  </si>
  <si>
    <t>Josef Raquero</t>
  </si>
  <si>
    <t>. Efectivamente, al romper el dia comisionó aquel al cabo Alcántara con 50 hombres para apoderarse de la fuerza armada, y al mismo tiempo dispuso que D. Josef Raquero con una escolta de ocho hom­ bres se adelantase á reconocer los alrededores del pueblo. Observando este que en el cerro del Portachuelo se divisaba la bandera r…</t>
  </si>
  <si>
    <t>Raqui, José</t>
  </si>
  <si>
    <t>José Raqui</t>
  </si>
  <si>
    <t>D. Melchor José de Foncerrnda, oider de la au­ diencia de México ; á D. Francisco X avicr Castaños, capitán ge­ neral de los exércitos nacionales; á D. José Raqui ja no y Carrillo, conde de Vista florida, oidor de la audiencia de Lima : a C\ Juan Pérez Viilamil, del consejo de la guerra: á D. José Mariano de Aimansa , del con…</t>
  </si>
  <si>
    <t>Raras, Antonio</t>
  </si>
  <si>
    <t>Antonio Raras</t>
  </si>
  <si>
    <t>y de fusileros á D. Pedro Abadía, D. José de la Riva Agüero , D Jacinto de Ximeno , D. Juan de Irigoyen, Don Angel Aifaro, D. Manuel Raíz de Burgos, D. Antonio Raras, Don Tornas de la Casa y Piedra , D. Domingo Laspiur, D. José CasiiuIto Sctimayor, í). Francisco María Zu^oaga, D. Marcelo B &gt;za y Edava, D. Manuel Morales y IJg…</t>
  </si>
  <si>
    <t>Rassecourt, Luis</t>
  </si>
  <si>
    <t>Luis Rassecourt</t>
  </si>
  <si>
    <t>ptada,.dirigida á D’Armngnac, cuya cifra se ha entendido,porque se adivinó, y remitida al Excmo. Sr. i). Joa­ quín Biake , hace dos meses, por el Sr. D. Luis Rassecourt, se lia leído la orden del rey intruso , comunicada á este general en 19 del pa­ sado por el general ITAultane , para que hiciese la correría que lia ve­ rifi…</t>
  </si>
  <si>
    <t>Rastillos, Manuel Gutiérrez</t>
  </si>
  <si>
    <t>Manuel Gutiérrez Rastillos</t>
  </si>
  <si>
    <t>tuirse á Europa. ARTICULO DE OFICIO. La Regencia del reyno se ha servido promover á subtenientes en el cuerpo de artillería á los caballeros cadetes D. Manuel Gutiérrez Rastillos, D. José Venene, D. José Cadenas, D. Miguel E razquio, D. Francisco Ovando, D. R^mon Lavandeyrs, D. Lázaro Viílasante, D. Francisco Leoni, D. Franci…</t>
  </si>
  <si>
    <t>Rato</t>
  </si>
  <si>
    <t>S5« „E1 coronel Rato se defendía en él con 3 compañías de su miento, mientras las restantes maniobraban en las inmediaciones , y le auxiliaban. Duraron dos dias las tentativas de tos enemigos, los cuales se propusieron asaltar el edificio diferentes veces p</t>
  </si>
  <si>
    <t>Rato, Cáríos</t>
  </si>
  <si>
    <t>Cáríos Rato</t>
  </si>
  <si>
    <t>ene proporción de hacerlo. ,.Ei regimiento de Laredo se puro en marcha desde Aguijar de Campó para Oviedo; y habiendo sabido en es O villa su coronal D. Cáríos Rato, que los enemigos habían ocupado ívinoPa chicad, se adelantó hasta Vilí&amp;viciosa-, para fortífírai de los conventos que hay en este pueblo. No terdt t ios enemigos…</t>
  </si>
  <si>
    <t>Rattray</t>
  </si>
  <si>
    <t>unro y compañía , negociantes, de Glasgow. J. Rowley, fabricante, de Lancaster, J. Pator, fabricante, de Glasgow. ). RoSs, platero , de Lóndres. C. y D. Rattray, fabricantes, de Bannockbnrn. J. Ross, panadero, de Liverpool, S’rimgeour, alias Fergoson , tendero, de Faikirk, W. E. Roeston, fabricante, de Lancaster. J. Spro.it, …</t>
  </si>
  <si>
    <t>Rauch</t>
  </si>
  <si>
    <t>Nám. ii 9. A%í B GAZETA DE MADRID DEL MARTES 28 DE ABRIL DE 181a. PRUSIA. El coronel Rauch ha sucedido al general 5charn&lt; borst en el empleo de gefe del estado mayor del Berlín 19 de marzo. exército prasiano. El general de división Eblé llegó ayer aqui de La corte te ha vestido hoi de lato, el qnal do­ Magdebargo, y el conde …</t>
  </si>
  <si>
    <t>Ravcnserost</t>
  </si>
  <si>
    <t>en la ¿poca de la regencia actual» ton'Mowbray todas Jas milicias del B rk'.hire, man­ y en ella tenemos una declaración del Regente, co dadas por el coronel Ravcnserost. También llegó la qual no solo no hace á los católicos ia promesa aquí ayer tarde el coronel Grant, de; 15.* de hú­ de que se trata, sino que da á entender q…</t>
  </si>
  <si>
    <t>Ravmundo</t>
  </si>
  <si>
    <t>fundidor mayor, 250. D. Fernando Biiv ca, guarda cuños , 116.-D. Manuel Lnndazuri, guarda materiales , 116. Don Félix Barrete , tallador mayor , 150. D Ravmundo. Marroz., oficia! mayor de; la contaduría , 81. D. Francisco Vega, segundo, 41,'D. Faustino Marrez , ter-, cero , 41. D. José Ramón Texcro , oficial de la tesorería, …</t>
  </si>
  <si>
    <t>Rayew</t>
  </si>
  <si>
    <t>l empe­ rador Napoleón cou toda su «xército que consistía en 100000 hom­ bres.' Salióle al encuentro, á 4 milla&amp;de la dudad, el cuerpo del te­ niente general Rayew*ky: á las 6 dé la Envaina se trabó la batalla, y cerca del medio día llegó a ser muy encarnizada y sangrienta; pe­ ro ai fin el valor de los rosca triunfó de ia su…</t>
  </si>
  <si>
    <t>Rayewsky</t>
  </si>
  <si>
    <t>l Emperador Napoleón con todp su exército, que consistía en ioo3 hombres. Salióle al. en­ cuentro á quatro millas de la ciudad el cuerpo del teniente general Rayewsky: á las seis de la mañana se trabó la batalla, y cerca del medio día llegó á ser muy encarnizada y sangrienta; pero al fin el valor de los rusos triunío de la ' …</t>
  </si>
  <si>
    <t>Rayón</t>
  </si>
  <si>
    <t>ahora. El general Rayón,qae dcstrnyó nn cuerpo tan extraordinario , Insta que jepnmoj quién es el de i® hombres , mandados por la Torre, salván­ autor, y hasta que se publique en otros término! dose solo quatro ,</t>
  </si>
  <si>
    <t>goleta procedente del puerto de Tampico con tina porción de reos de Nueva España, condenados á los trabajos de este arsenal. El patrón refiere que el abogado Rayón, que habia lo­ grado reunir un cuerpo de muchos miles de insurgentes en las inme­ diaciones de Toluca, fortificando io mas que pudo Una posición su­ mamente ventaj…</t>
  </si>
  <si>
    <t>Razziwile</t>
  </si>
  <si>
    <t>ño de Esta mañana han salido SS. MM. de esta ciu­ 1793 es COJ11o siguí;: dad para Dresde; esta noche dormirán en Niebo- libras. row en el palacio del príncipe Razziwile; el dia 31 llegarán á Posen , donde se detendrán el prime­ En el reinado de la Reina Isabel........ 5-852933 ro de enero, y el dia 2 continuarán su viage para…</t>
  </si>
  <si>
    <t>Rcgnier</t>
  </si>
  <si>
    <t>60 cañones, y Tormazow pero desalojado Inmediatamente, debió su salvación mandaba en persona. a las lagunas, que en aquellos parages cortan para­ El general Rcgnier, que fue á reconocer la iz­ lelamente de legua en legua la dirección de su reti­ quierda, vio que el enemigo había descuidado el rada, formando otros tantos desfi…</t>
  </si>
  <si>
    <t>Rcinoso, Domingo</t>
  </si>
  <si>
    <t>Domingo Rcinoso</t>
  </si>
  <si>
    <t>putados- seculares D......................... D. Joan Antonio Pico. Diputados seculares, y el último exerce las D. Rafael Risco. dones de secretario, D. Domingo Rcinoso. D. Pedro Casavus., Secretario D. Rafael González del Valle. D. Alfonso Illevenes. Sarrio de mofíterei. : ' .QUARTEL DE AFLIGIDOS. Alcalde de barrio D. Josef …</t>
  </si>
  <si>
    <t>Rd, Antonio</t>
  </si>
  <si>
    <t>Antonio Rd</t>
  </si>
  <si>
    <t>por la compañía españólala comedia en tres llería de la Mancha á D. Pedro Velasco capitán; actos titulada la Mogigata , y el sainete el Sómbrenlo. á D. Antonio Rd teniente, y á D. León Moreno subteniente ; á D. Manuel Nnriega teniente de la En el de la Cruz, á las quatro de la tarde, se eje­ c&lt; inpañía de infantería de cazado…</t>
  </si>
  <si>
    <t>Rdwley</t>
  </si>
  <si>
    <t>mos hacernos dueños de ella, los franceses no logra­ rían establecerse en la costa de Albania. Los griegos y albaneses han manifes­ tado hace poco al capitán Rdwley,, del Aguita, el deseo de que atacase él por mar mientras que ellos lo hiciesen por tierra; pero el capitán no ha acce­ dido á su petición. El Aguila ha pasado su…</t>
  </si>
  <si>
    <t>Re, Andrés</t>
  </si>
  <si>
    <t>Andrés Re</t>
  </si>
  <si>
    <t>caballos que estsban en el prado, como se hizo. Recomienda por su valor é intrepidez al subteniente Fresno, al teniente D. Manuel Men ndez, al cadete D. Andrés Re­ vuelta y al sargento segundo Juan Blanco.” Puebla de Sanabria 23 de junio. Por conducto fidedigno se sabe que el coronel D. José Manso con</t>
  </si>
  <si>
    <t>Rea</t>
  </si>
  <si>
    <t>debemos dirigir la suma do y R. uua carta del Rei su amo, dándole parte del nuestros anhelos. Sus necesidades son harto cono­ naeimiento del hijo del Príncipe Rea!. cidas; luego solo hai que tratar de remediarlas. Él Ayer, después de misa, fueron presentados á es el primero; debe Svrel principal objeto de nues­ prestar jurame…</t>
  </si>
  <si>
    <t>Rebes, Josef</t>
  </si>
  <si>
    <t>Josef Rebes</t>
  </si>
  <si>
    <t>mbién merece recomendación el comandante agregado al segundo batallón de Voluntarios de Aragón D. Josef Mallen , el ayudante primero dél estado mayor D. Josef Rebes, y el capitaadel regimiento de la Princesa Don Benito Vihuela, mi ayudante de campo, porque han llenado su deber á toda mi satisfacción. „ La memoria del capitán …</t>
  </si>
  <si>
    <t>Rebollo, Josef</t>
  </si>
  <si>
    <t>Josef Rebollo</t>
  </si>
  <si>
    <t>Gaceta de Madrid n.º 215</t>
  </si>
  <si>
    <t>rocedentes todavía de 1a guerra compuesto eu francés por Mr. F. Lacrois-, de sucesión, qne su heredero é hijo Fernando VI traducido ni castellano por D. Josef Rebollo y no quiso satisbeer, y menos los demas Reyes que Llórales. Lomo segundo, que comprehende Ice le sucedieron, l’or, desgracia la contrariedad de la ■ algebra.'Vé…</t>
  </si>
  <si>
    <t>Recen</t>
  </si>
  <si>
    <t>reconoci­ ventilarse hasta que las peticiones de los católicos do, público y notorio. Explicando asi su :e:irir, el se presentasen ai parlamento y al Príncipe Recen­ orador cree que debe añadir que si no lo ha ma­ te, despees de levantadas las restricciones. Enton­ nifestado antes, ha sido por lasMiliculiades q íe ha­ ces se …</t>
  </si>
  <si>
    <t>Recio, Alfonso Bautista</t>
  </si>
  <si>
    <t>Alfonso Bautista Recio</t>
  </si>
  <si>
    <t>................................................ 220 1&gt;. Aotonio López, id.............................. 2200. D. Andrés de Castro, id. en Castro del D. Alfonso Bautista Recio, id........... ......... 220O; Rio................................................. Dí1-Bartolomé Morales, id.......................... 3 2op (5c conti…</t>
  </si>
  <si>
    <t>Recomiendo</t>
  </si>
  <si>
    <t>o de enemigos he­ mos tenido muy poca perdida de gente.— Dios guarde á V. S. mu­ chos anos. Campo de batalla 21 de junio de 1811. — Juan Ramírez. —P. D. Recomiendo á V. S. el mérito de mí edecán el capitán D. Be­ nito Blas de la Abaricga, que ha estado constantemente conmigo, y el de mis ayudantes de campo teniente D. Manuel …</t>
  </si>
  <si>
    <t>Recomiendo, Francisco Revirad</t>
  </si>
  <si>
    <t>Francisco Revirad Recomiendo</t>
  </si>
  <si>
    <t>o Pigenc se portó con el valor que le es propio. — Oios guarde á V. S. muchos años. S. Esteban de L’cmana 27 de febrero de 1S¿2.— Juan Sadurní. — Sr. D. Francisco Revirad ’— Recomiendo á V. E. este benemérito capitán que en todos tiem­ pos ha manifestado valor y talentos milita res.— Dios guarde á V. E. muchos años. Aulot l.°…</t>
  </si>
  <si>
    <t>Recopilación, Remi</t>
  </si>
  <si>
    <t>Remi Recopilación</t>
  </si>
  <si>
    <t>da trie- que suceda la energía á la apática blandura. Sigue moda en i.t ir¡ v, tit. vil, i:u ti de L novísima un di.Uceo antilibcral entfe un conde , D. Remi­ Recopilación; y Felipe u, Garios n y Fíi.ií v gio y Fr. T.ian, quien relie re un suceso acaecido alzaron algunas veces las fuerzas causadas ¿ tus en su 1'ig.Vr , corno …</t>
  </si>
  <si>
    <t>Reder</t>
  </si>
  <si>
    <t>izquierda á derecha , reci­ el mando á Ricard ; y mientras íü infantería pasaba be orden .de estrechar la retaguardia enemiga con­ el Aa, destacó al coronel Reder, ayudante de tra Ja gran calzada. Éxecutando la misma evolución campo del Rei, y gefe de su estado mayor, con todos los batallones de la, derecha, .'el general Piré…</t>
  </si>
  <si>
    <t>Reding</t>
  </si>
  <si>
    <t>la­ cero y de granadero al mismo tiempo. El cuerpo de coraceros 7 mAn­ dado por su comandante Casaspla, ha sobrepujado a mis espéraoslas. El bizarro comandante Reding del batallón de 'Buizá, ha sido grave­ mente herido : otros varios gefes y cuerpos se han distinguido igual­ mente , pero reservo para los detalles de esta glor…</t>
  </si>
  <si>
    <t>Reding, Francisco</t>
  </si>
  <si>
    <t>Francisco Reding</t>
  </si>
  <si>
    <t>es cuerpos de infantería ligera del mismo exército ha con­ ferido S. A. los empleos que siguen. Comandancias de batallón : del de tiradores de Buza á D Francisco Reding; del de voluntarios de Tarragona á D. Gabriel Lesenne; del de cazadores de Cataluña á 0. José Manso ; del de voluntarios de Cardona á D. Miguel de Córiiobii; …</t>
  </si>
  <si>
    <t>Redondo, Antonio</t>
  </si>
  <si>
    <t>Antonio Redondo</t>
  </si>
  <si>
    <t>stros se habian prometido, al contrario h-iri promover en el regimiento de fusileros de su guar­ prodstcido males peligrosos por su naturaleza, dia á D. Antonio Redondo, teniente , á capitán de ,,Per lo que toca á los Estados-Unidos no deben la primera compañía del primer batallón, en la va­ perJerse de vista los beneficios q…</t>
  </si>
  <si>
    <t>Redondo, Francisco</t>
  </si>
  <si>
    <t>Francisco Redondo</t>
  </si>
  <si>
    <t>o Uribarren. D. Francisco de Torre*. Diputados ‘seculares D. Juan López. D. Estéban Rodríguez. Secretario D. Antonio Febrer. L. ' D. Simón Péricibho. D. Francisco Redondo. j Secretario BARRIO DE SANTA ISABEL. D. Francisco Jaracho. T ' Alcalde de barrio BARRIO DE CAPUCHINOS DE LA PACIENCIA. D. Dionisio Pérez Guerra. Diputado e…</t>
  </si>
  <si>
    <t>Redondo, Josef Perünes</t>
  </si>
  <si>
    <t>Josef Perünes Redondo</t>
  </si>
  <si>
    <t>lK*. D. Juan López Gnzman................. 872 P. Tomas Colon.............................. 6547 17 Exercicio diario d«! cristiano: contiene un pron­ D. Josef Perünes Redondo............. 90000 - tuario para oir con devoción el santo sacrificio de la D. Diego Artacbo............................ 62156 24 misa ; una semana sant…</t>
  </si>
  <si>
    <t>Reg</t>
  </si>
  <si>
    <t>y ciertamente hubiera efectuado su retirada en buen orden, si el enemigo no hubiese cor­ tado su comunicación con el cuerpo, quemando el piiente. El general Reg­ nier está convencido de que las tropas saxonas se aprovecharán con gusto ae todas las ocasiones que se presenten para vengar esta pérdida.” Leipsick 79 de agosto. El…</t>
  </si>
  <si>
    <t>Regen</t>
  </si>
  <si>
    <t>tab costosos sacrificios. En ana palabra , al gran glo de la casa del Rei y de la del Príncipe Regen­ visir et á quien se echa la culpa de todos los males te , luego que se hayan tjúiíado las restricciones. que ha padecido el exército. Lo cierto es que Quando entraron los franceses en Gijon se ha­ las disposiciones qne toma l…</t>
  </si>
  <si>
    <t>era que h.-mos hai que dudarlo; el día en qae quitándose lis res­ anunciado antes de ahora. Los asesinos se defen­ tricciones puestas al gobierno del Príncipe Regen­ dieron como desesperados contra los que fueron á irendírlqs; uno de ellos quedó muerto en la rcte se dé á este desgraciado p*i$ 4a esperaba» 4isongera de que vol…</t>
  </si>
  <si>
    <t>s. Miranda ,:y tomó poiieion sobre el flanco derecho Ei oniforme qne tenia puesto el duque de piaran - de O Donell. ce en la última corte que tuvo el Príncipe Regen- ,,Este general toro qoe enviar por sn izquier­ te era de cita misma forma , y todo él estaba cu­ da y por detrae de la montaña de Caberbort dos bierto de bordado…</t>
  </si>
  <si>
    <t>do el estado á se hallará una bien convincente en el consejo que co*-ta nuestra. [Aplausos.) Pero aunque ya vcLinos no h m tenido vergn.nza de dar al Príncipe Regen­ entonces cómo iban acumulándose los inales , resol­ te p. ra qDe colocase á uno de sus favoritos en una vimos no manifestar nuestras quejas, y esperar 3 que sirt…</t>
  </si>
  <si>
    <t>ro. Es un caba­ llero muy distinguido en su pais, y,según se dice ha sido el portador de una carta del Emperador Alexandro, escrita de puño propio ai Príncipe Regen­ te. El objeto de esta carta, según refieren todos, es asegurar á S. A. R. que -el Emperador está determinado á perseverar sosteniendo la gran causa en que ■este …</t>
  </si>
  <si>
    <t>Régenos</t>
  </si>
  <si>
    <t>a nínsunsr tan útil para el servicio del personas que me oyen resolvieron presentar una Rei como manifestarle agravios que reparar. Nues­ petición al Príncipe Régenos, á quien entonces pro­ tros representantes en el parlamentó' están acos­ tegían. Ahora ya han mudado de dictamen, según tumbrados á gritar*, todóva bien j peto'…</t>
  </si>
  <si>
    <t>Reges, José</t>
  </si>
  <si>
    <t>José Reges</t>
  </si>
  <si>
    <t>Tallo , 1. Aniceto Rosales , 4 rs. Pedro Bertiz , 1. — Pueblo de ¡a Par* ranea. El teniente de milicias D. Atanasio Reyes, 17. D. Manuel Lobaton, 10. D. José Reges, 13. D. Joaquín Ronceros , 6. D. Manuel Mansilla , 4. D. Mariano Ronceros , 4. D, Fermín Dávila, 1. D. José Reyes Lobaton y su hermano D. Calixto , 25. D. Esteban …</t>
  </si>
  <si>
    <t>Reggio, Carlos</t>
  </si>
  <si>
    <t>Carlos Reggio</t>
  </si>
  <si>
    <t>y D. José Declouuf; á tenientes de fu­ sileros á D. Antonio Dubrevii, D. Francisco Cañedo, D. Juan Do­ mínguez , D. J usé Bernardo, D. Pedro Rey-yo , D. Carlos Reggio, D Bernardo Prieto, D. Cirilo Lessacier, í). Juan Galguare, Don Francisco Dalcourt, D. Francisco Devilliers y D. Juan José Bou; á subtenientes de granaderos á D…</t>
  </si>
  <si>
    <t>Reggio, Eusebío RoduTfo</t>
  </si>
  <si>
    <t>Eusebío RoduTfo Reggio</t>
  </si>
  <si>
    <t>sé de Vegas, D. Antonio de Vegas, D. Mariano Lktadi y Don Marcee Morejon ; y á subtenientes de bandera á D. Buenaventura Dubreuil, D. Miguel Orioñez, D. Eusebío RoduTfo Reggio, Don ARtonio Infante, D. Juan Vuiaverde y D José Jguacio Cruzat En el de infantería déla Habana, á capitán de granaderos á D. Pedro Castilla. En el de …</t>
  </si>
  <si>
    <t>Regnauit</t>
  </si>
  <si>
    <t>s ,,Con ei discurso.del tiempo ha marina inglesa; ministros de Relaciones exteriores y de Guerra; llegó á ser mas numerosa que la de las otras po­ el conde Regnauit (de San Juao de Angely), mi­ tencias marítimas ; y entonces creyó la Inglaterra:, nistro de Estado» y Mr. conde Damas» coasejero que oada tenia que temer, y que t…</t>
  </si>
  <si>
    <t>Regnier</t>
  </si>
  <si>
    <t>ríncipe de Eckmühl no dio tiempo á que se executase esta providencia. » EL Rey de Westfalia (Gerónimo Bonaparte) se hallaba el 9 en Nocvqgrodek, y el general Regnier en Konina. No se pas2 momento sin que cai­ gan en nuestras manos almacenes, carros, muchas medicinas y destacamen­ tos de los rezagados. Las divisiones rusas se …</t>
  </si>
  <si>
    <t>resy soldados. En el campo de batalla sé han contado mas de i® muertos. Nuestra pérdida no es considerable. ,, El cuerpo saxon á las órdenes del feld-mariscal Regnier viene de Slonim á reemplazar el cuerpo austríaco que estaba aquí. El príncipe de Swartzemberg ha marchado por Slulzk á Minsk. El teniente Bibikoflf de la guardi…</t>
  </si>
  <si>
    <t>r la retaguardia del enemigo. Para contenerlo las tropas aus­ tríacas , mandadas por el príncipe Schwartzemberg, han marchado y se han reunido con el general Regnier al tiempo que este daba una batalla: su re­ sultado es contrario á lo que aseguran los papeles franceses; pues que el cuerpo francés ha retrogradado mas de 70 mi…</t>
  </si>
  <si>
    <t>l ruso Tormasow, ha sido obligado después de 10 horas de combate á ceder á la superioridad del enemigo, y ha sido hecho prisionero. Inmediatamente el general en gefe Regnier ha publi­ cado una orden del dia, en la qual se expresa en estos términos: „E1 mayor general Klengel ha peleado por espacio de 10 horas sin interrupción …</t>
  </si>
  <si>
    <t>Regníer</t>
  </si>
  <si>
    <t>. . 911 El general Regníer retrocedió el 19 á Slonim toda por medio millón de hombres aguerridos y para poner á cuhierto de una invasión el gran du­ armados, que marchando en silencio, y gui.tdos cado de Varsovia, y observar las*dos divisiones por el genio de la victoria, empujan háckt el polo</t>
  </si>
  <si>
    <t>Dunaburgo, en cuyas fortificaciones zemberg se puso en marcha el 30 de julio para re­ trabajaba el enemigo cinco años hacia, en las que unirse con el general Regnier, y rechazar las divi­ tantos millones se han expendido, y que han cos­ siones enemigas. , tado la vida á mas de ?o2) hombres de tropas rusas El 19 el general pru…</t>
  </si>
  <si>
    <t>Reguera, Ramón García</t>
  </si>
  <si>
    <t>Ramón García Reguera</t>
  </si>
  <si>
    <t>que mendaban. Mi primer ayudante D. García Revilla y el ca­ dete D. Joaquin Paredes , merecen mi recomendación, como también los patriotas de Toluca D. Ramón García Reguera , D. Pedro Mora­ les , D. Agustín de Echeverría y D. Antonio Rueda , y los dos de Ixtlaliuaca , Comezaña y Engracia, que se unieron á la caballería. ARTIC…</t>
  </si>
  <si>
    <t>Rei</t>
  </si>
  <si>
    <t>uarez» Contador, Casanova, Al ve­ Parts j de enero. rá , Fabiani y Mas. En el de la Cruz, á las quatro de la tarde, ae exeEl buque francés llamado la Emperatriz Rei- cutará la comedia titulada la Virtud cerníate eñ me­ na 1 capitán Ledo, armador Mr. Tiliuan de la Ro­ dio , el Pródigo y Rico avariento. EN LA IMPRENTA REAL.</t>
  </si>
  <si>
    <t>i Carlos de esta corte la cátedra de número de Ana­ París 8 de enero. tomía , cuya dotación es de 18Ü rs* anua es , y ¡a El buque {'ranees llamado la Emperatriz Rei­ supernumeraria de Disección anatómica, cuyo suel­ na , espitan Ledo * que acaba de llegar á la Ro­ do es dé tz® rs. ai año, debiendo proveerse am­ chela , habia …</t>
  </si>
  <si>
    <t>Reí</t>
  </si>
  <si>
    <t>nayor general del exérhabiendo podido executar este movimiento, vino cito,=Firmado = Conde G.¡zan. á tomar posición en Puente del Reí. Las tropas del general Reí habian llegado el día antes i Alora. Si se hubieran reunido por la THATROí. Ocche con las del general Maransin, se hubiera aca­ En el del Príncipe, á las siete de la…</t>
  </si>
  <si>
    <t>Reille</t>
  </si>
  <si>
    <t>158 VI. „Excmo. Sr. : El conde Reille , pretendido gobernador de Navarra , desesperado- p*»r la afrenta y pérdida de las acciones del 93 y 24 de julio, reunió 7000 infantes y 600 caballos con el designio de ▼indicar el honor de</t>
  </si>
  <si>
    <t>Reina, Manuel</t>
  </si>
  <si>
    <t>Manuel Reina</t>
  </si>
  <si>
    <t>da rios de aquel negro establecimiento , llama á las la colegiata de Belmonte, diócesis de Cuenca , á cortes Rei católico de tas Españas, á los espa­ D. Manuel Reina, presbítero y ex- mercenario des­ ñoles y á sí propio vasallo de las cortes , conclu­ calzo , y á D. Josef Gregorio Trapero , presbítero, yendo mui á propósito q…</t>
  </si>
  <si>
    <t>Reinicke, Francisco Xavier</t>
  </si>
  <si>
    <t>Francisco Xavier Reinicke</t>
  </si>
  <si>
    <t>nsiderable de hombres, y. de haber experimentado bastante daño sus buques •Segundo batallo*. ■ •, «n la arboladura y cascos por el fuego bien diri­ ! D. Francisco Xavier Reinicke , Sargento prima­ gido ele nuestras embarcaciones. re, á abanderado. El convoi siguió su rumbo aquel día sin que Tercer batallona volvieran á molest…</t>
  </si>
  <si>
    <t>Rejewski</t>
  </si>
  <si>
    <t>de la coche, Ostermaun conser­ vó siempre su pisicíon. Eí príncipe fisgration escribe con la misma fecha que su van­ guardia , al mando del teniente general Rejewski, habiendo llega* do el 22 ¿r Discifcknwks, fue atacada por fuerzas muy superiores al mando de Davoust y Mortier; y á petar de la glande resitencia qne estas opon…</t>
  </si>
  <si>
    <t>Remad, José</t>
  </si>
  <si>
    <t>José Remad</t>
  </si>
  <si>
    <t>s D Mariano Tabuenca y D. Antonio Aznar, los de la misma clase D. Plácido Domínguez, que recibió una herida que le 'pasó un brazo , y el de cazadores D. José Remad , los subtenien­ tes D. Cipriano Garde, D. Manuel Hurtado y D. Victorino Tnbuei'r ca, mi ayudante D. Pedro Pedrosa , el sargento segundo Agustín Jarque . que salió…</t>
  </si>
  <si>
    <t>Remond</t>
  </si>
  <si>
    <t>y así luego que el movi­ miento rápido de los enemigos me hizo recelar que es­ te seria su principal objeto, determiné escribir al ge­ neral francés barón Remond, comandante de Astorga,7 autorizando al coronel D. Pascual Enrile , ayudante general del estado mayor, para entablar la negociación con las instrucior.es que solo pe…</t>
  </si>
  <si>
    <t>Ren, Francisco</t>
  </si>
  <si>
    <t>Francisco Ren</t>
  </si>
  <si>
    <t>do , 200. Id. D. Ma­ nuel Gómez, 6. El capitán D. Bartolomé Celis, 2. Id. D. José Chavarría, 17. El ayudante mayor D. Baltasar Muro , 12. El teniente D. Francisco Ren­ teros, G. Id. D. Santos Cabrejos, 12. Id. D. Bartolomé Dapelo r6. Id. D. Eulalio Guzman , 4. El alférez D. José Manuel Muro, 12. Id. D. José Ledesma, 2. Id. D.…</t>
  </si>
  <si>
    <t>Rendon, Juan Ignacio</t>
  </si>
  <si>
    <t>Juan Ignacio Rendon</t>
  </si>
  <si>
    <t>Ni­ colás de Campos , por una vez , 500. Doña Rosalía del Corral, id., por 5, 45. El teniente coronel D. José María Seidel y Tañares, id., por 3,27. D. Juan Ignacio Rendon, anuales, 50. Ei capitán D. Joaquín y D. Francisco Vi giU vecinos de la villa de Saiiti-Spiritv.s, por uno durante la guerra, 9. D. Ber­ nardo García, por …</t>
  </si>
  <si>
    <t>Reniñare</t>
  </si>
  <si>
    <t>personas siguientes: inútiles é impotentes contra la firmeza de los ma­ El conde Schrewsbury. gistrados encargados de velar sobre la conservación El conde Reniñare. del orden , y del respeto y seguridad de las pro­ El vizconde de Gormanscou. piedades. * EL'vizconde Southevell. Parts 18 de marzo. Ei lord KilleeD. El ilustre To…</t>
  </si>
  <si>
    <t>Renovales</t>
  </si>
  <si>
    <t>tado á los franceses de Soria una conducta de tri­ go y dinero que llevaban de las contribuciones, haciéndoles muchos prisioneros. Se asegura qíie el general Renovales se hallaba el 18 del corrien­ te en Belorad o, á la entrada de la Rioja.—El teniente general D. Ga­ briel de Mendizabal estaba el 10 con los comandantes Conga …</t>
  </si>
  <si>
    <t>rretera del Escu­ do hasta las provincias de Vizcaya , y formase con un batallón del regimiento de Laredo y los cuadros de los cuerpos creados por el general Renovales, cuya fuerza total asciende á 800 hombres , una línea en las orillas del Saja y camino real de Santander á Reynosa, mandada por el coronel D. Carlos Rato. Redu…</t>
  </si>
  <si>
    <t>ele la mañana, y duró hasta las h de la tarde, á cuya hnra se rindie­ ron, contándose entre muertos, prisioneros y heridos 700 y pico de enemigos. El general Renovales queda en Grduña. — Coruña 23 de julio de 1812. orge de Jibara. La señora condesa de Chinchón acaba de dar un ilustre testi­ monio de su entusiasmo patriótico ,…</t>
  </si>
  <si>
    <t>mañana, y duró hasta las cinco de la tarde, á cuya hora se rindieron , contándose entre muer­ tos , prisioneros y heridos 700 y pico de enemigos. El general Renovales queda en Orduña. Coruña 23 de juiio de 1812. = Jorge de Lara.” Informada la comisión interina de administración y gobierno *de hacienda pública, por comisión de…</t>
  </si>
  <si>
    <t>xtracto de una carta del conmódoro sir Home Popham al almirante lord Keith , fecha en Bilbao á 1$ de agosto. ,,Hoy por la mañana, al salir el sol, el general Renovales atacó al ene­ migo , y sus disposiciones Fueron tan acertadas, que lo. arrojóle la ciudad, -desde donde se retiró por el camino de Zornoza, y toda su tropa vol…</t>
  </si>
  <si>
    <t>Renvé</t>
  </si>
  <si>
    <t>á los negros en el cultivo del café, que en segunda ídem; D. Ramón Pircz, gefe del estado el dia tiene mui poco valor. mayor de la segunda ídem ; el conde Renvé, ofi­ También fia nombrado la asamblea una comi­ cial agregado, en Valencia. sión para que extienda una representación al Príncipe Regente, exponiéndole el estado de …</t>
  </si>
  <si>
    <t>Repuin</t>
  </si>
  <si>
    <t>que el enemigo hace es­ |2 de artillería, inca; y que el principe ittgens- fuerzos para señorear el vado de Drissa, y doi or­ tciu, reunido ya con el príncipe Repuin, dominaba den á los generales Albert y Castex de que no Je á Kokonou y Osveia. defiendan, porque mí deseo es que pa^e. Pin la mañana del 30 marche para Kliatttts…</t>
  </si>
  <si>
    <t>Requena, Josef Julián</t>
  </si>
  <si>
    <t>Josef Julián Requena</t>
  </si>
  <si>
    <t>Tomas Perez, id........................................... 2200 ....................................... ....... ............................... 2 200 D. Josef Julián Requena , id.................. ...... 2200 D. Gaspar de Leiva, id. en Aguilar............. 2200 D. Gonzalo Josef del Real , id...................... 2200 D. Jose…</t>
  </si>
  <si>
    <t>Requera, Ignacio</t>
  </si>
  <si>
    <t>Ignacio Requera</t>
  </si>
  <si>
    <t>....... ItOO D. Manuel Xitnenez Madroñ.-ro , id............ 22co D Pedro Ruiz Misas, id................................ 2200 Ex-mercenarios calzados. D. Ignacio Requera, id. en Montilla.......... 2200 D. Ja *r» Bernia , residente en Córdoba...... 210 D. Juan Ruiz de Tejada, id.......................... 2200 2 20° D. Josef-Rod…</t>
  </si>
  <si>
    <t>Resentí, Blanca</t>
  </si>
  <si>
    <t>Blanca Resentí</t>
  </si>
  <si>
    <t>, por uno , 9. El comisario ordenador D. Francisco de Isla por uno , 9. Doña María Dolores Orue por uno , 9. D. Ignacio González Cadrana por uno , 9, Doña Blanca Resentí por uno, 9. D. Braulio D ego de Vivanco , oficial roal honorario, por uno , 9. D. Nicolás Fernandez por 2,18. D. Lúeas Villaescüsa y D. Jo­ sé Zapata, por un…</t>
  </si>
  <si>
    <t>Residente</t>
  </si>
  <si>
    <t>321</t>
  </si>
  <si>
    <t>mayor hasta el momento en que el presidente de el gobierno ingles en última respuesta se referia á los Estados-Unidos declaró positivamente en uo su ministro Residente eo Filadelfia, siendo asi que mensage que la guerra con Inglaterra era inevita­ preguntado este último sobre los mismos puntos, ble , si esta última perseverab…</t>
  </si>
  <si>
    <t>Resta, Santiago</t>
  </si>
  <si>
    <t>Santiago Resta</t>
  </si>
  <si>
    <t>enido á presentar las referidas actas mayor; á D. Federico Bailliodiz, subteniente, á de su juramento á S. M., y se hallan en esta ca­ teniente , y á D. Santiago Resta , sargento prime­ pital: sus nombres son bien conocidos. Pregó 1 té­ ro , á subteniente. En el regimiento segundo de seles , y se verá la grosera mentira de la…</t>
  </si>
  <si>
    <t>Retiña, Felipe</t>
  </si>
  <si>
    <t>Felipe Retiña</t>
  </si>
  <si>
    <t>andante del primero y primera sec­ ción D. Martín de Bgufiuz, contuso en el pecho; al subteniente de húsares D. Gaspar Pérez .al teniente del tercero D. Felipe Retiña, herido», y á lo* capitanes, de nacionales B. Tontas de Lira y D. Beni­ to García dei Barrio, y ai deí primero D. Pedia Gallegos , contuso*</t>
  </si>
  <si>
    <t>Retírtenos, José</t>
  </si>
  <si>
    <t>José Retírtenos</t>
  </si>
  <si>
    <t>municiones de guerra y ICO p? Lioneros, entre ellos el comandante general interino, oc-rocel D. Florécete- Pa­ lacios, su segundo el teniente ccrcnd D. José Retírtenos, y 9 ofi­ ciales subalternos. E&gt;tos 11 individuos liegaron á esta cuidad, y que­ dan en seguridad.— D es guarde; á V. S. muchos año». Coro 30 do abril de 1812.…</t>
  </si>
  <si>
    <t>Reuss</t>
  </si>
  <si>
    <t>am el Exorno. Sr. mariscal duque de Reg- el otro en Transilvanla , y el terc.ro en el B inna­ gio, y ¡os generales de división de su cuerpo de to. El príncipe Reuss mandará interíname &gt;te el exército. exército de GaUitzia; el general conde de KnEl catálogo de libros que se ha publicado este llowrath el de Transilvania; y el g…</t>
  </si>
  <si>
    <t>Revilla, García</t>
  </si>
  <si>
    <t>García Revilla</t>
  </si>
  <si>
    <t>te D. Luis de la Portilla y el alférez D. An­ tonio Mendivil, se han portado con mucho valor , así como las tro­ pas que mendaban. Mi primer ayudante D. García Revilla y el ca­ dete D. Joaquin Paredes , merecen mi recomendación, como también los patriotas de Toluca D. Ramón García Reguera , D. Pedro Mora­ les , D. Agustín de …</t>
  </si>
  <si>
    <t>Revira</t>
  </si>
  <si>
    <t>es penas, ei precio del pan no baxa de 9 rs.; y diariamente se recogen por las cajies cadáveres de los que han perecido de miseria. Se asegura que ei brigadier Revira ha interceptado un convoy que Suche! remitía á Francia con algunos millones en metálico y otros efectos de importancia, destrozando la escolta que era numero­ s…</t>
  </si>
  <si>
    <t>que que* dLirón en él campo, y mas de 50 heridos que llevaron á Aulot. — Juan Fábrega. III. Dd comandante del segundo batallón de S. F mando al mismo brigadier Revira. —Nueve de mayo de 1812. — Elf6 del corriente dis­ puse que hiciesen un recono cimento por ei llano de la villa de Aulot 50 infantes y 11 caballos. 'Encontraron…</t>
  </si>
  <si>
    <t>del general Cíement , com­ puesta de 17G0 hombres, peleó en la montaña de la Pina con el primar batallón del regimiento de S. Fernando, del mando del brigadier Revira, que se retiró con pérdida de 4 muertos, 19 heridos y 2 prisioneros. Les franceses tuvieron 54 muertos y 147 heridos, entre tiles varios oficiales. Ai día sigui…</t>
  </si>
  <si>
    <t>de marchar al Ntrte. Con esta ocasión han saqueado muchas casas , é incendiado otras, entre ellas una en que supieron se había alojado alguna vez el brigadier Revira. También exigieron una contribución de 2000 duros. — Al pasar des­ de aquella villa á Aulot, les incomodaron é hicieron bastante daño los batallones de S. Fernan…</t>
  </si>
  <si>
    <t>Rey</t>
  </si>
  <si>
    <t>legué á Yunquera, desde donde maíché para Barda­ les, con el fin de amenazar á Osuna, y atraer allí al coronel Berton, que estaba en Antequera , y al general Rey, que maniobraba desde ei principio de la campaña sobre mi flanco izquierdo entre Ronda y O Ivéra. Este movimiento me proporcionó situarme en el centro de esta provin…</t>
  </si>
  <si>
    <t>poco trilladas, llegamos á las 2 de ía madrugada á media legua de Aróla , donde estaba una columna francesa de mz-s de 1000 hombres á las órdenes del general Rey. Hi irnos alto detras de un cerro, donde sin ser sentidos del enemigo formamos las columnas de ataque, y llegamos al pueblo ai ser de día. Vos franceses, que donnian…</t>
  </si>
  <si>
    <t>, á cuya disposición van caminando el resto de prisioneros, me­ nos ios 12 oficiales que reservo en mí poder, para que sufran la últi­ ma pena, si el gobernador Rey no accede á la proposición que se le ha hecho de entregar en su rescate al renegado Moreno, cuya negra y horrorosa conducta tiene llenos de miserias y lágrimas á …</t>
  </si>
  <si>
    <t>el enemigo. „N &gt; ha habido movimiento alguno en el Norte» El general Ba­ llesteros sorpr?hendió en A’ora el 14 de abril y destrozó una colum­ na del general Rey.— Wellmgton”' g.° ,,Cuartel general de Fuente-Guinaldo 20 de mayo de 1812. — Un destacamento enemigo de unos 2500 hombres salió de Sevi= lia el dia 5 con dirección á …</t>
  </si>
  <si>
    <t>general Ballesteros al tenien­ te general Sir Rowiand Hiil del 29 de julio, que habia estado en Málaga el 14 del mismo de^pates de una acción con el general Rey cerca de Coin. El general Ballesteros estaba en Grazalema el 29„Sir Rowiand Eli 11 me escribe con fecha de 8 del cor­ riente. Aunque este general habia estado en movi…</t>
  </si>
  <si>
    <t>Rey, Diego</t>
  </si>
  <si>
    <t>Diego Rey</t>
  </si>
  <si>
    <t>l, capellán del monasterio de Sta. Clara , 17. D. Manuel de A iba , 2. D. José AUuzarra , 2. D. José Calixto Alzamora , 2, D. Miguel IraTnategui , G. D. Diego Rey lia , capellán del monasterio de Trinitarias ,8 y 4. D. Antonio de Almoguera , capellán del monasterio de Descalzas , 4. Di Nar­ ciso Cosío , 1. D. José [pinza, 2. …</t>
  </si>
  <si>
    <t>Rey-yo, Pedro</t>
  </si>
  <si>
    <t>Pedro Rey-yo</t>
  </si>
  <si>
    <t>. José Alpanscque y D. José Declouuf; á tenientes de fu­ sileros á D. Antonio Dubrevii, D. Francisco Cañedo, D. Juan Do­ mínguez , D. J usé Bernardo, D. Pedro Rey-yo , D. Carlos Reggio, D Bernardo Prieto, D. Cirilo Lessacier, í). Juan Galguare, Don Francisco Dalcourt, D. Francisco Devilliers y D. Juan José Bou; á subtenientes…</t>
  </si>
  <si>
    <t>Reyes, Antonio</t>
  </si>
  <si>
    <t>Antonio Reyes</t>
  </si>
  <si>
    <t>s, darán Pato, la comparócíe caballería. este conocimiento á los prefectos respectivos, y Lupita». estos-á los ministros de Guerra y de Policía ge­ • D. Antonio Reyes. nital. Í IJM( /»»»« 9.0 Se admitirán los oficiales que se presenten, y se emplearán en las tropas rea íes d en otro desD. Migael Correas. tioo, según fueren su…</t>
  </si>
  <si>
    <t>Reyes, Atanasio</t>
  </si>
  <si>
    <t>Atanasio Reyes</t>
  </si>
  <si>
    <t>, 4 rs. Hermenegildo Tomoche, 4 rs. V Ícente Tallo , 1. Aniceto Rosales , 4 rs. Pedro Bertiz , 1. — Pueblo de ¡a Par* ranea. El teniente de milicias D. Atanasio Reyes, 17. D. Manuel Lobaton, 10. D. José Reges, 13. D. Joaquín Ronceros , 6. D. Manuel Mansilla , 4. D. Mariano Ronceros , 4. D, Fermín Dávila, 1. D. José Reyes Loba…</t>
  </si>
  <si>
    <t>Reyes, Bernarda</t>
  </si>
  <si>
    <t>Bernarda Reyes</t>
  </si>
  <si>
    <t>Doña Micaela Ñaue#, ),. Antonio Napuri, 2. Jpamiana Tíñeos, 1. Di José Obin Barrena, 2. Tomas ]Sriiñez-, 1. Tibureio Córdoba, 1. Manuel Roxas, 4 rs. Doña Bernarda Reyes , 1. Beatriz Reyes., 2. jSicoi^s Ronce , 1. D Fe­ lipe Jáuregui, 10. Gabriel de la Cruz, L D, Julián'Conde , 2. Gracíliano Ló­ pez, 4 rs. ' ' ' ' „ (S¿ contin…</t>
  </si>
  <si>
    <t>Reyes, Francisco</t>
  </si>
  <si>
    <t>Francisco Reyes</t>
  </si>
  <si>
    <t>ro , 2'. Fermín García, 1. D. Vidal García , 1. D. Juan de Avila, 1. Eustaquio Montoro , 2. Mariano Roxas , 4 rs. Alberto Roxas, 1. Julián Rea, 4 rs. D. Francisco Reyes, 2. Mariano Avi­ la, 1. Joaquín de la Cruz , 1. Agustín Alba, 4 rs. Manuel de Avila, l. Si­ món Carrillo, 4 rs. Eusebio do Avila, 1. Severirio Montero, 4 rs. …</t>
  </si>
  <si>
    <t>Reyes, Tiburcio</t>
  </si>
  <si>
    <t>Tiburcio Reyes</t>
  </si>
  <si>
    <t>gloria. Continúan los donativos del Perú. D. Modesto Antonio Roa, 4 ps. fs. D. Vicente Toro, capellán del Espirita Santo , 4. D. Pedro Palomino , 2. D. Tiburcio Reyes , l. T). Manuel Gutiér­ rez , 1.—E! coronel v comandante de ingenieros D. Pedro Antonio Molina , por el mes ele febrero, 50. El teniente coronel D. Francisco Ga…</t>
  </si>
  <si>
    <t>Reymundez, Juan</t>
  </si>
  <si>
    <t>Juan Reymundez</t>
  </si>
  <si>
    <t>intendencia de Tarma,-en cada un año de los que dure la guerra , 100. D. José Mier, minero de Pasco , en cada un año de los que dure la guerra , 100. D. Juan Reymundez, cura de Laraos, 100. D. Pedr» Aivarado, cura de Atunyaugos , 50. D. José Potau y D. Lorenzo Tomas de Al­ calá, curas de S. Sebastian , 100. I^a congregación d…</t>
  </si>
  <si>
    <t>Reynaud</t>
  </si>
  <si>
    <t>érdida de los ingleses fué considerable, y el general ingles Colé quedó heri­ do gravemente. „Estoy muy satisfecho de la actividad é inteligencia del general Reynaud , comandante de Ciudad Rodrigo: hubia organizado esta 'plaza en términos que hubiera lecho la mas brillante resistencia, si hubiese sido necesario. (Pero se olvi…</t>
  </si>
  <si>
    <t>Reynols, Juan</t>
  </si>
  <si>
    <t>Juan Reynols</t>
  </si>
  <si>
    <t>ijo D. Florentino, por 5 soldados , du­ rante la guerra, 45 ps. fs. mensuales. I). Santiago Malagamba , por 4 , idern, 36. D. José Carrera, por 4,36. D. Juan Reynols por 4 , 36. El comisario or­ denador honorario D. Próspero Amador García, por 4,36. El tesorero de exército honorario T). Bernabé de Corres, por 2 , 18. Ei coman…</t>
  </si>
  <si>
    <t>Reynoso, José Mariano</t>
  </si>
  <si>
    <t>José Mariano Reynoso</t>
  </si>
  <si>
    <t>ue á la primera noticia que tuvo deque se aproxima­ ban, en número de unos 2000 hombres , el comandante de aquellas milicias urbanas , el subdelegado D. José Mariano Reynoso, reunió 80 paisanos armados , con los que les salió al encuentro y los ahu­ yentó , matándoles 50, hiriendo á muchos y haciéndoles varios prisioneros ; h…</t>
  </si>
  <si>
    <t>RiaachetU, Francisco</t>
  </si>
  <si>
    <t>Francisco RiaachetU</t>
  </si>
  <si>
    <t>s de Cardona á D. Miguel de Córiiobii; y del de tiradores de Cataluña á D. José ríe Casas. Sargen­ tías mayores \ del batallón de tiradores de Buza á D. Francisco RiaachetU, del de voluntarios de Cardona á D. Lucas Gil de Linares; y de! de tiradores de Cataluña á D. Rafael Rivas. Igualmente ha concedido S. A. agregación de sa…</t>
  </si>
  <si>
    <t>Rían, O</t>
  </si>
  <si>
    <t>O Rían</t>
  </si>
  <si>
    <t>, que estaban pado la posición del Espíritu Santo el general Obis­ apostados en el desfiladero de la Caidercna , é im­ po con su división , ó bien el coronel O Rían con pedir que cortasen todas las tropas que se iban re­ dos batallones y Ja caballería competente , sacada tirando y batiéndose al mismo tiempo, apoyándo­ de la d…</t>
  </si>
  <si>
    <t>Riasoia, Alonso</t>
  </si>
  <si>
    <t>Alonso Riasoia</t>
  </si>
  <si>
    <t>y cargados en carros peroía* necen en la puerta del convento de S. Agustín. Ayer prendieron en Utrera al marques de Casaulloa , á D. Juan Forreras, á D. Alonso Riasoia, á D. José Escovar y á dos párro­ cos , que todos son conducidos hoy á Carmona, para incorporarse con ios presos aquí. Se asegura que en todos los pueblos hará…</t>
  </si>
  <si>
    <t>Ribe, Tibureio</t>
  </si>
  <si>
    <t>Tibureio Ribe</t>
  </si>
  <si>
    <t>ogui , 25. D. José Minavales , 20. D. Pedro Sierra, G. D. Guillermo Arriaga , G. 1). Joaquín Li.zarnturi, 25. D. Juan Miota, 10. D. José Martínez, 8. D. Tibureio Ribe­ ra, lO. . (Se continuarán.) CADIZ : EN LA IMPRENTA REAL.</t>
  </si>
  <si>
    <t>Ribera, Lorenzo Sánchez</t>
  </si>
  <si>
    <t>Lorenzo Sánchez Ribera</t>
  </si>
  <si>
    <t>rcía, 70. Los vecinos del pueblo de Sunicancha. 10 y 2. — Caras y clerecía del partido de Pasco. D. Francisco Fuster, 50. D. Antonio de la Serna, 12. D. Lorenzo Sánchez Ribera, 12. I). Manuel Alvarez , 12. D. Alexandro Odiantes Cevallos, 50. D. Espíritu Zamudio, 12. IX Fermín Hernández, 25. D. Nicolás Berrocal , 25. D. Franci…</t>
  </si>
  <si>
    <t>Ribero, Josef</t>
  </si>
  <si>
    <t>Josef Ribero</t>
  </si>
  <si>
    <t>ente en Naval- Ex&gt;agustinos. manzano.......................................................... 2200 D. Antonio Tormejon , id. en Chañe.......... 2200 D. Josef Ribero, natural'de San Felice*, valle de Bnelua....,,..................................... 2200 Ex franciscanos. Doña Juana García ,• id. del lugar de Sonto. 2200 Doña …</t>
  </si>
  <si>
    <t>Ribero, Ramón</t>
  </si>
  <si>
    <t>Ramón Ribero</t>
  </si>
  <si>
    <t>iura , 47 y 2 y medio. Don Antonio Mirón , 10. D. Juan Buzca. 15. J#sé Maria Gainza, 6 D. José Ariza, 6. D. Domingo Pombar, 16. D. Antonio Lardo, 16. D. Ramón Ribero, 10. D. José Juan de Echevarría , 25. D. Juan Midan, 100. D. Bernardino Salado . 12. D Ignacio Aviles, 100. D. José de.Silva , 6. D. Juan Ferrusola, 50. D. Atana…</t>
  </si>
  <si>
    <t>Ricard</t>
  </si>
  <si>
    <t>s vanguardia , compuesta de dos batallones y dos es- han sido heridos, y quatro coroneles muertos. quadrones del regimiento del príncipe Clemente. El general Ricard entró el 1.® de agosto con Al cabo de seis horas de resistencia la mayor parre su brigada en Dunaburgo. Solo encontró ocho pie­ de esta, vanguardia fue muerta ó h…</t>
  </si>
  <si>
    <t>Rich</t>
  </si>
  <si>
    <t>heridos y no extraviados.” hicieron fuego hasta que la coluna se retiró ente­ ramente, y fueron pasados á cuchillo los hombres Extracto del parte del brigadier Rich, segundo que la servían, y que las piezas quedaron en po­ comandante general de la caballería del cuer­ der del enemigo. po de expedición. Nota. ,, Este parte no …</t>
  </si>
  <si>
    <t>Rico, Francisca</t>
  </si>
  <si>
    <t>Francisca Rico</t>
  </si>
  <si>
    <t>s, y en su nom­ b-ejdS............................................. 44Í9 * bre D. Santiago Santos..!......... 27o if D. Antonio Lciiai , á 1 ombre de Doña Francisca Rico, y en so su muger Doña María de los nombre D. Santiago Santos..... 631 2&lt;í Doloies Beian lia....................... 11726 26 Doña Manuela de Robles..........…</t>
  </si>
  <si>
    <t>Rico, Gaspar</t>
  </si>
  <si>
    <t>Gaspar Rico</t>
  </si>
  <si>
    <t>io Mendizabal, D. Rafael Palomeque y D. Juan Pa­ nero; compañías de granaderos, al marques de la Celada déla Fuen­ te , al marques de Valdcliiios y á D. Gaspar Rico; de cazadores, á D. Ramón Veadreü , y de fe sileros á D. Juan Bautista Oyarzabal, marques de Montealegre, D. Manuel Uficaagoena, D. Domingo Orne, D. Fiancisca Xav…</t>
  </si>
  <si>
    <t>Rico, Juan</t>
  </si>
  <si>
    <t>Juan Rico</t>
  </si>
  <si>
    <t>del bosck dé PtíigsacaU frente dé casa Montal. No dudaba del feliz resultado de mi plan; peto el ar­ dor del valiente oficial de cazadores de Matará D Juan Rico, que c&amp;n 27 soldados se hábia adelantado para cerciorarse del movimiento de los vándalos, se precipitó contra algunos de estos creyéndose que habia pasado ya toda la …</t>
  </si>
  <si>
    <t>Ricu</t>
  </si>
  <si>
    <t>cargaron bizarramente á los enemigos, seguidos de los húsares de Castilla y sostenidos por los granaderos del cuarta exercito, dirigidos todos por el brigadier Ricu, logrando clavar la mayor parte de sus-lanzas en tos esclavos, poniéndolos en huida, y matando al golpe de una de estas á un general dé división/cuyas in­ signias…</t>
  </si>
  <si>
    <t>Ridge</t>
  </si>
  <si>
    <t>tumbran en estas operaciones. El teniente general Pic­ ton me ha recomendado particularmente la conducía del teniente coronel Williams del 60 , y del teniente coronel Ridge del quinto, muerto desgraciadamente en el asalto del castillo, del teniente coro­ nel Fóibes del 45, del teniente coronel Fitz Gerald del 60, del te­ nien…</t>
  </si>
  <si>
    <t>Riedíger</t>
  </si>
  <si>
    <t>alla, y á la vanguardia que asaltase la ciudad en dos divisiones ; una a las órdenes de los mayores genera­ les Platow y Dicbstsch , y otra á las del coronel Riedíger del regi­ miento de húsares de Grodno. El teniente general Cazanove, viendo que sus tropas estaban muy próximas á Poíotsk, se arrojó también al enemigo, y fué e…</t>
  </si>
  <si>
    <t>Riega, Manuel Oiíver y DFMúriano</t>
  </si>
  <si>
    <t>Manuel Oiíver y DFMúriano Riega</t>
  </si>
  <si>
    <t>reserva , é impuso mucho á los enemigos : el gefe de estado ma­ yor interino el segundó mayor cíe CiucíuT-Reat TK José Antonio Roca, y mis ayudantes D. Manuel Oiíver y DFMúriano Riega , han</t>
  </si>
  <si>
    <t>Riega, Mariano</t>
  </si>
  <si>
    <t>Mariano Riega</t>
  </si>
  <si>
    <t>puso mucho á los enemigos: el gefe de estado mayor interino el segundo mayor de Ciudad-Real D. Josef Antonio Roca, y mis ayudantes IX Manuel Oliver y D. Mariano Riega han cumplido exáctamente sus car­ gos á la vista del enemigo, y en la remisión de las órdenes que les daba, y movimientos que convenían. El Oliver conduce á V. …</t>
  </si>
  <si>
    <t>Riera, Gerónimo</t>
  </si>
  <si>
    <t>Gerónimo Riera</t>
  </si>
  <si>
    <t>o ; para los de segunda clase D. José Le z , D.'Domingo del Valta y O. Jocó Fernandez de los Muros; m¡r&gt;i r* ira los de tercera clase D, José Ortega, D. Gerónimo Riera y</t>
  </si>
  <si>
    <t>Riesco, Rafael</t>
  </si>
  <si>
    <t>Rafael Riesco</t>
  </si>
  <si>
    <t>aría de D.Josef de Go­ lw Rs. vn. 1.3 68 96 23 W lfa y Moníaini.............................. 7333 11 Doña Tomasa Uriz........................ M34 84 D. Rafael Riesco............................ 6588 8! Que í una suma importan nn millón trescien­ Doña Tomasa S^rachaga......... ....... 812 8i tos sesenta y ocho mil ciento nove…</t>
  </si>
  <si>
    <t>Rígaud</t>
  </si>
  <si>
    <t>de los hombres que por orden del cha del r6 de octubre , que dicen que con motivo almirante Berkelri se cogieron á bordo de la Che— de la muerte del general Rígaud,los descontemos sapeack, para volverlos á entregar al navio Je que estaban á sus órdenes, y que habían formado donde se habían sacado ; ó si este navio no estaba u…</t>
  </si>
  <si>
    <t>Rigual, Josef</t>
  </si>
  <si>
    <t>Josef Rigual</t>
  </si>
  <si>
    <t>l Stehelin y al consejero We &gt;k; y el de Thurgovia á ios.conse­ 1IBROS. jeros de Estado Mordí y Freyeomuth. Ofleío de la Semana Santa , traducido por D. Josef Rigual, á 9 rs. en papel, 12 en pasta , y 36 en ta­ IMPERIO FRANCES. filete. Oficio der la Semana Santa y Semana de Pascua en Parts rj3 de febrero. castellano, y con el…</t>
  </si>
  <si>
    <t>Rimbau</t>
  </si>
  <si>
    <t>a­ sar á Castellfollit, no solo contuvo al enemigo de emprender cosa alguna, sino que le decidió á volverse á Bañólas , donde permanece. ,,Si bien el comandante Rimbau en su parte solo expresa que fue­ ron 140 los que quedaron muertos en el campo de batalla , porque regularmente serian los que habría é! hallado ; con todo me …</t>
  </si>
  <si>
    <t>Rimbau, Juan</t>
  </si>
  <si>
    <t>Juan Rimbau</t>
  </si>
  <si>
    <t>pasó á tomar el Grao, con arreglo á ruis instrucciones ; y el primer batallón al mando de su capitán de gra­ naderos , graduado de teniente coronel, D. Juan Rimbau, salió de esta villa al encuentro del enemigo, tomando posición ventajosa entre Bas y Aulóí y dexando la compañía de tiradorés^ y la se­ gunda de fusileros ai pie …</t>
  </si>
  <si>
    <t>Rincón, José</t>
  </si>
  <si>
    <t>José Rincón</t>
  </si>
  <si>
    <t>élix Sarasa. — Sr. D. Francisco Espoz y Mina.” Cádiz 30 de Octubre. A consecuencia de haber muerto en el lazareto extramuro* de la ciudad de Alicante D. José Rincón y su muger, los médicos es­ pañoles é ingleses residentes en aquella plaza visitaron y reconocie­ ron cuidadosamente así los asistentes y qmirentenarios que había…</t>
  </si>
  <si>
    <t>Ríngel</t>
  </si>
  <si>
    <t>Por decreto de 20 de febrero se ha dignado S. M. confiar la dirección de la biblioteca central H ?ce sigan tiempo que es mui activa la cor­ al señor consejero Ríngel, refrendario cerca del mi­ respondencia entre el gabinete de Viena y el ba­ nisterio de lo Interior, por lo tocante á los asun­ rón de Sturmer, internuncio de Au…</t>
  </si>
  <si>
    <t>Rio</t>
  </si>
  <si>
    <t>a roto. Sin embargo, hizo alli tren­ por un esquadro» de ios cazadores de Cuenca , man­ te por espacio de una hora al enemigo, el qual se dado por el coronel Rio, que vino á su socorro, replegó sobre Puig. y consiguió Salvarle. El general Zayas, viéndose ,, A pesar de este descalabro el general Lardi- precisado á abandonar su…</t>
  </si>
  <si>
    <t>RIO, BARRIO DB MIRA Mí</t>
  </si>
  <si>
    <t>BARRIO DB MIRA Mí RIO</t>
  </si>
  <si>
    <t>s D. Francisco de Santiago. D. Félix A var z VilLt. .ó. Secretario . D. Juan Josef Rubio. D. Vicente M., ri* Teraya. D. Jostf Carranza. .. ; . &gt;4 ¿j. Secretario BARRIO DB MIRA Mí RIO. D. Lúeas Escolar. ••• •• Alcalde de barrio ' BARRIO DEL HUMILLADERO. , D. Francisco María de Odiaga. ■ ^ .W Diputado eclesiástico Alcalde de ba…</t>
  </si>
  <si>
    <t>Rio, Manuel</t>
  </si>
  <si>
    <t>Manuel Rio</t>
  </si>
  <si>
    <t>Manuel Solar, 8. D. Juan Garro, 8 D. Joaquín Jordán , 8. D. Cosme Martínez , 8. D. Manuel Muelle, 8. D. José María Murga , 8. D. Antonio Urrutia , 8. D. Manuel Rio, 8. D. Luis Gamio , 8, JD. Mariano Albiuri, 8. D. Blas Cabrera, 8.1). Francisco Delgado, 8. Don Manuel Herrera , 6. D. José Amezaga , 35. D. Francisco León , 5. D.…</t>
  </si>
  <si>
    <t>Ríos, Jacinto</t>
  </si>
  <si>
    <t>Jacinto Ríos</t>
  </si>
  <si>
    <t>nio Amezaga , 35. D. José Peña, 13. D. José Dámaso Árgueda, 8. D. Matías pastor, 8. D. Manuel Fuente, 8. D. Isidro Guillen, 8. í). Santiago León , 6. D. Jacinto Ríos , 8. D. Miguel Rodríguez , 8. Don Fernando Urtiaga, 8. D. José Antonio Enriquez , 13. D. Carlos Delgado , 8. B. Juan Piñeiro, 8. D. Felipe Arria, 8. D. Mariano A…</t>
  </si>
  <si>
    <t>Rique</t>
  </si>
  <si>
    <t>cantidad. arma; :tl teniente agregado á la com parda &lt;\: gen­ 10. Desde i.u de enero próximo de los objetos darmería real, destinada á esta Capital, D. Rique se transportan por el Zuidcixée solo quedarán mon Drago teniente efectivo de !u misma com­ sujetos á las formalidades de guia y de sello los pañía ; ¡I crpifan del regim…</t>
  </si>
  <si>
    <t>Riquelme, Pedro</t>
  </si>
  <si>
    <t>Pedro Riquelme</t>
  </si>
  <si>
    <t>, todo ¡es p rece jíüv-ada junta criminal, alcaide del crimen déla admirable en el sistema actual de cosas ; Jos VVihgs, chancilléis.! de Granada J y D. Pedro Riquelme, ó el partido de la antigua oposición , quisieran que corregidor de Xercz de la Frontera , individua.del se limitase la duración de cada parlamento á tres cons…</t>
  </si>
  <si>
    <t>Risco, Rafael</t>
  </si>
  <si>
    <t>Rafael Risco</t>
  </si>
  <si>
    <t>............. Diputado eclesiástico Diputados- seculares D......................... D. Joan Antonio Pico. Diputados seculares, y el último exerce las D. Rafael Risco. dones de secretario, D. Domingo Rcinoso. D. Pedro Casavus., Secretario D. Rafael González del Valle. D. Alfonso Illevenes. Sarrio de mofíterei. : ' .QUARTEL DE …</t>
  </si>
  <si>
    <t>Rivas, Rafael</t>
  </si>
  <si>
    <t>Rafael Rivas</t>
  </si>
  <si>
    <t>del batallón de tiradores de Buza á D. Francisco RiaachetU, del de voluntarios de Cardona á D. Lucas Gil de Linares; y de! de tiradores de Cataluña á D. Rafael Rivas. Igualmente ha concedido S. A. agregación de sargento mayor en ei propio exército á D. Francisco lijnosa^ capitán primero del haí&amp; iioü de voluntarios de Bar bas…</t>
  </si>
  <si>
    <t>Rivera, Antonio</t>
  </si>
  <si>
    <t>Antonio Rivera</t>
  </si>
  <si>
    <t>el primer batallón de milicia cívica de la iglesia católica de la corte ea celebridad del felis ciudad de Toledo qnedao promovidos regreso de SS. MM. D. Antonio Rivera ,_sarg4»oto 1.°, á subteniente í de la primera compañía; en reemplazo de D.Josef GRAN BRETAÑA. Frera. D. Joaquín Colaviia , sargento i.°, á subtenien­ Zóndres …</t>
  </si>
  <si>
    <t>Rivera, Manuel</t>
  </si>
  <si>
    <t>Manuel Rivera</t>
  </si>
  <si>
    <t>, y al consejero de Estado eonde .de Melito. Sr. D. Salvador Darrigoi....................... 80 Sr. D. Vicente Navarro........ ............... 50 Sr. D. Manuel Rivera.........1.................... \ 30 I.a comisión de socorros públicos ha repartido Sr.. D. Juan. Paez................. .....i.........., % 7^ 3* en la qturta sem…</t>
  </si>
  <si>
    <t>Rivslles, Josef</t>
  </si>
  <si>
    <t>Josef Rivslles</t>
  </si>
  <si>
    <t>ño recinto; la esperanza de socorras se hdbia cas decoraciones nuevas pintadas por el célebre profesor desvanecido; y sin embargo, íolo en este punto D. Josef Rivslles, pintor del mismo teatro, á lo que fue quando trataron de capitulación. El bárbaro añadido todo el vestuario,nuevo, es de esperar que el Aníbal desechó sus pro…</t>
  </si>
  <si>
    <t>Rizo, Manuel</t>
  </si>
  <si>
    <t>Manuel Rizo</t>
  </si>
  <si>
    <t>Rubio , 2. D. Vi­ cente Gago , 2. D. Adrián Sta. Cruz , capellán mayor del hospital de San Andrés , 2. D. Miguel Rotalde , id., 2. D. José Saez , 1. D. Manuel Rizo, capellán mavor del hospital de S. Bartolomé , 1. D. Manuel Mira, id., 2. IX F ornando Mestas , I. D. Gavino Villegas , 2. D. Pedro Martínez , 1. Don Gerónimo Arna…</t>
  </si>
  <si>
    <t>Rjf</t>
  </si>
  <si>
    <t>han ido y ve­ Carta interceptada. nido aqui emboXadore» de los moros, y otra* re­ ces ha habido guerra* entre pidres y hijos, por­ Estimado y querido D. Rjf.iel : no tenga vmd. que lo primero e- lo piimero. No ha nada qoe hu­ cuidado de escribir siempre cnra.i esta vez , y quí­ bo bandos é histoiias como ahora , quando virio …</t>
  </si>
  <si>
    <t>Rlvcllei, Josef</t>
  </si>
  <si>
    <t>Josef Rlvcllei</t>
  </si>
  <si>
    <t>idiiXeron á Londres, en donde se perfec­ cas decbraciones nueVas pintadas por el célebre profesor cionó en,el arte de curar al lado de este Sabio. La D. Josef Rlvcllei, pintor del mismo teatro, á lo qua añadido todo el vestuario nuevo* es de esperar que el guerra de 1793 le hizo regresar á su patria con la público logre la sa…</t>
  </si>
  <si>
    <t>Rndlia</t>
  </si>
  <si>
    <t>Gaceta de Madrid n.º 6</t>
  </si>
  <si>
    <t>, quando menos diente formado acerca de este acaecimiento por debíamos esperarlo. El último enviado ingles , que una comisión especial á petición del capitán Rndlia llegado á este país, nos notificó: primeramente, gers , como asimismo la correspondencia que se ha que el gobierno ingles negaba que se hubiese veri­ seguido con …</t>
  </si>
  <si>
    <t>Rniz, Luis</t>
  </si>
  <si>
    <t>Luis Rniz</t>
  </si>
  <si>
    <t>........ .............. 2200 D¿ Francisco Brt ral , id.............. '................ 3200; Dí’Manuel de Laque, id.................. .......... 2200 D. Luis Rniz f id...:...:..... ................ V........ 2200 teatro, Di'Toaras Vaquero, id............. ............ 2200 - En el del Príncipe, i' las. ocho de la noche, •• D.…</t>
  </si>
  <si>
    <t>Ro, Antonio</t>
  </si>
  <si>
    <t>Antonio Ro</t>
  </si>
  <si>
    <t>, cura de Ca­ ras , 100 ; y ofrece igual cantidad anualmente durante la guerra. D. Bartolo­ mé Avenio, cura de Macate , 50. D. Bernardino Torres, 12. D. Antonio Ro­ mero, 4. D. Francisco García, 6. D. Santiago Valencia, 4. D. Casimiro Palma, 2. D. Antonio Ramírez, 2. D. José Mexia, 2. D. Hilario Olivera, 10. D. Ma­ nuel de To…</t>
  </si>
  <si>
    <t>Ro, José</t>
  </si>
  <si>
    <t>José Ro</t>
  </si>
  <si>
    <t>20í&gt;. D. Ca­ yetano Vülarmeva, 100. D. Isidro Crespo , 50. O, Manuel González Matos, 200. O. Ignacio Beistogui, 200. 1). J'osó Carmen Grijaiba, 100. D. José Ro­ dríguez Vi gil, 2o. J). Domingo de Abeytua , JO. D. Jo;é Anonio de Arrieta, 50. D. Mariano Mesa, por sí y su madre , 50. I). .Manuel Varela, 25. D. Dá­ maso Huidobro …</t>
  </si>
  <si>
    <t>Ro, Manuel</t>
  </si>
  <si>
    <t>Manuel Ro</t>
  </si>
  <si>
    <t>s están desorganizados ticia, hemos decretado y decretamos lo siguiente; y desatendidos, las provincias reducidas á la ma­ articulo I. „ Concedemos i D. Manuel Ro­ yor miseria, y caminando rápidamente á su perdí* mero su retiro , conservándole los honores » entra­ cion...... todo es desorden, y todo confusión........ das y tr…</t>
  </si>
  <si>
    <t>Ro, Pedro Alonso</t>
  </si>
  <si>
    <t>Pedro Alonso Ro</t>
  </si>
  <si>
    <t>.... ..................................... 27IO 2f riano Luis de Urquijo.” El-.real coLgio de Santa Isabel de esta corte, por medio de so ma­ yordomo D. Pedro Alonso Ro­ dríguez...................................... . 36181 2 AVISO. D. Juan Aotonio Salcedo y D. Fran­ cisco Xavier Porto Salcedo......... 8580 A virtud de provid…</t>
  </si>
  <si>
    <t>Roa, Bernardo</t>
  </si>
  <si>
    <t>Bernardo Roa</t>
  </si>
  <si>
    <t>nsejo de la guerra: á D. José Mariano de Aimansa , del consejo de hacienda, regidor , alférez real de la ciudad de Veraeruz; á D. Pedro Ce bailes ; á D. Bernardo Roa, marques de Piedras-blancas, regente de la audiencia de Caracas; á D. Justo Ma­ ría Ibar-Navarro , d'l consejo de Castilla ; á D- José Aycinena , co­ ronel de mi…</t>
  </si>
  <si>
    <t>Roa, Modesto Antonio</t>
  </si>
  <si>
    <t>Modesto Antonio Roa</t>
  </si>
  <si>
    <t>e^ca que desear á los justos admiradores de su mé­ rito , ui que decir á los envidiosos y detractores de su gloria. Continúan los donativos del Perú. D. Modesto Antonio Roa, 4 ps. fs. D. Vicente Toro, capellán del Espirita Santo , 4. D. Pedro Palomino , 2. D. Tiburcio Reyes , l. T). Manuel Gutiér­ rez , 1.—E! coronel v comand…</t>
  </si>
  <si>
    <t>Roa, R-amon</t>
  </si>
  <si>
    <t>R-amon Roa</t>
  </si>
  <si>
    <t>Ignacio Calan ; de espitan de milicias disciplinadas de infantería á 6. Francir.cn Garcés * D. Francisco Manzano, D. Basilio López, D. Jacobo Garcés, D. R-amon Roa, D. Xavier Morios, D. Pedro Astarloa, D. Juan Esteban Cueto, Don Manuel Carrera, D. José María Medina, D. Podro Jo mi Alcina, D. Manuel U&amp;bina, D. José Díaz Ace ve…</t>
  </si>
  <si>
    <t>Roas</t>
  </si>
  <si>
    <t>amente con una gran cantidad de plome y de azu­ fre. Las tropas fueron recibidas por los habitantes con las demostra­ ciones del mayor entusiasmo. Ei general Roas cree que el enemigo no vAverá ya á ocupar eaie punto, per la razón de que no puede defenderlo. En la misma gaceta se inserta uaa carta del capitán Uaher, co­ mandan…</t>
  </si>
  <si>
    <t>Robe</t>
  </si>
  <si>
    <t>ito. „No puedo alabar bastantemente á los oficiales y soldados de la ar­ tillería real y portuguesa durante este sitio, particularmente al tenien­ te coronel Robe que abrió las baterías en brecha, al mayor May, al capitán Cardiner, al mayor íloiccmbe y aí teniente Bourchier de la artillería real, al capitán de Resberg de ia a…</t>
  </si>
  <si>
    <t>Robert</t>
  </si>
  <si>
    <t>ón del 11 ó.° Bugeaud está TEATRO. nombrado igualmente comandante de armas baxo En el del Príncí pe, á las siete de la noche , se re­ las órdenes del general Robert. presentará por la compañía española la comedia en tres „Las tropas quedarán en el campo hasta e! 14 actos titulada el Solterón y su criada, y la opereta el por l…</t>
  </si>
  <si>
    <t>Robert, O</t>
  </si>
  <si>
    <t>O Robert</t>
  </si>
  <si>
    <t>mueren bastantes, habiendo conducido en pocos dias mas de 300: á Barbastro. En Valencia rey na igualmente la misma enfermedad, y ha muerto de ella el general O Robert. • Madrid 14 de setiembre, ALIANZA DE LA ESPAÑA CON LA RUSIA. ; El dia 20 de julio se celebró en Petersburgo un tratado, el mas amplio y expresivo, de unión, am…</t>
  </si>
  <si>
    <t>Robinson</t>
  </si>
  <si>
    <t>Maduré al principe de Samanap, á quien debió la atención de que le ofreciese 2000 hombres el dia que se disponía á atacar al enemio ; y comisionó al capitán Robinson, para que fuese á las Cortes de f olo y Jogocarta á visitar al emperador y al sultán, participándoles las novedades ocurridas , avisando igualmente á sus plenipo…</t>
  </si>
  <si>
    <t>1142</t>
  </si>
  <si>
    <t>tó Liaño con Fernandez, 3 hombres y una carretilla. Llegado á la playa, vino in­ mediatamente el bote y pasaron al queche, donde presentó la carta al comandante Robinson. Al momento que este la leyó manifestó tal desconfianza , que costó mucho trabajo el que desembarcase 23 hom­ bres, en lugar de los 40 que decía Taylor. Trab…</t>
  </si>
  <si>
    <t>Robira</t>
  </si>
  <si>
    <t>batidos por el coronel Casas mas acá de Puigcerdá. Desde Olot se dirigieron 4© á Ripoll, dexando dos batallones en aquella villa, á los que atacó el doctor Robira, haciéndoles considerable número de prisioneros, y logró encerrarlos en un reducto, en donde los bloqueó , cortándoles el agua; de resultas retrocedió en su socorro…</t>
  </si>
  <si>
    <t>Robledo, Felipe</t>
  </si>
  <si>
    <t>Felipe Robledo</t>
  </si>
  <si>
    <t>a María, dis­ tante media legua de Valladolid, y se habían posesionado de una loma inmediata ; envió contra ellos una división al mando del coro­ nel D Felipe Robledo, que logró desalojarlos y ocupar la altura del Señor del puerto, desde la que cubría el único camino por donde podían los rebeldes venir en fuerza sobre Vallado…</t>
  </si>
  <si>
    <t>Robledo, Lorenzo</t>
  </si>
  <si>
    <t>Lorenzo Robledo</t>
  </si>
  <si>
    <t>ial de ííuailas, 200. El monasterio déla Trini­ dad , 209. Los curas y de recia dala parroquia de Sta. Ana de esta ciudad. D. A gu ;tin de los Ríos y D. Lorenzo Robledo , curas rectores , 52 y 4; r\ José Joaquín Lnrriva, sacristán mayor, 12. D. Agustín de Acuña Inter , 2. 1i. ís-inou Muñoz ,1. D. Bonifacio Loarte, 1. D. Franc…</t>
  </si>
  <si>
    <t>Robles, Lupercio</t>
  </si>
  <si>
    <t>Lupercio Robles</t>
  </si>
  <si>
    <t>ardo , 12. El maestro mayor del gremio de barberos ,29 y 5. D. Pedro Alcántara Bruno , 100. D. Juan Mi* guel Germán , 4. D. Esteban José Amador, 100. D. Lupercio Robles, 10. D. José Gorostiza y Garzón , 25. D. Miguel Terrario va y Aviles , 12. D Vi­ cente Aviles , 20. í&gt;. Manuel Andrade , 25. D, Antonio Gonza'ez , 100. Don Is…</t>
  </si>
  <si>
    <t>Robles, Manuel González</t>
  </si>
  <si>
    <t>Manuel González Robles</t>
  </si>
  <si>
    <t>putados secutarte .; 5 r x i D. Josef María de B ldosola. D. Juan del Riego. ; ; ol . I Secretarlo D. Manuel L-ipez de Ribas. D. Josef María Pardo. • D. Manuel González Robles.- : ^iiví „CL Secretario BARRIÓ DB LA HDERTA DEL BATO. D. Ramón García Xímenéz. s Alcalde de barrio BARRIO DB! LA LATINA, ,, D. Víctor Tomaí de Ituarte…</t>
  </si>
  <si>
    <t>Robles, Pedro</t>
  </si>
  <si>
    <t>Pedro Robles</t>
  </si>
  <si>
    <t>sco Montoya, 79 y 5. D. Dionisio Parían,, 71 y 5. D. Manuel Vera, 63 y 7. D. José Ureta, 55 y 5. D. José Castillo , 47 y 6. D. José. Cicilia, 47 y 6. D. Pedro Robles , 41 y 5. D. Manuel Solano, 41 y 5. D. José Carrillo, 63 y 6. El Excmo. cabildo de esta ciudad á cuenta de 100.000 ps. que ha ofrecido, 70.000. El capitán del be…</t>
  </si>
  <si>
    <t>Roca, Bernardo José</t>
  </si>
  <si>
    <t>Bernardo José Roca</t>
  </si>
  <si>
    <t>lférez D. Bernabé Cornejo , 25. Cadete D. Manuel de Aviles, 12. — Aventureros del mismo cu rpo. D. Vicente Décima-Villa , 100. I). Pedro de Haro, 50. D. Bernardo José Roca, 20i&gt;. D. José Amonio Roca* 50. D Pedro Roca, 50. D. Gabriel Morillo, 25. D. Francisco Ufarte, 10.— Los sargentos , cabos y dragones voluntarios de dicho c…</t>
  </si>
  <si>
    <t>Roca, José</t>
  </si>
  <si>
    <t>José Roca</t>
  </si>
  <si>
    <t>de D. Valentín Soberon , y 50 de Mé­ xico con el teniente D Mariano Lugo y 2 obuses con los artilleros corres| ondier 1/s , mandados por el teniente D. José Roca , con ei objeto de entrar en Temmoingo en busca de rebeldes. En el trán­ sito no"hallc quien le diese razón del estado del pueblo y así des­ tacó una partida que le …</t>
  </si>
  <si>
    <t>Roca, José Amonio</t>
  </si>
  <si>
    <t>José Amonio Roca</t>
  </si>
  <si>
    <t>5. Cadete D. Manuel de Aviles, 12. — Aventureros del mismo cu rpo. D. Vicente Décima-Villa , 100. I). Pedro de Haro, 50. D. Bernardo José Roca, 20i&gt;. D. José Amonio Roca* 50. D Pedro Roca, 50. D. Gabriel Morillo, 25. D. Francisco Ufarte, 10.— Los sargentos , cabos y dragones voluntarios de dicho cuerpo , 1023. El pro­ curador…</t>
  </si>
  <si>
    <t>Roca, Josef Antonio</t>
  </si>
  <si>
    <t>Josef Antonio Roca</t>
  </si>
  <si>
    <t>a D. Antonio Sola maniobró sagazmente con la reserva, é impuso mucho á los enemigos: el gefe de estado mayor interino el segundo mayor de Ciudad-Real D. Josef Antonio Roca, y mis ayudantes IX Manuel Oliver y D. Mariano Riega han cumplido exáctamente sus car­ gos á la vista del enemigo, y en la remisión de las órdenes que les …</t>
  </si>
  <si>
    <t>Roca, Pedro</t>
  </si>
  <si>
    <t>Pedro Roca</t>
  </si>
  <si>
    <t>tiene que Tenientes generales. estarse dentro de la ciudad sin poder hacer nada. ( The Courrier.) El dnque de Castro- Piñano , D. Salvador Pereliós, D. Pedro Roca , D. Francisco Rovira. IMPERIO FRANCES. Mariscales de campo. París ±4 de enero. Él conde Artnildez de Toledo. Brigadieres. Estado aproximado de los principales efec…</t>
  </si>
  <si>
    <t>iles, 12. — Aventureros del mismo cu rpo. D. Vicente Décima-Villa , 100. I). Pedro de Haro, 50. D. Bernardo José Roca, 20i&gt;. D. José Amonio Roca* 50. D Pedro Roca, 50. D. Gabriel Morillo, 25. D. Francisco Ufarte, 10.— Los sargentos , cabos y dragones voluntarios de dicho cuerpo , 1023. El pro­ curador D. Manuel de Aguirre,(i.…</t>
  </si>
  <si>
    <t>Roch</t>
  </si>
  <si>
    <t>. El dia 6 se hallaba aun O-Donell en Hellin con toda la infantería, el general ingles Maitland con sus tropas en las inmediaciones de Alicante, y el general Roch en Alcoy con la reserva de aquel exército. Los franceses estaban en Alcira,y sus avanzadas llegaban á S. Felipe. Al flanco derecho de estos habia 500 caballos del t…</t>
  </si>
  <si>
    <t>y patriotismo, y daban á las fiestas preparadas con este plausible motivo'todo el carácter del heroísmo y la gran­ deza de un pueblo decidido. El Sr. general Roch concurrió á solemnizar es­ ta función; y no es:dado el formar una idea justa de los sentimientos patrió­ ticos dé aquella benemérita población, bien manifestados y …</t>
  </si>
  <si>
    <t>Roch, Diego</t>
  </si>
  <si>
    <t>Diego Roch</t>
  </si>
  <si>
    <t>meyda , y D. Manuel Torrado; los coroneles D. Francisco Ramcnet, D. Be­ nito Losada, O. José Cedillo, el marques de San Esteban, D. Mi­ guel Cándamo, D. Diego Roch, D. Teobaldo Rodríguez y D. José Armisen; el capitán de navio D. Manuel Delgado ; los tenientes-co­ roneles D. Francisco Serrállach, D. Luis Genaro La-Rocque, D. J…</t>
  </si>
  <si>
    <t>Roche</t>
  </si>
  <si>
    <t>completamente é Salamanca, al paso que yo podía concentrar el exército en cualquier punto en corto tiempo. ,,Envié la brigada, de dragones del mayor general Roche al otro lado del Tórmes para que observase les pasos de aquel rio. Ei ene­ migo lo pasó en Huerta cerno á las 2 de la mañana del 24 en con­ siderable numeró de' cab…</t>
  </si>
  <si>
    <t>e recibido una carta del general Mhitland, con fecha del 17 del corriente, en que me dice había marchado de Alicante, y se ha­ laba en Montfbrte : eí general Roche estaba en Alccy, y ei general 0*Doi¿neÜ en Yeela. "Lar tropas enemigas de Valladolid hicieron retroceder, e! 18, en Tudela los piquetes del mayor general Anson; si…</t>
  </si>
  <si>
    <t>Roche, Juan Bautista</t>
  </si>
  <si>
    <t>Juan Bautista Roche</t>
  </si>
  <si>
    <t>Domingo Pallete, se sostuvieron con la mayor serenidad, y rescataron á su comandante del medio de las bayonetas enemigas. El teniente de Numantinos, D. Juan Bautista Roche, ingeniero de la división, colocó las compañías en los puntos mas</t>
  </si>
  <si>
    <t>Rocjuet</t>
  </si>
  <si>
    <t>mbre. Se mantiene aquí un batallón de la guardia imperial y toda la ar­ tillería de la misma, sin que se hable de partir. Ayer salió para Bur­ gos el general Rocjuet, gobernador que e*a interino del sexto go­ bierno : le sucede en el mando el general de división Van-dor-Musen. El 12 el conde Dorsenne estaba en Villafranca de …</t>
  </si>
  <si>
    <t>Rock</t>
  </si>
  <si>
    <t>que hicimos alto. ,,Al rayar el dia seguimos el alcance, y lo continuamos toda la mañana con las mismas tropas y las brigadas de caballería del mayor general Rock y del mayor general Anson, que se reunieron durante la noche; y habiendo pasado el Tórmes, alcanzamos la retaguardia enemiga de infantería y caballería cerca de la …</t>
  </si>
  <si>
    <t>193</t>
  </si>
  <si>
    <t>ocedió sin haber podido lograr su designio. Se han tomado las disposiciones convenientes para en el case de que trate de repetir estas tentativas. El general Rock se ha replegado con. su división á las líneas desde el avanzado punto de Xixona. Los enemigos se han retirado de Alcoy , Concentayna y otro» pueblos, y la retaguard…</t>
  </si>
  <si>
    <t>Rodés, Antonio</t>
  </si>
  <si>
    <t>Antonio Rodés</t>
  </si>
  <si>
    <t>e persi­ guió hasta el Coil de Alferga. Me dice Gay haberse distinguido en esta ocasión el capitán D. José Miraües y el teniente de Leales Manresanos D. Antonio Rodés que mandaron las guerrillas : añadiendo que su pérdida consistió en 5 muertos y 8 heridos, y la del enemigo, en 11 muertos, entre estos un renegado español de l…</t>
  </si>
  <si>
    <t>Rodgcrs</t>
  </si>
  <si>
    <t>á revocar Ls órdenes de encuentro que 'tuvo uno de ellos con la fragata su consejo, y que nosotros nos veríamos obligados americana , que mandaba el capitán Rodgcrs : en­ ¿ abolir las restricciones, que hemos puesto á í u cuentro á que dio motivo un cañonazo disparado comercio con los Estados-Unidos. por el buque ingles, cuyo…</t>
  </si>
  <si>
    <t>Rodgers</t>
  </si>
  <si>
    <t>a­ mente vertida por mantener el honor del pabellón americano. ,,Se ponen á vuestra vista las diligencias practicadas por el tri­ bunal pedido por el capitán Rodgers, como también la correspon­ dencia relativa á este acontecimiento entre el secretario de estado y el ministro de S. M. B. A estos documentos acompañan las dife­ …</t>
  </si>
  <si>
    <t>.1 saber, que aunque el vos una denegación formal, relativamente i las gobierno de los Estados-Unidos no haya dado or­ órdenes que se hablan dado al capitán Rodgers, y den ninguna dirigida á recobrar todos los súbdi­ pudieran , de qualquier modo que fuese , autorizar tos suyos que se encuentren á bordo de los bu­ á este coman…</t>
  </si>
  <si>
    <t>hallaban á bordo de la corbeta de S. M., las quates todas prueban que quien principió el Estos dias se ha hablado aquí mucho sobre va­ combate fue el capitán Rodgers. lias mudanzas que deben de hacerse en nuestra</t>
  </si>
  <si>
    <t>Rodrí, Andrés</t>
  </si>
  <si>
    <t>Andrés Rodrí</t>
  </si>
  <si>
    <t>D. Basilio Aguado, D. Tomas Aparicio, Don Fernando Villanueva, D. Antonio Ansaldo , D. Sebastian de Moya, D. Antonio María Portaz, D. Antonio Moreno, D. Andrés Rodrí­ guez, D. José Martínez, D. José Muñoz Silleros, D. Agustín Moli­ na, IX Asensio Cabrera y González., D. C irios María Godinez, Don Rafael Piñuela, y á los subte…</t>
  </si>
  <si>
    <t>Rodrigne, Antonio</t>
  </si>
  <si>
    <t>Antonio Rodrigne</t>
  </si>
  <si>
    <t>de de barrio . . Alcalde, de, barrio D. Feliz Alvarez de Alvarez. D. Francisco Victoriano del Corral. Diputado eclesiástico , Diputadó 'e'clisiástito D. Antonio Rodrigne*. Tpsél'Ramirez.5 Diputados seculares ^pñúiádos seculares D. Joan Rodríguez. -i ígbáció.Muñoz. Jgpado'Xopez Corona* . . D. Alfonso Gastes!. D. Manuel Gayoso.…</t>
  </si>
  <si>
    <t>Rodrigo, J'taquín</t>
  </si>
  <si>
    <t>J'taquín Rodrigo</t>
  </si>
  <si>
    <t>diputados seculares Diputado eclesiástico D. M’gnel Cabrero. D. Luis del Río y del Barrio. D. J'taquín Rodrigo. Diputados seculares D1. Jusef Sebastian. D. Juan Amonio Perez. Secretario D. Pedro de las Muelas. D. Fermín Gutiérrez. D. Juan Ximenez. ¡ Secretario BARRIO DEL CARMEN CALZADO. D. Manuel Ao</t>
  </si>
  <si>
    <t>Rodrigue, Cayetano</t>
  </si>
  <si>
    <t>Cayetano Rodrigue</t>
  </si>
  <si>
    <t>teniente ,á teniente de tic uno de los rtferido* batallones. Esta división la segunda compañía. ¿ no perdió banderas , y sur dispersos son unos 300, D. Cayetano Rodrigue*, sargento primero , í con los que se practicará lo mismo que con los dis­ subteniente de ia primera compañía. art. v. Nuestro ministro de ia Guerra que­ per…</t>
  </si>
  <si>
    <t>Rodriguen, Rafael</t>
  </si>
  <si>
    <t>Rafael Rodriguen</t>
  </si>
  <si>
    <t>Idem á Doña Rafael Rodriguen, viuda de D. Buenaventura de Ventura, oficial que fue de la Secretaría de. Hacienda , por su pensión ...... . ...... ................ ......... 1095 30 Idem por portes de sal conducida á es</t>
  </si>
  <si>
    <t>Rodríguez</t>
  </si>
  <si>
    <t>os. Mucho dió que hacer el reo á mis soldados, por causa del sitio, para sacarle de él y conducirle al parage donde se mantenía parte de la tropa del alférez Rodríguez. JE1 alférez Irureta perseguía entre tanto á unos 4 que salieron hu­ yendo como para Tecacho, y solo alcanzó á uno, que inmediata­ mente pasó por las anuas. Re…</t>
  </si>
  <si>
    <t>Rodríguez, Andrés</t>
  </si>
  <si>
    <t>Andrés Rodríguez</t>
  </si>
  <si>
    <t>D. Basilio Aguado, D. Tomas Aparicio, D, Fernando Villanueva, D. Antonio Ansaldo, D. Sebastian de Moya, D. Antonio Ma­ ría Portaz, D. Antonio Moreno, D. Andrés Rodríguez, D. Josef Martínez, D. Josef Muñoz Silleros, D. Agustín Molina, D. Asensio Cabrera y Gonzá­ lez, D. Carlos María Godinez, D. Rafael Piñuela, y á los subtenie…</t>
  </si>
  <si>
    <t>Rodríguez, Antonio</t>
  </si>
  <si>
    <t>Antonio Rodríguez</t>
  </si>
  <si>
    <t>tadores, de las aclamaciones del pueblo, y en pre­ res de caballería de Salamanca, D. Lúeas Loptz y sencia de la guarnición, que esraba sobre las ar­ D. Antonio Rodríguez , subtenieutes de caballe­ mas, y de los destacamentos de los lugares mas ría delinea. inmediatos , el coronel Cboissy, en nombre del ge­ Por otro decreto d…</t>
  </si>
  <si>
    <t>Rodríguez, Calixto</t>
  </si>
  <si>
    <t>Calixto Rodríguez</t>
  </si>
  <si>
    <t>y tercer exército, á D. Juan Vela, D. Juan Mozas, D. Josef Carrasco, D. Diego Perez, D. León Gordo, Don Josef González Yuste, D. Juan Manuel Calero, D. Calixto Rodríguez, Don Ildefonso Ruiz, D. Agustín Lázaro, D. Juan Burguillos, D. Santiago López Ruiz, D. Pedro Fernandez, D. Josef Muela, D. Josef Mafia XimenezDon Domingo Dra…</t>
  </si>
  <si>
    <t>Rodríguez, Dionisio</t>
  </si>
  <si>
    <t>Dionisio Rodríguez</t>
  </si>
  <si>
    <t>igic.su de Santo Do­ REINO DE ÑAPOLES. minga de Sííos de la dicha ciudad de Ubeti.- , va­ cante por muerte de D. Siman Rosillo. Ñapóles 4 de enero. Y D Dionisio Rodríguez, piesbítero, ex-fran­ ciscano , el beneficio de ia parroquia de v miago Nos tiene desde ayer en gran sobresalto la suer­ de Andújar, vacante por fallecimien…</t>
  </si>
  <si>
    <t>Rodríguez, Estéban</t>
  </si>
  <si>
    <t>Estéban Rodríguez</t>
  </si>
  <si>
    <t>utados seculares Diputado eclesiástico D. Angel Rorherosa. D. Clemente Antonio Uribarren. D. Francisco de Torre*. Diputados ‘seculares D. Juan López. D. Estéban Rodríguez. Secretario D. Antonio Febrer. L. ' D. Simón Péricibho. D. Francisco Redondo. j Secretario BARRIO DE SANTA ISABEL. D. Francisco Jaracho. T ' Alcalde de barr…</t>
  </si>
  <si>
    <t>Rodríguez, Felipe</t>
  </si>
  <si>
    <t>Felipe Rodríguez</t>
  </si>
  <si>
    <t>a , para el de Villaminaya , vacante por muer­ Ridkulum acri fortius, te de D. Josef Martin PereZ. t El que diga que la obra que escribo es robada» A D. Felipe Rodríguez, cura de la Olmeda de copiada ó traducida , ro merece perdón de Dios.. Cebolla, para el de Yuocos, vacante por muerte El que la gradué de inútil &gt; digo que n…</t>
  </si>
  <si>
    <t>Rodríguez, Fernando</t>
  </si>
  <si>
    <t>Fernando Rodríguez</t>
  </si>
  <si>
    <t>, id............................i...... 22 OO D. F ruando Camacho, id..’...................... 2202 D. Francisco López Quiros , diácono, id... 2 200 D. Fernando Rodríguez , id en Montilla... 2200 D-J uan N ivarro , id,........................................ 2200 D. Antonio Lain, id en Bujalaoce................ z 200 D. Franc…</t>
  </si>
  <si>
    <t>Rodríguez, Francisco</t>
  </si>
  <si>
    <t>Francisco Rodríguez</t>
  </si>
  <si>
    <t>S. Diputado eclesiástico D. Andes Banitez. Alcalde■ dé-barrio Diputados seculares D. Agustín Pascual. ¡ D. Andrés ladeo Perez. Diputado -eclesiástico D. Francisco Rodríguez. D. Manuel de la Torre.. i D. Eugenio Aguado. Dipul ados seculares , y el último secretario Secretario interino, D. Pedro Irig^üen. D. Josef Villar. . &gt; D…</t>
  </si>
  <si>
    <t>Rodríguez, Joan</t>
  </si>
  <si>
    <t>Joan Rodríguez</t>
  </si>
  <si>
    <t>Victoriano del Corral. Diputado eclesiástico , Diputadó 'e'clisiástito D. Antonio Rodrigne*. Tpsél'Ramirez.5 Diputados seculares ^pñúiádos seculares D. Joan Rodríguez. -i ígbáció.Muñoz. Jgpado'Xopez Corona* . . D. Alfonso Gastes!. D. Manuel Gayoso. D. Joaquín' Sojo. ¡ A^attáup Valladares,, 7 rr. . . Secretario Secretario D. M…</t>
  </si>
  <si>
    <t>Rodríguez, JosefRafael</t>
  </si>
  <si>
    <t>JosefRafael Rodríguez</t>
  </si>
  <si>
    <t>......................... . 2200 D. Juan Antonio Serrano, id...................... 2200 D. Francisco Gordillo, id...*........................... 2200 D. JosefRafael Rodríguez, id...................... 2200 D. Manuel Fernandez , residente en Alón— D. Rafael Aledioa , id........................................ 2200 toro........…</t>
  </si>
  <si>
    <t>Rodríguez, Juan</t>
  </si>
  <si>
    <t>Juan Rodríguez</t>
  </si>
  <si>
    <t>...................................... 2200 D. Francisco Xavier de León, id................ 2zoo D. Carlos Torres, id. en Madrid................ 2200 D. Juan Rodríguez, id. en Mancha Real.. 2200 D. Manuel Sevillano, id.-en-Jaén................ 2a00 Ex-ntercenarlos descalzos. D. Josef de Torres , diácono , id............... 32…</t>
  </si>
  <si>
    <t>............ 22.00 D. Mariano González, id................................ 2200 D. Pablo Vega , id................................. ........... 2 2QO D. Juan Rodríguez, id..................................... 2200 D. Juan de la Rosa, id........................ ........... 2200 D. Juan Fernandez, id............................…</t>
  </si>
  <si>
    <t>Rodríguez, Juan Eulogio</t>
  </si>
  <si>
    <t>Juan Eulogio Rodríguez</t>
  </si>
  <si>
    <t>D. Miguel del Rincón,.id............................ 2200 caracejos.................. 22CO D. Fernando Cabrera, id.............................. 2200 D. Juan Eulogio Rodríguez, subdiáconp, D. Martiu Josef López , id......................... 2200 idem...... ............................................. 2200 D. Francisco Ñarerr…</t>
  </si>
  <si>
    <t>Rodríguez, Juan José</t>
  </si>
  <si>
    <t>Juan José Rodríguez</t>
  </si>
  <si>
    <t>izarnotegui á la villa di S. Migúele' Grande con un destacamento de 137 hombres, supo que se dirigía contra el un cuerpo de 1590 rebeldes al mando de D. Juan José Rodríguez, que se llama coronel de los coroneles ; salióles inmediatamente al en­ cuentro, los alcanzó á la distancia de una legua, y habiéndolos ata­ cado, sin dar…</t>
  </si>
  <si>
    <t>Rodríguez, Manuel Antonio</t>
  </si>
  <si>
    <t>Manuel Antonio Rodríguez</t>
  </si>
  <si>
    <t>Diputado eclesiástico D. Gregorio Sánchez. .be'»' . ,-•/ . D. Antonio G-ircía Cano. D. Roque de Lema. ,j\ , , ; ‘ , Diputados seculares Secretario ¡ D. Manuel Antonio Rodríguez. D. Santiago Alvares. D. Juan Tarquis, substituto de alcalde. BARRIO DE MONSERRAfB, 1 Secretario D. Alexandío Moya. &lt;■ f &lt; Alcalde de barrio " D. Nico…</t>
  </si>
  <si>
    <t>Rodríguez, Miguel</t>
  </si>
  <si>
    <t>Miguel Rodríguez</t>
  </si>
  <si>
    <t>José Peña, 13. D. José Dámaso Árgueda, 8. D. Matías pastor, 8. D. Manuel Fuente, 8. D. Isidro Guillen, 8. í). Santiago León , 6. D. Jacinto Ríos , 8. D. Miguel Rodríguez , 8. Don Fernando Urtiaga, 8. D. José Antonio Enriquez , 13. D. Carlos Delgado , 8. B. Juan Piñeiro, 8. D. Felipe Arria, 8. D. Mariano Ay lucrdo, 13. D. Ma­ …</t>
  </si>
  <si>
    <t>Rodríguez, Pedro</t>
  </si>
  <si>
    <t>Pedro Rodríguez</t>
  </si>
  <si>
    <t>.Rafael Serrano ,Id.............. 2200 D. Isidoro Bujalance, residente en Bacna. 2200 D. Josef López, id............. .......................... 2200 D. Pedro Rodríguez , id............................... 2200 D. Joief González, id.................................. 2200 D. Andrés de Villacueva , residente cu AlD. Miguel del R…</t>
  </si>
  <si>
    <t>Rodríguez, Rafael</t>
  </si>
  <si>
    <t>Rafael Rodríguez</t>
  </si>
  <si>
    <t>piden. Mi intento es ú nica raen re apuntar al­ randilla , vacante por muerte de D. Luis Alonso. gunas reflexiones, qne me ha sugerido eftihevo re­ A D. Rafael Rodríguez para el de Pereña, glamento hecho sobre este punto por los g'oberoan-* vacante por fallecimiento de D. Nicolás Ambrosio tes de Cádiz, y hacer ver que la libe…</t>
  </si>
  <si>
    <t>Rodríguez, Silvestre</t>
  </si>
  <si>
    <t>Silvestre Rodríguez</t>
  </si>
  <si>
    <t>z D. José Manuel Muro, 12. Id. D. José Ledesma, 2. Id. D. Jacinto Quesada, 6, Id. D. Francisco Barragan, 6. Id. D. Joté Villalobos, 12. El portaguión D. Silvestre Rodríguez, 25. El cadete. Don José María de las Muñecas, 4. Id. D. Santiago Burga, G. Id. D. Manuel An­ tonio Quiñones , 2. Id. D. José María Quiñones , 4. Los indi…</t>
  </si>
  <si>
    <t>Rodríguez, Simón</t>
  </si>
  <si>
    <t>Simón Rodríguez</t>
  </si>
  <si>
    <t>cazadores de Guadix D. Francisco Cabre­ ra ; del subteniente de dicho cuirpo D. Juan Quijana , y del de la le­ gión ligera de caballería dni Condado D. Simón Rodríguez, que igualmente fueron heridos. El segundo ayudante de estado mayor D. Manuel O bregón tuvo herido su caballo. „E1 brigadier general Scherret con ias tropas in…</t>
  </si>
  <si>
    <t>Rodt</t>
  </si>
  <si>
    <t>la Soiza , y ha sido nombrado presi­ dente el abogado Mulinen, y secretarios el profe­ El marques dé Lansdówne dixo'qae en el dis­ sor Schenell y el Capitán Rodt. curso de este mes presentaría á la cámara una pro­ .Esta academia se propone publicar cada tri­ puesta relativa á las órdenes del consejo, las qua- mestre un quader…</t>
  </si>
  <si>
    <t>Roes</t>
  </si>
  <si>
    <t>general Carrol, que se embarca­ ron á bordo del Venerable, y se ofrecieron á servir en cuanto se les creyese fufes. Se inserta también el oficio del general Roes , comandante de las tropas inglesas de Cartagena , en que con fecha de 2% de mayo da en .uta de la expedí-ion contra Almena que lubia concertado con el cania - Adsm …</t>
  </si>
  <si>
    <t>Roeslú</t>
  </si>
  <si>
    <t>go- del funciones. L •' gran consumo que se hace de toda cspedie de ar­ WURTEMBERG. tículos. HUNGRIA. Mergentheim 14 de trtayo. Presburga de mayo. El profesor Roeslú’.g, boticario de Utma , ati­ ba de cocfi mar con nuevos experimentos el des­ Varios batallones de los regimientes fronteri­ cubrimiento dé sacar azúcar y almidón…</t>
  </si>
  <si>
    <t>Roia, Pedro</t>
  </si>
  <si>
    <t>Pedro Roia</t>
  </si>
  <si>
    <t>tanes de fusileros á D. Francisco Guerrero, D. Juan Mier, D. Juan Blanco; D. Francisco Morales, I). Juan Bautista PeÜerín, D. Benigno García Cdderon, D. Pedro Roia, B. Juan Moreno, O. Francisco Hevia , D. Antonio Gayarre y D. Francisco Martínez; á ayudantes á D. Luis Daunoy, Don ■Cirilo de Mor&amp;nt y D. Francisco Perez Maro; á …</t>
  </si>
  <si>
    <t>Roiz, Josef Gil</t>
  </si>
  <si>
    <t>Josef Gil Roiz</t>
  </si>
  <si>
    <t>D. Alexandío Moya. &lt;■ f &lt; Alcalde de barrio " D. Nicolás Ptrez. .. BARRIO DEL ROSARIO. Diputado eclesiástico ’ Alcalde de barrio p. Vicente Escolano. D. Josef Gil Roiz. ' Diputados seculares Diputado eclesiástico D. Tomas Puertoias. D. Eustaquio del Poyo. D. Francisco Mateo Saenz. Diputados seculares Secretario D. Josef Mana …</t>
  </si>
  <si>
    <t>Roklarv, Tiburcio</t>
  </si>
  <si>
    <t>Tiburcio Roklarv</t>
  </si>
  <si>
    <t>no Bustarnanie , 41 y 5. D. Ignacio Talamantes yBaeza,41y5. D. Gregorio Laiseca , 41 y 5. — Contadores de moneém. D. Pedro Vaivevde , 45 y 6 y medio. D. Tiburcio Roklarv, 41 y 5. D. Ma­ tías Alvarez , 41 y 5. —Escribanos. D. Amonio Somoza, 53 y 2 y medio. D. Antonio Martínez ,41 y 5. — Merinos y porteros. D. Manuel Otaroza, 4…</t>
  </si>
  <si>
    <t>Rolando, Redro</t>
  </si>
  <si>
    <t>Redro Rolando</t>
  </si>
  <si>
    <t>Ostolaza, regente y vice-rector honorario , 25. D. Francisco Pas­ tor , capellán y maestro , 12. D. Pedro Amezaga, id., 12. D. José Beltran, id., 6. D. Redro Rolando., id* 6. D. José Navarrete , id. , 6. D. José Tacaño, id., 12. D. Felipe Cárdenas, 4 y 2- rs?. D. Miguel Mascare, S. I). Manuel Tejada, '8. D. Antonio Amezaga , …</t>
  </si>
  <si>
    <t>Roldan, Alonso</t>
  </si>
  <si>
    <t>Alonso Roldan</t>
  </si>
  <si>
    <t>esma, vacante por fallecimiento de D. Jaiba Gómez para otro beneficio en encomiéndá-dé’Tá García. parroquia de Villatobas, én el ¿arzobispado".^To­ A D. Alonso Roldan para el de la villa de Vi- ledo, vacante por muerte de D. Tomafe MerltidJ’1 ‘ tigudino, vacante por xnuerte de D. Lorenzo Y al: ex-gerónimo D. Josél- Burtlfo pa…</t>
  </si>
  <si>
    <t>Roldan, Francisco de Paula</t>
  </si>
  <si>
    <t>Francisco de Paula Roldan</t>
  </si>
  <si>
    <t>compañía veterana de infantería de Maynas, el empleo de capitán á D. Manuel Fernandez Á^varez ; tenen­ cia á D. Juan Manuel Ogararte, y subtenencia á D Francisco de Paula Roldan. En el regimiento de infantería real de Lima, subte­ nencia de bandera á D. José Veiazquez. Ea el mencionado batallón veterano de Chiloe, compañías d…</t>
  </si>
  <si>
    <t>Roldan, Josef</t>
  </si>
  <si>
    <t>Josef Roldan</t>
  </si>
  <si>
    <t>padecido todo género de calamidades. id. en Baeza.............................. ................. 2200 Los motivos que tuvieron las comunidades para D. Josef Roldan, id. en Linares.................. 2200 sublevarse contra Carlos v fueron sin duda mui D. Vicente de la Cruz, id. eo Mario*...... 2200 plausibles; pero el modo fue…</t>
  </si>
  <si>
    <t>Roldan, Juan</t>
  </si>
  <si>
    <t>Juan Roldan</t>
  </si>
  <si>
    <t>rios descalzos. Ex-dominicos. D. Vicente Gutiérrez, residente eD Cién- D. Antonio de Cárdenas, residente en Jaén. 2200 poznelos................. 2200 D. Juan Roldan, id...... ................................ 2200 D. Ignacio María Bcteta, id. en Alcalá..... 2200 D. J uan de Dios Perez de Ja Cerda, id.... 2200 D. Diego Ventara …</t>
  </si>
  <si>
    <t>Roldan, Ramón Perez</t>
  </si>
  <si>
    <t>Ramón Perez Roldan</t>
  </si>
  <si>
    <t>...... 2200 Revilla........... .................................................. 2 200 F&gt;. Juan Zurro, id. en id............................... 2200 D. Ramón Perez Roldan, id. de Cartes... 2200 D. Santiago Anaya , diácono, id. en id...... 2200 D-Josef Al varez , id. de Hinojosa , pro- ’ D. Pedro G reí» González,.id. en id...…</t>
  </si>
  <si>
    <t>Román, Manuel Nuñez</t>
  </si>
  <si>
    <t>Manuel Nuñez Román</t>
  </si>
  <si>
    <t>a jrbólStfra' á todos. ■ En el obispado de Palenda. En el trato común de la vida decimos regular­ mente ,i el que promete no suda , y así veamos sí A D. Manuel Nuñez Román para-el curato de el prometedor puede cumplir lo que ofrece }‘pero la Mudarra, vacante por fallecimiento' de D. Gre­ en las revoluciones se nos escapan has…</t>
  </si>
  <si>
    <t>Romanillo, Antonio Rtcz</t>
  </si>
  <si>
    <t>Antonio Rtcz Romanillo</t>
  </si>
  <si>
    <t>mpo, brigadier de infantería y coronel efectivo. Teniendo en consideración la Regencia del reyno la incompati­ bilidad de la plaza que obtiene el Sr. D. Antonio Rtcz Romanillo» en ei consejo de Estado, con el encargo de las secretarías de Estado y del despacho de hacienda de España, é ludias, que S. A. íe ha­ bía confiado int…</t>
  </si>
  <si>
    <t>Romanzoff</t>
  </si>
  <si>
    <t>ovincia, cuando el emperador entró á visitarle. Después de una larga conferencia que tuvo S. M. con el príncipe, le presentó al canciller dei imperio conde Romanzoff, al mariscal de la «orte conde Tolstoi, al ex-ministro de guerra Arakscheifte, y al ge­ neral barón Armfeldt: en seguida S. A. R. presentó al emperador los perso…</t>
  </si>
  <si>
    <t>RomanzófFy</t>
  </si>
  <si>
    <t>cia, guando, fue sórprehendrdo por una visita que Je .liizo el Emperador. Después de una-larga conferencia S. M. le presentó al canciller del imperio conde RomanzófFy ot.ros, personages. Luego que.el"Em­ perador salió fue á visitarlo el Príncipe heredero, y de vuelta’de la.visita'&gt; y antes de comer, el general Von-Suchtelen l…</t>
  </si>
  <si>
    <t>Romanzow</t>
  </si>
  <si>
    <t>sos pare­ ce que es no avanzar. Les franceses no tienen todavía fuerzas sufi­ cientes para atacar al exéicito ruso, que está en un pie formidable. Eí ministro Romanzow, de quien se dixo que había muerto en Wiina, tolo ha tenido un amrgo de apoplexía. Murat acompaña á su cuñado Bonararte en esta guerra. Bonaparte estaba el 14 …</t>
  </si>
  <si>
    <t>RomanzoW</t>
  </si>
  <si>
    <t>; y cederán al fin midable : el.príncfpe^Dolgoroucki conquistaba á lar­ esos orgullosos hijos de Neptuno, ó .irána habitar gos pasos la Crimeá ,-y el mariscal RomanzoW habia eu el fondo del Océano coo tos tiburones y las. focas-. EN LA IMPRENTA REAL</t>
  </si>
  <si>
    <t>Romay, Francisco</t>
  </si>
  <si>
    <t>Francisco Romay</t>
  </si>
  <si>
    <t>el regimiento de Castilla, D. José de Toda, tenien­ te de granaderos del de Pontevedra , D. Mariano Peray , teniente del segundo batallón del Rivero, D. Francisco Romay , subteniente uel regimiento de Betanzos , y D. Laureano Sauz, teniente de la extin­ guida compañía de gastadores , incorporada en el mismo batallón de zapado…</t>
  </si>
  <si>
    <t>Rome, Antonio</t>
  </si>
  <si>
    <t>Antonio Rome</t>
  </si>
  <si>
    <t>ros ai teniente D. José Mazon, subtepíente del batallón de voluntarios de Campomayor, D. Jo&amp;é Ignacio de Alava, teniente del regimiento de Si¿üenza y D. Antonio Rome­ ro , teniente del de Jaen. Asimismo ha promovido S. A. á segundo teniente del mismo re­ gimiento de guar nas españolas al alférez D. Bernabé Sánchez. Satisfecha…</t>
  </si>
  <si>
    <t>Romeo, Pablo</t>
  </si>
  <si>
    <t>Pablo Romeo</t>
  </si>
  <si>
    <t>de Requena, comprehendida Antonio Ozamiz, D. Juan Achucarro, D, Josef en la prefectura de Valencia, no ha esperado ni Colmenares , D. Josef Mendía , D. Pablo Romeo el exemplo ni las órdenes de aqnella capital para y D. At.masio Romeo; y se han conducido mui nombrarnos por sus diputados cerca de V. M. , bien los caballeros gef…</t>
  </si>
  <si>
    <t>Romere, Diego</t>
  </si>
  <si>
    <t>Diego Romere</t>
  </si>
  <si>
    <t>o Ximenez. Diputado eclesiástica - ’ ! : Diputado eclesiástico D. Joaquín Pascual. D. Juan Frar cisco Molina. Diputados seculares Diputados seculares D. Diego Romere. ; D. Ignacio García. • ;D. Simón Sainz de Baranda. rD. Francisco ¿Villegas..'- ' Dí Jacinto García de la Parra. D. Manuel Ramos. : ■ Secretario Secretario D. Mi…</t>
  </si>
  <si>
    <t>Romero, Antonia</t>
  </si>
  <si>
    <t>Antonia Romero</t>
  </si>
  <si>
    <t>............... 2200 D. Dámaso Navajas , id..................................... 2200 P- Francisco Serrano , id................................. a206 D. Antonia Romero, id................................... 2200 P. Francisco Suarez, id.. ......... 2200 P. Josef Qu imga, id........................................... 2 200 P. A…</t>
  </si>
  <si>
    <t>Romero, Josef</t>
  </si>
  <si>
    <t>Josef Romero</t>
  </si>
  <si>
    <t>...... ....... ........ 2290 .D.. Antonio Perez, id. , id............................. 1100 D. Joaquín de Torres, id............................ 2200 D. Josef Romero, id. residente en Lucena. 1100 D- Manuel de Burgos, residente en Priego. 2200 D. Rafael Vdlalba, id., id.,.......................... 1100 D. Juan de Aguitar, id.…</t>
  </si>
  <si>
    <t>Romero, Lúeas</t>
  </si>
  <si>
    <t>Lúeas Romero</t>
  </si>
  <si>
    <t>Manuel Aguijar y Leiva , id.......... aaejo D. Manuel Muñoz, id. en Torrecampo...... 2200 D. Bernardo Guadix, id.......................... ;.... 2200 D. Lúeas Romero¡ id...,................................... 2200 D. Josef Cabello y Ruiz, id........... ............. 2290 D. PeJto Rubio, residente en Ovejo........... 2200 D.-J…</t>
  </si>
  <si>
    <t>Romero, Manuel</t>
  </si>
  <si>
    <t>Manuel Romero</t>
  </si>
  <si>
    <t>lazo de D- Pedro Cárdenas. Capitanes. ART. x. Nuestros ministros de lo Interior y D. Alfonso Carrillo. de la Guerra quedan encargados de la execneion D. Manuel Romero. de este decreto.s: Firmado = YO EL RtT = Por D. Joaquín Gosdejuela. S. M., el ministro secretario de Estado = Firma­ D. Juan Crespo de Leoa, do = Mariano Luis …</t>
  </si>
  <si>
    <t>Romero, Nicolás</t>
  </si>
  <si>
    <t>Nicolás Romero</t>
  </si>
  <si>
    <t>l Quodros , 40. D. Ignacio Silva, 40. D. José Al gal ovo , 40. D. Juan Punce, 40. D. Ma­ riano Diaz , 40. Carrera de Valles. Administrador de Chancay D. Nicolás Romero , 12. Id. de Huaura D. Tomas Fernandez , 25. Id. de Barranca Don Gregorio Lobaton , 200. Id. de Pativilca D. Toribio Herrera, 17. id. de Cha­ cas D. Antonio Na…</t>
  </si>
  <si>
    <t>Ronceros, Joaquín</t>
  </si>
  <si>
    <t>Joaquín Ronceros</t>
  </si>
  <si>
    <t>Rosales , 4 rs. Pedro Bertiz , 1. — Pueblo de ¡a Par* ranea. El teniente de milicias D. Atanasio Reyes, 17. D. Manuel Lobaton, 10. D. José Reges, 13. D. Joaquín Ronceros , 6. D. Manuel Mansilla , 4. D. Mariano Ronceros , 4. D, Fermín Dávila, 1. D. José Reyes Lobaton y su hermano D. Calixto , 25. D. Esteban García , 6. María T…</t>
  </si>
  <si>
    <t>Ronceros, Mariano</t>
  </si>
  <si>
    <t>Mariano Ronceros</t>
  </si>
  <si>
    <t>Par* ranea. El teniente de milicias D. Atanasio Reyes, 17. D. Manuel Lobaton, 10. D. José Reges, 13. D. Joaquín Ronceros , 6. D. Manuel Mansilla , 4. D. Mariano Ronceros , 4. D, Fermín Dávila, 1. D. José Reyes Lobaton y su hermano D. Calixto , 25. D. Esteban García , 6. María Torres, 4 rs. D. Ber­ nardo Bahamonde , 2. .Teresa…</t>
  </si>
  <si>
    <t>Ronda, Elias</t>
  </si>
  <si>
    <t>Elias Ronda</t>
  </si>
  <si>
    <t>de Villaverde á Carabanchel de Capitanes. abaxo,y es la penúltima antes de llegar al camino To­ ledano, y al norte linda con la Gavia por donde basan D. Elias Ronda. las aguas del puente cegado, de caber ocho fanegas y D. Juan Serra. 26 estadales, á 700 rs. cada fanega. Otra en dicho si­ D. Gabriel Diaz Palacios. tio de Garci…</t>
  </si>
  <si>
    <t>Ronyer, Apolinar</t>
  </si>
  <si>
    <t>Apolinar Ronyer</t>
  </si>
  <si>
    <t>. Isidro Agosrin de Herrera.............. 6034 17 yer.................. ........................-........ 43 200 D. Francisco Villalba , como niirido D. Apolinar Ronyer............................. . .21600 de Doña Nicolasa Díaz y‘Sta. Ana.. 10800 Doña María Alexa Cerrageríade Her­ D. Luis Blizitde........................ 45Q…</t>
  </si>
  <si>
    <t>Roque</t>
  </si>
  <si>
    <t>Moyua y Mazar re do (D. Roque) , presidente del Silvestre (D. Vicente), médico comultor del excrtribunal criminal de GuadaUxara. cito. Monasterio Díaz ( Ó. Leandro ) f presbítero, ex- St. Priest (D. Agustín), comandante</t>
  </si>
  <si>
    <t>Roque, León de SaSan</t>
  </si>
  <si>
    <t>León de SaSan Roque</t>
  </si>
  <si>
    <t>l capitán Pranak elogia sobremanera la con­ ducta del capitán Gayo, comandante de los caza­ AVISO. dores de montaña. En virtud de providencia del Sr. D. León de SaSan Roque. Ballesteros se ha visto otra vez en gasta , juez de primera instancia en esta vil la, y por ia la necesidad de ponerse baxo ia protección de las escriban…</t>
  </si>
  <si>
    <t>Rornauiilos, Antonio Ranz</t>
  </si>
  <si>
    <t>Antonio Ranz Rornauiilos</t>
  </si>
  <si>
    <t>e de la audiencia de Caracas; á D. Justo Ma­ ría Ibar-Navarro , d'l consejo de Castilla ; á D- José Aycinena , co­ ronel de milicias de Goatemala ; á D. Antonio Ranz Rornauiilos, de­ cano del consejo de hacienda; á B. Francisco Requería, mariscal</t>
  </si>
  <si>
    <t>Ros, Loreczj</t>
  </si>
  <si>
    <t>Loreczj Ros</t>
  </si>
  <si>
    <t>clarín alto y marcha, y sufriendo las balas de la infantería enemiga. „Esta acción costó algunos muertos, entre ellos el ayudante del tercer batallón D. Loreczj Ros, y 34 heridos; pero el barón Ar­ quien recibió un balazo en una rodilla; su segundo murió al día in­ mediato en el pueblo de Armañanzas, y cuenta en su columna 3ó…</t>
  </si>
  <si>
    <t>Ros, Teodoro</t>
  </si>
  <si>
    <t>Teodoro Ros</t>
  </si>
  <si>
    <t>s he abandonado mis dos ca­ sas de Moskow con adornos de valor de medio millón de rublos; aqui nc» hallareis masque cenizas. Voronow 29 de setiembre.=Conde Teodoro Ros­ topchin. T El palacio de Kurakin es uno de los que se han salvado del fuego: el general conde Nansouty está alojado en él. Conseguimos con gran dificultad sac…</t>
  </si>
  <si>
    <t>presentado por el señor de rublos; aqui no hallareis masque cenizas. Vo- general Foy, quien solicitó á so favor la condeco­ ronow 29 de setiembre. = Conde Teodoro Ros­ ración de la Orden Real de España, premio á que topchin.” se habia hecho acreedor en varias ocasiones: su bi­ " El palacio de Kurakin es uno de los que se han …</t>
  </si>
  <si>
    <t>Rosa, Nicolás BarDoña</t>
  </si>
  <si>
    <t>Nicolás BarDoña Rosa</t>
  </si>
  <si>
    <t>O su apoderad£jL)l'Juan deJBelaodía. 80000 D. Simón García Puerta, por medio D. Tomas Cotop................. .................. 43650 de su apoderado D. Nicolás BarDoña Rosa de'Stmoo Vpontero, por santi..................................................... 2214 mano de *ú apoderado .D. Fran­ D. Josef Gonzalo Ruiz de Celada, ’•…</t>
  </si>
  <si>
    <t>Rosado, Antonio</t>
  </si>
  <si>
    <t>Antonio Rosado</t>
  </si>
  <si>
    <t>. Luis Muñoz?, D. Vicente Ortiz, D. Manuel Benito, D. Pe­ dro Latorre, D. Melchor Buba, D. Francisco Alvarez , D. Luis Angel García, O. Pedio Toruno, D Antonio Rosado, D. Ildefon­ so Sierra, D Vicente Herrera, D. José C.uóps, D. Manuel L no, D. Pedro Rueda, D. Santiago B-dhmia , O. José Clemente, D. Jo­ sé Me-reno Muñoz, D. A…</t>
  </si>
  <si>
    <t>Rosaroll, Andrés</t>
  </si>
  <si>
    <t>Andrés Rosaroll</t>
  </si>
  <si>
    <t>nviaron á Sici­ lia desde la Calabria asesinos para matar a los que pudiesen des­ cullir los nombres de los principales autores de ella. K! capi­ tán D. Andrés Rosaroll, que taino por su graduación , como por la larga correspondencia que mantuvo con el enemigo, hacia el principal papel en esta trama, fué condenad© el 10 de di…</t>
  </si>
  <si>
    <t>Rosen</t>
  </si>
  <si>
    <t>recibido pliegos del almirante Hope acom­ pañados de dos boletines publicados en Petersburgo el 9 y 11 de Noviembre , y del extracto de una carta del conde Rosen , fecha en Smolensko á 19 de Noviembre, El primer boletín contiene el extracto de un parte del general Witígenstein de 31 de Octubre , refiriendo que la perdida del …</t>
  </si>
  <si>
    <t>Rosillo, Siman</t>
  </si>
  <si>
    <t>Siman Rosillo</t>
  </si>
  <si>
    <t>ercenario descalzo, el beneficio de ia. igic.su de Santo Do­ REINO DE ÑAPOLES. minga de Sííos de la dicha ciudad de Ubeti.- , va­ cante por muerte de D. Siman Rosillo. Ñapóles 4 de enero. Y D Dionisio Rodríguez, piesbítero, ex-fran­ ciscano , el beneficio de ia parroquia de v miago Nos tiene desde ayer en gran sobresalto la s…</t>
  </si>
  <si>
    <t>Rosinski</t>
  </si>
  <si>
    <t>1169</t>
  </si>
  <si>
    <t>Las tropas saxonas distaban poco de las austríacas. El Si) to-&gt; iparon á Xunjsk , y se restableció da comunicación con el cuerpo polaco que manda el general Rosinski; é igualmente coa la Galliíziá oriental por Sokol. EL cuerpo auxiliar austríaco ha sufrido con.mucha..resignación</t>
  </si>
  <si>
    <t>Rosnieke</t>
  </si>
  <si>
    <t>o á muchos al­ macenes ; pero se han salvado algunos. „ El dia io el general Latour-Maubourg envió la división de’caballería li­ gera, mandada por el general Rosnieke, hacia Mir; y habiendo encontrado ú corta distancia de la población la retaguardia del enemigo, se trabó una ac­ ción bastante viva, en la qual la división pola…</t>
  </si>
  <si>
    <t>Roso, Pedro</t>
  </si>
  <si>
    <t>Pedro Roso</t>
  </si>
  <si>
    <t>646 las ocurrencias que se ofreciesen en la acción. L os cadetes D. Fran­ cisco Monserrate, D. Pedro Roso, y el particular D. Tomas Heres, que baxaron conmigo á las fortalezas , se embarcaren á solicitud suya , y se encargaron de atender á las señales, cuyo encargo des­ empeñaron con acierto, p</t>
  </si>
  <si>
    <t>Rospilloso, Juan Antonio</t>
  </si>
  <si>
    <t>Juan Antonio Rospilloso</t>
  </si>
  <si>
    <t>que, 36. D. Juan Perez Muente , capitán del bergantín S. isidro,el contramaestre y el guardián , 8. El res­ to de la tripulación de dicho buque , 10. D. Juan Antonio Rospilloso, escri­ bano de la fragata Margarita , su contramaestre y tripulación, 15 con 4. Don Pablo Parera, capitán de la fragata Cárnien Nícolasa , 17. Su mae…</t>
  </si>
  <si>
    <t>Rostap</t>
  </si>
  <si>
    <t>sus cureñas. Rey naba en la ciudad una total anarquía, corriendo por los diferentes barrios de la ciudad algunos locos ó beodos para incendiarlos. El gobernador Rostap; hin fizo salir de la ciudad todos los mercaderes y pudientes, que hubieran contribuido á restablecer el orden. Mai de 400 fran­ ceses y alemanes estaban preso…</t>
  </si>
  <si>
    <t>Rostapchin</t>
  </si>
  <si>
    <t>d varias redur tos , que abandonó. La ciudad de Moskow es tan grande como París, y sumamente rica , con palacios de todos lo*- nobles del imperio. El gobernador Rostapchin determi­ nó arruinarla quando la vio abandonada por el exército ruso. Tenia arma­ dos 3® malhechores, que sacó de las prisiones, y distribuyó armas á ó® ho…</t>
  </si>
  <si>
    <t>Rostopchin</t>
  </si>
  <si>
    <t>6 se levantó un viento Tuerte. Trescientos o quatrocientos ban­ didos incendiáronla ciudad por 500 lugares diferentes á un mismo tiempo por orden del gobernador Rostopchin. Los cinco sextos de las casas son fa­ bricadas de madera; el fuego se extendió con una r?q&gt;idez prodigiosa: era un océano de llamas. Las iglesias, de ias^…</t>
  </si>
  <si>
    <t>cos meses para jubilarse, rís , y sumamente rica, con palacios de todos los que es en aquella universidad á los jo años de en­ nobles del imperio.'El gobernador Rostopchin de­ señanza. Todos los paises de Alemania, desde el terminó arruinarla quando la vio abandonada por lago de Ginebra hasta el de Ladoga, y desde el el exérc…</t>
  </si>
  <si>
    <t>os incendiaron la ciu­ en ellas el suntuoso palacio de Catalina nuevamen­ dad por ;oo lugares diferentes á un mismo tiempo te alhajado. por orden del gobernador Rostopchin. Los cinco Empleado Rostopchin en sacar de la ciudad las sextos de las casas son fabricadas de madera : el máquinas de apagar incendios, dexó 60© fusiles, …</t>
  </si>
  <si>
    <t>máquinas incendiarias: Que todos los gastos ocasionados en la construcción del globo $ de las máquinas han sido pagados por el gobierno ruso: Que el conde Rostopchin , gobernador militar de Moscow, per­ suadido después de la batalla de Moscwa que los franceses no tarda­ rían en llegar, se resolvió á poner en execucion el plan…</t>
  </si>
  <si>
    <t>Rotalde, Miguel</t>
  </si>
  <si>
    <t>Miguel Rotalde</t>
  </si>
  <si>
    <t>Julián Mendez , 2 pesos fuertes. D. José Muñoz Rubio , 2. D. Vi­ cente Gago , 2. D. Adrián Sta. Cruz , capellán mayor del hospital de San Andrés , 2. D. Miguel Rotalde , id., 2. D. José Saez , 1. D. Manuel Rizo, capellán mavor del hospital de S. Bartolomé , 1. D. Manuel Mira, id., 2. IX F ornando Mestas , I. D. Gavino Villega…</t>
  </si>
  <si>
    <t>Rothkirch</t>
  </si>
  <si>
    <t>el cesarios , á que acepte los servicios de todos los Señor Andre; el Diario militar, por el teniente voluntarios que se presenten , cuyo número sin coronel Rothkirch; los Archivos de geografía í embargo no podrá exceder de 50© hombres, para historia, por el señor Horrnair; el Colector, el oreanizarkr-, exercitarlos, y tenerl…</t>
  </si>
  <si>
    <t>Rouget</t>
  </si>
  <si>
    <t>y 30 del pasado , obrando bizarra­ mente los tres batallones de Vizcaya y segundo de Alava ; pero ha­ biendo acudido socorros desde Mondraigon con el general Rouget, dispuse dexar ei bloqueo , efectuando á- este pueblo mi retirada, que sostuvieron. con su acreditado valor los granaderos y tiradores de Castilla, mandados por s…</t>
  </si>
  <si>
    <t>Roullosa, Pedro</t>
  </si>
  <si>
    <t>Pedro Roullosa</t>
  </si>
  <si>
    <t>antería de línea de volunta­ rios distinguidos de Cádiz; los de capitanes á D. José Pórtela . Dolí Jaciuto Alvarez del Pazo, D. Ramón Miguel de Soto, D. Pedro Roullosa, D. José García Verdugo, D. Pedro José Pórtela, D Francis­ co Rodríguez, D. Rosendo Lagoa, D* Xavier Perez Címbrelo y D. Manuel Fernandez; los de ayudantes may…</t>
  </si>
  <si>
    <t>Roussel</t>
  </si>
  <si>
    <t>ínea, y el i.° de croatos , se han distinguido mu­ tos ó heridos. La nuestra llega á 200 hombres cho. muertos, 900 heridos, y unos 50 prisioneros. El general Roussel, militar valiente, y que en El Rei de Nápoles hace un elogio particular de dicha jornada se encontró siempre á la cabeza de los los generales Bruyere, Piré y Orn…</t>
  </si>
  <si>
    <t>Rovira</t>
  </si>
  <si>
    <t>mitiHerla. Queriendo pasar por Mieres y CasteJfeilit, se le opuso la división del brigadier Rovira, y en los dias 20, £1 y 22 de enero sostuvo varios encuentros, en que los franceses perdieron mas de 200 hombres muertos ó heridos, contándose entre los pri­ meros 4 oficiales. De resultas,</t>
  </si>
  <si>
    <t>stituía á Barce­ lona con varios vecinos preses. Acción de Auiot de 15 de abril entre las tropas enemigas y las del general M^ans, reunidas á ias dsl brigadier Rovira. La péiMida del enemigo no bxó de 1000 hombres; pero no se logró la empresa de desalojarle de Aulot, y ios nuestros hubieron de retirarse después dé dos horas d…</t>
  </si>
  <si>
    <t>Rovira, Francisco</t>
  </si>
  <si>
    <t>Francisco Rovira</t>
  </si>
  <si>
    <t>ntes generales. estarse dentro de la ciudad sin poder hacer nada. ( The Courrier.) El dnque de Castro- Piñano , D. Salvador Pereliós, D. Pedro Roca , D. Francisco Rovira. IMPERIO FRANCES. Mariscales de campo. París ±4 de enero. Él conde Artnildez de Toledo. Brigadieres. Estado aproximado de los principales efectos de artiller…</t>
  </si>
  <si>
    <t>Rovira, Juan</t>
  </si>
  <si>
    <t>Juan Rovira</t>
  </si>
  <si>
    <t>os fuertes y un par de hebillas de oro con peso de 4 onzas y 4 adarmes , donativo para el exército del Sr. brigadier D. Francisco Rovira á entregar á D. Juan Rovira, registrado por D. Pedro Martí, Argüe y compañía. D. Angel Francisco Neto, natural del reyno de Galicia, lugar de Noya y vecino de Xerez de la Frontera, de edad d…</t>
  </si>
  <si>
    <t>Rovniecki</t>
  </si>
  <si>
    <t>Muerte prusianos, que la ha desempeñado con El 10 envió el general Latour-Maubourg la di­ honor. S.'M. concedió la divisa de la legión de visión del general Rovniecki de caballería ligera so­ Honor á su coníandante, al teniente Raven , á los bre Mir, que se encontró con íá retaguardia ene­ sub-oficiales Werner y Pomereit, y a…</t>
  </si>
  <si>
    <t>Rovtra</t>
  </si>
  <si>
    <t>Martin B¿llm&amp;s, después de algún tiroteo evacuó el pueblo y tomó posición en el puente de L icrca: y los enemigos, noticiosos de los movimientos del brigadier Rovtra y de las disposiciones que tomaba para atacar­ los, se retiraron rápidamente, perseguidos por el batallón de Bru­ mas, con pérdida de algunos muertos y heridos. …</t>
  </si>
  <si>
    <t>RowLy</t>
  </si>
  <si>
    <t>ranzas de que curen á rabos, y de que vuelvan al servicio naval-. La fragata Uremia y el bergantín de guerra Simplón, que huye­ ron del navio Aguila, capitán RowLy , cuando apresó la fragata nombrarla el Corsario, que se conduxo á este puerto, se hallan ac­ tualmente bloqueadas en B'n-bs; y si intentan salir aumentarán sin du…</t>
  </si>
  <si>
    <t>Roxas, Joaquín</t>
  </si>
  <si>
    <t>Joaquín Roxas</t>
  </si>
  <si>
    <t>ntador, 159 con 2 y medio. D. José Cevallos , ministro tesorero interino, 100. D. Alonso Francisco de España, oficial segundo , 41 con 5. Id. tercero D Joaquín Roxas , 20. Milicias de Piura, 105 con 7. Colectado en Truxdlo liasta 22 de marzo de 1809,2903. Colectado por el tribunal real del consu­ lado de los individuos del co…</t>
  </si>
  <si>
    <t>Roxas, Manuel</t>
  </si>
  <si>
    <t>Manuel Roxas</t>
  </si>
  <si>
    <t>D. Claudio Fernandez Prada, hacendado ,de Laran , 1000. Dependientes de dicha hacienda. D. Francisco Carvajal, 25. I). Manuel Chaves y Caravero, 25. D. Manuel Roxas, médico, 25. D. Pedro Chaves , 25. D. Gerónimo N. , 10. José Severino, 10. Individuos de mar. El capitán y tripulación de la fragata Tránsito, 22 y 4. Eí capitán …</t>
  </si>
  <si>
    <t>José Bodelon , 2. D. Manuel Tupayupanqui, 4. IX José Mesa, 2. IX Mariano Mesa, 1. D. José Mirabal, 2. D. Juan Murcies, 4. 1&gt;. Fernando Palomino , 3. D. Manuel Roxas , 2. D. Nicolás Milla, 1. Don Antonio Ortega, T. D. Valentin Hurtado , 2. D. Francisco Perez , 2. D. Ma­ riano Tello, 1. D. Sebastian Daga, 2. IX Ramón Acuña, 4. …</t>
  </si>
  <si>
    <t>Roxo, Nicolás</t>
  </si>
  <si>
    <t>Nicolás Roxo</t>
  </si>
  <si>
    <t>doba...... 210 D. Juan Ruiz de Tejada, id.......................... 2200 2 20° D. Josef-Rodríguez, diácono, id.................. Ex-capuchinos. 2 20° D. Nicolás Roxo , id........................ ................. D. Vicente Roxo , id......................................... 2 200 D. Diego Sánchez, residente en Córdoba.. 2200 …</t>
  </si>
  <si>
    <t>Roxo, Tomas</t>
  </si>
  <si>
    <t>Tomas Roxo</t>
  </si>
  <si>
    <t>idw. BARRI® DE LA PANADERIA;’ ■ D. Juaoi Antonio Oortabarría. ; r&gt;t • - ■ f&gt; • &lt; : ; i ¿t'i Secretario Alcalde de barrio D. Jorge María de Ancos. i ■ D. Tomas Roxo. &gt;. Diputado eclesiástico BARRIO DE LA PUERTA DE SEGQVLA.-- . D;1 Joan Balboa. Alcalde de Harria' . a ' Dipittados seculares D. Cár!os:Bosch. &gt; -i D. Pedro Perez G…</t>
  </si>
  <si>
    <t>Roxo, Vicente</t>
  </si>
  <si>
    <t>Vicente Roxo</t>
  </si>
  <si>
    <t>.... 2200 2 20° D. Josef-Rodríguez, diácono, id.................. Ex-capuchinos. 2 20° D. Nicolás Roxo , id........................ ................. D. Vicente Roxo , id......................................... 2 200 D. Diego Sánchez, residente en Córdoba.. 2200 D. Jos:f Escribano , id............. ........................ 2…</t>
  </si>
  <si>
    <t>Royira, Francisco</t>
  </si>
  <si>
    <t>Francisco Royira</t>
  </si>
  <si>
    <t>a su calidad fuesen suficientes datos para que se le tratase como prisio­ nero. "Y si resultase por la indagación, que mando practicar al briga­ dier D. Francisco Royira , comprobado el hecho de haber sido ahor­ cado otro guia en Foguera*, como se asegura, tendrán !a misma tuerte h s dos primeros soldados enemigos que caygan …</t>
  </si>
  <si>
    <t>Rozas, Juan Romnaldo'de</t>
  </si>
  <si>
    <t>Juan Romnaldo'de Rozas</t>
  </si>
  <si>
    <t>lde de barrio Alcalde de barrio ’! E&gt;. Joan Josef ©janguren. D. Diego Josef de,-Villa. . Diputado eclesiástico Diputado eclesiástico D. Ramón Romero. D. Juan Romnaldo'de Rozas. Diputados seculares Diputados seculares D. Manuel Moreda. D. Fernando dél Sotiibo. D. Pedro Bazo. D. Pedro Madrid. D. Severiaoo Xaramillo. D. Lorenzo …</t>
  </si>
  <si>
    <t>Rozas, Tadeo</t>
  </si>
  <si>
    <t>Tadeo Rozas</t>
  </si>
  <si>
    <t>vil, 4. Id. TX José Xarvarte , 2. Id. D. Antonio Zavala , 2 Subteniente IX Diego Adalid, 25. Jd. D. José Espinosa, 25. Id. D. Manuel Aidaieo , i. Id. D. Tadeo Rozas , 2. Sargento n»ayor D. Juan Duran , 4. Capitán D. Se­ bastian A costa, 4. Subteniente D. José Ralao, 1. Id. D. Antonio Pardave, 2,—- Partido de Ckimcay. Doña Nat…</t>
  </si>
  <si>
    <t>Rozniecki</t>
  </si>
  <si>
    <t>elead enhorabuena su quartel general. ! ;asra el último suspiro por la independencia de En el combate del 10, que se empeñó en esta ciudad, perdió el general Rozniecki, comandante vuesrra nación; mas no digáis que lo hacéis por no­ sotros , como si fuésemos contrarios de la Francia; de la caballería ligera del quarto cuerpo d…</t>
  </si>
  <si>
    <t>Rqnieidc, Jilim</t>
  </si>
  <si>
    <t>Jilim Rqnieidc</t>
  </si>
  <si>
    <t>o ¿el suelde y pr&amp;» regat-vas de su nuevo empVe. „L?. R ■'gei c;-r quiere que en ni nombre cé Y. S. íes iras expre­ sivas gracias el teme píe con reí D. Jilim Rqnieidc, y &amp;1 capitán de fr gata giaduaco P. Don. ir ge Monte v^rre, per su Ogrc y acertaí o preceder er h s ícfericías t&lt; cin&lt;s , n crintiÚLCckt. que te les tendrá jr…</t>
  </si>
  <si>
    <t>Rriceño, Juan Manuel</t>
  </si>
  <si>
    <t>Juan Manuel Rriceño</t>
  </si>
  <si>
    <t>, 15. Administrador de Moquegua D. José Dávila , 200. Id. de Tacna Don Joaquín Vigil , 50. Teniente administrador D. Manuel Brice ño, 13. Conduc­ tor D. Juan Manuel Rriceño , 12. Id. D. Pedro Navarrete , 10. Id. D. Pedro IJarriosas, 10. Carrera del Cuzco. Administrador de Huancave-.ica D. Martin Beramendi, 10. Id. de Huanta 1…</t>
  </si>
  <si>
    <t>Ru, Faustino</t>
  </si>
  <si>
    <t>Faustino Ru</t>
  </si>
  <si>
    <t>ernabé Miñano, cabo prime­ ro Manuel Alcántara y D. Joaquín Nuñez. Del presidio: D. Juan Jacinto Iztueta , D. Clemente Britapajas, D. Antonio Guzman, D. Faustino Ru­ bio, D. Josef García Peña, D. Francisco Armendi, D. Melchor de Somarrivas, D. Antonio Saquero , ei cabo de brigada D. Josef Ruiz, y D. Fran­ cisco Sánchez. Todos…</t>
  </si>
  <si>
    <t>Ruano, Juan Martínez</t>
  </si>
  <si>
    <t>Juan Martínez Ruano</t>
  </si>
  <si>
    <t>udela , que dexa vacante el anterior ción entre Mr. Monroe y Mr. Porstet» 00 mere­ Bernaldez Tobía. cen ningún crédito, pues no pasan de meras con­ A D. Juan Martínez Ruano, presbítero y jeturas, y aun algunos demócratas dicen que es un ex-gerómmo, para la prestamera de Vcialcazar é artificio de los federalistas, para calmar …</t>
  </si>
  <si>
    <t>Ruard</t>
  </si>
  <si>
    <t>i°r húsar ruso, á causa de la precipitación con que el enemigo evacuó á Chawk, después de haber pegado fuego á los almacenes. El general Ruard llegó en Ja madrugada del 6 á Poniewiez , y tuvo la dicha de salvar los almacenes que habia en la población, y contenían 30® quintales de harina, cogiendo ade­ mas 160 prisioneros, ent…</t>
  </si>
  <si>
    <t>Rubedo</t>
  </si>
  <si>
    <t>al mismo t empo que pro­ curaba animar a! vecindario, destacó parte de ellas á Chcaquaro, y con las restantes voló á Sta. Catalina, donde mandaba el capitán Rubedo. Este bizarro oficial, que después de'haberse repfga lo el día 2Í i!e la altura del Señor del puerto á la garita de Sta. Catalina, fué cargado desde las 10 y media…</t>
  </si>
  <si>
    <t>Rubi, Pablo</t>
  </si>
  <si>
    <t>Pablo Rubi</t>
  </si>
  <si>
    <t>el de milicias D. Lorenzo Antonio de Cárdenas, 100. El capitán de milicias D. Atanasio de la Canal, 12. D. Mariano Goichi, 17. D. Antonio Senadel, G. D. Pablo Rubi­ nes , 50. D José Gabriel Gómez , por sí y su hijo D. José María, 100. Don José Donaires , G. D. Francisco Boladeras, 12. D. José González , G. D. Fran­ cisco Hurt…</t>
  </si>
  <si>
    <t>Rubia, Manuel</t>
  </si>
  <si>
    <t>Manuel Rubia</t>
  </si>
  <si>
    <t>abriel Moreno, catedrático de matemáticas, 100. D. Baltasar Villalobos, 50. D/ Manuel Dávalos , 50. D. José Carmona , 50. D. Domingo Bgoaguirre , 25. D. Manuel Rubia, 25 D. José Manuel Valdés , 25. D.'Lo­ renzo niñones , 25. D. Juan de la Roca , 25. D. Andrés Gómez , 25. D. José Fiaría Dávila , 25. D. José Puente , 25 D, Manu…</t>
  </si>
  <si>
    <t>Rubianes, Lázaro</t>
  </si>
  <si>
    <t>Lázaro Rubianes</t>
  </si>
  <si>
    <t>Antonio Le goma , por sí y su padre D. Juan , 50. Don Ignacio Odria , 6. D. Manuel Arana y Campomanes , 5. Doña María Soto, 2. D. .Mariano Vicuña, G. D. Lázaro Rubianes , 6. D. Manuel de Arrieta , 8. y D. Nicolás de Benoa, por su muger é hijos, 1G.— Tropa de Caballería. Teniente .1). Manuel Mayorga, 40, Sargento primero Romua…</t>
  </si>
  <si>
    <t>Rubio, Antonio</t>
  </si>
  <si>
    <t>Antonio Rubio</t>
  </si>
  <si>
    <t>.vacante de paeza de burra; pero soi asi.... un médico román;-; í). Cristóbal Rubio.' ... ¡ ... . cista y casero, y como si dixér-mos'afiiicriadS de D. Antonio Rubio , capitán , á..comandante de medicina; en fin, curo; y"para Ib que es énfet'flne-.' batallón. ... . ■ . , . ■ ... J . ,.. a^des caseras y éstas del dia ¡oh ! par…</t>
  </si>
  <si>
    <t>que en entrando en los sembrados y En Cogollos D. Antonio Cuesta teniente. mieses, donde los hombres tienen libradas sus es­ En H uetnr de Santillaoa D. Antonio Rubio peranzas , arrebatan el sustento á provincias ente­ Rolrigurz teniente. ras, pues no dexan levantadas cañas de trigos ni En Zuvia D. Luis María Fernandez Cortac…</t>
  </si>
  <si>
    <t>Rubio, Basilio</t>
  </si>
  <si>
    <t>Basilio Rubio</t>
  </si>
  <si>
    <t>go sobre su flanco izquierdo, destaqué una compañía de cazadores y otra de granaderos de voluntarios de León á las órdenes del espitan de este cuerpo D. Basilio Rubio. Se rompe el fuego por los cuerpos de Kindelan y Rubio: la columna de reserva mandada por mí se adelanta por la izquierda, vadeando 5 veces 2 rios, á tomar su f…</t>
  </si>
  <si>
    <t>Rubio, Clemente</t>
  </si>
  <si>
    <t>Clemente Rubio</t>
  </si>
  <si>
    <t>a. Diputado eclesiástico Alcalde de barrio D. J uan José: Moreno. D. Francisco Rubio. Diputados seculares Diputado eclesiástico D. Rafael Echartea. . D. Clemente Rubio. D. Josef Aldavez. Diputados seculares D Manuel Nieto. D. A ntonio Laiidaluce. Secretario D. Agustin Viilánuéva. D. Matías Elias López. Secretario D. Pedro NoL…</t>
  </si>
  <si>
    <t>Rubio, Francisco</t>
  </si>
  <si>
    <t>Francisco Rubio</t>
  </si>
  <si>
    <t>T ' Alcalde de barrio BARRIO DE CAPUCHINOS DE LA PACIENCIA. D. Dionisio Pérez Guerra. Diputado eclesiástico Alcalde de barrio D. J uan José: Moreno. D. Francisco Rubio. Diputados seculares Diputado eclesiástico D. Rafael Echartea. . D. Clemente Rubio. D. Josef Aldavez. Diputados seculares D Manuel Nieto. D. A ntonio Laiidaluc…</t>
  </si>
  <si>
    <t>Rubio, Francisco Josef</t>
  </si>
  <si>
    <t>Francisco Josef Rubio</t>
  </si>
  <si>
    <t>D. Cayetano Monter. ’ acucia ante dicho señor juez por la escribanía de nú­ .y. : :Secretario mero de D. Claudio Sanz ,:doñtfé 'Se''ínanifestarán los D. Francisco Josef Rubio. ríiulos de pertenencia, y cnterará^de las demas cir­ cunstancias relativas á la venta.': ? r t¡Y .([ BARRIO DE SAN ANDRES. Alcalde de barrio D, Josef G…</t>
  </si>
  <si>
    <t>Rubio, José María</t>
  </si>
  <si>
    <t>José María Rubio</t>
  </si>
  <si>
    <t>naro La-Rocque, D. Jo­ sé Minio, D. Juan Ponman y D. Manuel Gamindez ; el capit&amp;n de fragata D. Jo«é Connock; los sargentos mayores D. Jian de Arcos, D. José María Rubio, D, Francisco Florencio, D. Juan Eusebio Manzano y D. Vicente Jaudenes, y el auditor de gaern O B ai Osores. En seguida los gefes de los cuerpos, puestos al …</t>
  </si>
  <si>
    <t>Rubio, José Muñoz</t>
  </si>
  <si>
    <t>José Muñoz Rubio</t>
  </si>
  <si>
    <t>la de venta­ jas posteriores, cuya confirmación se aguarda. ARTICULO DE OFICIO. Continúan los donativos del Perú, D. Julián Mendez , 2 pesos fuertes. D. José Muñoz Rubio , 2. D. Vi­ cente Gago , 2. D. Adrián Sta. Cruz , capellán mayor del hospital de San Andrés , 2. D. Miguel Rotalde , id., 2. D. José Saez , 1. D. Manuel Rizo…</t>
  </si>
  <si>
    <t>Rubio, Juan Josef</t>
  </si>
  <si>
    <t>Juan Josef Rubio</t>
  </si>
  <si>
    <t>D. Gregorio Uriondo. D. Juan Meti&gt;'a. . .. D. Angel de Di-go. Diputados seculares D. Francisco de Santiago. D. Félix A var z VilLt. .ó. Secretario . D. Juan Josef Rubio. D. Vicente M., ri* Teraya. D. Jostf Carranza. .. ; . &gt;4 ¿j. Secretario BARRIO DB MIRA Mí RIO. D. Lúeas Escolar. ••• •• Alcalde de barrio ' BARRIO DEL HUMILLA…</t>
  </si>
  <si>
    <t>Rubio, PeJto</t>
  </si>
  <si>
    <t>PeJto Rubio</t>
  </si>
  <si>
    <t>................ ;.... 2200 D. Lúeas Romero¡ id...,................................... 2200 D. Josef Cabello y Ruiz, id........... ............. 2290 D. PeJto Rubio, residente en Ovejo........... 2200 D.-Joan de Quero, id....................................... 2290 D. Francisco de Castro , lego , residente en D. Josef B tdill…</t>
  </si>
  <si>
    <t>Rudrigm, Félix</t>
  </si>
  <si>
    <t>Félix Rudrigm</t>
  </si>
  <si>
    <t>ficial resultado de su inexperiencia, de la viveza de sus de la contaduría general de propios. 2JOO pasiones, de lis ase.hanzas ó sugestiones agenas, D. Félix Rudrigm z Qüirós , oficial de y sobre todo de la influencia de ciertas gentes que, la renta de la lotería........................... 2200 ed ificadas con títu qs sagrad…</t>
  </si>
  <si>
    <t>Rueda, Nicolás</t>
  </si>
  <si>
    <t>Nicolás Rueda</t>
  </si>
  <si>
    <t>mas, 12. D. José Lamas, cura de Huanec , 20. — Cura y cle­ recía de la parroquia de S. Lázaro. D. Anselmo Perez de la Canal , cura de S. Lázaro, 100. D. Nicolás Rueda, capellán del hospital de S. Lázaro, 12. D. Carlos Marin , 12. D. Félix Egusquiza , 12. D. Juan Prada, 25. D. Fer­ nando Quirós , 25. D. José Antonio Fuente, 4.…</t>
  </si>
  <si>
    <t>Rueda, Pedro</t>
  </si>
  <si>
    <t>Pedro Rueda</t>
  </si>
  <si>
    <t>rancisco Alvarez , D. Luis Angel García, O. Pedio Toruno, D Antonio Rosado, D. Ildefon­ so Sierra, D Vicente Herrera, D. José C.uóps, D. Manuel L no, D. Pedro Rueda, D. Santiago B-dhmia , O. José Clemente, D. Jo­ sé Me-reno Muñoz, D. Andrés López, D. Baldomcro Espartero, D. Jo&amp;é Sema , D. Fernando Borrero, y D. Francisco Cort…</t>
  </si>
  <si>
    <t>Ruedu-Lcon</t>
  </si>
  <si>
    <t>lastre. IJan salido 149 -buques destinados presa en'Francia-el ano-dc 1797 en la ciudad de Niá diferentes puertos del imperio. i més;-su autor D. M. D. Ruedu-Lcon. Muchos sabir* El 3 de este -mes entró en dicho puerto el franceses han honrado-esta gramática con grandes elo­ J3ultimare, de 220 toneladas « procedente de Bal­ gi…</t>
  </si>
  <si>
    <t>Ruem, Luis</t>
  </si>
  <si>
    <t>Luis Ruem</t>
  </si>
  <si>
    <t>La de la fragata Bretaña, 22 y 2. La de! bergantín corsario rey Fernando, 24 y 4. D. Juan Mencliaca , capitán de la fragata corsaria, 40. Su segundo D. Luis Ruem , 25. Su primer teniente D. Rafael Larragoin, 12. Su escribano D. Miguel Polo, 10. Su tripulación , 93 y G. La dotación del corsario Flecha, 76 y 4. D. Juan del Pino…</t>
  </si>
  <si>
    <t>Ruesta, Pedro</t>
  </si>
  <si>
    <t>Pedro Ruesta</t>
  </si>
  <si>
    <t>as Cavieses , del cuerpo de pilotos del comercio , 50. 15. Bernardo Martínez , 6. D. Manuel Villar, 25. D. Pió Garrido, 12. Don Pedro Tr el les , 12. D. Pedro Ruesta , 1. D. Gregorio Palacios, 25. D. José Antonio Miehilon , 1. D. Ramón Manzanares , 2. I). Gaspar Silva , 2. Don Francisco ligarte, 2. D. Matías Cuello , 2. D. Fr…</t>
  </si>
  <si>
    <t>Ruiloba, Henleterio</t>
  </si>
  <si>
    <t>Henleterio Ruiloba</t>
  </si>
  <si>
    <t>lo. 2200 D. Dámaso de Villaoáeva , id. .en San­ 1 Ex-franciscanos. tander.................. 2200 D. BtJiaiío Solana , id. de Santiago de Fieras. 2200 D. Henleterio Ruiloba, natural de San Vi­ D. Josef del Rio, id. de Santander............. 2200 cente de la Barquera................................... 2200 D. Ramón de Cunes....…</t>
  </si>
  <si>
    <t>Ruimerc, Rafael</t>
  </si>
  <si>
    <t>Rafael Ruimerc</t>
  </si>
  <si>
    <t>muertos, heridos, contusos y prisioneros que ha tenido este exército. ¡nWOMS • , 0 &gt;5» •s Cuerpos. Clases. Nombres. t II 53 Gaticia. . | Subteniente D. Rafael Ruimerc................ 1 Olio • • • • • O. Manuel Peyaado...... * Corone:!. .. *&gt;. Acxandro Hore................ 1 Capitán. . . D. José María Cela)a.. • .. 1 PRIMERA. …</t>
  </si>
  <si>
    <t>Ruiz, Aifonso</t>
  </si>
  <si>
    <t>Aifonso Ruiz</t>
  </si>
  <si>
    <t>........... 2200 Madrid 20 de julio. D. Sitnon Milán, id........................................... 2200 Continuación del decreto de S. M. del 14 del D. Aifonso Ruiz, id....... ................................. 22co corriente, en que se declaran acreedores al D. Josef Lucena, id........................................... 22c®…</t>
  </si>
  <si>
    <t>Ruiz, Antonio</t>
  </si>
  <si>
    <t>Antonio Ruiz</t>
  </si>
  <si>
    <t>el cuerpo de caballos ligeros-de la guardia Extracto de las minuta* ' de* la secretaría d« reai, seis guarda-bosqaes del REI nuestro Señor, Estado. y D. Antonio Ruiz, propietario de1 dicho sitio de Eo nuestro palacio de Madrid á 19 de febrero Aranjuez, hombre de valor conocido , y buen es­ de 1812. pañol, que se ofreció á ir …</t>
  </si>
  <si>
    <t>, gen­ D. Miguel Rico de Arcedo. tilhombre de cámara; ál marques de Uluapa ma­ A D. Jostf Fernandez , presbítero, ex-geróniyordomo de la real casa; á D. Antonio Ruiz de mo, para una canongia.de la colegiata de S. Hipó­ Castilla maestro de ceremonias r-y caballeros pages lito de Córdoba , vacante por fallecimieiUodeDon de S. M…</t>
  </si>
  <si>
    <t>Ruiz, Buenaventura</t>
  </si>
  <si>
    <t>Buenaventura Ruiz</t>
  </si>
  <si>
    <t>...................................... 2200 D. Antonio Lain, id en Bujalaoce................ z 200 D. Francisco Pacheco Delgado, id........... . 2200 D. Buenaventura Ruiz, residente" en Mon- . 944';°° rilla....................................................... ....... 2 200 D. Josef Beuitez , id. en Montoro................ 2…</t>
  </si>
  <si>
    <t>Ruiz, Josef</t>
  </si>
  <si>
    <t>Josef Ruiz</t>
  </si>
  <si>
    <t>á D. Mariano Pcrez Arrcyal, ex mercenario caizjdo. Madrid 2¡ de marzo. Para lad.. Velez de Benauddla , su ú'tiino po­ seedor D. Wenceslao Kreisler, á D. Josef Ruiz, El REI por sn real decreto de 24 del corrien­ ex-mercenario calzado. te se ha servido nombrar para los curatos vacantes Para la de ísnalloz, vacante por no habers…</t>
  </si>
  <si>
    <t>o Navarro, idi' del^ugar dé Re- consejo de Estado, villa...:. ....... .............................. 2200 Hemos decretado y decretamos! lo siguiente: D. Josef Ruiz , id. de Garrido...................... 2200 articulo 1. „Se reconocen acreedores al te­ D. Hipólito García, id. del logar de Somo. 2200 soro público los ex-regnlar…</t>
  </si>
  <si>
    <t>D. Antonio Guzman, D. Faustino Ru­ bio, D. Josef García Peña, D. Francisco Armendi, D. Melchor de Somarrivas, D. Antonio Saquero , ei cabo de brigada D. Josef Ruiz, y D. Fran­ cisco Sánchez. Todos Los demas que se hallaron en el castillo hasta su entre­ ga al señor general ea gefe se portaron con la mayor bizarría y fidelidad…</t>
  </si>
  <si>
    <t>Ruiz, Julián</t>
  </si>
  <si>
    <t>Julián Ruiz</t>
  </si>
  <si>
    <t>oeror.......... 36 r Doña María de (a Encarnación D. Antonio Loza.......................... 2263 17 Esmo'ieu...,,.............................. 1225a D. Julián Ruiz................ 361 D. Santiago de Anarráregui......... 35°° D. Pedro de Alcántara Ibañez.... 180 íf Doña M iría M .gd llena López Ca« D- Manuel Ramos, y en su no…</t>
  </si>
  <si>
    <t>Ruiz, Juna José</t>
  </si>
  <si>
    <t>Juna José Ruiz</t>
  </si>
  <si>
    <t>El juez ele aguas D. Juan Mena, 10 ps. fe. El secretario de cabildo T&gt;. celas Atiza, 12. Capitán D. Antonio Lafurt, 10. Id. D. Manuel Andrea, 10. Id. D. Juna José Ruiz, 4. Id. D. Manuel Talancha, 6. Teniente B Martin Arquiseña, G. Subteniente D. Alfonso Mejorada,. 100. TX José González, 12. D. Jo­ sé Baldisan, 25. D. José Gre…</t>
  </si>
  <si>
    <t>Ruiz, Manuel</t>
  </si>
  <si>
    <t>Manuel Ruiz</t>
  </si>
  <si>
    <t>barrio Extracto de las minutas de la secretaría de D. Joan de Mata y Llano. Estado. Diputado eclesiástico En nuestro palacio de Madrid á 7. de abril D. Manuel Ruiz. de 1812. Diputados seculares Don Josef Napoleón por la gráéla de Dios y D. Juan Aguado. por la constitución del estado, REI de las Españas D. Santiago Infanzón. y…</t>
  </si>
  <si>
    <t>Ruiz, Miguel</t>
  </si>
  <si>
    <t>Miguel Ruiz</t>
  </si>
  <si>
    <t>Fernandez Qniroga....... 289Í 4 Doña Josefa Sala Daoiz...................... 2256 Los hospitales civiles de esta corte. 277815 16 P. Josef Gonzalo y D. Miguel Ruiz £1 abad y cabildo de la iglesia de la de Zeiada........................ ................... O*,. OG*3 *■ Sangre de Cristo, de la ciudad de D. Luis Mcoche..........…</t>
  </si>
  <si>
    <t>Ruiz, Pedro</t>
  </si>
  <si>
    <t>Pedro Ruiz</t>
  </si>
  <si>
    <t>ro , 168 pesos y 3 reales. I). Juan Peña , 168 y 3. Don Miguel Cebrian , 143 y 3. D. Pablo Teion, 120 y medio reai. D. Miguel Vega, 120 y medio real. D. Pedro Ruiz, 166 y 5. D. Juan Luque Marmol, jubilado , 95 y medio real. Contadores ordindrios. D. Pedro Grillo , 87 y 7. J). Manuel Dufoo , 87 y 7. D. Lino de la Barrera, 83 y…</t>
  </si>
  <si>
    <t>s. D. Lorenzo Francisco, id. del lugar de N. en la provincia de Burgos.......................... 2209 D. Francisco Gil, residente en Valseca.... 2200 D. Pedro Ruiz, i.d- de Villarcayo............. . 2200 D. Tomas González , id. en Santa María D. Angel Fernandez Campiñas , id. de de Nieva.......................................…</t>
  </si>
  <si>
    <t>Ruiz, Ramón</t>
  </si>
  <si>
    <t>Ramón Ruiz</t>
  </si>
  <si>
    <t>Pero ¡¡altae D. Cayetano Lames. sunt stirpes stidtitiae Tenientes. D. Antonio Barba. ESPAÑA. D. Rodrigo Pacheco. J\Lidrid 10 dt enero. Subtenientes. D. Ramón Ruiz. El REI ha celebrado hoi consejo de ministres, DT.ro __ al que se ha dignado convocar á tos presidentes art. i v. En el batadon de S. Lúcar de Bar— de tas secciones…</t>
  </si>
  <si>
    <t>Por ¿astos de la secretaría del^ninis t crio 1809.,'X" .....' ........... de la Guerra. Rí. Mrs. RS. Mrs. D. Joaqoin Jo*efd*í-M?aas, gat........ 5400 D. Ramón Ruiz, portero mayor de Doña María Angela Azpiroz................ 30600 ella, por........................................... 255522 D. Simón García Puerta...............…</t>
  </si>
  <si>
    <t>Ruiz, Santiago López</t>
  </si>
  <si>
    <t>Santiago López Ruiz</t>
  </si>
  <si>
    <t>rez, Don León Gordo, D. José González Yuste, D. Juan Marmol Calero, Don Calixto Rodríguez, D. Ildefonso Rulz, D. Agustín Lázaro, D. Juan Biirguiilos, D. Santiago López Ruiz, D. Pedro Fernandez, D.'José Muela , D. José María Ximcnez , D. Domingo Draper , D. Ma­ nuel Guio, D. Juan Utrero , D. Benigno Merchau, D. Víctor Casasola…</t>
  </si>
  <si>
    <t>rez, D. León Gordo, Don Josef González Yuste, D. Juan Manuel Calero, D. Calixto Rodríguez, Don Ildefonso Ruiz, D. Agustín Lázaro, D. Juan Burguillos, D. Santiago López Ruiz, D. Pedro Fernandez, D. Josef Muela, D. Josef Mafia XimenezDon Domingo Draper, D. Manuel Guio, D. Juan Utrero, D. Benigno Merchan, D. Víctor Casasola, D. …</t>
  </si>
  <si>
    <t>Ruizi, Manuel</t>
  </si>
  <si>
    <t>Manuel Ruizi</t>
  </si>
  <si>
    <t>..... ................ V........ 2200 teatro, Di'Toaras Vaquero, id............. ............ 2200 - En el del Príncipe, i' las. ocho de la noche, •• D. Manuel Ruizi id........................... ......... 2200 representará por la compañía española la ópera en D. Félix Castellano , residente en Ecija..... 2200 dos actos titul…</t>
  </si>
  <si>
    <t>Rulz, Ildefonso</t>
  </si>
  <si>
    <t>Ildefonso Rulz</t>
  </si>
  <si>
    <t>D. Juan Vela, D. Juan Mozas, D. José Carrasco, D. Diego Perez, Don León Gordo, D. José González Yuste, D. Juan Marmol Calero, Don Calixto Rodríguez, D. Ildefonso Rulz, D. Agustín Lázaro, D. Juan Biirguiilos, D. Santiago López Ruiz, D. Pedro Fernandez, D.'José Muela , D. José María Ximcnez , D. Domingo Draper , D. Ma­ nuel Gui…</t>
  </si>
  <si>
    <t>Ruppin</t>
  </si>
  <si>
    <t>ener la sanción del senado conservador pro forma. En con-* secuencia, una de sus primeras medidas fue declarar formalmente que el Reyde Prusia (alias conde Ruppin) ha cesado de reynar. Esta no es la única noticia importante que contienen las cartas: aseguran que la derrota de los exércitos franceses en España había causado la…</t>
  </si>
  <si>
    <t>Rusel</t>
  </si>
  <si>
    <t>’estfalta entró el mismo dia en y al húsar Lmze. S. Mi ha concedido la-divisa de Grodnu, y la divMoii Dembrousky pasó la prime­ la legión de Honor al general Rusel, y á los ofi­ ra. Hetmán Platov na se hallaba all¡ con sus co­ ciales y sub-oticial expresados. sacos j que atacador- ¡w la caballería ligera del prín­ El .general…</t>
  </si>
  <si>
    <t>Ruth</t>
  </si>
  <si>
    <t>d de ellas se suprimen enteramente 6 quedan mo tambian la Introducción dios estudios histó­ mui limitados y disminuidos los impuestos sobre ricos del profesor Ruth, de Berlio. El señor Wes- el comercio y la navegación que se pagan en las tenrieder, de Munich, ha publicado unas Memo­ demas partes del reino de Wurtemberg; pues …</t>
  </si>
  <si>
    <t>RuTz, Francisco</t>
  </si>
  <si>
    <t>Francisco RuTz</t>
  </si>
  <si>
    <t>itán del navio Begoña D. José Goicochea, 25. S« tripulación , 48 y 2. El capitán del navio Aguila D. Francisco Arauco , 25. El maestre de dicho navio D. Francisco RuTz, 23. La tripulación, 3G y 2. Don Cristóbal Ortegon , cura de la doctrina de Chupaca, 100. D. Rafael Francisco JVIenendez por la manutención de 2 soldados que p…</t>
  </si>
  <si>
    <t>Ruy</t>
  </si>
  <si>
    <t>n de S. Gerónimo, á nombre de su monasterio del Escorial, á mas de 4000 ps. con que ha contribuido anteriormente , 1000. La religión de Mínimos, 200. D. Ruy mundo Marrez , oficial mayor de la contaduría de la casa de moneda , ademas de los 83 ps. con que ha contribuido anterior­ mente , y de 500 anuales que ofrece durante.la …</t>
  </si>
  <si>
    <t>Rvha, Francisco</t>
  </si>
  <si>
    <t>Francisco Rvha</t>
  </si>
  <si>
    <t>1020</t>
  </si>
  <si>
    <t>l principado, qu ■; alcanzan hasta el 24 dt&gt;l mes anterior, son de d*»s vantajns conseguidas sobre el enemigo por las tropas del mando del brigi lisr D. Francisco Rvha y del teniente coronel Don J.sé Mtnso, cqiel en las inmediaciones de S. Miguel de F¿dgás á mediados del mes anterior, y este en los primeros dias de julio en l…</t>
  </si>
  <si>
    <t>Rze</t>
  </si>
  <si>
    <t>45521 schedenta de la sociedad de damas nobles , seguida de jfels menos qae la de centeno. El cultivo de pata­ las vocales de esta asociación , de la condesa Rze- tas va aumentándose todos los días en este país. El waska, princesa Lubomirska , que está al frente obispo de Montenegro protege este ramo de indus­ de la sociedad …</t>
  </si>
  <si>
    <t>Rzewaska</t>
  </si>
  <si>
    <t>Núm. 21. 81 GAZETA DE MADRID DEL MARTES 21 DE ENERO DE 1812. PRUSIA. concluida esta ceremonia fue toda la sociedad á Guiistan , casa de campo de la condesa Rzewaska, Berlín 17 de diciembre. donde se les hizo un regal® á las jóvenes. El señor conde de Grote ha sido nombrado • La empresa de esre hospital, destinado para enviado…</t>
  </si>
  <si>
    <t>S, Candi</t>
  </si>
  <si>
    <t>Candi S</t>
  </si>
  <si>
    <t>exteriores, tilla , t.° ríe infantería ligera, á cirujano primero El Sr. Hallencreutz , mayor de la guardia de del de infantería Rea! Extrangero; y á D. Candi­ S. M. el Reí de Suecia. do F.iura cirujano primero del regimiento núm, Después de la misa tuvieron, el honor de ser de cazadores á caballo. presentados á S. M. For dec…</t>
  </si>
  <si>
    <t>S, Josef</t>
  </si>
  <si>
    <t>Josef S</t>
  </si>
  <si>
    <t>Je infantería de línea; para tetiientes D. Josef tos de Us órdenes del consejo. (The Star.) lXetrich, que lo fue en el regimiento Real Extiangvro, y D. Josef S. Martin, que lo era del de IMPERIO FRANCES. C .Milla, i.° de intántería ligera; y para subte­ nientes D. Antonio Wesntuller y D. Lorenzo Bayona i.° de marzo. Chefnef, …</t>
  </si>
  <si>
    <t>S, Juan</t>
  </si>
  <si>
    <t>Juan S</t>
  </si>
  <si>
    <t>nte D. Juan Nuncí/...«;(. . • t 1 í Tea lente .. D. Antonio (jóme*.. .., I CABALr.. ?r(?T!A Alférez . .. D. Luis del pasíiilo, • « deMadT,i\oírof.... D. Juan S atroz... • .&gt; ‘r. 1 1 U(ñique.. Teniente . . D. Jose JEsaobar*....j. *. % 1 I Total |, . 6 | 12 | 7 | 2 Cual tí! gen: ral de lo» Birrios 16 dejunio de 181%. — francisc…</t>
  </si>
  <si>
    <t>eto, id.......................... 2200 D. Juan Perez, residente en Montilla......... 2200 D. Pedro J &gt;sef de Luque, id......................... 2 200 D. Juan S ntos, id. en Ecij ■.......................... 2200 D B,rt'&gt;!oin-é de Lara, id.............................. 2 2CO D. Nicolás Rodríguez Carretero, id. en D. josef Prrez…</t>
  </si>
  <si>
    <t>S, Juan Baptista</t>
  </si>
  <si>
    <t>Juan Baptista S</t>
  </si>
  <si>
    <t>dignado convocar á los presidentes de Sr. conde de Berveruna........ ................... .200 las secciones del consejo de Estado, á los directo­ Sr. D. Juan Baptista S i &gt;se-e................ 200 res generales de bienes nacionales y del tesoro pú­ Sri D. Juan Baptista Preste..... .............. 80 blico, y al consejero de Es…</t>
  </si>
  <si>
    <t>S, Marcelo</t>
  </si>
  <si>
    <t>Marcelo S</t>
  </si>
  <si>
    <t>. D. Rafael Oseñalde, id. de S. Andrés. D. Rafael Hernández, id. de S. Sebastian. Seculares. D. Ignacio Abadía. 35. Antonio Garniz. D. Diego Palacio. D. Marcelo S. Román. [■ D. Paulino Sofia. D. Narciso Gonzalo del Rio. Y para que el público pueda entenderse con dicha ¡unta, y no padezca atraso en ninguno de sus ramos la dire…</t>
  </si>
  <si>
    <t>S, Quando</t>
  </si>
  <si>
    <t>Quando S</t>
  </si>
  <si>
    <t>s soldados observan la discipli­ soldarlos de las divisiones 1 .■* y y.1* corresponderán na mas rigurosa. á la excelente conducta de los de la 2.a El general Quando S. M. pas&lt;5 revista á sns tropas en Iva- Vil! acampa ha ameruz.do también a Liria con 4© lisch , los soldados, al ver á su Soberano, se lle­ hombres, y ha sido re…</t>
  </si>
  <si>
    <t>S, Tomasa</t>
  </si>
  <si>
    <t>Tomasa S</t>
  </si>
  <si>
    <t>3 11 Doña Tomasa Uriz........................ M34 84 D. Rafael Riesco............................ 6588 8! Que í una suma importan nn millón trescien­ Doña Tomasa S^rachaga......... ....... 812 8i tos sesenta y ocho mil ciento noventa y seis rea­ P. Sebastian Mongelo...................... *3* a?4 les veinte y tres y medio mara…</t>
  </si>
  <si>
    <t>S-kscwrki</t>
  </si>
  <si>
    <t>nte en gefe del primer operación. exéicito de occidente, llegó anteayer á esta ciu­ Hace algún tiempo que el gobierno encargó al dad , acompañado del coronel S-kscwrki y del caballero Ernelet, consejero áulico del señor mi­ capitán del estado mayor TschichatschtW. S. E. nistro de lo Interior, que examinase las rentas de ha sa…</t>
  </si>
  <si>
    <t>Saar</t>
  </si>
  <si>
    <t>alto aquí. Un regimiento de La segunda división saxona, compuesta sola­ infantería, que se hallaba en Kobrin, á la otra parre mente de la brigada del general Saar, penetrando del Muchavice, 6 iba á quemar el puente, huyó también el bosque, fue á situarse á la izquierda de al arribo de los húsares y de la artillería ligera sa­…</t>
  </si>
  <si>
    <t>Saavedra, Cornelio</t>
  </si>
  <si>
    <t>Cornelio Saavedra</t>
  </si>
  <si>
    <t>575</t>
  </si>
  <si>
    <t>abo la execucion de decreto tan injusto. El club de los terroristas que lo habia arrancado de la junta, y aspiraba á proscribir al presidente de cata D. Cornelio Saavedra y ctros parciales suyos, no llevó en paciencia que se hubiesen frustrado sus ideas. Los libe­ los y otros síntomas anunciaban nuevas turbaciones : pero se a…</t>
  </si>
  <si>
    <t>Sabariego, Pedro</t>
  </si>
  <si>
    <t>Pedro Sabariego</t>
  </si>
  <si>
    <t>... 2200 D. Ignacio María Bcteta, id. en Alcalá..... 2200 D. J uan de Dios Perez de Ja Cerda, id.... 2200 D. Diego Ventara López» »d. en Madrid. 2200 D. Pedro Sabariego, id................................ 2200 D. Pedro I’ascnal de Sierra, id. en ArjoBx-carmelitas calzados. nilla,........ ......................................…</t>
  </si>
  <si>
    <t>SabnijifF</t>
  </si>
  <si>
    <t>!a conclusión de este negocio nos restitu­ po. Los plenipotenciarios rosos son Mr. Italinski ya la paz , qne los descontentos vuelvan-á reunir­ y el general SabnijifF; y los de la Puerta son el se al gobierno , y qoe se acabe el fnegífde la dis­ íía¡A Bei Calib- lili nd¡, Himi.l Éff ni?, que es­ cordia que devora este país. L…</t>
  </si>
  <si>
    <t>Sacco</t>
  </si>
  <si>
    <t>, de que habla el artículo xcix. Milán 19 de maya. . art, v. La salí segunda, ademas del conoci­ miento que se la atribuye en el número i.°, artí­ El doctor Sacco lia presentado á S. M. el Em­ culo xcix del mencionado decreto, juzgará de los perador de Austria, por medio del Excmo. Sr. recursos de reposición intentados en cau…</t>
  </si>
  <si>
    <t>Sacdcman, Jorge</t>
  </si>
  <si>
    <t>Jorge Sacdcman</t>
  </si>
  <si>
    <t>Campbell, 100. D. Andrés Loughnan, 50. Los Sres. Gordon, Murfiy compañía, 105. D. José Moreno de Mora, ¿0. Un patriota español, 100 y 120 cami­ sa?. D. Jorge Sacdcman, 100. D. Antonio Gower, 20. D. Juan Gar­ cía, 100. D. Juan Bautista Arnaza, 10. D Manuel T aranera, ¿0. D. Enrique Dowel, 100. Un amigo de D. Enrique Dowei, 50.…</t>
  </si>
  <si>
    <t>Sachet</t>
  </si>
  <si>
    <t>de in­ Cas sel 26 de mayo. fantería ligera, del 114.0, del 4.° de húsares y la artillería. Las últimas cartas que liemos recibido de Var- ,, El señor mariscal Sachet ha ido á Callera: sovia dicen que nuestro exéicito , compuesto de la esquadra inglesa permanece aun á la vista la­ dos divisiones, está animado del mejor cspíiit…</t>
  </si>
  <si>
    <t>Sacristán, Miguel García</t>
  </si>
  <si>
    <t>Miguel García Sacristán</t>
  </si>
  <si>
    <t>8 mas enamoradas estaban del espejo dichoso, y las D. Leonardo Zuhiilaga................. 10530 30 dos íe lo pidieron á la tia Justa. Ella, como eran D. Miguel García Sacristán......... 6595 24 ricas, por no quedar mal con ninguna, decia: Yo... D. Adrián Marcos Martinez........ *3593 *4 el espejo es mió.....; lo que mas cuent…</t>
  </si>
  <si>
    <t>Sacristán, Roque</t>
  </si>
  <si>
    <t>Roque Sacristán</t>
  </si>
  <si>
    <t>ndo la academia jónica tener afganos da­ pez................................................ 6400 tos y noticias sobre el estado de la civilización y D. Roque Sacristán, por medio de las luces en la Grecia, en la época que medió de su apoderado D. Francisco desde la mina del imperio de Oriente hasta nues­ Normella............…</t>
  </si>
  <si>
    <t>Sacristán, Tomas</t>
  </si>
  <si>
    <t>Tomas Sacristán</t>
  </si>
  <si>
    <t>ien­ dan el Ardiente, el Dictador, de 64 cada uno, y tes: D. Josef Perez Balsera, D. Vicente Nieto y \r¿ s fragatas Crescent y Fisgard, y el brick ei D. Tomas Sacristán. Urgente. La corbeta Leveret ha entrado con un Y por decreto de f del mismo se ha servido convoi, procedente de Heligoland. Quedan en etu S. M. nombrar al ofi…</t>
  </si>
  <si>
    <t>Sádoirsí, Juan</t>
  </si>
  <si>
    <t>Juan Sádoirsí</t>
  </si>
  <si>
    <t>yes dirigidos á Aulct. Ei general Miians se situó en el Grao de Aulot para cubrir á Vich. El 20 del propio mes la compañía de granaderos dei mando de D. Juan Sádoirsí, apostada de orden del brigadier Rovira en las in­ mediaciones de la Beguda, rindió prisionera á una partida francesa que iba de Aulot á Gerona. Acudieron de la…</t>
  </si>
  <si>
    <t>Sadurní</t>
  </si>
  <si>
    <t>ega, á situar­ se en S. Esteban de Bas; quedándome con el primero para acudir adonde conviniere, y cubrir el paso de Ripólh Aquella noche me avisó el capitán Sadurní que ocupaban á S. Feliú los enemigos ea número de cerca de 3000, y al amanecer del dia siguiente me no­ tició que se dirigían á S. Esteban de Bas. Á consecuencia…</t>
  </si>
  <si>
    <t>Sadurní, Juan</t>
  </si>
  <si>
    <t>Juan Sadurní</t>
  </si>
  <si>
    <t>eros del tercero que tenia situada en Amér, para cumplir las órdenes que V. E. me había comunica­ do, como verá V. E. por el parte que me ha dirigido D. Juan Sadurní, que es como sigue: — „En cumplimiento de las órdenes de V. S. salí de la villa de Amér en la noche del 25 del comente , dirigiéndome con los 60 granaderos de mi…</t>
  </si>
  <si>
    <t>Saenz, Felipe</t>
  </si>
  <si>
    <t>Felipe Saenz</t>
  </si>
  <si>
    <t>nda, 4. D. Lucas Fg' avil ,1. f). Mi­ guel de la O, 4. D. \í ría o Martínez, 2. D. Manuel de la Rocha ,-2 D. Mumu 1 Arancivia , 2. D. M t o Tapia, 2. D. Felipe Saenz , 2. D. Fedto Bernuy, 2. D. Agustín Vaides, 2. D. liste van Avila , 2. D. Francisco Villegas , 1. El Sr. virey D. Fernando Aba cal , lOtiOO. D. Simón R-óbago , s…</t>
  </si>
  <si>
    <t>Saenz, Fr José</t>
  </si>
  <si>
    <t>Fr José Saenz</t>
  </si>
  <si>
    <t>rdar como feriado,,-el ayunta#miento, el cabildo, el clero y demás corporaciones se reunieron á las 9 de ia mañana, para acompañar al muy ilustre Sr. D Fr José Saenz , del consejo de S. M., abad y prelado de es tu villa y su aba­ día, que debía celebrar la misa de pontifical. Llegados á la iglesia, prestó este en manos de su …</t>
  </si>
  <si>
    <t>Saenz, Francisco Mateo</t>
  </si>
  <si>
    <t>Francisco Mateo Saenz</t>
  </si>
  <si>
    <t>co ’ Alcalde de barrio p. Vicente Escolano. D. Josef Gil Roiz. ' Diputados seculares Diputado eclesiástico D. Tomas Puertoias. D. Eustaquio del Poyo. D. Francisco Mateo Saenz. Diputados seculares Secretario D. Josef Mana Fourdicer. D. Rafael González del Valle. . D. Anastasio García. D. Joaquín Hevia. QUARTEL DE MARAVILLAS. S…</t>
  </si>
  <si>
    <t>Saez, José</t>
  </si>
  <si>
    <t>José Saez</t>
  </si>
  <si>
    <t>tes. D. José Muñoz Rubio , 2. D. Vi­ cente Gago , 2. D. Adrián Sta. Cruz , capellán mayor del hospital de San Andrés , 2. D. Miguel Rotalde , id., 2. D. José Saez , 1. D. Manuel Rizo, capellán mavor del hospital de S. Bartolomé , 1. D. Manuel Mira, id., 2. IX F ornando Mestas , I. D. Gavino Villegas , 2. D. Pedro Martínez , 1…</t>
  </si>
  <si>
    <t>Saez, Toribio Fernandez</t>
  </si>
  <si>
    <t>Toribio Fernandez Saez</t>
  </si>
  <si>
    <t>as brillantes de- soñada república , agitando las Por decretos de 8 del mismo S. M. ha nom­ pasiones populares, y llamando con la mayor trai­ brado á D. Toribio Fernandez Saez tesorero de ción á una nación esencialmenre enemiga para que rentas de la provincia de León; y al sargento pri­ estableciese ei teatro de rapacidad en …</t>
  </si>
  <si>
    <t>Safosa, Tadeo</t>
  </si>
  <si>
    <t>Tadeo Safosa</t>
  </si>
  <si>
    <t>ntes D. ficctao£C Carrascon y D. León Parag.?. C:b^ primero Temas Herrero. Los cadetes D. Santiago Car­ rasco n y D. Francisco Martínez. Los soldados D. Tadeo Safosa, dis­ tinguido, fíauion Miguel y Blas Martínez. Ligero de Soria. El sub­ teniente D. Gregorio lleras. Rioja. El capitán D. Pedro Solcg&amp;istca. Lo¿ teaíe nten D. J…</t>
  </si>
  <si>
    <t>Sagasta, Lorenzo</t>
  </si>
  <si>
    <t>Lorenzo Sagasta</t>
  </si>
  <si>
    <t>eo el regimiento de tiradores de el regimiento i.° de cazadores á caballo a D. Joa­ la guardia real á I&gt;. Francisco Xavier Chatre , te­ quín Pecino y D. Lorenzo Sagasta, subtenientes, niente ■ i capitán en la vacante de O. Petit; á Don i tenientes; y á D. Manuel Gutiérrez, sargento Juan Bautista Piehard , «obteniente, i tenie…</t>
  </si>
  <si>
    <t>Sagües, Benito</t>
  </si>
  <si>
    <t>Benito Sagües</t>
  </si>
  <si>
    <t>como donda mas qne un espejo. Tráxolo al lugar un cura, madre de los hijos y herede­ que lo puso en la sacristía para aliñarse la perilla , y ros de D. Benito Sagües.......... 5218 19 revestirse qnaodo salía á decir misa. Murió el cora, D. Pedro de Mora y Lomas....... 12495 30 y la señora Justa, su ama y su legítima y univers…</t>
  </si>
  <si>
    <t>Sagúes, Ildefonso</t>
  </si>
  <si>
    <t>Ildefonso Sagúes</t>
  </si>
  <si>
    <t>utista de Goisegundo de haber puesto por su parte todos los tia................................ 1148 4 medios para execntar el asesinato, ocultándose D. Ildefonso Sagúes.......... ............... 1043 24 con este fin en la casa del mismo Feret, á quien D. Genaro Martínez de Baños............. 1087 2 estuvo esperando todo el d…</t>
  </si>
  <si>
    <t>Sahun, Angel</t>
  </si>
  <si>
    <t>Angel Sahun</t>
  </si>
  <si>
    <t>Saiazar, Ramón</t>
  </si>
  <si>
    <t>Ramón Saiazar</t>
  </si>
  <si>
    <t>G. 15. Fermín Ace ved o, 12. D. Bernardo Soto, 10. D. Juan Falencia, 50. D. Pedro Montaivo , 10. D. Antonio Hernández , 10. B. Domingo Palacios, 10. D. Ramón Saiazar, 12. D. José Antonio Vidasolo, 25. D. Pe iro Au ionio de Casas, campanero de minas , 400. D. José Moreno , 10. D. Francisco Frevre, 100. D. losé Torres , 50. D. …</t>
  </si>
  <si>
    <t>Saiesa, Tadeo</t>
  </si>
  <si>
    <t>Tadeo Saiesa</t>
  </si>
  <si>
    <t>Fernandez, D. José Xímenez y Don Francisco M alano; á I03 tenientes D. Domingo Pallete, y D. Ro­ que B rrasie y D. Juan Rutista Roche; al subteniente D. Tadeo Saiesa ; al arquitecto D- Domingo Radiola, á D. Mu uel Beitran, D. José del Valle y D. Vicente Pastor; á los sargentos segundos Eugenio Q ii'cz, Joaquín Jarqué,'Ambrosi…</t>
  </si>
  <si>
    <t>Saimón, Manuel González</t>
  </si>
  <si>
    <t>Manuel González Saimón</t>
  </si>
  <si>
    <t>tro plenipoíenciaiio de S. M. C. en este rcyno, íué presenta­ do ai Gobierno el 21 do 1 corriente : le acompañó el encargado de negocies de España , D. Manuel González Saimón. " El general Fhlllpcn, gobernador francés que fue de Badajoz y llegó el 14 del presentí; mes á esta capital con su estado mayor, se embarcó ei 19 con o…</t>
  </si>
  <si>
    <t>Sainé, Manuel García y D José</t>
  </si>
  <si>
    <t>Manuel García y D José Sainé</t>
  </si>
  <si>
    <t>á subtenientes , á D. Francisco de Paula Perer „ sub­ teniente del regimiento de voluntarios de León, D. Benigno Y*nes, subteniente del de la Corona, D. Manuel García y D José Sainé, sargentos primeros de dicho batallón de zapadores, D José Be rito Seoane, subteniente de la extinguida compañía de gastadores, D. Pe-</t>
  </si>
  <si>
    <t>Saint-Cricq</t>
  </si>
  <si>
    <t>n de resuóas algunos peñascos de una monta­ Duplanty, y con la misma unanimidad. ña inmediata. En las comarcas circunvecina* se han Por lo tocante al capitán Saint-Cricq el con­ sentido también estos mismos terremotos. sejo falló á p'oralidad de seis votos contra dos , y La biblioteca del difunto Bast, consejero de la sin ate…</t>
  </si>
  <si>
    <t>Saint-Cyr</t>
  </si>
  <si>
    <t>to en do debo elogiar á los gefes de estado mayor del ser- movimiento desde Tilsit hacia el Dwina. gundo y sexto eperpos Yo tengo el honor de ser; El general Saint-Cyr ha tomado posición sobre con él mas profundo respeto, de V. A. el mas hu­ el Drissa. La derrota que ‘ufrió el enemigo en Pomilde y mas obediente &amp;c. =; Firmado…</t>
  </si>
  <si>
    <t>Sáinz, Pedro</t>
  </si>
  <si>
    <t>Pedro Sáinz</t>
  </si>
  <si>
    <t>früegas , D. Diego Barredayid José Ocharán y O. Manuel'de la Veñá, D. Antolin .M un arria y D. Pedro Pimtiós, todos baxo la preBideuciá del expresado D. Pedro Sáinz de; Baranda. Por acuerdo dél rtíisirto ayuntamiéiUG s#e ,dirigió a; los habitante» de Madrid un aviso , exhortándolos á la conducta que conrenia ob--</t>
  </si>
  <si>
    <t>Sal, Fernando</t>
  </si>
  <si>
    <t>Fernando Sal</t>
  </si>
  <si>
    <t>Manuel Alberga ti..... . 1 1 Ot^o..... Guardias v Oteo •. .... D. J v.é Ignacio Ter;-. • • • . 1 Español*. Pr.no i lev . D. M&amp;nuei Zorrilla....... 1 D. Fernando Sal*m i ca... . 1 U . 2.°.... P. Jeté Vaíde?. • .................. 1 1 | Total 3 [ ií) | 'J f K</t>
  </si>
  <si>
    <t>Sal, Juan</t>
  </si>
  <si>
    <t>Juan Sal</t>
  </si>
  <si>
    <t>nes. — Pa­ ra Lima: fragata Cantabria. Continúan los donativos del Perú. Administrador de correos de Atico D. Lorenzo Moran , 13 ps. fs. Id. de Ocuña D Juan Sal azar, 50. Id. de Catuana I). Nicolás Brice-ño, 25. Id. de Maxes 13. Juan Chaves, 20. id. de C-huquivaniba D. José Velarde, 10. Id. de Are­ quipa D. Agustín Hidalgo , …</t>
  </si>
  <si>
    <t>Salabarria, Miguel</t>
  </si>
  <si>
    <t>Miguel Salabarria</t>
  </si>
  <si>
    <t>,41 y 5. — Merinos y porteros. D. Manuel Otaroza, 45 v 6 y medio. D. Francisco de Paula Figueroa , 45 y 6 y medio. D. Antonio Perez , 45 y 6 y medio. D. Miguel Salabarria , 41 y 5. D. Boni­ facio López Ruiz , 3 y 4. D. Fernando de Mazo y su sobrino D. Francisco Penagos Mazo , 2000. El marques de Villafuerte , 1000. D. Manuel …</t>
  </si>
  <si>
    <t>Salado, Bernardino</t>
  </si>
  <si>
    <t>Bernardino Salado</t>
  </si>
  <si>
    <t>ia Gainza, 6 D. José Ariza, 6. D. Domingo Pombar, 16. D. Antonio Lardo, 16. D. Ramón Ribero, 10. D. José Juan de Echevarría , 25. D. Juan Midan, 100. D. Bernardino Salado . 12. D Ignacio Aviles, 100. D. José de.Silva , 6. D. Juan Ferrusola, 50. D. Atanasio l.arios , 10. D José Ponce , 2. D Jcsé de la Vera , 4. D. Pedro Gaieci…</t>
  </si>
  <si>
    <t>Salas, Feliciano</t>
  </si>
  <si>
    <t>Feliciano Salas</t>
  </si>
  <si>
    <t>12 y 4. D. Francisco Calero , id. de 1*. contaduría , 25. D. Martin Tallo , archivero , 25. D. Andrés Calero , escriba­ no del ramo , 33 y 2 y medio. D. Feliciano Salas , cobrador , 6 y 2. I). Fran­ cisco Fiorcs, oficial de expedientes y procurador del ramo , 10 y 3. ( Se continuará*) CADIZ : EN LA IMPRENTA REAL.</t>
  </si>
  <si>
    <t>Salas, José</t>
  </si>
  <si>
    <t>José Salas</t>
  </si>
  <si>
    <t>aria: cachernarin S. Antonio. Errata. En el suplemento al nüm. 18, pág. 165, lin. 3, dice eneyo ; debe decir febreroContinúan los donativos del Perú. D. José Salas , mayordomo de la cofradía de Jesús, María y Caridad , por sí , 100 ps. D. Fernando Bermudez , id. de Ntra. Sra. de la Paz , por sí, JOO. José Márquez, escribano c…</t>
  </si>
  <si>
    <t>Salas, Josef</t>
  </si>
  <si>
    <t>Josef Salas</t>
  </si>
  <si>
    <t>pormenores del horrible terremoto de Ve­ D. Blas García , presbítero y ex-tr¡r»itario cal­ nezuela. Casi 2® personas perecieron en la Guaira, zado, y D. Josef Salas, presbítero y ex-carmelica quedando inutilizadas las fortificaciones, y abierto descalzo, ambos con iguales partes de renta y de­ el camiao que va á Caracas, arru…</t>
  </si>
  <si>
    <t>Salas, Rairen</t>
  </si>
  <si>
    <t>Rairen Salas</t>
  </si>
  <si>
    <t>cto de aquí, D. Pedro de Mora y í¿ornas , vaya á servirla en comisión ; y por no estar satisfecho el gebterno de los serviciesdel prefecto de Toledo, D. Rairen Salas , lo manda retirar, debien­ do pasar á servir esta prefectura en comisión el prcficto que fe.ó de Xr-rez D. Juian María Ponce. Para Mórula h n nombrado pre­ fect…</t>
  </si>
  <si>
    <t>Salasar, Francisco</t>
  </si>
  <si>
    <t>Francisco Salasar</t>
  </si>
  <si>
    <t>cltsn tener en las plazas de Miranda, ia Cuba y Pancorbo, me retiré al. pueblo de Pust-- , distante una legua, adórala había convocado ni comandar.te D. Francisco Salasar para que próximo y práctico en el país, apoyase mis operaciones. pro dudamos que porte de la columna retrocedería, y la demás , según informes, pasaría á Ca…</t>
  </si>
  <si>
    <t>Salazar</t>
  </si>
  <si>
    <t>ías de Arcos á una partida de 40 hombres, de los quales mató ir, é hizo 10 prisio­ neros , cogiendo ademas 12 caballos. 7BATRO. Córdoba. La tropa del capitán Salazar , manda­ En el del Príncipe, á las siete de la noche, se re­ da por el comandante de la coiuna ambulante de presentará por la compañía española la comedia «n Gii…</t>
  </si>
  <si>
    <t>Salazar, Francisco</t>
  </si>
  <si>
    <t>Francisco Salazar</t>
  </si>
  <si>
    <t>res de Cantabria, al mando de su coronel D. Juan de la Ríva; los de Iberia, al de igual clase D. Francisco Longa, los de la Rioja al del mismo empleo D Francisco Salazar, y los cazadores de Castilla de á caballo mandados por el teniente coro­ nel D. Santos Padilla ; y en el mismo dia emprendí mi marcha sobre Burgos, aproximán…</t>
  </si>
  <si>
    <t>, con el sa­ crificio por nuestra parte de 34 muertos y 50 heridos.— No puedo menos ae recomendar muy particularmente el celo con que el co­ mandante D. Francisco Salazar ha prestado sus auxilios , y la pe­ ricia y arte con que ha obrado.— La execueion de todo y su éxito, de que me glorío, no m monos loable en los soldados y …</t>
  </si>
  <si>
    <t>Salazar, Manuel</t>
  </si>
  <si>
    <t>Manuel Salazar</t>
  </si>
  <si>
    <t>a de asamblea D. Pedro Basaldua", con su partida y piquete, 124.— Hacendados de la villa de Haaura. D. Sebastian Hurtado, 100. D. Manuel Villar, 100. D. Manuel Salazar, administrador de alcabalas 60. D. Fernando Ximenez, notario del santo ofi­ cio , 25. D. Agustín Aadrade, alcalde de españoles, 25. D. José Perez , ca-; pitan …</t>
  </si>
  <si>
    <t>Salcedo, Angel</t>
  </si>
  <si>
    <t>Angel Salcedo</t>
  </si>
  <si>
    <t>es sitmpre á propor­ juela, ep Vizcaya , para el entero de la misma, ción mas considerable en las grandes capitales; pe­ vacante por fallecimiento de D. Angel Salcedo. ro se lia disminuido mucho en la de Ñipóles, don­ de el número de los nacidos durante el año i8it ha sido de 12263, y el de los muertos de 13319; por consiguie…</t>
  </si>
  <si>
    <t>Salcedo, D Eustaquio</t>
  </si>
  <si>
    <t>D Eustaquio Salcedo</t>
  </si>
  <si>
    <t>aterrados con la desgracia de sus compail res - se volvieron á embrear á las .10 de la noche, y regresaron á Santsfia.— Juan López Campillo. B.° Del teniente coronel D- Eustaquio Salcedo, ’co twdunl-ve hit* sores francos de Rioja.—Oedttña 29 de fiartro de. IS12.— Jlscúo. Sr.s El 20 ddl presente mea salieron de Bilbao pa a Q. …</t>
  </si>
  <si>
    <t>Salcedo, Eustaquio</t>
  </si>
  <si>
    <t>Eustaquio Salcedo</t>
  </si>
  <si>
    <t>.................................... 15065 26% de 18 1 2. D. Juan Quintano.......................... 11550 Don Josef Napoleón por la gracia de Dios y D. Eustaquio Salcedo, por medio por la constitución del estado, REl de las Espinas de su apoderado D. Josef Dominy de las Indias. gnez...........................................…</t>
  </si>
  <si>
    <t>Salcedo, Josef Antonio</t>
  </si>
  <si>
    <t>Josef Antonio Salcedo</t>
  </si>
  <si>
    <t>Josef Gonzalo Ruiz de Texada.... 225 00 D. Basilio de Salcedo............ ........ 12600 D. Santiago Arias................................... 1459 33 D. Josef Antonio Salcedo..................... 12600 D. Manuel Celestino Carrasco , por sí Doña Juana de Abarrátegu¡.;;.í7........ 118800 y como apoderado de Doña Juana D. Ramón …</t>
  </si>
  <si>
    <t>Salcedo, Manuel</t>
  </si>
  <si>
    <t>Manuel Salcedo</t>
  </si>
  <si>
    <t>evallos, 50. D. Espíritu Zamudio, 12. IX Fermín Hernández, 25. D. Nicolás Berrocal , 25. D. Francisco Xavier de Arias , 25. D. Dionisio Mesedua , 25. D. Manuel Salcedo , 12. D. Juan de la Cruz Mesa, 12. D. Melchor Mal partida, 25. D. Juan Antón o Gaona, cu­ ra de Carhuamayo , 100. D. Mariano Avellaneda, cura de Yanahuanca, 10…</t>
  </si>
  <si>
    <t>Salcedo, María Manuela</t>
  </si>
  <si>
    <t>María Manuela Salcedo</t>
  </si>
  <si>
    <t>.... 5979 bache ; pero la luna era buena, aunqne estaba lle­ D. Luis Cancano de Cancio..... . 752» 2 na de manchas, y todo él perdido de polvo y mal­ Doña María Manuela Salcedo, tratado, como que habia andado siempre en ma­ como viuda de D. Francisco nos de monaguillos y sacristanes. Mas con todos Machado,....................…</t>
  </si>
  <si>
    <t>Saldarriaga, Francisco</t>
  </si>
  <si>
    <t>Francisco Saldarriaga</t>
  </si>
  <si>
    <t>Francisco Xavier Chaire, y á Don de linea D. Josef Melchor de Anguita á capitán en Graciano Leger, ay udante sob-oficial, á subte­ la misma arma; y á D. Francisco Saldarriaga, ca­ niente en la vacante de D. Jnin Bautista Pichard: pitán del regí miento núm. i.* de cazadores á ca­ eo lot esquadrooes de lanceros españoles á D. J…</t>
  </si>
  <si>
    <t>Saldias</t>
  </si>
  <si>
    <t>compañeros, con la felicidad de no haber tenido ni un muerto ni herido de nuestra parte. Debo reco­ mendar á V. S. al capitán D. Matías Iizarbe y al sargento Saldias, que hicieron prodigios, como se ve por el resultado. Dios &amp;c. —Félix Sarasa. — Sr. D. Francisco Espoz y Mina.” Cádiz 30 de Octubre. A consecuencia de haber muer…</t>
  </si>
  <si>
    <t>SalfikoW</t>
  </si>
  <si>
    <t>a de de la órden Teutónica, saldrá de aquí el día 19 los ministros, y presidida por el Lid-mari tal para Prcsburgo i efecto de disolver la dieta hún­ conde SalfikoW, para dar instrucciones y órdenes gara en nombre del Reí, y como comísatio suyo, i todos los miniaros dotante la ausencia de S. M, Díce&gt;e que S. M. convocará otra…</t>
  </si>
  <si>
    <t>Salgado</t>
  </si>
  <si>
    <t>presente año: se hallará en su despacho á real cada exemplar. Sistema físico-médico-político de la peste, su preservación y curación, que escribió el doctor Salgado para el uso de las diputaciones de sanidad de estos reynos: un tomo en octavo. Obra pia y eficaz modo para remediar la miseria de la gente pobre de España, que es…</t>
  </si>
  <si>
    <t>Salgúese, Hipólito</t>
  </si>
  <si>
    <t>Hipólito Salgúese</t>
  </si>
  <si>
    <t>co Heno............. • • 1 Sarg. mayor / el coronel. D. Manuel Bayena............. • 1 Cádiz. 1 j Teniente. . D. Miguel Angulo....... • ■ Subteniente D. Hipólito Salgúese?.... • • 1 0 ^Ofcro .... D. José Fernandez...... • • 1 ¡ C Primer cap. D. Luis Huerga........ 1 • • ■\ | ídem. . . . D. Francisco Lacón*.... Idem 2.a . . D.…</t>
  </si>
  <si>
    <t>Salinas, Don Anselmo Manuel</t>
  </si>
  <si>
    <t>Don Anselmo Manuel Salinas</t>
  </si>
  <si>
    <t>Andrea Huerta, 1, Doña Fran­ cisca Pineda, 1. D. Juan Villanueva, 1. Doña Manuela Pelaez , 1. Varios individuos, 3 y 7 reales. — Pueblo de Sayán. El capitán Don Anselmo Manuel Salinas, 100 pesos, D. Francisco Santibañez , 25, y ofrece igual cantidad cada año durante la guerra. El presbítero D. Gerónimo Mata­ moros , 25 , y ot…</t>
  </si>
  <si>
    <t>Salmo, Manuel González</t>
  </si>
  <si>
    <t>Manuel González Salmo</t>
  </si>
  <si>
    <t>969</t>
  </si>
  <si>
    <t>&amp;lí. PORTUGAL. Lisboa 4 de menrx&amp;o El gobierno supremo ha expedido el decreto siguiente : ,,Habiendo representado el encargado de negocio» de España, D. Manuel González Salmo», el miserable estado á que se hallan re­ ducidos los habítenles'dé la Extremadura española por la escasea de víveres que allí se experimente, á causa d…</t>
  </si>
  <si>
    <t>Salmón, Manuel</t>
  </si>
  <si>
    <t>Manuel Salmón</t>
  </si>
  <si>
    <t>emadura; del gobernador , ayuntamiento y vecinos de Ciudad-Rodrigo , y de los individuos de la inspección general de caballería y dragonea : el 5, de D. Manuel Salmón, encargado que fue de negocios en Portugal* manos del ministro de España: en Portugal: el 7, de la universi-</t>
  </si>
  <si>
    <t>Salmón, Pantaleon</t>
  </si>
  <si>
    <t>Pantaleon Salmón</t>
  </si>
  <si>
    <t>soro público los ex-regnlares que se expresan á D. Josef de Cuerno, id. de Cueto.............. 2209 continuación, por las cantidades que respectiva­ D. Pantaleon Salmón, id. de’Camargo....... 2200 mente se let designan. 0. Joaquín de la Peña y id. de Solórzano. *2200 Rs. VD. D- Francisco de Acero, id. de1 Santa Gadea. 2200 I&gt;…</t>
  </si>
  <si>
    <t>Salmoo, Juan</t>
  </si>
  <si>
    <t>Juan Salmoo</t>
  </si>
  <si>
    <t>.............. ...................... 2200 eo ei vafe de Cieza................. ................... 2200 Doña Joaquina Monroi y Saavedra, id.M.. 2200 D. Juan Salmoo, id. del lugar de Revilla. 22OÓ Doña Juana Maestranza y Aguilar , id...... 2200 0. Bernardo García , id. de Reocin.......... 2200 0. Fernando Fernandez dé Sempron…</t>
  </si>
  <si>
    <t>Salomer, Francisco Ferrer</t>
  </si>
  <si>
    <t>Francisco Ferrer Salomer</t>
  </si>
  <si>
    <t>s , id. , 9. D. Juan de Jesús Gómez , por 2, 18. D. Lojye Morales, por 4., 30. el presbítero D. Manuel Echevarría, id. 36. D. Manuel Díaz, por 10,90. D. Francisco Ferrer Salomer y sus hijos, du­ rante dos años, por 2, 18. D. Sebastian de Espinosa y sus hijos, id., 18. Don José Uz, por un año, por uno, 9 D. Antonio Bocalandro …</t>
  </si>
  <si>
    <t>Salrikow, Alexandro</t>
  </si>
  <si>
    <t>Alexandro Salrikow</t>
  </si>
  <si>
    <t>s ú&lt; timas cartas de Sto. Domingo dicen que chejew, del duque de Richelieu y de muchos Petion ha alcanzado nuevos triunfos sobre Cristó­ edecanes. El conde Alexandro Salrikow ha que­ bal, y en Puerto Príncipe ha publicado una ór- dado encargado de la secretaría de Negocios exden Hel día, declarando beneméritos de la patria á …</t>
  </si>
  <si>
    <t>Salsas, Ventura</t>
  </si>
  <si>
    <t>Ventura Salsas</t>
  </si>
  <si>
    <t>siguientes. Sugetosá quienes pertene­ Núme­ cen según su BTltiiifo ros. Creaciones. Clase. endoso. 20173 De i.P de setiemb. de 1807. De 300 pesos. A D. Ventura Salsas. 150376' i.°de setiemb. de 1806. De 150 pesos. A D.a Josefa del Cas•. tillo Gutiérrez. 226296 i.°de enero de 1806.... De 150 pesos. A D. Vicente Barbe-: : ría. …</t>
  </si>
  <si>
    <t>Salto</t>
  </si>
  <si>
    <t>vincia de Mechonean, dirige al 8r. virev desde Valladolid el 14 de Mayo un parte, comunicándole haber sufrido la pena de garrote en aquella ciudad el presbítero Salto, é incluyéndole los documentos re­ lativos á este suceso', y son los siguientes: l.° Parte (en extracto) &lt;W capitán JJ. Juan Pesquera desde Valiado1 id tb 8 de …</t>
  </si>
  <si>
    <t>Salto, José María Guadalupe</t>
  </si>
  <si>
    <t>José María Guadalupe Salto</t>
  </si>
  <si>
    <t>.” 4.° „E1 R. obispo contestó inmediatamente á D. Torcuato Truxilio que eran públicos y notorios en aquella ciudad y en la provincia los crímenes del presbítero José María Guadalupe Salto. Se hace cargo de su reincidencia en la rebelión , y de la profanación escan­ dalosa que ha hecho de su sagrado ministerio , así con la sed…</t>
  </si>
  <si>
    <t>Samaniego, Eustasio</t>
  </si>
  <si>
    <t>Eustasio Samaniego</t>
  </si>
  <si>
    <t>, í capitán; á D. Martin Alos y D. Jotef Gi ra Ido , subteniente* , á tenientes, y ¿I sargento Por decretos de i.* del corneóte &lt;e tu servido primero D. Eustasio Samaniego á subteniente: en S. M. promover eo el regimiento de tiradores de el regimiento i.° de cazadores á caballo a D. Joa­ la guardia real á I&gt;. Francisco Xavier…</t>
  </si>
  <si>
    <t>Samper, Francisco</t>
  </si>
  <si>
    <t>Francisco Samper</t>
  </si>
  <si>
    <t>‘.eren fortificado; y les nuestros, careciendo de artillería coa que batirlo, se retiraron. Alicante 9 de julio. „E1 comandante general de guernl *s, D. Francisco Samper, da jarte al comandante general del reyno, de que una de las gnerriÍlas de patriotas ata ó el día 17 del me; pasado á la guarnición fran­ cesa qu; estaba en …</t>
  </si>
  <si>
    <t>San</t>
  </si>
  <si>
    <t>a de infantería de cazadores de mon­ Fabiani. taña del Almadén. En el de la Cruz, á las cinco de la tarde, se exeAl subteniente qne fue de caballería D. San­ cutara la comedia titulada la Muger prudente, con tttiago González subteniente de la compañía de ca­ nadílla y sainete. EN LA IMPRENTA REAL,</t>
  </si>
  <si>
    <t>nquilidad, que to­ A D- Juan Montero Espinosa para el deCani-i do hombre desea. Prométese á cada clase lo qué lias de Torneros, vacante por muerte de D. San­ mas anhela ; privilegios y .consideración á dbs- no­ tiago Terrero. bles , «tapíeos y mandos á-Toí-ambiciosos :,‘ áV co­ Y á D. Joaquín Calvo para la vicaría de Na­ merc…</t>
  </si>
  <si>
    <t>80 17 mismo año, pues él solo previo un éxito Dvorabio D. Francisco Ramos, y en sq de la arriesgada maniobra que proporcionó esta nombre so apoderado D. San­ ventaja, y que rodos graduaban de temeraria. tiago Santos............................... 90 8§ Se le debió también en i.° de noviembre si­ guiente la salvación de las es…</t>
  </si>
  <si>
    <t>Sán, Benito</t>
  </si>
  <si>
    <t>Benito Sán</t>
  </si>
  <si>
    <t>. D. Josef Hernández Martínez, igualmente abogado. Por agentes fiscales á D. Simeón García Pericacho y D. Francisco Mariano Bustamante. Por relator á D. Benito Sán­ chez Parga: y por escribanos principales, con facultad de que nombren los de diligencías^que sean de su confianza , baxo de su responsabilidad, á D. Juan Garrido,…</t>
  </si>
  <si>
    <t>Sán, Juan Bautista</t>
  </si>
  <si>
    <t>Juan Bautista Sán</t>
  </si>
  <si>
    <t>, 30, D. Nicolás Angulo, 25. D. Juan Madriñan, 30. D. Manuel Ignacio Aguirre, 10 D. Francisco Ortias , 20. D. Miguel Guerrero , 10. D. Pedro Díaz, 25 D. Juan Bautista Sán­ chez, 6. Juan Al varado, 8. D. Vicente Sánchez, 6 D. Manuel Crespo , 6. El ilustre cabildo, 12J00. D. Francisco Oramas, 16 D José Moran por resto de los pu…</t>
  </si>
  <si>
    <t>San, Julián</t>
  </si>
  <si>
    <t>Julián San</t>
  </si>
  <si>
    <t>resistencia, si hubiese sido necesario. (Pero se olvidó de organizar los medios para la seguridad de supers-n'i r y se dexó coger por íos lanceros de D. Julián San hez , casi á las mismas puertas de la plaza, el 14 de octubre, á los 14 dias de escrito por Dorsenne su elogio.) „Envio á V. A. un estado de los oficiales que se h…</t>
  </si>
  <si>
    <t>Sán, Julián</t>
  </si>
  <si>
    <t>Julián Sán</t>
  </si>
  <si>
    <t>305</t>
  </si>
  <si>
    <t>españoles , pues cabalmente ahora que necesitan de mas fuer­ zas , es euando tratan de licenciarlos. Antes de ayer, una partida de los carabineros de D. Julián Sán­ chez acometió á los enemigos que había en Calvarrasa, y los puso en fuga, -persiguiéndolos hasta cerca de Alba, En este reencuentro tuvo el enemigo 16 muertos y 5…</t>
  </si>
  <si>
    <t>San, Manuel</t>
  </si>
  <si>
    <t>Manuel San</t>
  </si>
  <si>
    <t>bre los nape- clérigo menor, para una canongía de la colegiata de lítanos.; pero se dexa de decir que la mayor par­ Antequera, diócesis de Málaga ; á D. Manuel San­ te de las víctimas pertenece á las tropas sicilianas, tiago Rodríguez, presbítero y capellán de_ la capi­ que sirven baxo las órdenes de los ingleses, y á lla lla…</t>
  </si>
  <si>
    <t>Sanabria, Andrés</t>
  </si>
  <si>
    <t>Andrés Sanabria</t>
  </si>
  <si>
    <t>Porcuna........... 2200 D. Felipe de Siles, id. en Valdepeñas de Ex-mínimos. Jacú.............................................................. 2200 D. Andrés Sanabria , residente en Madrid. 2200 D. Juan Zurita, id. en Andújar.................. 2200 D. Manuel de Heredia, id. en Bedmar...... 2200 Ex-capuchinos. D. Miguel Villa…</t>
  </si>
  <si>
    <t>Sanano, A'exaúdro</t>
  </si>
  <si>
    <t>A'exaúdro Sanano</t>
  </si>
  <si>
    <t>n mandar hacer públicos por medio déla gaceta unos sentimientos que hacen tan dígaos de la gratitud de los buenos espa­ ñoles á los nebíes yucatecos. D. A'exaúdro Sanano , vecino de la villa del Arahal, ha hecho el dcn*tivo de 3250 reales, á fia de contribuir en algún modo á las muchas urgencias de la hacienda nacional: y al …</t>
  </si>
  <si>
    <t>Sañarti, Antonio</t>
  </si>
  <si>
    <t>Antonio Sañarti</t>
  </si>
  <si>
    <t>un real en cada marco de plata que funda en las reales caxas de Truxiiio en el término de un.año, y 50 pesos anuales por el de 5 años. El con­ tador D. Antonio Sañarti, 100. El asesor D. Manuel José Bravo de Rueda, 100. El secretario I). Joaquín García, 100. El oficial primero de la contadu­ ría D. Joaquín Mispireta , 50. El …</t>
  </si>
  <si>
    <t>Sánchez, Agustín</t>
  </si>
  <si>
    <t>Agustín Sánchez</t>
  </si>
  <si>
    <t>ña D. Juan Antonio Infantas, 4. í ! dp* Truxillo D. Miguel Sánchez, 100. interventor D. Celedonio Bowi, • • vi v Bou 12. A ¡ministrador de Guamachuco D. Agustín Sánchez , 50. Id, de Cajamarca T&gt; Miguel Espinnch, 504. Olioíal D. Pablo Espinaeh , 200. Administrador do Chaehapovas I). Andrés de Torres, 4 2. Id. de S. Pedro I). P…</t>
  </si>
  <si>
    <t>Sánchez, Andrés</t>
  </si>
  <si>
    <t>Andrés Sánchez</t>
  </si>
  <si>
    <t>. 1 Diputado eclesiástico Alcalde de barrio D. Felipe Montenegro. D. Pascual de Salinas. Diputados seculares Diputado eclesiástico IX Félix González. D. Andrés Sánchez. D- Gregorio Martínez Mollinedo. Diputados seculares D. Francisco Bermejo. D. Ramón Prieto y Onega. Secretario D. Manuel Ramos de Zafra. £X Juan Efeuriz. D. Fr…</t>
  </si>
  <si>
    <t>Sánchez, Antonio</t>
  </si>
  <si>
    <t>Antonio Sánchez</t>
  </si>
  <si>
    <t>nei Alcocer, residente en CovarB- D. Manuel MontíjaDC........................ ......... 2zoo bias, provincia de Burgos......................... 2200, D. Antonio Sánchez, id.....................................2200 D. Francisco Alvarez de Villanueva, id. D. Francisco ds la Cruz, id......................... 2200 en Madrid......…</t>
  </si>
  <si>
    <t>Sánchez, D Julián</t>
  </si>
  <si>
    <t>D Julián Sánchez</t>
  </si>
  <si>
    <t>avedad , del batallón de cazadores de Castilla. Debo, á la justicia el recomendar particular mente el nuevo mérito coa traído eji esta ocasión por «i coronel D- Julián Sánchez, comandante general</t>
  </si>
  <si>
    <t>Sánchez, Diego</t>
  </si>
  <si>
    <t>Diego Sánchez</t>
  </si>
  <si>
    <t>-capuchinos. 2 20° D. Nicolás Roxo , id........................ ................. D. Vicente Roxo , id......................................... 2 200 D. Diego Sánchez, residente en Córdoba.. 2200 D. Jos:f Escribano , id............. ........................ 2200 D. Josef María Muña Pavón, id................... 2200 D. Gcrónim…</t>
  </si>
  <si>
    <t>Sánchez, Domingo</t>
  </si>
  <si>
    <t>Domingo Sánchez</t>
  </si>
  <si>
    <t>rlos Villa-Chica, 8. D. José Sánchez, 6. D. José Alegre, 10. D. Mariano Lucar, 6. D. Toribio Echeverría, 6. D. Lino Figueroa , 2. D. Tomas Collas, 2. D. Domingo Sánchez , 6. D. Feliciano Eche­ varría , 2. D. Calixto López , 2. D. Gaspar de Castilla , 6. D. José Arana , 2. D. Benito Lacea, 2. D. Jorge Gadea, 6. D. Manuel Berga…</t>
  </si>
  <si>
    <t>Sánchez, Ensebio</t>
  </si>
  <si>
    <t>Ensebio Sánchez</t>
  </si>
  <si>
    <t>516, 69419,73328. El que los hu­ biere hallado , se servirá entregarlos , en Cádiz á su dueño, que vive calle de L. Carlos , nú ni. 65; ó en Murcia á D. Ensebio Sánchez , del comercio de aquella ciudad. CADIZ : EN LA IMPRENTA REAL.</t>
  </si>
  <si>
    <t>Sánchez, Femando</t>
  </si>
  <si>
    <t>Femando Sánchez</t>
  </si>
  <si>
    <t>sileros á D. José María Palomar ; tenencia de granaderos á D. José Garci- Aguirre, y de fusileros á O. Maca* rio Sánchez; subtenencia de granaderos á D. Femando Sánchez, y de fusileros á O. Ramón Muniz. En el batallón de milicias discipli­ nadas de Chiquimula, la sargentía mayor veterana á D. Pedro Gon­ zález , capitán del me…</t>
  </si>
  <si>
    <t>Sánchez, Francisco</t>
  </si>
  <si>
    <t>Francisco Sánchez</t>
  </si>
  <si>
    <t>nombrar para servir las sacristías, Para la de Pifiar, su último poseedor D. Fran­ vacantes en el propio arzobispado, pertenecientes cisco Garrido, á D. Francisco Sánchez , ex fran­ 2 su real patronato , á los sugetos siguientes: ciscano descalzo. Para L primera 'jcinth de la iglesia parroquial Para la de Beznar y Elchite á D…</t>
  </si>
  <si>
    <t>Sánchez, Jaban</t>
  </si>
  <si>
    <t>Jaban Sánchez</t>
  </si>
  <si>
    <t>ue no es fácil, es imposible que emprendan cosa alguna por falta de subsistencias y de medios de transporte. Madrid 90 de marzo. Acaba de saberse que D. Jaban Sánchez ha cogido en las inme­ diaciones de Arévalo unos 150 franceses que escoltaban un correo, conductor de pliegos de mucha importancia. Ayer se aseguró tam­ bién qu…</t>
  </si>
  <si>
    <t>Sánchez, Joaquín</t>
  </si>
  <si>
    <t>Joaquín Sánchez</t>
  </si>
  <si>
    <t>f Laguera. D. Antonio Liaño. Diputado eclesiástico y secretario Diputados seculares D. Josef Antonio lbarrola. D. Juan Bebndia. - Diputados seculares D. Joaquín Sánchez. D. Francisco Perez. D. Andrés Sevillano. D. Marcos González del Campillo. Secretario D. Benito Mendez. BARRIO DE AFLIGIDO». BARRIO DEL HOSPICIO. Alcalde de b…</t>
  </si>
  <si>
    <t>a y Prado, teniente, á capi­ dan nombrados consejeros de Estado íntimos, y tán fie la sexta compañía. empleados en nuestra secretaría como consejeros D. Joaquín Sánchez, teniente, á ayudante se­ relatores; y los consejeros de Estado Hoftmaon y gundo. Schultz Estará á cargo de dicha junta todo lo D. Manuel Alevio, ayudante seg…</t>
  </si>
  <si>
    <t>Sánchez, José</t>
  </si>
  <si>
    <t>José Sánchez</t>
  </si>
  <si>
    <t>tian al presidio del Saucillo, en donde pub íea lo el indulto del Sr. virey, tuvo la satisfacción de ver reunirse 102 fam lias; y habiendo nombrado á D. José Sánchez, vecino de Pacida, capitán d¿? patriotas de todos los pueblos de los curatos de Lauda y Xalpan , le encargó la prisión del coronel de rebeldes Jóse de Jesús, de …</t>
  </si>
  <si>
    <t>encia, 4. D. Casimiro Palma, 2. D. Antonio Ramírez, 2. D. José Mexia, 2. D. Hilario Olivera, 10. D. Ma­ nuel de Torres, 10. D. Carlos Villa-Chica, 8. D. José Sánchez, 6. D. José Alegre, 10. D. Mariano Lucar, 6. D. Toribio Echeverría, 6. D. Lino Figueroa , 2. D. Tomas Collas, 2. D. Domingo Sánchez , 6. D. Feliciano Eche­ varrí…</t>
  </si>
  <si>
    <t>Miguel Parrales, D. Francisco Ay uso, D. Miguel González, D. Antonio (González, D. Angel Liare, D. José Uiloa,D Francisco Acosta, D. Justo Clemente, D. José Sánchez, D. Eustaquio Hidalgo, D. Basilio Aguado, D. Tomas Aparicio, Don Fernando Villanueva, D. Antonio Ansaldo , D. Sebastian de Moya, D. Antonio María Portaz, D. Anton…</t>
  </si>
  <si>
    <t>Sánchez, José Ruta y D Francisco</t>
  </si>
  <si>
    <t>José Ruta y D Francisco Sánchez</t>
  </si>
  <si>
    <t>D.-An­ tonio Guarnan, O. F^u4ino Rubio, D. José García Peña, D. Fmi* cisco Ármendi, D/M^íchor. de S^m&amp;mvas ,• IX Antonio Baquero, e! cabo de brigada D. José Ruta y D Francisco Sánchez. T^dos losdemas qus seL-iaaüsnron.en el-cistiiio hada su entrega.ai señor gene­ ral en gafe , se'portaron con la mayor bizarría y fidelidad. CA…</t>
  </si>
  <si>
    <t>Sánchez, Josef</t>
  </si>
  <si>
    <t>Josef Sánchez</t>
  </si>
  <si>
    <t>guel Parrales, D. Francis­ co Ayuso, D. Miguel González, D. Antonio González, D. Angel Llave, D. Josef Ulloa, D. Francisco Acosta, D. Justo Clemente, D. Josef Sánchez, D. Eustaquio Hidalgo, D. Basilio Aguado, D. Tomas Aparicio, D, Fernando Villanueva, D. Antonio Ansaldo, D. Sebastian de Moya, D. Antonio Ma­ ría Portaz, D. Ant…</t>
  </si>
  <si>
    <t>Sánchez, Juan</t>
  </si>
  <si>
    <t>Juan Sánchez</t>
  </si>
  <si>
    <t>................ ........................ 2200 D. Joan Colosno, id..................................... 2200 D. Francisco Andrés, residente en Vicál- D. Juan Sánchez, id...................................... 2200 varo.......................... 2200 D. Juan de Ortega, id.................................. 2200 D. Manuel Gallego…</t>
  </si>
  <si>
    <t>Sánchez, Juan de Mata</t>
  </si>
  <si>
    <t>Juan de Mata Sánchez</t>
  </si>
  <si>
    <t>e liemos de recobrar la reputación pen­ teniente que fue del regimiento de infantería de dida , amenazando y sometiéndonos á todo con re­ Guad.iLxara D. Juan de Mata Sánchez teniente signación , ó empezando sin prudencia ni previsión del regimiento de M.Jrid, r.° de infantería de lí­ hostilidades temerarias , quando estamos t…</t>
  </si>
  <si>
    <t>Sánchez, Julián</t>
  </si>
  <si>
    <t>Julián Sánchez</t>
  </si>
  <si>
    <t>yo haya omitido ; y suplico á V. E. in­ forme al gobierno español, que he debido mucho á este oficial, al mariscal de campo D. Cárlos de España , y á D. Julián Sánchez para el buen éxito de esta operación. — Los pueblos de Castilla han inosírado en esta ocasión , y en todas las demás en que he teni­ do alguna cosa que tratar …</t>
  </si>
  <si>
    <t>190</t>
  </si>
  <si>
    <t>aras de paño, cogidas á los enemigos, y con­ tinuamente sucede lo mismo con granos y otros efectos de que se apoderan ios destacamentos y lanceros de D. Julián Sánchez. — Ea la noche del 11 dieron de puñaladas en la calle al renegado Rodrí­ guez Vega, comisario de policía; pero parece que está ya fuera de riesgo, aunque no el…</t>
  </si>
  <si>
    <t>e tenemos de yernos labres de ellos muy en brere. Los puestos avanzados de los aliados llegan hasta Taraames, y los lanceros de Costilla del mando de D. Julián Sánchez á Vitigudi110, por ía parte de Ledesma, y por esta y Alba á S. Pedro de Roza­ dos y sus cercanías. Valladolid 16 de febrero. No ha quedado aquí mas tropa que u…</t>
  </si>
  <si>
    <t>ar de sus provisiones á los ve­ cinos. La caballería inglesa ocupa á Tama mes, y sus avanzadas llegan hasta una legua de esta ciudad. Los lanceros de D. Julián Sánchez están también en las inmediaciones. En algunas cartas recientes de Francia, se dice que Napoleón ha dado orden rotunda para que se sostenga ía plaza de Badajoz…</t>
  </si>
  <si>
    <t>Coa, trata de introducir un convoy en la plaza de CiudadRodrigo, en la cual rey na el mayor entusiasmo. La guarnición cons­ ta de unos 5000 hombres. D. Julián Sánchez con 700 caballos se ha dirigido hacia Toro, con el designio de interceptar los convoyes ene­ migos que no vengan bien escoltados. Un partidario ha cogido parte …</t>
  </si>
  <si>
    <t>sturias que se moviesen sobre Leoa, donde el brigadier Moreno habia obtenido algunas ventajas sobre un destacamento frunces en Otero de las Dueñas. — D. Julián Sánchez ha continuado también con su caballería en Castilla, donde ha inquietado con felicidad los convoyes y comunicaciones del enemigo. ,,Sé por noticias recibidas d…</t>
  </si>
  <si>
    <t>deración y respeto de todo el exército. ,,Por todas razones estoy satisfecho de la conducta del mariscal -de campo D. Carlos España, y del briga iier D. Julián Sánchez, y délas tropas de su mando respectivo, así como de la del mariscal de Campo I). Miguel de Alava, y del brigadier D. José Olawlor, empleados en este exército p…</t>
  </si>
  <si>
    <t>timación de todo el exército. Ele tenido todos los motivos para ectar satisfecho de la conducta del ma­ riscal de campo D. Carlos de España, de la de D. Julián Sánchez, asi como de las tropas de sus respectivos mandos: igualmente han llamado mi atención la buena conducta del mariscal de campo D. Miguel de Alava y del briga­ d…</t>
  </si>
  <si>
    <t>ia de la evacuación de aquella ciudad. Están en nuestro poder los inmensos almacenes de granos que el enemi­ go se dexó en Palencia. La caballería de D. Julián Sánchez ha sido reforzada con las partidas de Abril, el Cocinero, Castilla, Saornil, Príncipe y otras. Han sido vanos los esfuerzos de todas estas tropas por alcanzar …</t>
  </si>
  <si>
    <t>to en la venta del Pozo una brigada de caballería del mayor general Bocks para protegerla; todo a! mando del teniente general Sir Stapelc-ton Cotton. D. Julián Sánchez marchó por la izquierda del Arianzon , y la partida de guerrilla, mandada antes por el difunto Marquinoz, se­ guía por lás alturas de la izquierda de. nuestra …</t>
  </si>
  <si>
    <t>Sánchez, Leoncio</t>
  </si>
  <si>
    <t>Leoncio Sánchez</t>
  </si>
  <si>
    <t>lenzaela se forma­ D. Agustin Cubero, de granaderos. rá una compañía. D. Francisco de Ribas, de tiradores. D. Joaqnin Peralez queda nombrado espiran; D. Leoncio Sánchez. D. Pablo Olivas teniente, y D. Juan Josef Gu­ D. Josef Buelga.*. ' tiérrez sobtenientel D. Pedro Espinosa. art. vii. -En la villa de Pedroche se formará D. J…</t>
  </si>
  <si>
    <t>Sánchez, Manuel</t>
  </si>
  <si>
    <t>Manuel Sánchez</t>
  </si>
  <si>
    <t>ue Dios Ies hubiese tocado en el ros , coroneles del mismo real coerpo; á D. Ale­ corazón, y que se hubiesen convergido. Y eso ¿qué jandro Rivacoba y D. Manuel Sánchez, coman­ importa? dixo el barbero; defiéndannos ellos , y dantes de batallón del real cuerpo de artilJerra, co­ tnas que sean moros;' y como nosotros hagamos ro…</t>
  </si>
  <si>
    <t>Sánchez, Mariano</t>
  </si>
  <si>
    <t>Mariano Sánchez</t>
  </si>
  <si>
    <t>ariscal.................. 1 Otro • •... D. Manuel Campos............. .. 1 Subteniente: D. Baltasar De’gadc............. 1 « StVÑensa Otro........... D. Mariano Sánchez............. 1 Otro • • • • i O. Félix Basiane.................... 1 Otro * . . . . D' Jitc Redi... .. ...... l ''Sarg. may» r D. Joré Vidal..................…</t>
  </si>
  <si>
    <t>Sánchez, Miguel</t>
  </si>
  <si>
    <t>Miguel Sánchez</t>
  </si>
  <si>
    <t>on , 200. Id. de Pativilca D. Toribio Herrera, 17. id. de Cha­ cas D. Antonio Navarro, 25.14. de Ncpeña D. Juan Antonio Infantas, 4. í ! dp* Truxillo D. Miguel Sánchez, 100. interventor D. Celedonio Bowi, • • vi v Bou 12. A ¡ministrador de Guamachuco D. Agustín Sánchez , 50. Id, de Cajamarca T&gt; Miguel Espinnch, 504. Olioíal D…</t>
  </si>
  <si>
    <t>Sánchez, Pablo</t>
  </si>
  <si>
    <t>Pablo Sánchez</t>
  </si>
  <si>
    <t>funciones, no dexando que desear; como asimismo el gefe de ingenieros el. te­ jiente. coronel D. Eugenio Isuurqui , y el de igual clase de artillería D. Pablo Sánchez y mis ay udantes de campo.— El ministro de real hacienda ha desempeñado lo perteneciente á su ramo. — Todo lo que pongo en conocimiento de V. Ei para su satisfa…</t>
  </si>
  <si>
    <t>Sánchez, Pedro</t>
  </si>
  <si>
    <t>Pedro Sánchez</t>
  </si>
  <si>
    <t>id.,..:................ . 2 200 D.Juan Josef Garrido , residente en MonD. Iuan'Munoz-, residente en Montilla...... 2 iOO retnayor.............. 2200 D. Pedro Sánchez , id. en Castro de) Rio.. 2 IOO D. Juan Galán y Njdües, id....................... 2200 1). Felipe del Olmo, id. en Ecija................. 2200 D. Antonio Nadales…</t>
  </si>
  <si>
    <t>Sánchez, Santiago</t>
  </si>
  <si>
    <t>Santiago Sánchez</t>
  </si>
  <si>
    <t>16 Continúan los dónaivoos del Perú. Oficiales segundos. D. Juan Inocente Casas , 66 pesos y 5 reales. Don. Fr ancisco González Calvez , 66 y 5. D. Santiago Sánchez , 66 y 5. D. Fran­ cisco Iriondo , 66 y 5. D. Bartolomé Grillo , 66 y 5. D. José Julián de Sologuren, 66 y 5. D. Eustaquio Ortiz, 66 y 5. D. Juan Sanz, 66 y 5. Do…</t>
  </si>
  <si>
    <t>Sánchez, Vicente</t>
  </si>
  <si>
    <t>Vicente Sánchez</t>
  </si>
  <si>
    <t>dad D. Domiago Mesquia, 10. Los demas individuos de la tripulación da dicho buque , 20 y 6. La tripulación del buque S. Nicolás , 2. El contramaestre D. Vicente Sánchez , 10. Cuatro indi­ viduos de mar , 7 y 2. El monasterio de Sta. Rosa, 80. Los resguardos , una mesada cada individuo que importa , 3039 y 4 y tres cuartos. El…</t>
  </si>
  <si>
    <t>D. Manuel Ignacio Aguirre, 10 D. Francisco Ortias , 20. D. Miguel Guerrero , 10. D. Pedro Díaz, 25 D. Juan Bautista Sán­ chez, 6. Juan Al varado, 8. D. Vicente Sánchez, 6 D. Manuel Crespo , 6. El ilustre cabildo, 12J00. D. Francisco Oramas, 16 D José Moran por resto de los pulperos, 122. Doña Francisca Cortazar, 62 y 4 D Fran…</t>
  </si>
  <si>
    <t>uy particular el sargento mayor del bata­ llón de Lena D. Froylan Vigo, que con las quatro compañías de cazadores de estos batallones, sus auxiliares D. Vicente Sánchez, de Cataluña; Don Bernardo García, de Lena; D. Josef Duran, de Sigiienza; D. Cecilio Ayllon, de Ciudad-Real, y demas subalternos, traspasaron la esfera de la …</t>
  </si>
  <si>
    <t>Sancho</t>
  </si>
  <si>
    <t>ensores decían ser , no proscribieran for­ á Alfonso el Sabio á llamar á la sucesión á su hijo malmente el tomar las armas en su abono. ¿Cómo segundo D. Sancho iv, en perjuicio de los infantes era posible que una revolución, cuyo, motivo era de la Cerda. La victoria de Ylouriel puso el cerro restituir ei trono español á una f…</t>
  </si>
  <si>
    <t>, y nos fué fácil adquirir cuantas noticias creimos conducen­ tes para nuestro plan. Llegó por fin el mismo D. Tomas Taylor, y creyendo tratar con el comandante Sancho y el ministro del estable­ cimiento , nos entregó los pliegos del gobierno revolucionario. En breve rato nos impusimos del objeto de su mi don, y de los fines …</t>
  </si>
  <si>
    <t>Sancho, Francisco</t>
  </si>
  <si>
    <t>Francisco Sancho</t>
  </si>
  <si>
    <t>apita­ nes D. Eustasio Martínez, D. Julián Pérez, al ayudante meyor Don Francisco -X buenoai subteniente D. Francisco Martínez, ai según» do ayudante D. Francisco Sancho, al cabo primero Angel Solía, y al soldado Nicolás Manes, que se distinguieron.” (Boletín del sexto exército.) ValhidoHd 6 de marzo. Las fuerzas enemigas que…</t>
  </si>
  <si>
    <t>Taylor le hizo varias preguntas, á las que contestó González con tanta serenidad , que lejos ¿de sospechar de él le entregó ama carta para su segundo D. Francisco Sancho, en la que le pedia un caballo para pasar al castillo, y algunos refrescos. En muy pocas horas corrió González las 25 leguas que le sepa­ raban de nosotros, …</t>
  </si>
  <si>
    <t>Sancho, Francisco Marín</t>
  </si>
  <si>
    <t>Francisco Marín Sancho</t>
  </si>
  <si>
    <t>e Aüiusco , les melé 136 hombre?, y les cogí los 36 cairos, como ISO mutas, y 28 prisioneros, entre ellos 2 oficiales. Por mi parte perdí ai ayudanta D. Francisco Marín Sancho, muerto, otros 2 soldados también muer­ tos , 5 herid js y 7 caballos. Se distinguió el batallón de infantería que maniobró á íes órdenes del capitán D…</t>
  </si>
  <si>
    <t>Sandoval, Francisco Navarro</t>
  </si>
  <si>
    <t>Francisco Navarro Sandoval</t>
  </si>
  <si>
    <t>n, mariscal de campo de los reales exércitos, y comandante general interino militar de esta capital y Castilla la Nueva &amp;c. Habiendo sido aprehendido D. Francisco Navarro Sandoval disfrazado de clérigo, con pasaportes fingidos, y un escrito del mariscal Soult para el Rey intruso, que llevaba dentro de un boton con rosca, ha s…</t>
  </si>
  <si>
    <t>Sano, Genaro</t>
  </si>
  <si>
    <t>Genaro Sano</t>
  </si>
  <si>
    <t>Ruiz de Cárdenas y D. Jo¿é Teyneire del regimiento de Tuy , con sus subalternos los tenientes D. Gabriel Se­ dó y D. Luis Tlxeyro, y los subtenientes D. Genaro Sano, D. Ma­ nuel Blanco y D. Andrés González , el capitán del de Mortrey, D. Jo é Salgado, ios tenientes de granaderos y cazadores del mismo cuerpo D. Juan Suances, D…</t>
  </si>
  <si>
    <t>Sansón</t>
  </si>
  <si>
    <t>de este cuerpo huye hacia Dorogobugsh, y la otra se dirige á Doughovtchstchina, perseguida muy de cerca por los cosacos y la caballería ligera. „ El general Sansón, cuartel maestre-general de ¡todo el exército flanees, ha sido hecho prisionero con SCO hombres de diferentes gra­ dos , en el ala derecha, por el general Platow, …</t>
  </si>
  <si>
    <t>Santalla, Manuel</t>
  </si>
  <si>
    <t>Manuel Santalla</t>
  </si>
  <si>
    <t>. S. Lucas de Cachapalca , 20, — Comerciantes y mineros de Irasco Comerciantes , 4905. Mineros ; D. Francisco Liaño, dipu­ tado de primer voto , 300. D. Manuel Santalla , id. de segundo voto , 50. D. Eugenio de Burtubay , 500. D. José Lago y Lemus , 100, y ofrece )o mis­ mo anualmente durante la guerra. D. Miguel Alvarez , 50…</t>
  </si>
  <si>
    <t>Santallana, Leocadio</t>
  </si>
  <si>
    <t>Leocadio Santallana</t>
  </si>
  <si>
    <t>Rodriguez de Mendoza ofrece 100 pesos en cada -tir: año de ios que dure la guerra, y ha entregado 200. D. Juan de Dios Ola■ciiea , vice-rector , 25. D. Leocadio Santallana , id., 25. D. José Freyre , id. 0 -25. D. José Ostolaza, regente y vice-rector honorario , 25. D. Francisco Pas­ tor , capellán y maestro , 12. D. Pedro Am…</t>
  </si>
  <si>
    <t>Santiago</t>
  </si>
  <si>
    <t>eal Extraugiro; Chauved (D. Pedro), soldado de tiradores de la Irazabal (D. Rafael), comisario de guerra dt4 guardia real. ‘ primera clase. . Cholet (D. Santiago), soldado de caballos ligero) Jáuregui (D. Manuel) , g«fe de división del midéla guardia real. ' ‘ 'nisteifi'o dé la Justicia. Codaut ( D. Cárlos), pagador de la güe…</t>
  </si>
  <si>
    <t>D. Mánnel)., subteniente del regimien­ de Córdoba. to de Castilla, i.° de infantería ligera. Parejo (D. Alfonso), sargento de'húsares de la Vellart ( D. Santiago), sargento segundo del re­ guardia real. gimiento 4.0 de cazadores á c-,bailo. Patullo (D. Luis), cabo del regimieato cóm. 4.* Verdejo GaDzalez ( D. Francisco) , cat…</t>
  </si>
  <si>
    <t>jos sanguinarios. En Europa, ran, beneficiado de S. Andrés de Madrid. desoían los países para dominarlos después mas á Para el de Fuente la Higuera á D. Santiago su placer, abandonan á los Reyes que han servido Hernández Medina, cora de Zarzalejo. ciegamente á sus caprichos, como sucedió al des­ Para el del Cubillo á D. Ramón…</t>
  </si>
  <si>
    <t>361 A los conocimientos marineros del Sr. Mazarre­ Dt Andrés R¿mos, y en su nom­ do se debió eu aquella guerra la toma deI gran conbre so apod. rado D. Santiago voi ingles al amanecer del 9 de agosto de aquel S fotos............... 180 17 mismo año, pues él solo previo un éxito Dvorabio D. Francisco Ramos, y en sq de la arrie…</t>
  </si>
  <si>
    <t>Santiago, Luis</t>
  </si>
  <si>
    <t>Luis Santiago</t>
  </si>
  <si>
    <t>0 en la tarde del 2 2 del corriente han sa ido sorteados D. Mariano Camacho, id. en Linares......... 2200 los números siguientes : 15,63,36, 65 y 47. D. Luis Santiago, id. en Porcuna............... 2100 D. Mmuel Muñoz, id................................... 2200 D. Fernando Velloso, id.en Jaén............ 2200 Desengaños polít…</t>
  </si>
  <si>
    <t>Santiago, Manuel</t>
  </si>
  <si>
    <t>Manuel Santiago</t>
  </si>
  <si>
    <t>dicial. ¿Y quáJ será el resultado? El D. Francisco Parra, id............. .................... 2200 mismo que tuvieron las guerras de las comunidades D. Manuel Santiago, id. en Porcuna.......... 2200 y d - sucesión , esto es, ceder por último , después D. Francisco de Paula Díaz Manzanares, de haber padecido todo género de ca…</t>
  </si>
  <si>
    <t>Santibañez, Francisco</t>
  </si>
  <si>
    <t>Francisco Santibañez</t>
  </si>
  <si>
    <t>D. Juan Villanueva, 1. Doña Manuela Pelaez , 1. Varios individuos, 3 y 7 reales. — Pueblo de Sayán. El capitán Don Anselmo Manuel Salinas, 100 pesos, D. Francisco Santibañez , 25, y ofrece igual cantidad cada año durante la guerra. El presbítero D. Gerónimo Mata­ moros , 25 , y otros tantos en cada año que dure la guerra. El …</t>
  </si>
  <si>
    <t>Santibañez, Josefa</t>
  </si>
  <si>
    <t>Josefa Santibañez</t>
  </si>
  <si>
    <t>ras perpetuas , ni deudas exór- y Arce........ ........................................... 22?o* « hitantes, ni contribuciones ruinosas : la agricul- Doña Josefa Santibañez......................... 16209 »&gt;tura no lleva consigo todas estas plagas imepara- D. Josef Pascual de Rcparaz , por «bles del comercio. La Inglaterra red…</t>
  </si>
  <si>
    <t>Santibañez, Juan Agustín</t>
  </si>
  <si>
    <t>Juan Agustín Santibañez</t>
  </si>
  <si>
    <t>. D. Antonio de O vague, 60. D. Fernando Q-uadrado, oidor de esta real audiencia , 600. D. MiguA Li­ sa guirre , fiscal del crimen de la misma , 334. D. Juan Agustín Santibañez, cura de Pampa de Tangos , 100. D. Miguel Méndez , cura de Cerhuas , 100. Los oficiales y soldados milicianos del regimiento de caballeó.; de la villa…</t>
  </si>
  <si>
    <t>Santistebau</t>
  </si>
  <si>
    <t>rca, y de la segunda de caba­ laría, coa el regimiento pro /isi-oaa* ds húsares , y el primero y se­ guí lo de dragones, ambas á ."as ó id .3 nos dei brigadier Santistebau, comandante de esta última, y del coronel-Mi/ares de la infantería, estiba, eits mas allá de Petrel, y &amp;que%, aunque debió estar en­ tre S*x y BUr, se puso…</t>
  </si>
  <si>
    <t>ntrario de las puyas, siguió la división su marcha en retirada hasta Xijoua, y de allí á la plaza de Alicante, habiendo recogido'sus he ¿idos. . „Jfc brigadier Santistebau con la sección de'c&amp;bsHería, IVgó á l&amp;s inmediación©* de Vil tena al rayar el dm : tomó pesicicn detrás de esta dudad,' camino de Yecla , y entre 6 y 7 ded…</t>
  </si>
  <si>
    <t>Santístebin</t>
  </si>
  <si>
    <t>órdenes de V. fí. Habia yo pensado salir de esta coa el expresa lo objeto el dia 23 dei actual, como lo manifesté en carta particular y reservada ai brigadier Santístebin y ai coronel Wall, los cuales me enviaron un escuadrón de dragones, que era toda la caballería que en mi concepto necesitaba; pero tuve repetidos avisos de …</t>
  </si>
  <si>
    <t>Santíüsté, Francisco</t>
  </si>
  <si>
    <t>Francisco Santíüsté</t>
  </si>
  <si>
    <t>de Harria' . a ' Dipittados seculares D. Cár!os:Bosch. &gt; -i D. Pedro Perez García. Diputados seculares D. Francisco Agustin, Crespo. D. Tomas Peña. - D. Francisco Santíüsté. D. Tomas Zapalena. Secretario D. Manuel Medina. D. Josef Ibarra. Secretaria D. Rafael Oarrichena. ' “■ QUARTEL DE-SAN MARTIN. QUARTEL DE LA PLAZAS - 1 BA…</t>
  </si>
  <si>
    <t>Santociides</t>
  </si>
  <si>
    <t>ome genere samen te ra­ ciones para la tropa y todos les auxilios: en fin , los españoles solo necesitan ocasiones para manifestar tu entusiasmo. „Ei general Santociides tiene cercada la plaza de A otorga, la</t>
  </si>
  <si>
    <t>Santocildes</t>
  </si>
  <si>
    <t>862 ,,Parte del sexto cuerpo de exército , del mando del Sr. general Santocildes , lia pasado á la izquierda del Duero , y se hallaba ayer en Siete-Iglesias. Tengo entendido que el JExcmo. Sr. duque de Ciudad-Rodrigo le ha dado orden para desalojar á la guarnición enemig</t>
  </si>
  <si>
    <t>§66 ni os dueños de Astorga al mismo tiempo que se reci­ bió la noticia de hallarse-en la Bafieza las tropas que mandaba el general Santocildes , y por su enfermedad el conde de B.elveder,. corrijo .detalladamente verá V. S. en los partes que remite el gefe del estado mayor, res­ tándome únicamente el recomendar al coronel D.…</t>
  </si>
  <si>
    <t>argo, que ayer por la ma­ ñana éramos dueños de Astorga, al mismo tiempo que se recibió la noticia de hallarse en la Bañeza las tropas que mandaba el general Santocildes, y por su enfermedad el conde de Belveder, como detalladamente verá V. S. en los partes que remite el gefe del estado mayor*, restándome, únicamente el recom…</t>
  </si>
  <si>
    <t>Santoeildes</t>
  </si>
  <si>
    <t>an­ teriormente. „No sé aun que Astorga se haya rendido : pero la guar­ nición que dexó el enemigo en Tordesillas, de unos 260 hombres, se rindió ai general Santoeildes el 5 del corriente.”</t>
  </si>
  <si>
    <t>Santos, Josef Teodoro</t>
  </si>
  <si>
    <t>Josef Teodoro Santos</t>
  </si>
  <si>
    <t>Otra en el niente en la vacante de D. Miguel Gómez. sitio de la Barranca, que al oriente linda con tierra de D. Josef Gallo, sargento, á abanderado. D. Josef Teodoro Santos, al mediodía con el retamar de D. Josef de Sor ¡a y con el mayorazgo de Luzon, y art. v. Nuestros ministros de lo Interior y al norte la cruza un poco la …</t>
  </si>
  <si>
    <t>Santos, Manuel</t>
  </si>
  <si>
    <t>Manuel Santos</t>
  </si>
  <si>
    <t>D. José de las Guebas.... .. l \ O rí D. Juan Manuel, Cogitan... l fSarg.rnivyo? í ti ten. cor. O. Pedro d ? la Yega.. . . ■ * 1 Imne- | Tríente ..' D. Manuel Santos.......... . * f I mortal dd&lt; Otro .,. .. D. Juan Muntsiroso.. . . • » 1 Rey. . .. Cadete.. .. 0. Fernando Chencha.. . • * Otro ... .. D. Pedro Pasqnal. 1 l terce…</t>
  </si>
  <si>
    <t>Santos, Santiago</t>
  </si>
  <si>
    <t>Santiago Santos</t>
  </si>
  <si>
    <t>tara Ibañez.... 180 íf Doña M iría M .gd llena López Ca« D- Manuel Ramos, y en su nom­ b-ejdS............................................. 44Í9 * bre D. Santiago Santos..!......... 27o if D. Antonio Lciiai , á 1 ombre de Doña Francisca Rico, y en so su muger Doña María de los nombre D. Santiago Santos..... 631 2&lt;í Doloies Bei…</t>
  </si>
  <si>
    <t>Santurio, Vicente</t>
  </si>
  <si>
    <t>Vicente Santurio</t>
  </si>
  <si>
    <t>a Fuente, id., 9. Los herederos de D. Julio AWarez, D ñi ?daría Luisa, Doña Mariana y D. Diego Mayoli, id., 9. Don Miguel Pascual de la Peña, id., 9. D. Vicente Santurio, id., 9. D. Manuel Amable , id., 9. D. José Rabeyro, por 4 , 36. D* Manuel Ruiz y compañía, por uno, 9. D. Francisco Delgado Vetez, id., 9. D. Manuel Urueta,…</t>
  </si>
  <si>
    <t>Sanz, Claudio</t>
  </si>
  <si>
    <t>Claudio Sanz</t>
  </si>
  <si>
    <t>gefes del estado mayor, á ios sub­ dias acudan ¿ su juzgado y oficio del escribano de nú­ inspectores de caballería y de infantería, y á los co­ mero D. Claudio Sanz, por medio de procurador con mandantes de artillería y de ingenieros, convenci­ suficiente poder á deducirle y exponerle; apercibido-: do de que atendida la natu…</t>
  </si>
  <si>
    <t>ia de! señor D. León retas. de Sagasta , juez de primera instancia. Quien quisiere hacer postura acuda ante su señoría por Ja escribanía de número de D. Claudio Sanz , que se admitirá siendo TEAT ROS. arreglada. F.n el del Príncipe, á las siete y media de la no­ che , se representará por la compañía española la co­ media en t…</t>
  </si>
  <si>
    <t>Sanz, Juan</t>
  </si>
  <si>
    <t>Juan Sanz</t>
  </si>
  <si>
    <t>ago Sánchez , 66 y 5. D. Fran­ cisco Iriondo , 66 y 5. D. Bartolomé Grillo , 66 y 5. D. José Julián de Sologuren, 66 y 5. D. Eustaquio Ortiz, 66 y 5. D. Juan Sanz, 66 y 5. Don José Iramain , 66 y 5. — Id. terceros. D. José Gervasio del Campo , 50. D. Manuel de Zumaeta, 50. D. Ignacio Odum; 50. D. Tomas Larrea, 50. D. Joaquín …</t>
  </si>
  <si>
    <t>Sanz, Pedro</t>
  </si>
  <si>
    <t>Pedro Sanz</t>
  </si>
  <si>
    <t>mbrar al subteniente^que fne de la Com­ próximo pasado en las fronteras en que estaba este pañía de cazadores de infantería de Salamanca, regimiento. D. Pedro Sanz, subteniente de infantería; y á los En medio de una multitud inmensa de espec­ oficiales que han «ido de la compañía de cazado­ tadores, de las aclamaciones del pu…</t>
  </si>
  <si>
    <t>Saornil</t>
  </si>
  <si>
    <t>, y según dicen, piensan recorrer también con el mismo objeto el Puerto de Baños y algún otro pueblo de los mas inmediatos á la izquierda del rio. El comandante Saornil ha enviado al cuartel general de Lumbra­ les 40 franceses , entre prisioneros y desertores. Estado mayor del sexto exordio. Cuartel general 11 de diciembre. L…</t>
  </si>
  <si>
    <t>Saquero, Antonio</t>
  </si>
  <si>
    <t>Antonio Saquero</t>
  </si>
  <si>
    <t>cinto Iztueta , D. Clemente Britapajas, D. Antonio Guzman, D. Faustino Ru­ bio, D. Josef García Peña, D. Francisco Armendi, D. Melchor de Somarrivas, D. Antonio Saquero , ei cabo de brigada D. Josef Ruiz, y D. Fran­ cisco Sánchez. Todos Los demas que se hallaron en el castillo hasta su entre­ ga al señor general ea gefe se po…</t>
  </si>
  <si>
    <t>Saquero, Miguel</t>
  </si>
  <si>
    <t>Miguel Saquero</t>
  </si>
  <si>
    <t>La caria y el papel siguientes h m si ia remiti­ duría de salinas..................................... 42I4 dos d los red.ii tores de este periódico. D. Miguel Saquero, Ídem de ídem.... 2911 22“ D. Joset Sanche* Arellano , emplea­ Señor redactor de la gazera de Madrid. do en la antigua real casa.................. 1833 I if ,,…</t>
  </si>
  <si>
    <t>Sar</t>
  </si>
  <si>
    <t>sco. D. Francisco Xavier Gandanillo*. D. Juan MonSalve.' D. Antonio G..rcíj de la Pedrosa, D. Josef L chambre. D. Ignacio G irmcndia. D. M:ga.l Crok. D. Sar.ti ,go Polidura. D. Timoteo Magnamara.' D. Ignacio' Hermosa. D. Lu ¡s Caballero. D. Joan de Camuo. D. Juan Ahumada.D. Juan de la Torre Pner. Contador. . . D. Josef Molina…</t>
  </si>
  <si>
    <t>greso de las restantes tropas de la división ; pero aten­ diendo al aumento que adquiría el enemigo, cuya fuerza ascendía ya á 1000 hombres, formó el general Sar&amp;fibld una columna de gra­ naderos-al-mandó; dé los acreditados gefes D. Antonio P^erson y Don José María Coluby, con la que á muy corto tiempo se hizo dueño</t>
  </si>
  <si>
    <t>Sar-tocildea</t>
  </si>
  <si>
    <t>Vizcaya. Eu pocos diwa hsn venido 12 buques procedentes de Bilbao, Lequeitio, Piencia, O idarrua y Castre-Urdíales con carga de fierro y de vino. El general Sar-tocildea entró el 24 del pasado en León, donde fué recibido con repique de campanas y las mayores muestras del júbilo de aquel fidelísimo vecindario.— Entre tanto se …</t>
  </si>
  <si>
    <t>Saracbaga, Antonio</t>
  </si>
  <si>
    <t>Antonio Saracbaga</t>
  </si>
  <si>
    <t>* a?4 les veinte y tres y medio maravedís de vellón. D. Josef María Guirtor................... 1173 84 art. II, Se entregarán á estos interesados las D. Antonio Saracbaga...................... 2075 *í4 cédulas hipotecarias correspondientes, con arreglo D. Jnsef María Calonge................... 90 84 al artícuio 111 da nuestro…</t>
  </si>
  <si>
    <t>Sarasa</t>
  </si>
  <si>
    <t>tante fundamento que. * si se repiten con alguna frecuencia estos ensayos , bastarán á conte­ nerle dentro de Vitoria. Dios &amp;c. — Fernandez.” ,5.Q El capitán Sarasa, con fecha de 20 del que rige , me dice lo siguiente. — ,,Mi general: uno de mis confidentes me aseguró que 30 franceses salían del pueblo de Berruetn para el de …</t>
  </si>
  <si>
    <t>Sarasa, Juan</t>
  </si>
  <si>
    <t>Juan Sarasa</t>
  </si>
  <si>
    <t>nederos falsos , que rierien relaciones con algu­ de D. Silverio de la Vegi. nos habitantes de la Suiza. El landamann ha en­ Y al ex-agustino c-lzado D. Juan Sarasa y cargado á los gobiernos de los cantones que tomen Yéregui, presbítero, para el beneficio en enco­ de común acuerdo las providencias mas oportuna* mienda de la p…</t>
  </si>
  <si>
    <t>Sardens</t>
  </si>
  <si>
    <t>Motsana, y el J4 Siiniatice. Sin embargo , antes que se verificase el paso del Bug, avanzaron varios batallones del enemigo contra el mayor ge­ neral barón Sardens Las compañías de infantería ligera que esta­ ban á las rdenes dé esté general, se retiraron poco á poc ' h cía el arroyo de Morzona, juntó al cual esperaban al ene…</t>
  </si>
  <si>
    <t>Sardio, Manue</t>
  </si>
  <si>
    <t>Manue Sardio</t>
  </si>
  <si>
    <t>l gobierno, quienes han apurado la sangre G reía ........................................ 4961 16. y los recur os de ios habitantes en una goerra tan D. Manue Sardio........................ ■ 2537 10 larga, y coyo resultado deberá ser volver á caer D. Isidro Bu.naposad.................. 186 baxo el yugo de los otomanos. D. Fr…</t>
  </si>
  <si>
    <t>Sarmiento, Julián</t>
  </si>
  <si>
    <t>Julián Sarmiento</t>
  </si>
  <si>
    <t>libros. D, Domingo Moreno , 50. D. José de Eslava , 50. Amanuenses. D. Justo Díaz , 41 y 5. D. José Mariano Arris , 41 y 5. D. Juan Zapatiu. 41 y 5. D. Julián Sarmiento , 41 y 5. D.' Juan Cosío , 41 y 5. D. Alexapdro Morales, agregado, 39 y 6. D. Andrés Calero, escribano de cámara, 133 y 2 y medio. D. José María Varela, archi…</t>
  </si>
  <si>
    <t>Sarracín</t>
  </si>
  <si>
    <t>se reorganizan con actividad, y por todas partes los negocios públicos presentan una perspectiva agradable. Se espera dentro de poco en este país al general Sarracín, que viene de Inglaterra, adonde se había refugiado huyendo de las astucias de Bonaparte. Este hábil militar se ha ocupado todo el tiempo de su permanencia en Lo…</t>
  </si>
  <si>
    <t>Sarrad</t>
  </si>
  <si>
    <t>a tarde 500 dra­ gones con nueva intimación , demostrada ai número , en seguida una brigada, cuyo gefe repitió el 3. , y por último otra al mando del general Sarrad, quien me pasó la quarta petición con las demás con­ testaciones que le siguen: este no se demoró en circusrvaiar mi po­ sición, colocando 23 puestos de avanzada …</t>
  </si>
  <si>
    <t>Sarralde, Miguel</t>
  </si>
  <si>
    <t>Miguel Sarralde</t>
  </si>
  <si>
    <t>el minis­ D. Juan Bautista Laborde, subteniente» á te­ tro secretario de Estados Firmados Mariano Luis niente de. i a primera compañía. de Urquijo." D. Miguel Sarralde, subteniente , á teniente de la décima compañía. REAL ORDEN DE.ESPAÑA. ! Séptimo batallón, El REI se ha dignado mandar que se pagne D. Juan Villa y Trígeros, a…</t>
  </si>
  <si>
    <t>Sarrazin</t>
  </si>
  <si>
    <t>n duda para atender al desembarco de los suecos. Parece que el rey da Dinamarca ha declarado que no entrará en ningnna óegsciación con Inglaterra. £1 general Sarrazin va á Suecia. Díceae que Boua parte ha mandado se xeuaa el senado ( que ha tenido tres sesiones ) para sancionar :a usurpación del reyno de Píulia. Otros asegura…</t>
  </si>
  <si>
    <t>or era sancionar un decreto de Bonaparte, declarando que el Rey de Prusia habia cesado de reynar, y que su rey no quedaba agre­ gado á la Francia. El general Sarrazin ha recibido síbs pasaportes para ir á Suecia , y hoy mismo sale de Londres. , Dícese qué el gobierno permitirá pasen á la tropa de línea 10® hombres de milicias…</t>
  </si>
  <si>
    <t>285</t>
  </si>
  <si>
    <t>de los paises adyacentes , según escrí* ben de Malta, se hallan en estado de insurrección, y han pedido armas y municiones al comandante de Lissa. El general Sarrazin se embarcó el 28 del pasado en Harwich con destino á Heligoland. La marina real, según el estado de primero de este mes , ascien­ de á 263 navios de línea, 36 n…</t>
  </si>
  <si>
    <t>Sarria, Antonio</t>
  </si>
  <si>
    <t>Antonio Sarria</t>
  </si>
  <si>
    <t>ipulación de dicho buque , 20. El capitán de la fragata Cibeles, Don Juan Benito de la Llosa, 10. Su maestre D. Juan Aramburu, 10. El tercer pi­ loto D. Antonio Sarria, y el contramaestre Miguel Olaquivel, 12. El resto de la tripulación de dicho buque, 28 y 4, D. Juan Elorza, cirujano de la fragata S. Juan Bautista, 17. El co…</t>
  </si>
  <si>
    <t>Sarria, José Antonio</t>
  </si>
  <si>
    <t>José Antonio Sarria</t>
  </si>
  <si>
    <t>e Aucayaraa D. Agustín de Men­ doza, 12. Ei coronel conde de Premio-real, oficiales y tropa del batallón de Li­ ma , 8-&lt;22. D. Juan de Socornal, 500. D. José Antonio Sarria , 200. El ahoga­ do D. Manuel Vidaurre, por lo respectivo á marzo , 50. La caxa general d« censos de indios , 25000. — Clerecía de S. Sebastian. D. Manuel…</t>
  </si>
  <si>
    <t>Sarrio, Ramón</t>
  </si>
  <si>
    <t>Ramón Sarrio</t>
  </si>
  <si>
    <t>o María Pizarro y Cevallos , 208 y 2 y medio. El tesorero interino D. Juan Manuel Olivares, 166 y 5.— Vistas y alcayde. D. Rosendo Ximenez , 166 y 5. D. Ramón Sarrio , 125. Don José Darregueiva , alcayde interino , 125. — Oficiales primeros. D. Juan de la Daga, 83 y 2 y medio. D. Francisco María Charum , 83 y 2 y me­ dio. D. …</t>
  </si>
  <si>
    <t>Sarrut</t>
  </si>
  <si>
    <t>riben que dentro de 4 dias r-o liabría allí tropas ningunas peitcnecierlos a! exér­ cito llamado de Portugal, debiendo salir toda3 ellas al mando del general Sarrut. De S. Sebastian escriben que han faltado ya SI correos militares de Francia, y que ignoran cual pueda serla cansí de un?, falta tan. grande de correos continuado…</t>
  </si>
  <si>
    <t>Sarsfí</t>
  </si>
  <si>
    <t>dad. Saliendo después de ella, se encontraron con nuestras tropas en S. Félix d? Codinas, donde se trabó un sangriento combate. En éi, arrojándose el general Sarsfí kl al medio de los enemigos, füé hecho prisionero: 4 roldados de su dividen lo Ealvarcn. Fi­ nalmente, nuestras tropas desalojaron del pueblo á la retaguardia ene…</t>
  </si>
  <si>
    <t>Sarsfieid</t>
  </si>
  <si>
    <t>itud y valor que han manifestado nuestras tropas, una justa esperanza de majores ventajas, habiéndose hecho particularmente acreedores a? aprecio del general Sarsfieid, según este me manifiesta , ademas de ios geíes Pierson y CoJuby ,■ el coronel del regimiento do infantería'de Palma D. J osé Caries , el capitán del regimient…</t>
  </si>
  <si>
    <t>Sársfíeld</t>
  </si>
  <si>
    <t>ganización é instrucción de quintos, me hizo concebir la dulce esperanza de que tiene muolio que esperar la provincia de su bizarría; Ea división del brigadier Sársfíeld halló á su paso para la ermita de Vdhdbn , situada sobre el lugar de Trcntapasas, á los enemigos que habían salido de Barcelona en número de 4000 infantes, i…</t>
  </si>
  <si>
    <t>Sarsfield</t>
  </si>
  <si>
    <t>con la división del brigadier Sarsfield en Jas alturas de la. Garrida, pa­ ra precaver con todas estas disposiciones, que el enemigo por media de una rápida marcha intentase penetrar hacia eMa ciudad; proyec­ to que me propuse frustrarle, atendiendo</t>
  </si>
  <si>
    <t>Sarsfxeld, D Pedro</t>
  </si>
  <si>
    <t>D Pedro Sarsfxeld</t>
  </si>
  <si>
    <t>I5Í á dos guerrillas de walones de la división del brigadier D Pedro Sarsfxeld. ; todos los cuales sin perder un perito de terreno lograron incomo­ dar al enemigo en términos que á breve rato se retiró precipitadamente. Del comandante de i tercio de. voluntarios cazad</t>
  </si>
  <si>
    <t>SaSeta, Juan Antonio</t>
  </si>
  <si>
    <t>Juan Antonio SaSeta</t>
  </si>
  <si>
    <t>os de Argornaniz y Ga­ Madrid ji de mayo. ceta, correspondiente á la misma provincia , al ex­ Extracto de las minutas de la secretaría de franciscano D. Juan Antonio SaSeta. Estado. Para el de la parroquia de la villa de Azpcitia, Eo nuestro palacio de Madrid á 27 de mayo en la provincia de Guipúzcoa, vacante por re­ de 1812.…</t>
  </si>
  <si>
    <t>Sass</t>
  </si>
  <si>
    <t>e ha publicado hasta ahora acerca de este particu­ ha ido coa su cuerpo de exército á la Moldavia ; el lar está fundado únicamente en conjeturas. del general Sass, que ha estado hasta ahora en la pequeña Valaquia , se ha aproximado mas á esta AUSTRIA. ciudad. Algunos generales y oficiales superiores han pedido y obtenido lice…</t>
  </si>
  <si>
    <t>te es que el ala izquierda del exército • ■ • PRUSIA. : • i'--/ tusó", qoé'Sé hálla éh'a^nella provincia, y que ha estado á ids -órdeüés del réntente general Sass, lo , , ' 1-j Berlín’ 28.de t marzo. estará enAdelattte í las de ótrd general; El caba­ ■ Ha llégádp ácjui él íteñíénté genera! cóhdé de llero SaS*,'coya Salud eílá…</t>
  </si>
  <si>
    <t>Sastre, José</t>
  </si>
  <si>
    <t>José Sastre</t>
  </si>
  <si>
    <t>suales. El mariscal de campo D. Francisco Montalvo por dos , 18. El brigadier D. Manuel Artazo , teniente rey de esta plaza, por 4, 36. El brigadier, D. José Sastre por uno, 9. El conde de Zaldivar por 5, 45. D. Juan Bautista Pacheco por 5,45. El coronel D. José Ovando , sargento mayor de esta plaza , por uno, 9. D. Joaquín R…</t>
  </si>
  <si>
    <t>Satazar</t>
  </si>
  <si>
    <t>o 10 heridos, 5 muertos y 18 prisioneros ó extraviados, tuvo el enemigo m:s de 40 muertos é in­ numerables heridos. En el ínterin aguardaba yo ccn el comandante Satazar á esta# mismos , que recelosos de nuestros movimientos, hu­ yeron del lazo que hablamos preparado, y regresaron á Vitoria. Ninguna ccasion se nos presentaba d…</t>
  </si>
  <si>
    <t>Satue, Ramón</t>
  </si>
  <si>
    <t>Ramón Satue</t>
  </si>
  <si>
    <t>inistros. Sr. D. Francisco Alfonso de Tuero. = Sr. D. Ildefonso Cres­ po Mayor. = Sr. D. Vicente María Cabero. = Sr.- D. Francisco Cándido Paz. = Sr. D. Ramón Satue. =Sr. D. Josef García de la Torre. = Sr. D. Ra­ món Macia Lleopat. = Sr. D. Manuel Lartiga. = $r. D. Francisco Marchamalo. Fiscales. Sr. £&gt;. Mateó Zendoqui. = 5r.…</t>
  </si>
  <si>
    <t>Saturnino</t>
  </si>
  <si>
    <t>eros presentará por la compañía española la comedia en tres de la Orden Real de España actos titulada la Huerfanita, ó lo que son tos parien­ Albulo (D. Saturnino), capitán de la compañía tes, y el sainete el Hablador indiscreto. franca de húsares de Gñadalaxera. En el de la Cruz, á las cinco y media de la tarde, se executará…</t>
  </si>
  <si>
    <t>que a pesar de quintos esfuerzos je. htcieron para arrimarle á la costa , no pudo conse­ Diálogo. guirse; al cabo de ? horas de fatiga la tripulación D. Saturnino. D. Antonio. tuvo que abandonar el brick , el qual se, fye ¿ pique aquella misma noche» , D. A. ¡Oj ssíñor D S rurninol ¿Cómo va? Amsterdan /a de mayo. ' . D. S. Pa…</t>
  </si>
  <si>
    <t>Sauz, Agustín</t>
  </si>
  <si>
    <t>Agustín Sauz</t>
  </si>
  <si>
    <t>00. — Ofi­ cina de temporalidades. D. Domingo Antonio Lainñesta , administrador gene­ ral , 266 y '5.' D.' Manuel Palomera, contador general, 31 y 2. D. Agustín Sauz , oficial mayor de la administración &gt; 53. D. Antonio Granger , id. de la contaduría , 22 y 1. D. Manuel Castellanos , segundo de la administración , 12 V 4. D E…</t>
  </si>
  <si>
    <t>Sauz, Alexo</t>
  </si>
  <si>
    <t>Alexo Sauz</t>
  </si>
  <si>
    <t>comienda Marquisez si comandante del segun­ do escuadrón D. Manuel Tobar, que defendió el puente con 36 hom­ bres, y al teniente de la sexta compañía D. Alexo Sauz, que con so­ los 12 se defendió de 30 húsares que le cercaron, matando 2 de -ellos. Pe??ferrada 11 de abril. Estado mayor del sexto exército. — Orden general del d…</t>
  </si>
  <si>
    <t>Sauz, Claudio</t>
  </si>
  <si>
    <t>Claudio Sauz</t>
  </si>
  <si>
    <t>rs. vn. Quien qui-iere ha­ cer postura á ella , acuda ante dicho señor juez por la Se ha formado, en virtud de u« decreto de escribanía de número de D. Claudio Sauz, que si ad­ S. M., un campamento en las inmediaciones de esta mitirá siendo arreglada. eapital, para qne sé exerciten en él las tropas de todas armas en las evolu…</t>
  </si>
  <si>
    <t>Sauz, Laureano</t>
  </si>
  <si>
    <t>Laureano Sauz</t>
  </si>
  <si>
    <t>eros del de Pontevedra , D. Mariano Peray , teniente del segundo batallón del Rivero, D. Francisco Romay , subteniente uel regimiento de Betanzos , y D. Laureano Sauz, teniente de la extin­ guida compañía de gastadores , incorporada en el mismo batallón de zapadores : á subtenientes , á D. Francisco de Paula Perer „ sub­ teni…</t>
  </si>
  <si>
    <t>Savariego, Domingo</t>
  </si>
  <si>
    <t>Domingo Savariego</t>
  </si>
  <si>
    <t>mandado situar un cañón en ella y el otro á la frente del cuartel principal que habitaban los insurgentes, dispuse que el teniente del primer piquete D. Domingo Savariego, el capitán del segundo D. Francisco Soria y el teniente del tercero D. Domingo Pa­ checo , se apostasen en las bocas calles de la plaza con el objeto de co…</t>
  </si>
  <si>
    <t>Sbield, Ricardo</t>
  </si>
  <si>
    <t>Ricardo Sbield</t>
  </si>
  <si>
    <t>: „Ei Excrao. Sr. duque dei infantado, ICO libras esterlinas. D. Ma­ nuel de la Torre, 210. El cónsul general de España, 50. D. Vicente Duvango, 50. D. Ricardo Sbield, 100. D. Jayme Campbell, 100. D. Andrés Loughnan, 50. Los Sres. Gordon, Murfiy compañía, 105. D. José Moreno de Mora, ¿0. Un patriota español, 100 y 120 cami­ s…</t>
  </si>
  <si>
    <t>Scarla-Kallunachi</t>
  </si>
  <si>
    <t>995</t>
  </si>
  <si>
    <t>mansión que los rusos han hecho de las mercancías introducidas en este pais á 97 2827. en ellas. Se lian equipado en el transcurso del año úlLÍmo El príncipe Scarla-Kallunachi, nombrado líos- 1971 embarcaciones mercantes en las colonias .in­ podar de Moldavia , permanece aquí todavía. No glesas de la América septentrional, de…</t>
  </si>
  <si>
    <t>Scbsv</t>
  </si>
  <si>
    <t>a de ayer se inserta el extracto de his últimas opera­ ciones del exército auxiliar austríaco, y son las siguientes: . „Segim la relación del genera! príncipe Scbsv artzeiiberg, el exér­ cito había tomado posición ei H de Octubre detrás del Leozua, y el enemigo h'-jbia hecho'muchas, tentativas para pasar el rio, aunque todas …</t>
  </si>
  <si>
    <t>Scherret</t>
  </si>
  <si>
    <t>enemigas de aquel punto, quedó mi vanguardia en él, y que el escuadrón de caballería de línea, y el destacamento de trepas britá­ nicas del mando dei brigadier Scherret, tomaron posición en la orilla derecha del rio de Sanlucar, y jo me yol vi á Castiiíeja del Campo, que era el punto señalado para el repliegue y reunión de lo…</t>
  </si>
  <si>
    <t>Schmidt</t>
  </si>
  <si>
    <t>incendio y la destrucción; medios reprobados por las naciones civilizadas (1); que con este designio el gobierno aceptó las proposi­ ciones de cierto doctor Schmidt, ingles (pero que pasaba por aleman), (1) ¿ Vosotros, devastadores inhumanos, o sais hablar de civiliza» don ? ¿ Vosotros que tantos años ká estáis talando, incen…</t>
  </si>
  <si>
    <t>ada del exército'francés en Moscow, se enviaron á Woronzow diez grandes barriles de pólvora y algunos artífices que debían trabajar á las órdenes del doctor Schmidt: Que esta figurada construcción del globo no era mas que un pre­ texto , pues en la quinta solo se trataba de preparar fuegos artificia­ les, y fabricar otras máq…</t>
  </si>
  <si>
    <t>Schnell</t>
  </si>
  <si>
    <t>nando, Sisernandns miles, está en pie con un es­ los señores Zíegler, de Zurích; Koch, de Thun, crito en la mano, donde se lee: Caesar , vesica y el profesor Schnell, de Berna, para que formen sit hatc Ínsula Piscarías j al lado hai un obispo on nuevo código penal militar para los contingen­ llamado Griboaldas episcopus, con …</t>
  </si>
  <si>
    <t>Schomoaloíf</t>
  </si>
  <si>
    <t>mo sigue. 1.er cuerpo mandado por el príncipe VYittgenstein..... 18000 hombres. 2. cuerpo por el general Baggawort.......... 1S000 3.er cuerpo por el general Schomoaloíf......... 24000 4.0 cuerpo por el general TuschhotL.......... 18000 5.0 cuerpo por el príncipe Bagration............ 40000 6.° cuerpo por el general Dortorro\…</t>
  </si>
  <si>
    <t>Schoses</t>
  </si>
  <si>
    <t>entos que han caído en nuestro po­ igual fuerza, ocupaba á Kowno. der prueban de un modo terminante que los ingle­ El' tercer cuerpo , mandado por el general Schoses ignoran enteramente quanto pasa en el reino, y moalofT, compuesto de la primera división de gra­ que no tienen inteligencia? seguras. Sus emisarios naderos y dos…</t>
  </si>
  <si>
    <t>Schrewsbury</t>
  </si>
  <si>
    <t>nci­ volos y facciosos de que todas sus tentativas serán pe Regente, á las personas siguientes: inútiles é impotentes contra la firmeza de los ma­ El conde Schrewsbury. gistrados encargados de velar sobre la conservación El conde Reniñare. del orden , y del respeto y seguridad de las pro­ El vizconde de Gormanscou. piedades. …</t>
  </si>
  <si>
    <t>Schrwsloíí</t>
  </si>
  <si>
    <t>conde Octavio Segur. „El 18, el cuerpo dei conde Witfgcnriein estaba entre Wílkomie y Holtmeny: los que e;tan á cargo de ios generales Tutsckrow y el conde Schrwsloíí', se van aproximando á Sweozenny: el del general Dachlerow «e halla en marcha de Oehmauy á Swenzenny : el gene­ ral Píatew salió de Bralostcck c:m dirección á W…</t>
  </si>
  <si>
    <t>Schvvar</t>
  </si>
  <si>
    <t>e habían extraido el general conde Regnicr no pudo venir a socor­ con anticipación. El duque de Tarento debía llegar rerla sino dos horas después. El príncipe Schvvar- allí el 2. Asi Dunaburgo, en cuyas fortificaciones zemberg se puso en marcha el 30 de julio para re­ trabajaba el enemigo cinco años hacia, en las que unirse c…</t>
  </si>
  <si>
    <t>Schwardo</t>
  </si>
  <si>
    <t>de caballería de Oficiales. Según parece, no ha sida mas feliz á JCorff. Hasta este momento les hemosJdo persiguien­ nuestra derecha é izquierda. El príncipe Schwardo, sin poderlos alcanzar. Corren con la,mayor pre­ zeinbcrg ha derrotado á Tormazow, ^ causándole cipitación para ponerse en salvo; no parece sino que una pérdida…</t>
  </si>
  <si>
    <t>Schwartner</t>
  </si>
  <si>
    <t>buye también el bueu estado de Iqt ca­ nes católicos de la Suiza oriental, acaba de hacer minos. saber al público que en lo sucesivo no será admi­ El profesor Schwartner ha concluido ya su ex­ tido eo los seminarios ningún, ¿oven que no .justi­ celente estadística del reino de Hungría; y ahora fique haber estudiado el dogma, …</t>
  </si>
  <si>
    <t>Schwartzembcrg</t>
  </si>
  <si>
    <t>os en Viasma. No hace mención de ningún ataque después de los de Smolensko y Valentina. En este boletin núm. 15.0 viene la relación de la batalla del príncipe Schwartzembcrg con el general Thbrrñasovv• dada en j2 de agosto en las inmediaciones de Kobiyn. A pesar de la exageración que los franceses dan á sus relaciones, el prí…</t>
  </si>
  <si>
    <t>Schwartzemberg</t>
  </si>
  <si>
    <t>re las provincias deNinsky y V olhinia, sino que amenaza atacar la retaguardia del enemigo. Para contenerlo las tropas aus­ tríacas , mandadas por el príncipe Schwartzemberg, han marchado y se han reunido con el general Regnier al tiempo que este daba una batalla: su re­ sultado es contrario á lo que aseguran los papeles fran…</t>
  </si>
  <si>
    <t>con el general Thbrrñasovv• dada en j2 de agosto en las inmediaciones de Kobiyn. A pesar de la exageración que los franceses dan á sus relaciones, el príncipe Schwartzemberg dicé ,,que los rusos se retiraron deKobryn, y que solo hizo /</t>
  </si>
  <si>
    <t>Schwartzemherg</t>
  </si>
  <si>
    <t>326</t>
  </si>
  <si>
    <t>cercanías de Brobinsk, observando los movimientos de los rusos en el Borístenes. A principios de setiembre se trataba en Viena de enviar refuerzos al príncipe Schwartzemherg. Ha muerto el antiguo elector de Tréveris Clemente Wenceslao. Del 28. El gobierno ha recibido pliegos del lord Catbcart y sir Roberto Wilson: •los dei pr…</t>
  </si>
  <si>
    <t>Schwartzenberg</t>
  </si>
  <si>
    <t>00 cada dia se va aumentando. 0 400 perlas tan hermosas como las orientales. La ,,Por todas estas razones los infrascriptos su­ pesquera pertenece al príncipe Schwartzenberg, plican rendida y encarecidamente que V. A. R. quien trata de fomentar la cria de los mariscos que en nombre de S. M. consienta en anular las órde­ produ…</t>
  </si>
  <si>
    <t>Schwarzemberg</t>
  </si>
  <si>
    <t>n. visión vigésimaseptima, fuerte de 5® hombres, sos— S. M. ha dado el mando de su ala derecha al tenida por 2© caballos y 12 cañones, estaba situada príncipe Schwarzemberg, poniendo también á sus delante de dicha villa. ¿Eduque de Elchingen la ata­ órdenes el séptimo, cuerpo. Dicho príncipe se có, y la desalojó en un momento…</t>
  </si>
  <si>
    <t>llos ligeros de Polentz y lanceros saxones', mera , mientras que los de Podubna, á las órdenes sostenida por los regimientos de caballería ligera del príncipe Schwarzemberg, atravesaban las la­ austríaca de Hcher.zolern y Orelli, que envió el gunas. príncipe Schwarzemberg, corre á doblar ¡a laguna, La llanura se tomó , y el c…</t>
  </si>
  <si>
    <t>alegría y de jú­ El general Merlc rechazó con parte de su divi­ bilo en honor del 15 de agosto. sión y con una inteligencia extraordinaria el ata­ El príncipe Schwarzemberg avisa desde Os­ que que hizo el enemigo sobre nuestra izquierda lan el 17 que su vanguardia persiguió vivamente á para cubrirse en su retirada al bosque. …</t>
  </si>
  <si>
    <t>exér­ culpa de que sé frustrasen .tan.lisonjeras esperanzas* cito fuesen batidas en detall. / Los españoles dicen que los ingleses .son,unos, mal­ El príncipe Schwarzemberg está en Wolhinia; vados egoístas, que no van- mas que á su negocio, los rusos no lo han esperado. y que no les lia cumplido ló qüe'les habían prome­ Ha ha…</t>
  </si>
  <si>
    <t>Schweig</t>
  </si>
  <si>
    <t>'ciudad. Se cita también con elogio ti Unenen los billetes» se descubre inmediatamente el vo diario de química y de física , publicado por frauda. el profesor Schweig^cr , como también et Diario ■ Este año ha sido el invierno mn¡ templado en de los descubrimientos i de que es editor el se­ la Noruega; ha nevado mui poco , y e…</t>
  </si>
  <si>
    <t>Scliwartzemberg</t>
  </si>
  <si>
    <t>as de Bobiinsk , observando los mo­ limientos de los rpsbs en el Borístenes. A principios de Setiembre se trataba en Viena de enviar refuer­ zos al. .príncipe Scliwartzemberg. La proclama del general B irclay de Tolli, dirigí’a á los alema­ nes , ha hecho grande sensación en el Norte ; y pura desunir este buen efecto se han p…</t>
  </si>
  <si>
    <t>Sclíwartzenberg</t>
  </si>
  <si>
    <t>conde Wittgenstein ha sido promovido á ge­ neral de caballería , y en acción de gracias por esta victoria se can­ tó ayer el Te Deum. ,,Parece que el príncipe Sclíwartzenberg se retiró por la parte de poniente, dexando algunos cuerpos, que lian sido cortados : tam­ bién se asegura que la provincia de Volhinia está enteramente…</t>
  </si>
  <si>
    <t>Scnwarzenberg</t>
  </si>
  <si>
    <t>cto de 24 de ma­ yo próximo pasado. GRAN DUCADO DE VARSOVIA. VarsovLi jo de junio. Las tropas austríacas en número de 35© hombres , baxo el mando del príncipe Scnwarzenberg, avanzan por Bamosk* Lublin y Sudloe hacia Bizees sobre el Bus. La gazeta de ayer contiene una petición de los estados, dirigida á S. M. (1) Si pasando co…</t>
  </si>
  <si>
    <t>Sctimayor, José CasiiuIto</t>
  </si>
  <si>
    <t>José CasiiuIto Sctimayor</t>
  </si>
  <si>
    <t>o de Ximeno , D. Juan de Irigoyen, Don Angel Aifaro, D. Manuel Raíz de Burgos, D. Antonio Raras, Don Tornas de la Casa y Piedra , D. Domingo Laspiur, D. José CasiiuIto Sctimayor, í). Francisco María Zu^oaga, D. Marcelo B &gt;za y Edava, D. Manuel Morales y IJgalde, D. Benito Canicoba, Don José Mari?. Galdraio, D. Pedro Moreno y …</t>
  </si>
  <si>
    <t>Scuii</t>
  </si>
  <si>
    <t>movimiento sotare Sanlucar á las 3 y media de la mañana. „Yo me adelanté á dicha villa donde llegué al anochecer, y tu­ ve avisos positivos de que el mariscal Scuii «aria en la noche; por lo que inmediatamente dispuse executar un movimiento de recono­ cimiento sobre Sevilla, con el fin de aprovechar la oc&amp;sirn ti se me presen…</t>
  </si>
  <si>
    <t>Sdialemberg</t>
  </si>
  <si>
    <t>; los de Air. V ilkins entre Los vecinos v estudiantes harán el servicio de la caotros se alarmaron. Indignado de este paso clandes­ ital. hl genera! conde Sdialemberg ha sido nomtino Mr. Wiíkins, se preparaba A recibir al espia rado su comandante. como merecía: lo buscó efectivamente; pero ya el Del fj. p.'ixaro había volado…</t>
  </si>
  <si>
    <t>Sdiwarzenberg</t>
  </si>
  <si>
    <t>Em­ culo xcix del mencionado decreto, juzgará de los perador de Austria, por medio del Excmo. Sr. recursos de reposición intentados en causas crimi­ príncipe Sdiwarzenberg , embaxador en París , la nales, de corrección y de policía, en los términos obra que ha compuesto sobre la vacuna : S. M. se que previene el articulo c de…</t>
  </si>
  <si>
    <t>Se, D</t>
  </si>
  <si>
    <t>D Se</t>
  </si>
  <si>
    <t>1033</t>
  </si>
  <si>
    <t>Cíavijo , del que al día siguien­ te 13 por carecer en él de agua fui al de Nalda, mandando á Amor que fuese á Albelda. Desde este pueblo escribí al comandante D¿ Se-</t>
  </si>
  <si>
    <t>Se, Fer</t>
  </si>
  <si>
    <t>Fer Se</t>
  </si>
  <si>
    <t>.............................. 2coo morias remitidas se haga con toda exactitud 6 in­ D. Tomas de Aguilera, por me­ dividualidad. dio de su apoderado D. Fer­ Se remitirán las memorias á ios consulados ge­ nando López............................... 5995° nerales de Francia en Janina y Pairas, ó al en­ D. Pedro Cancio..........…</t>
  </si>
  <si>
    <t>Se, Kntusowv</t>
  </si>
  <si>
    <t>Kntusowv Se</t>
  </si>
  <si>
    <t>l Pínd.iro, y ahora va ¡do orden de retractar algunas de las promesas qne á publicar sus comentarios sobre este poeta , que en los principios hizo al general Kntusowv Se están íe. esperan con la- mayor impaciencia. El señor haciendo levas en todo el imperio otomano, y los Wollí, de Barí in , as autor de un comentario nue­ sol…</t>
  </si>
  <si>
    <t>Sebas</t>
  </si>
  <si>
    <t>guio , naestro ministro Ja Hacienda, y D. Sebas­ tidnmbre de las observaciones hacían esta Opera­ tian Piñuela, nuestro consejero de Estado. ción mui penosa; pero; no obstante con esta pri­ El gran tesorero y gran canciller de la Orden, mera aproximación se pudo asegurar de antemano cada uno en la p</t>
  </si>
  <si>
    <t>zas quería imponer ría de cazadores de montaña de Guadalaxara. condiciones vergonzosas, era preciso perecer baxo Al subteniente que fue de caballería D. Sebas­ las ruinas de la ciudad primero que acceder á ellas. tian Carvallo subteniente de caballería de línea. ,,Los oficíales enviados al general enemigo vol­ Al sargento de …</t>
  </si>
  <si>
    <t>el Perú. Oficiales voluntarios de dragones. El capitán D. Juan Ponce, 50 ps. fs. Id. D. Francisco Campuzano, *25. Teniente D. Pedro C onejo , 40. Id. D. Sebas­ tian Baquerizo , 200. Alférez D. Bernabé Cornejo , 25. Cadete D. Manuel de Aviles, 12. — Aventureros del mismo cu rpo. D. Vicente Décima-Villa , 100. I). Pedro de Haro…</t>
  </si>
  <si>
    <t>Sebasíiani</t>
  </si>
  <si>
    <t>este sistema pende, según el juicio común, el aniquilamiento y total destrucción de las huestes del tirano. Convienen por fin los franceses en que el general Sebasíiani fue atacado y perseguido un dia entero; y poco importa añadan después que la pérdi­ da fue igual de ambos lados, pues todos saben quanto mas debe sufrir una t…</t>
  </si>
  <si>
    <t>Sebasti</t>
  </si>
  <si>
    <t>ino, con la que habiendo balido guido particularmente, me es precito recomendar á la coluna por algún tiempo, hice avanzar rápida­ V. A . S. al señor general Sebasti ini, cuyos buenos mente mi infantería , y tomar á viva fuerza el lugar consejos me han servido tanto en las disposiciones, de Pasárewo, y por otro ataque el bosq…</t>
  </si>
  <si>
    <t>Sebastian</t>
  </si>
  <si>
    <t>. Salamanca, 4. Sebastian Dávila, 4. Mariano Infantas, 4. José Mi­ guel Villegas , 4. Francisco Almagro , 4. Clemente Mirelas , 4. — Farmacéu­ ticos. D. Sebastian ?vlena, protoboticario , 17. D. Francisco Tafur por sí y por la botica de la congregación de S. Felipe Neri , 25. 1). Domingo Pimentei , por sí y por la botica de l…</t>
  </si>
  <si>
    <t>ncia, y las de París dicen que Na­ poleón ha pasado revista á un cuerpo formado de prisioneros espa­ ñoles que destina al Norte. Dicen también que el general Sebastian! había salido para Coiistafítinopla á impedir el ajuste de paz entre la Puerta y la Rusia.</t>
  </si>
  <si>
    <t>un tamaño regular. D. Francisco Antonio ele- las Rivas, teniente, Ijos-niños gozan de perfecta salud, y la madre á ayudante segundo, «n larvacante de D. Sebastian cria i los tres. Tiene 33 años, yes Ja primera vez del Conde Vallejo.' que ha parido en seis años que hace que está casada.. art. ni. En los batallones de la ciudad…</t>
  </si>
  <si>
    <t>Carlos), teniente dé granaderos de bueg-i: obligado á'eombatir, rechazó los ataques del ídem. enemigo mientras este pudo hacerlos con sus fuer- Gil ( D. Sebastian), capitán del esquadron de ca­ xas reunidas; pero precisándolo á diseminarlas con zadores de Avila. la variación de posiciones, aprovechó el momento Gatierrez (D. T…</t>
  </si>
  <si>
    <t>cia que no merece: baste saber por confesión del mismo tirano que su caballería fue sorprehendida por los cosacos, y que estos cogieron el parque del general Sebastian!, 100 carros de bagages &lt;&amp;c. Quedan, pues, desvanecidas las lisonjeras esperanzas deí usurpador, humillada su altivez, asegurada la independencia del imperio r…</t>
  </si>
  <si>
    <t>812</t>
  </si>
  <si>
    <t>egros,' que puedan reemplazar los infantería y otros tantos de caballería, atacando de regimientos o je tenemos de los mismos en las In­ improviso al general Sebastian^,, haciéndole alejar dias occidental».-'-'. .Semejante comidon puede cometer como una leguu, y causándole una pérdida de unos abusos escándelo-os, y con el pre…</t>
  </si>
  <si>
    <t>inmediatamente grandes" refuerzos al Canadá cos de un bosque , que estaba á medio tiro 'dé: ca­ y á la Nueva-Escocia; ¡y harto será que ya no ñón del general Sebastian!, y que aquél dia no ha­ lleguen tarde! .. bía sido ocupado ni registrado por nuestros ¡tropas, Es cosa mui dolorosa para nosotros el no tener y arremetieran d…</t>
  </si>
  <si>
    <t>Sebastiani</t>
  </si>
  <si>
    <t>franceses fueron batidos, haciéndoseles iS) prisioneros. Es proba­ ble que esta sea la misma acción de qué habla el octavo boletín francés, en que el general Sebastiani fue perseguido por espacio de una legua con la pérdida de unos 100 hombres; pérdida que debemos suponer considerable, no tan solo porque los franceses siempre…</t>
  </si>
  <si>
    <t>fueron derrotadas, dexando caballo, estaban ya dentro del campamento, donde 3® hombres prisioneros. No se ha recibido todavía cogieron un parque t|el general Sebastiani, compues­ la noticia da oficio de esta brillante acción, que tan­ to de 100 carros de' bagages,.é hicieron unos roo to honor hace al general d’Yorck. prisione…</t>
  </si>
  <si>
    <t>ito frailees. (Notable descuido!) Mal do su grado confiesa Na­ poleón que los rusos tomaron en esta ocasión 12 piezas de artillería* y 20 caxones del general Sebastiani con 30 carros de bagages. Si­ guióse á esto un ataque de la caballería rusa y dos columnas de infantería; pero salióles al encuentro con ia suya Murat, y qued…</t>
  </si>
  <si>
    <t>Sebtsti</t>
  </si>
  <si>
    <t>1011 ocupar sus ssier te*. En seguida se c¡libro una arisa , en la eua? des­ pués del evangelio el cr-ra ecóncmo del pueblo D. Sebtsti&amp;n Cuen­ ca hizo un breve y enérgico decurso. Concluida la misa, al mismo tiempo que los tambores batieron marcha y la tropa presentó 1. s ar­ ias s, se descubrió el retrato de nuestro amado mo…</t>
  </si>
  <si>
    <t>Seco, Pascual</t>
  </si>
  <si>
    <t>Pascual Seco</t>
  </si>
  <si>
    <t>las doce y media, en la po­ terponerle entre ellos y las tropas francesas, y don­ sada de dicho señor juez ante el escribano de) número de esta villa D. Pascual Seco. Quien quisiere hacer de no han podido llegar por temor de ellas te han postura á las referidas fincas 6 qualquiera de ellas, acu­ querido servir de los gefes de…</t>
  </si>
  <si>
    <t>Sefeastiani</t>
  </si>
  <si>
    <t>en cosa alguna de importancia. El general ruso conde dePahlen habia he­ cho 300 prisioneros franceses, cogiendo los equipages y todos los papeles del general Sefeastiani. Hay mucha probabilidad de que el conmódoro americano Rcdgers haya sido alcanzado por nuestros cruceros, como se infiere del siguiente extracto de carta de u…</t>
  </si>
  <si>
    <t>Segnn, Pe</t>
  </si>
  <si>
    <t>Pe Segnn</t>
  </si>
  <si>
    <t>rimero.. Por medio de este canal queda abierta ana nave­ Del ap, gación mui cómoda desde Petersburgo hasta el des­ embocadero d'il Wolga. S. A. I. el príncipe Pe­ Segnn un decreto de S. M. del ty de este mes dro Federico de Helsteih-Oldenburgo, director se re.tepdrá desde aquí en adelante una parte del general de puentes y ca…</t>
  </si>
  <si>
    <t>Segundo</t>
  </si>
  <si>
    <t>1112</t>
  </si>
  <si>
    <t>Bernaráo Soto Jove,-sargento segundo de. artillería de marina: en id. se le concedió si ¿.dato de la puerta de S. Roque de Oviedo. • Juan Cabrerizo, sargento Segundo de marina : ea 4, plaza de dependiente en el resguardo del campo de Gibraltar , y que se propon­ ga para, cabo cuando haya lug&amp;r. Domingo Aatonio Gtonzafes , sar…</t>
  </si>
  <si>
    <t>Segur, Octavio</t>
  </si>
  <si>
    <t>Octavio Segur</t>
  </si>
  <si>
    <t>con pérdida. En una de estas esz&amp;rsmuzas el conde Delow Denizen, general ayudante de S. M. I., hizo varios pri­ sioneros , entre I03 que s¿ halla el conde Octavio Segur. „El 18, el cuerpo dei conde Witfgcnriein estaba entre Wílkomie y Holtmeny: los que e;tan á cargo de ios generales Tutsckrow y el conde Schrwsloíí', se van ap…</t>
  </si>
  <si>
    <t>Segurado, Vicente</t>
  </si>
  <si>
    <t>Vicente Segurado</t>
  </si>
  <si>
    <t>dantía mayor al segundo teniente de granaderos D. José Clemente de Buerens:segundas tenencias de granaderos á los de fusileros D. Eduardo de. Silva y D. Vicente Segurado : ídem de cazadores ai alférez D. Pe­ dro Cabañas : segundas tenencias de fusileros al alférez D. J uan de la Chaussee y á D. Vicente Cañaveral, capitán de c…</t>
  </si>
  <si>
    <t>Seidel, Francisco</t>
  </si>
  <si>
    <t>Francisco Seidel</t>
  </si>
  <si>
    <t>ranaderos - á O. Francisco Valera y D. Carlos Laurent, á subtenien­ tes de fusileros á D. Juan Agilitar, D. Lorenzo de Avila, 0. Salva­ dor Morejon y D Francisco Seidel; y á subtenientes de bandera á D. Faustino Figueroa , D. Francisco Viamonte, D. Francisco Cortazar y D. Salvador déla Luz. En el de la Luisíana, á sargento ma…</t>
  </si>
  <si>
    <t>Semellé</t>
  </si>
  <si>
    <t>1 del corriente. Os encarga que continuéis, y que aseguréis la cobranza del dinero de las contribuciones, como asimismo ia de muías y caballos que el general Semellé ha pedido. Respecto de los caballos, S. E. me encarga os advierta que en el caso de que no se complete el número de los pedidos, podéis exigir los de ia paitida …</t>
  </si>
  <si>
    <t>Sempe, Juan</t>
  </si>
  <si>
    <t>Juan Sempe</t>
  </si>
  <si>
    <t>tas á quienes suponen servido nombrar á D. García Gómez Xara conse­ querer defender, y de quienes reciben subsisten­ jero de la prefeetnra de Madrid, D. Juan Sempe- cias. ¡Qoáotos se quejan de esto mismo ! Déxense re y Guarinos, fiscal de lo civil en la chancille- pues de continuar obrando de uo modo tan contra­ ría de Granad…</t>
  </si>
  <si>
    <t>Senadel, Antonio</t>
  </si>
  <si>
    <t>Antonio Senadel</t>
  </si>
  <si>
    <t>aldivieso, 25. El coronel de milicias D. Lorenzo Antonio de Cárdenas, 100. El capitán de milicias D. Atanasio de la Canal, 12. D. Mariano Goichi, 17. D. Antonio Senadel, G. D. Pablo Rubi­ nes , 50. D José Gabriel Gómez , por sí y su hijo D. José María, 100. Don José Donaires , G. D. Francisco Boladeras, 12. D. José González ,…</t>
  </si>
  <si>
    <t>Senez</t>
  </si>
  <si>
    <t>nunciados en el parla­ ti !a Amelie, ha-aparejado de esta rada el 2 de ju­ mento sobre los negocios de las Indias occidenta­ nio baxo las órdenes del capitán Senez: á esta les prueban que desde la grande extensión que han división ha seguido otra, compuesta de nueve na­ adquirido las posesiones territoriales de la compañía vi…</t>
  </si>
  <si>
    <t>Senlly</t>
  </si>
  <si>
    <t>tidos que ha dado e! parlamento de Los oradores fueron lord Fingal!, Mr. BaneIr i.mda de nuestra conducta pacífica , de nuestra wal!, Mr. Lawlér , el consejero Senlly , Mr. Burconstante fidelidad y de nuestro respeto á las le­ ke , el mayor Brian, Mr. Sutlyvan , el consejero Oyes de nuestro país, nos dan derecho para contar c…</t>
  </si>
  <si>
    <t>Ser, Francisco</t>
  </si>
  <si>
    <t>Francisco Ser</t>
  </si>
  <si>
    <t>quiera quando po de ingenieros; al teniente agregado al cuerpo piensa á qué riesgos ha estado expuesta la libertad, de inválidos inhábiles de Sevilla D. Francisco Ser­ la honra y la vida dé un español que haya tenido rano teniente efectivo del mismo cuerpo en la va­ la desgracia de ser procesado baxo tales principios. caste p…</t>
  </si>
  <si>
    <t>Sereny</t>
  </si>
  <si>
    <t>y de qu* señalada acompañado de dos oradores del cabildo su Soberano los apfecia como merecen." de Olmntz ; del conde Migazzi, prelado-mitrado, y del conde Sereny, abad también mitrado, co Del 7 de febrero. una magnífica carroza de seis caballos con otros dos coches de respeto de seis caballos, y otros Por las listas de muert…</t>
  </si>
  <si>
    <t>Sergeaut, José</t>
  </si>
  <si>
    <t>José Sergeaut</t>
  </si>
  <si>
    <t>iJ) toba! Majuelo, D. José del Arco, D. Jayme Raíz de Abreu , D. Vi­ cente Co; tés, D. José Sergeaut, graduado de teniente coronel y de cazadores, y D. José de Lemus : primera tenencia con retención de ia segunda ayudantía á D. Pedro de Alcántara Muso: segundas ayudantías mayores á los seg</t>
  </si>
  <si>
    <t>Serna, José</t>
  </si>
  <si>
    <t>José Serna</t>
  </si>
  <si>
    <t>lentin Hurtado , 2. D. Francisco Perez , 2. D. Ma­ riano Tello, 1. D. Sebastian Daga, 2. IX Ramón Acuña, 4. D. Andrés Melendez, 1. D. Pablo Piñan, 1. D. José Serna, l. D. Manuel Acdsta, 1. Teniente de milicias de Tarma IX Juan Echevarría, 100. Procurador de la ciudad-IX Pe­ dro Espinosa , 10. Capitán D. .Esteban Solis , 2. Id…</t>
  </si>
  <si>
    <t>Serna, María de los Santos</t>
  </si>
  <si>
    <t>María de los Santos Serna</t>
  </si>
  <si>
    <t>y 4 D Francisco Pareja, 30. D.-Pablo Mendiola, 60. D. Francisco Easaga, 8. D, Francisco Irrisarri , 20. El protomedico D. Ignacio Hurtado, y su mug&lt;r Doña María de los Santos Serna, 160. Varias señoras de Guayaquil, 355 y 4. El gremio de tierreros, 148. El de sastres , 93 y 4. El de zapateros, 50. Fermín Antepara, 200. Don Jo…</t>
  </si>
  <si>
    <t>Serón, Santiago</t>
  </si>
  <si>
    <t>Santiago Serón</t>
  </si>
  <si>
    <t>rejo y Mayo. — Lorenzo Herrero*—? Continúan los donativos del Perú, D. Manuel Quesada, 4 pesos fuertes. D. Nicolás Castro, 30 D. Loren­ zo Bodero, G. D. Santiago Serón, G. El ayudante de gobierno y varios i ndtviduos , 7$ y 4. Pedro José Vargas , 25. D. Alexo Guiraldez, 25. D. Gaspar Casanova , 25. D. Isidro Arauz, 6. D. José…</t>
  </si>
  <si>
    <t>Serra, Juan</t>
  </si>
  <si>
    <t>Juan Serra</t>
  </si>
  <si>
    <t>es de llegar al camino To­ ledano, y al norte linda con la Gavia por donde basan D. Elias Ronda. las aguas del puente cegado, de caber ocho fanegas y D. Juan Serra. 26 estadales, á 700 rs. cada fanega. Otra en dicho si­ D. Gabriel Diaz Palacios. tio de Garcicuchilla, que está por medio de otra de la D. Pedro Olmeda. anteceden…</t>
  </si>
  <si>
    <t>Serradle, Henrique</t>
  </si>
  <si>
    <t>Henrique Serradle</t>
  </si>
  <si>
    <t>adron Piessen , y el capitán de la compañía da Sr. D. Juan Serra CaJano...................... loo cazadores de mont ña D. Nicolás VilLgarcía , ha Sr- D. Henrique Serradle................ 300 hecho prisionero el dia ai en Tamajon al llamado El Excmo. Sr. D. Pedro Echeverría,. ijO el Manco con i.n rfifial, 54 hombres, y 80 caba…</t>
  </si>
  <si>
    <t>Serrállach, Francisco</t>
  </si>
  <si>
    <t>Francisco Serrállach</t>
  </si>
  <si>
    <t>teban, D. Mi­ guel Cándamo, D. Diego Roch, D. Teobaldo Rodríguez y D. José Armisen; el capitán de navio D. Manuel Delgado ; los tenientes-co­ roneles D. Francisco Serrállach, D. Luis Genaro La-Rocque, D. Jo­ sé Minio, D. Juan Ponman y D. Manuel Gamindez ; el capit&amp;n de fragata D. Jo«é Connock; los sargentos mayores D. Jian de…</t>
  </si>
  <si>
    <t>Serrano, Antonio</t>
  </si>
  <si>
    <t>Antonio Serrano</t>
  </si>
  <si>
    <t>sivamente para aprovechar las ocasio­ no; D. Pedro Marcelino de Lago, ex-franciscano nes imprevistas que se ofrezcan ,y hacer ver questl descalzo ; y D. Antonio Serrano , ex-trinitario des­ timidez es sobra de paciencia. Las dos terceras calzo, todos tres presbíteros, para tres raciones de partes del congreso sort de dictamen…</t>
  </si>
  <si>
    <t>'............................ 2200 Ex-bernardoi. D. Francisco González , id........................... 320a De Alberico Hortet, residente en Plañóles D. Antonio Serrano , residente en Cabra... 2200 en Cataluña...................... ........................... 2200 D. Juan Carmona, subdiácono , id............ 22.a D. Joaquín P…</t>
  </si>
  <si>
    <t>Serrano, Francisco</t>
  </si>
  <si>
    <t>Francisco Serrano</t>
  </si>
  <si>
    <t>válidos inhábi­ empeñen en hacerle daño, hemos de tratar noso­ les de Sevilla á los individuos siguientes: al tenien­ tros de destruirle. te agregado D. Francisco Serrano á teniente de la ,, Es necesario hacer inmensos preparativos pa­ quinta compañía en la vacmte de D. Juan Ortega; ra construir navios de línea ; tenemos abun…</t>
  </si>
  <si>
    <t>licia cívica con los oficiales que se designan. En Otura D. Josef Bnrdalonga teniente. De las langostas, y de los medios de destruirlas. En Chimeneas D Francisco Serrano teniente. En Ventas de Huelma D. Salvador Muñoz Si no supiéramos por nuestra propia experiencia teniente. los enormes daños que ocasionan las langostas, te E…</t>
  </si>
  <si>
    <t>Serrano, Josef</t>
  </si>
  <si>
    <t>Josef Serrano</t>
  </si>
  <si>
    <t>........................... 2200 D.J uan Márquez , ¡4........................ .........;... 220O D. Antonio Toscano, id. en Espejo.............. 2200 D. Josef Serrano , residente en Córdoba.... 2200 D. Josef de Arroyo, id. en Sanraella.......... 2200 D. Rafael Serrano, id........................................ 2299 D. Franci…</t>
  </si>
  <si>
    <t>Serrano, Juan Antonio</t>
  </si>
  <si>
    <t>Juan Antonio Serrano</t>
  </si>
  <si>
    <t>residente en Cañete de D. Rafael Perez y Carredas , id............ . 220® las Torres......................................................... . 2200 D. Juan Antonio Serrano, id...................... 2200 D. Francisco Gordillo, id...*........................... 2200 D. JosefRafael Rodríguez, id...................... 2200 D. Ma…</t>
  </si>
  <si>
    <t>Serrano, Justo</t>
  </si>
  <si>
    <t>Justo Serrano</t>
  </si>
  <si>
    <t>200 tener la revo'uciou que padecemos. D. J osef Heoríquez , id...... ......................... 2200 Han hecho , pues , los españoles en esta ocasión D. Justo Serrano, id. en Alcaudete............ 2200 lo tnismo que en las dos anteriores mudanzas de D. Vicente Carpió, id. en Linares............. 2200 dinastía, que ha sido opo…</t>
  </si>
  <si>
    <t>Serrano, Pedro</t>
  </si>
  <si>
    <t>Pedro Serrano</t>
  </si>
  <si>
    <t>en Sanraella.......... 2200 D. Rafael Serrano, id........................................ 2299 D. Francisco Cacado , id........ ................ 2200 D. Pedro Serrano, id......................... . 220O D. Juan de Hita, residente en Cañete de D. Rafael Perez y Carredas , id............ . 220® las Torres.......................…</t>
  </si>
  <si>
    <t>Serrano, Rafael</t>
  </si>
  <si>
    <t>Rafael Serrano</t>
  </si>
  <si>
    <t>ntonio Toscano, id. en Espejo.............. 2200 D. Josef Serrano , residente en Córdoba.... 2200 D. Josef de Arroyo, id. en Sanraella.......... 2200 D. Rafael Serrano, id........................................ 2299 D. Francisco Cacado , id........ ................ 2200 D. Pedro Serrano, id......................... . 220O D.…</t>
  </si>
  <si>
    <t>Serres, Pedro</t>
  </si>
  <si>
    <t>Pedro Serres</t>
  </si>
  <si>
    <t>eral barón de Peurrilly, condecoró al harambas­ bien S. M. nombrar al capitán de caballería de lí­ sa Leidich ccn una medalla. Después le llevó á nea D. Pedro Serres comandaote.de esquadron eo' comer á casa del general, donde hubo un magní­ ru misma arma. fico banquete, que duró hasta mui tarde, en el que Por decreto de la mi…</t>
  </si>
  <si>
    <t>Serrurier</t>
  </si>
  <si>
    <t>mediatamente al nombramiento de los comisarios; y BOLETIN 2° DEL EXERCITO GRANDE. los señores condes Lacepede, Garnier, Latour-Maubourg, Monge, y el mariscal Serrurier han quedado Wilko'wisky 22 de junto de 1812. Se han im­ elegidos miembros de la comisión especial. posibilitado todos los medios de poder acordarse ó El senado…</t>
  </si>
  <si>
    <t>Sevillano, Andrés</t>
  </si>
  <si>
    <t>Andrés Sevillano</t>
  </si>
  <si>
    <t>lesiástico y secretario Diputados seculares D. Josef Antonio lbarrola. D. Juan Bebndia. - Diputados seculares D. Joaquín Sánchez. D. Francisco Perez. D. Andrés Sevillano. D. Marcos González del Campillo. Secretario D. Benito Mendez. BARRIO DE AFLIGIDO». BARRIO DEL HOSPICIO. Alcalde de barrio D. Blas Muñoz. Alcalde de.barrio D…</t>
  </si>
  <si>
    <t>Sevillano, Manuel</t>
  </si>
  <si>
    <t>Manuel Sevillano</t>
  </si>
  <si>
    <t>. Francisco Xavier de León, id................ 2zoo D. Carlos Torres, id. en Madrid................ 2200 D. Juan Rodríguez, id. en Mancha Real.. 2200 D. Manuel Sevillano, id.-en-Jaén................ 2a00 Ex-ntercenarlos descalzos. D. Josef de Torres , diácono , id............... 3200 D. Benito Alonso, residente en Madrid.....…</t>
  </si>
  <si>
    <t>Sfvero</t>
  </si>
  <si>
    <t>zelosa. Pero reflexione vmd. bien sí bre dei que aili se hallaba emigrado de Valencia la operación política , dirigida en Bayona en el año era el de D. Sfvero, y ambos dieron interes á su de 1808, fue personal contra la casa de Borbon, 6 diálogo desde los discursos siguientes. extensiva en sus perjuicios de hecho á la nación …</t>
  </si>
  <si>
    <t>Shetidam</t>
  </si>
  <si>
    <t>nham y de 200 de sus compañeros. Al lado de Qnando llegó á Portsmouth la noticia de la la Saldanha se descubren los restos de otro bu­ absolución del doctor Shetidam, se hallaba en que, que también ha perecido, y tememos sea el aquella ciudad el duque de Clareuce, y asistía á Talbot, que había salido con ella de Long-Swilli. …</t>
  </si>
  <si>
    <t>Si, Salvador Muñoz</t>
  </si>
  <si>
    <t>Salvador Muñoz Si</t>
  </si>
  <si>
    <t>Otura D. Josef Bnrdalonga teniente. De las langostas, y de los medios de destruirlas. En Chimeneas D Francisco Serrano teniente. En Ventas de Huelma D. Salvador Muñoz Si no supiéramos por nuestra propia experiencia teniente. los enormes daños que ocasionan las langostas, te En Churriana D. Francisco Mexías teniente. tendrían …</t>
  </si>
  <si>
    <t>Siadas, Francisco</t>
  </si>
  <si>
    <t>Francisco Siadas</t>
  </si>
  <si>
    <t>. Gregorio Palacios, 25. D. José Antonio Miehilon , 1. D. Ramón Manzanares , 2. I). Gaspar Silva , 2. Don Francisco ligarte, 2. D. Matías Cuello , 2. D. Francisco Siadas , 4. 1&gt;. Fran­ cisco Figueiras, 2. Manuel Artiaga , 1. Doña Catalina Carrasco , 2. Doña Ma­ ría Blanco por sí y su madre , 2. D. Baltasar Vargas , 4. D. Gasp…</t>
  </si>
  <si>
    <t>Sicforie, Jozé</t>
  </si>
  <si>
    <t>Jozé Sicforie</t>
  </si>
  <si>
    <t>ministerio de hacienda. ,,Hablé?dese enterado la Regencia del leyrc de que evacuado el sitio de Aranjuez por las trepas eser&amp;ig&amp;ff, entró á ocuparle D Jozé Sicforie.no García Surito ^comisionado aí efecto por la jauta supe» ricr de la Mancha, tomando icmedis.teniente las disposiciones.opor­ tunas para la custodia de lo que ah…</t>
  </si>
  <si>
    <t>Sicilia, Marcelino Josef</t>
  </si>
  <si>
    <t>Marcelino Josef Sicilia</t>
  </si>
  <si>
    <t>Demetrio Ramón Moraleda al de F'ueu- ñora, que no podía presentarse sino vestida de,gala salida. y qon real atatfío; pero hoi que se .pasea por las A D. Marcelino Josef Sicilia, cqra vicario de pendas, y anda rodando por los mostradores,,que Camarina de Suso, para el de Kobledillo dé la come en úgon, y bebe en taberna 1 y se …</t>
  </si>
  <si>
    <t>Sicilia, Ra</t>
  </si>
  <si>
    <t>Ra Sicilia</t>
  </si>
  <si>
    <t>paran del solio á los que ya Angulo, cura vicario de Rejas. los estorban , como lo acaban de verificar con el de Para el de Torrecilla de Alcandete á D. Ra­ Sicilia: en España tienen valor oara haber supues­ fael Benigno de la Palma , cura del Alamo. to que son defensores de Fernando, de la religión Para el de Santiago de Ciu…</t>
  </si>
  <si>
    <t>Siehclin</t>
  </si>
  <si>
    <t>propósito pa­ •al efecto por S. E. el landamann, á saber, el bur­ ra ello; y se les dará de jornal cinco gros por dia, gomaestre Sarrasiu y el señor consejero Siehclin. y ración do pan y carne. Debiendo ser ratificado este tratado en el término de quatro meses , S. E. encarga á los cantones que BAVIERA. , envíen , bieu sea di…</t>
  </si>
  <si>
    <t>Sierakowsky</t>
  </si>
  <si>
    <t>l nombre polonés? ; Pero quándo se ha al Altísimo por la libertad de la patria. En seguida logrado jamas arrancar de nuestros corazones este el señor conde Sierakowsky, presidente del gobier­ nombre tan precioso, é impedir á nuestra boca el no provisional , pronunció el siguiente discurso : pronunciarlo ? Las prisiones de ümo…</t>
  </si>
  <si>
    <t>Sierra, Ambrosio González</t>
  </si>
  <si>
    <t>Ambrosio González Sierra</t>
  </si>
  <si>
    <t>stado , del vicario ecle­ D. Ramón Maccdah i • siástico , de dos propietarios de conocido zeio, de Diputado eclesiástico un tesorero y un secretario. D. Ambrosio González Sierra. art. II. Las sesenta y quarro diputaciones de Diputados seculares, y el último secretario, caridad de lor barrios que existen continuarán ba­ D. Fer…</t>
  </si>
  <si>
    <t>Sierra, Joaquín</t>
  </si>
  <si>
    <t>Joaquín Sierra</t>
  </si>
  <si>
    <t>de diciembre próximo pasado, el comandante gene­ ral de la provincia de Extremadura, marques de Mon salud, cuyo te­ nor es el siguiente: Excrn». Sr.: D. Joaquín Sierra, comandante-de partida, me da</t>
  </si>
  <si>
    <t>Sierra, Pedro</t>
  </si>
  <si>
    <t>Pedro Sierra</t>
  </si>
  <si>
    <t>25. — Dependientes de minas. D. José España , 10. D. Francisco Mazorra, 8. D. José Lemus, 25. D. Juan Bautista Pelogui , 25. D. José Minavales , 20. D. Pedro Sierra, G. D. Guillermo Arriaga , G. 1). Joaquín Li.zarnturi, 25. D. Juan Miota, 10. D. José Martínez, 8. D. Tibureio Ribe­ ra, lO. . (Se continuarán.) CADIZ : EN LA IMP…</t>
  </si>
  <si>
    <t>Sierra, Ventura</t>
  </si>
  <si>
    <t>Ventura Sierra</t>
  </si>
  <si>
    <t>de una ligera nebulosidad; pero no se divisa 4.el reg imentó 4.0 de cazadores á caballo;, subte­ vestigio alguno de cola. niente del mismo cuerpo; á D. Ventura Sierra, Los periódicos del mes pasado publicaron que subteniente que era de infantería « subteniente d* el dia 4 de noviembre se había visto en Berna á infantería de l…</t>
  </si>
  <si>
    <t>Siewart</t>
  </si>
  <si>
    <t>en que piensa en enviar tes. El almirante L' htrmíte es prefecto de Tolon. ^ una esquadra á un puerto de América. En el puer­ La corbeta el Minstrel, capitán Siewart, fue el to de Loriént hai claco navios de línea armados único bastimento ingles que se halló ea la costa de y equipados , que Son los que han de ir, según se Val…</t>
  </si>
  <si>
    <t>Sikeyra</t>
  </si>
  <si>
    <t>­ dos sérv e os que hizo aquel ilustre general á la causa española, to­ mando gloriosamente por asalto la plaza de Badajoz. Extracto de una caria del general Sikeyra, conde de Amarante, escrita en su cuartel general de Carvajales á 29 de junio de 1812, al Excmo. Sr. conde de Raímela, ministro de Portugal en Espafw. „Cuardo ma…</t>
  </si>
  <si>
    <t>Silbrech</t>
  </si>
  <si>
    <t>arto de legua de Eppeirs no estuviesen sujetos ios súbditos del imperio frail­ sobre el Jalide. ees.al derecho que cobra el fisco sobre los bienes El sargento Silbrech, qve mandaba el puesto, de los extranjeros que mueren en aquel reino (Jasj laego que advirtió el desembarco del enemigo , se aibinagii), ni al. qne pagan los e…</t>
  </si>
  <si>
    <t>Silleros, José Muñoz</t>
  </si>
  <si>
    <t>José Muñoz Silleros</t>
  </si>
  <si>
    <t>Fernando Villanueva, D. Antonio Ansaldo , D. Sebastian de Moya, D. Antonio María Portaz, D. Antonio Moreno, D. Andrés Rodrí­ guez, D. José Martínez, D. José Muñoz Silleros, D. Agustín Moli­ na, IX Asensio Cabrera y González., D. C irios María Godinez, Don Rafael Piñuela, y á los subtenientes graduados D. Juan Díaz Pino, D. J …</t>
  </si>
  <si>
    <t>Silleros, Josef Muñoz</t>
  </si>
  <si>
    <t>Josef Muñoz Silleros</t>
  </si>
  <si>
    <t>Fernando Villanueva, D. Antonio Ansaldo, D. Sebastian de Moya, D. Antonio Ma­ ría Portaz, D. Antonio Moreno, D. Andrés Rodríguez, D. Josef Martínez, D. Josef Muñoz Silleros, D. Agustín Molina, D. Asensio Cabrera y Gonzá­ lez, D. Carlos María Godinez, D. Rafael Piñuela, y á los subtenientes gra­ duados D. Juan Díaz Pino, D. Jo…</t>
  </si>
  <si>
    <t>Silobrando, Manuel</t>
  </si>
  <si>
    <t>Manuel Silobrando</t>
  </si>
  <si>
    <t>.que,.-el exér­ mino., juez de las juntas .de -negocios contenciosos, cito ha hecho largas marchas, -pata llegar mani­ presidente; D. Domingo Agüero, D. Manuel Silobrando hasta el Dwina; .pujes i&amp;te -vio dista del vela y D. Francisco Itutribarría, alcaldes de corte; Vístula mas que Mpscow- y-Petersbtfrgo del'Dwina. D. Antonio…</t>
  </si>
  <si>
    <t>Silos</t>
  </si>
  <si>
    <t>n ía consideración debida, y ofreciéndole siempre mi buena correspon­ dencia. Consuegra y marzo £6 de ISIS. — El general de esta plaza, Brenolt. — P. D. Silos señares oficiales necesitan de algunas ropas ó cualquiera otra cosa para su alivio, ruego á Y. S. ks dé libertad para que me lo pidan ; advirtiéndome V. S. el conducto …</t>
  </si>
  <si>
    <t>Silva, Ignacio</t>
  </si>
  <si>
    <t>Ignacio Silva</t>
  </si>
  <si>
    <t>, 40. D José Ascue , 40 D. Nicolás León , 40. D. Bern udino groa , 40, Don Melchor Lamas, 4-0'. D. Estanislao Alzamora , 40. i). Manuel Quodros , 40. D. Ignacio Silva, 40. D. José Al gal ovo , 40. D. Juan Punce, 40. D. Ma­ riano Diaz , 40. Carrera de Valles. Administrador de Chancay D. Nicolás Romero , 12. Id. de Huaura D. To…</t>
  </si>
  <si>
    <t>Silveira</t>
  </si>
  <si>
    <t>da pasaron á Villar de Ciervos, de donde retrocedieron después de haber hecho considerables estragos , según su costumbre. A consecuencia de esto, e! general Silveira que se ha­ llaba con su división en Braganza, se ha trasladado á esta vida. Las tropas de su mando se han puesto eu movimiento y parte de ellas lle­ gó ayer á 2…</t>
  </si>
  <si>
    <t>Silvela</t>
  </si>
  <si>
    <t>dando ai primero el nombre de espía, y apellidando al segundo asesino ó ladrón quatrero. ¡Ah, quán doloroso debe sernos que la humanidad del incauto juez Silvela estuviese confundida con la tiranía de los Iturribarrias y de los Ce­ judos ! La introducción de las máscaras fue el quarto ataque que los franceses dieron á las cos…</t>
  </si>
  <si>
    <t>Silvela, Manuel</t>
  </si>
  <si>
    <t>Manuel Silvela</t>
  </si>
  <si>
    <t>cubiertos. Sin embargo, dos ho­ s nal de esta corte D. Manuel Perez Camino , Don ras después de medio dia el general enemigo , que Domingo Agüero ,■ D. Manuel Silvela , D. Fran­ pudo ya&gt; rezelarse que habia proyeetqs bien serios cisco Iturribarría, D. Francisco de León Bcijilichu, contra la ciudad, hizo pasar dos divisiones y…</t>
  </si>
  <si>
    <t>Silvestre</t>
  </si>
  <si>
    <t>lar, alcalde ordi­ nario de -esta ciudad , 1000. El marques de Casa Dávila , 1000. El mismo, a nombre de su hermano D. José María Sancho Dávila, 500. D. Silvestre da llostas, canónigo penitenciario de Huamanga, 300. La religión de betlemitas de esta ciudad , 500. D. José Larriva, capitán de la matrícula de cargadores de la pl…</t>
  </si>
  <si>
    <t>Simmons, Sttmael Fonrt</t>
  </si>
  <si>
    <t>Sttmael Fonrt Simmons</t>
  </si>
  <si>
    <t>do ninguno en quien tado que ahora tiene por grados, ó ha sido de re­ se-hadase en tan alto grado. pente? R. Puede decirse que lo segundo mas bien El doctor Sttmael Fonrt Simmons: S. AI. no que lo primero , porque á fines de junio la salud puede trabajar: su salud corporal es mui buen-,; mental del Rei se hallaba en un estado…</t>
  </si>
  <si>
    <t>Simón</t>
  </si>
  <si>
    <t>os ha descubierto y arrestado el 15 dé este mes en una casa situada á una milla de Londres.. El gobierno, según dicen, habla recibido aviso de que el general Simón y el ci­ rujano mantenían correpondencia con el gobierno francés , y que sé trataba nada menos que de desembarcar un numero considerable de tropas en la costa de C…</t>
  </si>
  <si>
    <t>del Toimienta nóm. i.° de cazadores á cabafló.- J • ■ • ’íón cíe Oro’. * • ‘ Bitheron (D. Joan B.&lt;uti&gt;ta)., cabo del re¿¡Wiénr* Fernandez Gallardo { D. Simón) , oficial del tnioú&gt; to de tiradores de la gtiaVdiá real. "Verio da la Policía" general. t 1 Blanco .{X&gt;. .Ventora), capitán:del regimiento núr Fr^neina ( D. Francisco …</t>
  </si>
  <si>
    <t>s pueblos sin pasto espiritual. El señor Caneja disipó los temores del señor Dou, y apoyó enérgicamente el dicta­ men de la comisión. El señor López (D. Simón) hizo una larga declamación ascética para probar que lós bienes de los frayles eran de Dios, y que ni las Corres podían reformar á los frayles ni disponer de sus bienes…</t>
  </si>
  <si>
    <t>Simplicio</t>
  </si>
  <si>
    <t>cer revo­ Cásanov3, Fabiani y Fernandez. lotear á la pobre tierra. -■ En el de lá Cruz, a las cinco y media de la tarde, Gazetas y mas gazetas, señor D. Simplicio. Las se executará la co'media en tres actos titulada los Falsos potencias asiáticas están mas escamadas de los in­ hombres de bien , con tonadilla y sainete. EN LA …</t>
  </si>
  <si>
    <t>Sistemes, Manuel</t>
  </si>
  <si>
    <t>Manuel Sistemes</t>
  </si>
  <si>
    <t>an tenido mando , como son el brigadier D. Guillermo Livesay, comandante general de la vanguardia, el &lt;Ie la misma clase de la división de caballería D. Manuel Sistemes, los coroneles de Lena , inmemorial del Rey y primero de Catalu­ ña, D. Jayme Butler, D. Felipe Borenguér y D. Antonio Sota; y los sargentos mayores D. José Q…</t>
  </si>
  <si>
    <t>Sites, Antooio</t>
  </si>
  <si>
    <t>Antooio Sites</t>
  </si>
  <si>
    <t>fas y de engaños, y con el mismo ob'jeto canónigo de S..Isidro. £?.,francisco. Martínez Ma­ perpetuó Ir guerra , armando ciudadanos centra; rina; iic D. Antooio Sites , Catedrá 1 ico de discip'iciudadanos, españoles contra franceses, y prodiT n^ec’esiástícá de’Tós mismos reales' estudios , y de. gatuio á las partidas socorros…</t>
  </si>
  <si>
    <t>Sjdiwitz, Fran</t>
  </si>
  <si>
    <t>Fran Sjdiwitz</t>
  </si>
  <si>
    <t>bién la llegado al lugar alguna partida de los nuestros.___ .han ratificado los grandes consejos de San Gall, ¿Y por qué no ha v,enido contigo el Sr. D. Fran­ Sjdiwitz , Zíuricb y Friburgo. cisco? dixo el tio Juan , que bien sabe mi casa ,y Hoi iq.de abril, al salir el sol, el termómetro buenos ratos pasábamos los dos parlaud…</t>
  </si>
  <si>
    <t>Skciret</t>
  </si>
  <si>
    <t>rsión particular, ó á en que principió el fuego, hasta las 10 de la ¡tedie. ser víctimas de una acusación falsa , y solamente Las tropas reunidas del coronel Skciret y del ge­ á fuetza de súplicas y de humillaciones puedeu neral Copons, que fueren las que sostuvieron el conseguir el que se Ies haga justicia ea los casos y ata…</t>
  </si>
  <si>
    <t>Skcrret</t>
  </si>
  <si>
    <t>ses y españoles, á las órdenes ios primeros del coronel Sker* ret. A todos recomiendo para que la nación ios admire , y particular­ mente al referido coronel Skcrret y demas «ofes de la brigada ingle­ sa. — E! gobernador de la plaza Di Manuel Dáván, coronel de infan­ tería , ha desempeñado con el mayor celo las funciones de s…</t>
  </si>
  <si>
    <t>Sker</t>
  </si>
  <si>
    <t>r la primera causa, y por ef valor y sufrimiento de estos dígaos gefes , oficiales y sóida* tíos ingleses y españoles, á las órdenes ios primeros del coronel Sker* ret. A todos recomiendo para que la nación ios admire , y particular­ mente al referido coronel Skcrret y demas «ofes de la brigada ingle­ sa. — E! gobernador de l…</t>
  </si>
  <si>
    <t>e 1811. parece increíble; pero 8® de ellos se-han restabittMüord : cido y han vuelto á sus regimientos,. La enferme­ „ Acabo de recibir una carta del coronel Sker- dad que ataca generalmente á nuestros soldados és rett cou fecha de ayer, y os envió copia de ella. la calentura maligna que padecieron en WalcheParece que el enem…</t>
  </si>
  <si>
    <t>Skerret</t>
  </si>
  <si>
    <t>cio, con que ha mirado este servicio S. A.: quien manda se den en su nombre las mas expresivas gracias a! ma­ riscal dé campo D. Francisco Copons, al coronel Skerret, coman­ dante de las tropas inglesas, y á todos los demas gafes y oficiales que hayan podido distinguirse; quedando S. A. en tener muy presente él mérito contraí…</t>
  </si>
  <si>
    <t>stancia de cerca de 300 varas con quatro pie—; ,, Tengo el honor de remitiros copia de lascar- zas de á 16 L parte de la muralla que mir- ha­ tas del coronel Skerret, con ficha del 24. Las tro- cia el oriente, por cerca de la puerta del Retiroj." mientras que diri,;ia contra la isla y lá calzada et&lt; Íai'aritá, enemigas, adema…</t>
  </si>
  <si>
    <t>Skerrett</t>
  </si>
  <si>
    <t>' general Sí* Rcwlaad Hill desde L'erena. adonde había ido en persecución de las tropas del mando del geasraj Dronet. „McJ envía !a.carta inc!u?s del coronel Skerrett, que manda las tropas británicas y portuguesas que componen parte de¿ destácameos to de?. general Ciaz, per ia cual sé que ios aliados entrares en Sevi­ lla el-…</t>
  </si>
  <si>
    <t>inmediatamente nuestros puestos avanzados en el puente ; pero fué rechazado con gran pérdida por el segundo batallón del regi­ miento 47 al mando del coronel Skerrett. No he recibido la relación de nuestra pérdida en esta ocasión , pero sé que será de unos 40 hom­ bres. Ningún oficial fué herido. El teniente general Sir R. Hi…</t>
  </si>
  <si>
    <t>Slade</t>
  </si>
  <si>
    <t>e el enemigo había dcxado en Maquilla mucha parte de los soldados ingleses hechos prisión eres el 11 del corriente, en la acción que sostuvo el mayor general Slade, envió ei 13 al teniente Steriwbitz para que con un destacamento de 50 dragones del regimiento tercero de guardias, mandado per e! te­ niente de dragones reales Ba…</t>
  </si>
  <si>
    <t>Smith</t>
  </si>
  <si>
    <t>f.cn su obra intitulada Exdr gérs nlos Estadas-Unidos T de 44, ccmmódoro Du- raen de las universidades de la Alemania pro­ catur: el Congreso, de 36, capitán Smith : el Es- testante, parece increíble que un hombre con tan­ sex, de 32, capitán Peters: el Hornet, de 16, tas ocupaciones haya podido dar vado á todas, y capitán La…</t>
  </si>
  <si>
    <t>Smolensko</t>
  </si>
  <si>
    <t>eí de Ñapóles en Nikon lino, ocupando nítnia. con la caballería á Inkovo. El 16 por la mañana ocupamos las alturas de El mariscal duque de Elchingen, comandante Smolensko-, la ciudad ofrecía á nuestra vista un del tercer cuerpo, en Liozna. circuito de murallas de unas 4© toesas de circun­ El mariscal príncipe de Eckmülh, coma…</t>
  </si>
  <si>
    <t>So, Antonio</t>
  </si>
  <si>
    <t>Antonio So</t>
  </si>
  <si>
    <t>518 diro Antonio Carrera , D. Domingo Villavente, y D. Antonio So­ ler y Armaría, cadetes, el primero del regimiento de zapadores, el segundo del de infantería voluntarios de Santiago , y el tercero del batallón de cadetes del sexto exército * agregado al: sexto de zapa</t>
  </si>
  <si>
    <t>So, José</t>
  </si>
  <si>
    <t>José So</t>
  </si>
  <si>
    <t>ncisco Benito Suarez , 12. Fr. Carlos Sánchez ,1?. D. José González , G. D. Luis del ( "arpio y (i. t) José Herrera , (&gt;. Fr. Antonio Buvungaiay , G. D. José So!is , G. D. Martin Tadeo Lope-. 4. 1). 'ÍV.deo Miranda, 4. D. Lucas Fg' avil ,1. f). Mi­ guel de la O, 4. D. \í ría o Martínez, 2. D. Manuel de la Rocha ,-2 D. Mumu 1 …</t>
  </si>
  <si>
    <t>Soan</t>
  </si>
  <si>
    <t>son conscriptos; y aunque algunos suponen que los franceses es­ peran otros refuerzos, no hay por ahora indicio alguno de ello. Se dice que viene el general Soan á tomar el mando del exército de Por­ tugal ; este es el nombre que dan al exército que ocupa en la actualidad la Bureba, y parte de la Rioja. El dia i.° del corrien…</t>
  </si>
  <si>
    <t>Sóan</t>
  </si>
  <si>
    <t>son conscriptos; y aunque algunos supone» que los franceses esperan otros refuerzos, no hay por ahora indicio alguno de ello. . Se dice que viene el general Sóan á tomar el mando del exc'rcito dé Portugal : este es el nombre que dan al exército que ocupa ac­ tualmente la Rureba y parte de la Rio ja. El dia l.° del corriente s…</t>
  </si>
  <si>
    <t>Sobar</t>
  </si>
  <si>
    <t>oña Juana Martin:z. 1 r J. D ña Arta Ma­ ría Martínez, 1 y 1. Doña Cuta i na Josefa González Martínez, 1 y 1. D. Sebastian González Martin **, l y J. D. Sobar lian Mardne*z G adame, 1 y 1. Daña M. de P. Bi .ke, 5 j 5. D. C. de Hemy</t>
  </si>
  <si>
    <t>Soberon, Francisco</t>
  </si>
  <si>
    <t>Francisco Soberon</t>
  </si>
  <si>
    <t>nte del regimiento de México D. Francisco Alvarez; al capitán D. Francisco Hidalgo ; al ayudante mayor veterano Don Narciso Arascot, y al subteniente D. Francisco Soberon, del regi­ miento de las Tres Villas ; á D. Pedro Tisidor, teniente veterano de dragones de S. Cárlos, y al ayudante mayor de los lanceros de Aguirre D. Joa…</t>
  </si>
  <si>
    <t>Soberon, Valentín</t>
  </si>
  <si>
    <t>Valentín Soberon</t>
  </si>
  <si>
    <t>o mayor D José Henriquez . el regimiento de Tres Villas á las órdenes de su sargento mayor D. Santiago Jl añez, 150 dragones de S. Carlos al cargo de D. Valentín Soberon , y 50 de Mé­ xico con el teniente D Mariano Lugo y 2 obuses con los artilleros corres| ondier 1/s , mandados por el teniente D. José Roca , con ei objeto de…</t>
  </si>
  <si>
    <t>Sobrado, Felipe</t>
  </si>
  <si>
    <t>Felipe Sobrado</t>
  </si>
  <si>
    <t>D. Miguel Antéalo Blanes , D, José Marín Zrzcsa, I). José Cabamiltis, O. Joaquín Cisternes, D. José Iribesri, IX Fran­ cisco de Anido, IX Julián Cid, D. Felipe Sobrado, D. Manuel Lo­ sada C&amp;dóraiga, IX Xavier Vázquez Varela, y D. Gonzalo Cruz de Viíches, regente, oidores, alcaldes del crimen y fiscal de !a real au­ diencia de…</t>
  </si>
  <si>
    <t>Sobremonte, Marcos</t>
  </si>
  <si>
    <t>Marcos Sobremonte</t>
  </si>
  <si>
    <t>nfantería de voluntarios de Madrid de nueva creación , subtenencia á D. Pedro Alfáiran. En el regimiento de dragones de Buenos * Ay res * ayudantía á D. Marcos Sobremonte; tenencias á D. Manuel Cuervo, D. Manuel Suarez y D. Prudencio</t>
  </si>
  <si>
    <t>Sobrinos, Manuel</t>
  </si>
  <si>
    <t>Manuel Sobrinos</t>
  </si>
  <si>
    <t>ra del D. Antonio Mesa. conde de Francos, y al poniente con otra de un veci­ D. Josef Echevarría. no de Madrid, conocido por Velarde; su caber quatro D. Manuel Sobrinos. fanegas y 2a estadales, y su valor 720 reales cada fa­ ar.t. ni. En la villa de Lnqne se formaría nega. Otra en el sitio de los Padrejones, que también dos c…</t>
  </si>
  <si>
    <t>Soden</t>
  </si>
  <si>
    <t>Jeoa; el He aqni un resumen de las obras históricas qoe Compendio completo de la administración del ce bao publicado en Alemania en el año de itíti. conde Soden y del señor Horl, de Erlangen, y El señor Heeren, profesor de hutotia en Got­ una obra del profesor Kluben , de Erlangen» sobre tinga , ha publicado una nueva edición…</t>
  </si>
  <si>
    <t>Sofia, Paulino</t>
  </si>
  <si>
    <t>Paulino Sofia</t>
  </si>
  <si>
    <t>. de S. Andrés. D. Rafael Hernández, id. de S. Sebastian. Seculares. D. Ignacio Abadía. 35. Antonio Garniz. D. Diego Palacio. D. Marcelo S. Román. [■ D. Paulino Sofia. D. Narciso Gonzalo del Rio. Y para que el público pueda entenderse con dicha ¡unta, y no padezca atraso en ninguno de sus ramos la dirección y administración d…</t>
  </si>
  <si>
    <t>Sojo, Joaquín</t>
  </si>
  <si>
    <t>Joaquín Sojo</t>
  </si>
  <si>
    <t>Ramirez.5 Diputados seculares ^pñúiádos seculares D. Joan Rodríguez. -i ígbáció.Muñoz. Jgpado'Xopez Corona* . . D. Alfonso Gastes!. D. Manuel Gayoso. D. Joaquín' Sojo. ¡ A^attáup Valladares,, 7 rr. . . Secretario Secretario D. Manuel dé la Torre. D. Joaquín Doto'González. BARRIO DB LA CRUZ. BARRIO DE SAN CAYETANO, • . : - 'Al…</t>
  </si>
  <si>
    <t>Sola</t>
  </si>
  <si>
    <t>171 las circunstancias. Exhortó pues á 44 granaderos que mandaba el teniente D. Juan Manuel Noriega , á 50 infantes que tenia eí capitán Sola y á 50 cabal os que Le quedaban de S. Carlos y patriotas ; y sir­ viéndole de ayudante y so'dado el capellán del batallón ligero de México, D. Ramón Eoheveste, avanzó á ellos, desando e…</t>
  </si>
  <si>
    <t>Solana, BtJiaiío</t>
  </si>
  <si>
    <t>BtJiaiío Solana</t>
  </si>
  <si>
    <t>cobedo... 22c» D. Benito Camas, natural de Peñacastiilo. 2200 D. Dámaso de Villaoáeva , id. .en San­ 1 Ex-franciscanos. tander.................. 2200 D. BtJiaiío Solana , id. de Santiago de Fieras. 2200 D. Henleterio Ruiloba, natural de San Vi­ D. Josef del Rio, id. de Santander............. 2200 cente de la Barquera.........…</t>
  </si>
  <si>
    <t>Solana, Manuel</t>
  </si>
  <si>
    <t>Manuel Solana</t>
  </si>
  <si>
    <t>Conejo. Quien quisiere hacer joscura á eúa, acuda á dicha es­ D. Ignacio Lerena. /t cribanía, que se le admitirá siendo arreglada. I). Josef Martin. D. Manuel Solana. D. Júan Antonio Leonardo. Municipalidad de Antequeral' , 11BRO. Corregidor. Coróníca de los Reyes de España desde Alaríco hasta D. Juan el Ti , escrita por Saav…</t>
  </si>
  <si>
    <t>Solana, Manuel Eornaudez</t>
  </si>
  <si>
    <t>Manuel Eornaudez Solana</t>
  </si>
  <si>
    <t>. El señor de Voelderndorf acaba de publicar quarta compañía del primer batatlonq en reempla­ apa traducción en alemán del tratado de las gran- zo de D. Manuel Eornaudez Solana." '1- f ■v</t>
  </si>
  <si>
    <t>Solano, Manuel</t>
  </si>
  <si>
    <t>Manuel Solano</t>
  </si>
  <si>
    <t>onisio Parían,, 71 y 5. D. Manuel Vera, 63 y 7. D. José Ureta, 55 y 5. D. José Castillo , 47 y 6. D. José. Cicilia, 47 y 6. D. Pedro Robles , 41 y 5. D. Manuel Solano, 41 y 5. D. José Carrillo, 63 y 6. El Excmo. cabildo de esta ciudad á cuenta de 100.000 ps. que ha ofrecido, 70.000. El capitán del ber­ gantín corsario Cantabr…</t>
  </si>
  <si>
    <t>Solano, Manuel López</t>
  </si>
  <si>
    <t>Manuel López Solano</t>
  </si>
  <si>
    <t>s Calvo, 41. El segundo 3). Francisco Calderón , 41. El tercero D. Francisco Menentlez Camina, 41. Provisional D. Gregorio Larrefitier, 25. Archivero D. Manuel López Solano, 66.—Tesorería. Oficial primero y tesorero interino D. Joaquín Jordán , 100. D. Juan de Irigoyen , segundo , 50. D. Roque Vaca, contador de moneda primero…</t>
  </si>
  <si>
    <t>Solar, Manuel</t>
  </si>
  <si>
    <t>Manuel Solar</t>
  </si>
  <si>
    <t>edro Norieaga, 8. D. Juan de la Peña , 8. D. José Pasíjuel , 8. D. José María Torres, 8. D. Ignacio Icaza, 8. D. Manuel Icaza, 8. D. Carlos Icaza, 8. D. Manuel Solar, 8. D. Juan Garro, 8 D. Joaquín Jordán , 8. D. Cosme Martínez , 8. D. Manuel Muelle, 8. D. José María Murga , 8. D. Antonio Urrutia , 8. D. Manuel Rio, 8. D. Lui…</t>
  </si>
  <si>
    <t>Soldado, Antonio</t>
  </si>
  <si>
    <t>Antonio Soldado</t>
  </si>
  <si>
    <t>o Echeverría. Alcalde de'barrio D. Antonio Aivarez. BARRIO DE LA PLAZUELA DB SAN JUAN* Diputado eclesiástico Alcalde dt 'barrio D.................... D. Antonio Soldado. Diputados seculares Diputado eclesiástico D. Manuel Rodríguez d&lt;¡ Castro. D. Bernabé Mateo Perez. D. Muías Mesonero. Diputados reculares D. Ramón Basualdo. D…</t>
  </si>
  <si>
    <t>Soldevilla, Francisco de Pana</t>
  </si>
  <si>
    <t>Francisco de Pana Soldevilla</t>
  </si>
  <si>
    <t>........................... 2200 D. Juan de Feria , id....................................... . 2 2- o La Moral universal , ó los deberes del hombre, D. Francisco de Pana Soldevilla, id........... 2200 fundados en su naturaleza: traducción porp. M.D. M. -D.-Rafael G=V„(los , id.................................... 2 200 Tres t…</t>
  </si>
  <si>
    <t>Soldevilla, Pedro</t>
  </si>
  <si>
    <t>Pedro Soldevilla</t>
  </si>
  <si>
    <t>ad de la guardia real, caballero tari en reemplazo de D. Ramón de A guio» y pro­ de la Orden Real de España, y miembro de la ad­ curador substituto á D. Pedro Soldevilla en lu­ ministración central de hospitales militares , en cu­ gar de D. josef Teodoro Santos. yos encargos continuó dando proebas de sos vas­ Por decreto dil …</t>
  </si>
  <si>
    <t>Soledad</t>
  </si>
  <si>
    <t>ue kan recogido correspondencia en la administración de correos de Cádiz durante la semana'finalizada en 11 del corriente. Para Poniente: falucho del rey Soledad, y místico-correo del mismo nombre. — Para Fe-cante: navio de guerra América. — Pa­ ra Mallorca : bergantín Palafox.— Para Villanueva en Cataluña : fa­ lucho S. Anto…</t>
  </si>
  <si>
    <t>que km recogido correspondencia en la adminisíraden dt correos de Cádiz durante la sema??a finalizada en 2 del corriente. .Para Poniente: falucho del rey Soledad y místico-correo del mis•spío nombre. — Para A Igeciras y Cartagena : poiacra Concepción.—■ Para Alicante y todo Llevante: jabeque la Perla de Cataluña. — Pa­ ra Mal…</t>
  </si>
  <si>
    <t>Soler, Juan</t>
  </si>
  <si>
    <t>Juan Soler</t>
  </si>
  <si>
    <t>subalterno de marina D. Francisco Sales de Echeverría, para que estorbase al enemigo repasar el Orinoco , mientras que se me reunía la caballería de D. Juan Soler para persegu'rlo por tierra, y la de Caic&amp;ra, compuesta de 113 hombr s, imposibilitaba, como io hizo, el paso por el Caura. Vencidas varias dificultades, salió Sole…</t>
  </si>
  <si>
    <t>D. Toma» íl &gt;res, que sis vieron de capitanes de bandera en ambos comba t-*-e. — Asimis­ mo han cent raido particular mérito el capitán, de dir-geces D. Juan Soler, el trifente. del cuerpo de veteranos D. Liar-/ lio la Osa, el su biéldente D. Antonio Cuadre, y mi ayubant *. de ó 'tienes y secre­ tarlo , el capitán graduado de…</t>
  </si>
  <si>
    <t>Solesio, Nicolás</t>
  </si>
  <si>
    <t>Nicolás Solesio</t>
  </si>
  <si>
    <t>or nuestra parte hemos tenido la pérdida del teniente coronel D. José Manuel Granados, ayu­ dante de S. E., y la del teniente, graduado de ca­ pitán, D. Nicolás Solesio, de cazadores de Lena, y destinado en la actualidad á la compañía de gasta­ dores. Esta pérdida no$ ha sido en extremo sensi­ ble, y sus nombres no se borrará…</t>
  </si>
  <si>
    <t>Solignac</t>
  </si>
  <si>
    <t>ro por leer solamente la del dia 19, que se halló en la plaza de Gramon, y causó el principal alboroto. Han entrado de Francia unos 4© hombres con el general Solignac: los mas de eilos son conscriptos; y aunque algunos suponen que los franceses es­ peran otros refuerzos, no hay por ahora indicio alguno de ello. Se dice que vi…</t>
  </si>
  <si>
    <t>Solis, José Antonio</t>
  </si>
  <si>
    <t>José Antonio Solis</t>
  </si>
  <si>
    <t>que se ie ocupare , 500. El de la misma clase D. Alai tiu José de Osiolaza , 25. El de id. I). Manuel Caye­ tano Martínez de Piaillos , 25. El de id. D. José Antonio Solis, 25. El de id. TJ. Juan José Martínez Piadlos , 17. El cadete IX Santiago Martínez de Pi­ li i líos y Cacho, 17. El de igual clase D. Juan Alexo Martiuez P…</t>
  </si>
  <si>
    <t>Soltykcff, Alexandro</t>
  </si>
  <si>
    <t>Alexandro Soltykcff</t>
  </si>
  <si>
    <t>vn el sello de nue tras arnus.— St. Pcteraburgo á 29 de mayo &lt;10 de junio) de 1812. —Juan Pablo Becerra. (L. S.) — Demetrio de Gourioff. (L. S j — El conde Alexandro Soltykcff\ (L. S.) ” ESPAÑA. Cartagena 15 de julio. El 13 del corriente juró el ayuntamiento-de esta ciudad la cons­ titución de la monarquía, sancionada por las…</t>
  </si>
  <si>
    <t>Somoza, Amonio</t>
  </si>
  <si>
    <t>Amonio Somoza</t>
  </si>
  <si>
    <t>Laiseca , 41 y 5. — Contadores de moneém. D. Pedro Vaivevde , 45 y 6 y medio. D. Tiburcio Roklarv, 41 y 5. D. Ma­ tías Alvarez , 41 y 5. —Escribanos. D. Amonio Somoza, 53 y 2 y medio. D. Antonio Martínez ,41 y 5. — Merinos y porteros. D. Manuel Otaroza, 45 v 6 y medio. D. Francisco de Paula Figueroa , 45 y 6 y medio. D. Anton…</t>
  </si>
  <si>
    <t>Sonlt</t>
  </si>
  <si>
    <t>237</t>
  </si>
  <si>
    <t>esta ciudad por el caminq de Anda­ lucía. .Era con efecto nn destacamento de tropas francesas, proce­ dente del rey no de Granada, á las órdenes del general Sonlt, her­ mano del mariscal del mismo nombre, quien noticioso, al parecer, de nuestras desgracias en Valencia, y de las correrías de sus compañe­ ros por el reyno de Mu…</t>
  </si>
  <si>
    <t>Sopeña, Felipe</t>
  </si>
  <si>
    <t>Felipe Sopeña</t>
  </si>
  <si>
    <t>Carrera de Pitaco. Administrador de Ya,n!¡ D. Fernando Egoavil j 8. Id de Tarma I). Pedro Pagan,JO Id. de Jauja D. Juan de Landa, 25. Id. de Huancayo D. Felipe Sopeña, 50. Id. de Pasco D. Manuel Cuvillaa, 50. (Se cóníiimará.) CADIZ ; EN LA IMPRENTA REAL.</t>
  </si>
  <si>
    <t>Sopeña, Mariano</t>
  </si>
  <si>
    <t>Mariano Sopeña</t>
  </si>
  <si>
    <t>ado eclesiástico D. Baltasar García. D. Joaquín Melgarejo. Diputados seculares '-Diputados seculares D. Angel Sahun. D. Domingo Antonio de la Osaña.' D. Mariano Sopeña. D. Juan de Barreiieche. D. Viceote Espel. D. Josef Arandilla. - . Secretario D. Agustin Estebes. D. Arias Gonzalo de Loza. Secretario D. Nicolás García de la …</t>
  </si>
  <si>
    <t>Soret, Víctor</t>
  </si>
  <si>
    <t>Víctor Soret</t>
  </si>
  <si>
    <t>uitó la corona en el combate. ARTICULO DE OFICIO. La Regencia del reyno se ha servido aprobar, con justa satisfac­ ción , la aplicación propuesta por D. Víctor Soret, D. José Brun Isasi y D. F rancisco Escudero, de los 80,080 rs. vn. que han sacado de les 53 y medio billetes de la lotería nacional que tomaron, reunidos á otro…</t>
  </si>
  <si>
    <t>Soria</t>
  </si>
  <si>
    <t>con el fin de que le enviara mas gente, por haber salido solo con su piquete á reconocerlos. En efecto, luego que en lo inte­ rior del pueblo dexé al capitán Soria y teniente Savariego , con las órdenes que el caso exigía, salí en persona con mis patriotas, Jos‘de México y Paztcuaro , ai mando-de su capitán D. Manuel del Corr…</t>
  </si>
  <si>
    <t>Soriano, Francisco</t>
  </si>
  <si>
    <t>Francisco Soriano</t>
  </si>
  <si>
    <t>D. José Ancona. En el batallón veterano de Chiloe, compañía de granaderos á D. Francisco Arenas, y de fusileros á D. Juan José Huidobro ; ayudantía á D. Francisco Soriano ; tenen­ cia de granaderos á D Francisco Xavier.Veiazquez, y de fusile­ ros á O. Antonio María Alvarez, D. Pedro Andrade, D. Antonio Yelazquez y D. José Yel…</t>
  </si>
  <si>
    <t>Soriano, Pablo</t>
  </si>
  <si>
    <t>Pablo Soriano</t>
  </si>
  <si>
    <t>. 2200 D. Angel B jo , id. de Santander....,............ 2200 0. Josef Antonio Muñoz , ex-esculapió..., 2200 D.^Xavier Rodríguez Ubi , idi deSanti- ! D. Pablo Soriano, id....................................... 2209 ■llani..... ............. ......... .......... ................... .. 2 ioo 0. Ildefonso Milla, id..............…</t>
  </si>
  <si>
    <t>Sosa, Francisco</t>
  </si>
  <si>
    <t>Francisco Sosa</t>
  </si>
  <si>
    <t>os de ios altárteles en que está dividido Madrid. Quartel de S. Isidro, al cargo del Sr. D. Joaquín Domeneeh. A Quartel de la Plaza, al cargo del Sr. D. Francisco Sosa. Quartel de Palacio, al cargo del Sr. D. Josef Manzanilla. Quartel del Barquillo, al cargo del Sr. D. Francisco Marchámalo. , Quartel de Afligidos, al cargo de…</t>
  </si>
  <si>
    <t>Sotdier</t>
  </si>
  <si>
    <t>uel baluarte de la opresión, en donde s* refugian ios esclavos y viles insírumestos del tirano europeo. ,.AIgo restablecido, dispuse marchar sobre el general Sotdier y su brigada: al medio día dei 3 marché penetrando las montañas con abundancia de lodo y escasez de subsistencias, situándome á las 8 de la tarde á 3 leguas del …</t>
  </si>
  <si>
    <t>Soto, Bernardo</t>
  </si>
  <si>
    <t>Bernardo Soto</t>
  </si>
  <si>
    <t>Juan González , 35. D, Patricio Bermudez, 12. D. Ignacio Monteros, l. D. Francisco Lavado, 12. D. Manuel * ’astro monte, G. 15. Fermín Ace ved o, 12. D. Bernardo Soto, 10. D. Juan Falencia, 50. D. Pedro Montaivo , 10. D. Antonio Hernández , 10. B. Domingo Palacios, 10. D. Ramón Saiazar, 12. D. José Antonio Vidasolo, 25. D. Pe…</t>
  </si>
  <si>
    <t>Soto, Francisco</t>
  </si>
  <si>
    <t>Francisco Soto</t>
  </si>
  <si>
    <t>abielden te D. José VilIaviuoY; . • ... * * &lt; 1 \ ídem... .. D. Manuel Alonso. • o1 Coronel, el brigadier. D. Manuel uatDpn.... '* • , 1 Capitán. • . D. Francisco Soto.. ... f t 9 » 1 Lena . .. ^ Teniente . . D. Francisco Diaz...... * » , O ro ««.»• D José CatbaHc.c... .. , ? 9 . Otro ..... D. Matías (garrote...... 1 v_Síibte…</t>
  </si>
  <si>
    <t>Soto, Francisco Reyes</t>
  </si>
  <si>
    <t>Francisco Reyes Soto</t>
  </si>
  <si>
    <t>oZanares 20 de abril.de ,i8ta.” nes de Madrid, para el de la villa del Prado , va­ cante pof muerte de D. Manuel de Silva. POLITICA DE COCÍNA , •/! A D. Francisco Reyes Soto, cura de Burujón, ESCRITA POR MI EN EL ULTIMO PERIODO ! para el de Castañar de Xbor, vacante por muerte de D. Manuel Benito Laguna. DE LA REVOLTISA DE, E…</t>
  </si>
  <si>
    <t>Soto, José María</t>
  </si>
  <si>
    <t>José María Soto</t>
  </si>
  <si>
    <t>ciador de tierras, 83. D. Baltasar Pacheco , contador de moneda , 41. D. Miguel Navarro , id. , 21. D. Ramón Montano , oficial primero de talla , 33. D. José María Soto , segundo, 33. D. Atanasio Davalos, tercero , 30. D. José Cañoli , aprendiz, 16. D. José Mariano Oya* gue , portero marcador, 29. D. Manuel Noguera , portero …</t>
  </si>
  <si>
    <t>Soto, María</t>
  </si>
  <si>
    <t>María Soto</t>
  </si>
  <si>
    <t>nzález , G. D. Fran­ cisco Hurtado , 6. D. Antonio Le goma , por sí y su padre D. Juan , 50. Don Ignacio Odria , 6. D. Manuel Arana y Campomanes , 5. Doña María Soto, 2. D. .Mariano Vicuña, G. D. Lázaro Rubianes , 6. D. Manuel de Arrieta , 8. y D. Nicolás de Benoa, por su muger é hijos, 1G.— Tropa de Caballería. Teniente .1).…</t>
  </si>
  <si>
    <t>Sotoiengo, Pió</t>
  </si>
  <si>
    <t>Pió Sotoiengo</t>
  </si>
  <si>
    <t>de Iranda; segunda tenencia de cazadores, ai de fusileros D. José de las Cuevas ; segundas tenencias de fasile ios á ios alféreces D. Joaquín Carcer, D. Pió Sotoiengo, D. Juan Velarde yRoxas, D. Manuel de San Llórente y D. Joaquín MaTÍa Es­ criba, este8 dos últimos de granaderos ; empleo de alférez de gra­ naderos al de fusil…</t>
  </si>
  <si>
    <t>Sotomavor, Juan Nicasio</t>
  </si>
  <si>
    <t>Juan Nicasio Sotomavor</t>
  </si>
  <si>
    <t>a. D. Juan Bernardo Aliaras y su hermano, 100. D. .i uau Francisco Azpiroz y hermanos , 300. D. Andrés de Larra paga, 100. D. Francisco Hacines, 100. D. Juan Nicasio Sotomavor, -UKI. D. Juan Ergniaga, 100. D. Juan de Vivas, 400, D. Custodio Alvarez, 100. D. Pabl® Bj ingas, 200, (Se continuará.) CADIZ s EN LA IMPRENTA REAL.</t>
  </si>
  <si>
    <t>Sotomayor, Casimiro</t>
  </si>
  <si>
    <t>Casimiro Sotomayor</t>
  </si>
  <si>
    <t>angos , 100. D. Miguel Méndez , cura de Cerhuas , 100. Los oficiales y soldados milicianos del regimiento de caballeó.; de la villa de Chancas, 4-00. D. Casimiro Sotomayor, relator de la junta superior de real hacienda, en cada año , 25. La archicofradía de la pura y limpia c&lt;&gt;¡&gt;n ce sa­ ca on , fundada en el convento de S. F…</t>
  </si>
  <si>
    <t>Sou't</t>
  </si>
  <si>
    <t>e presentaba. Con efecto, á les 3 de la mañana con toda mi división emprendí el movimiento, y á mi l egada á Espartina* tuve aviso de haber salido el mariscal Sou't con 5000 infantes y 500 caballos; in­ mediatamente concebí la idea de tomar á S villa, p. ra lo que des­ pués de haber dado mis órdenes á los comandantes de las c…</t>
  </si>
  <si>
    <t>Souchet</t>
  </si>
  <si>
    <t>las intencio­ nes del enemigo , salvando á muchos pueblos de ser saqueados por las tro­ pas francesas. La faita de víveres qué estas tienen obligó al mariscal Souchet á destacar una coluna de 7© hombres de todas armas al nundo del general Roben:, con el fui de batirá las divisiones de ios genérales Basecourt y Vi— llacampu, y…</t>
  </si>
  <si>
    <t>Souham</t>
  </si>
  <si>
    <t>sobre el enemigo desordenado un terrible fuego de cañón. „Las maniobras de nuestra caballería nos hicieron dueños de la llanura. A ias 4 y media, el general Souham se reunió u! general Thiebault con sus granaderos y volteadores , atacó el pueblo con «1 vigor que le caracteriza, y lo gauó á la bayoneta, arrojando á</t>
  </si>
  <si>
    <t>ún las últimas noticias el mariscal Soult se hallaba en las líneas de enfrente de Cádiz. — Wellington.** ESPAÑA. Zamora 5 de marzo. Aquí permanece el general Souham, que es d único general y aun guíe que hay , pues toda la tropa de que se compone su preten­ dí la división , se reduce á destacamentos de varios cuerpos , que en…</t>
  </si>
  <si>
    <t>Souhan</t>
  </si>
  <si>
    <t>) Ciudad-Rodrigo 24 de Noviembre. Una división del exéreito francés que se había dirigido hacia Benavente, ha retrocedido á las orillas del Duero. El general Souhan manda interinamente el exéreito llamado de Portugal, que constará de unos 45000 hombres, inclusos los refuerzos que vinieron de Fran­ cia antes de la retirada de …</t>
  </si>
  <si>
    <t>Soulé</t>
  </si>
  <si>
    <t>podii deducir el movimiento que iban á fxsmstrr los cnenrgos, qun se hallaban en esta capitd: pera á las 4 de la tarde tuve ¿os posi­ tivos de que el mariscal Soulé debía emprender la retirada con la ma­ yor parto de sus tropas por Arca á á M*rchena. En esta &amp;t~n:;icn di las órdenes al brigadier D. Manuel María Pastel á, pa*a…</t>
  </si>
  <si>
    <t>Soulicr</t>
  </si>
  <si>
    <t>na gruesa columna con solo su batallón, y es como sigue Mi general: reforzada la guarnición de Pamplona con 5000 infantes y 500 caballos al mando del general Soulicr, que acababa de llegar de Vitoria, se lisonjeaba Abbé de que con estas fuerzas y con las que él contaba dentro de aquella plaza, podía verificar, á salvo conduct…</t>
  </si>
  <si>
    <t>Soulier</t>
  </si>
  <si>
    <t>n los muros de Sos entre los brazos de aquella guarnición , pero tan escarmentados, que se estremecen al so­ lo nombre de la división de Navarra. „E1 general Soulier recibió dos balazos; un coronel, un teniente coronel y otros varios oficiales quedaron en el campo de batalla, y me consta hasta la evidencia, ha perdido el enem…</t>
  </si>
  <si>
    <t>dida sé retiraron hasta encontrar el refuerzo de 1500 infantes, 79 caballos y 2 piezas de ca«; ñon, que al raido dri fuego salieron de Miranda con su general Soulier, y volvieron avanzando hasta las alturas de Bagado, en que po sicionados uno* y otros, con pocas ventajas, se observaron recípro­ camente , volviendo los frances…</t>
  </si>
  <si>
    <t>Soult</t>
  </si>
  <si>
    <t>general Soult. Este destacamento venia con armas inquieta; si es favorable, despierta la esperanza, y bagages de las cercanías de Murcia, y se han que si no nos satisface , á lo menos nos lisonjea. prese</t>
  </si>
  <si>
    <t>dio arrui­ Sevilla jB de febrero. nados ya. Perq las noticias, recibidas ayer y ante­ ayer dan alguna esperanza de conciliación. El Sabiendo el señor general Soult que se habían bilí propuesto ai congreso para que permita la im­ reunido muchas partidas de insurgentes en las cer­ portación de las mercancías inglesas compradas …</t>
  </si>
  <si>
    <t>V. E. mi anterior pliego, no ha hecho mo* pimientos el enemigo, ni he oido que haya hecho operación de im­ portancia.— Según las últimas noticias el mariscal Soult se hallaba en las líneas de enfrente de Cádiz. — Wellington.** ESPAÑA. Zamora 5 de marzo. Aquí permanece el general Souham, que es d único general y aun guíe que h…</t>
  </si>
  <si>
    <t>io del lord conde de IVellhigton, marques de Torres-Yedras* á I). Miguel Pereyra Forjaz, desde su cuartel general de Niza á 16 de abril de 1812. ,.El mariscal Soult reunió su exército en Villafranca, en Extre­ madura , el dia 8 del corriente, y habiendo allí sabido la toma de Badajoz, se retiró el 9 ántes de amanecer con dire…</t>
  </si>
  <si>
    <t>Penne Yíllcmur se retiró el dia 10 con arreglo á la insinuación que le hice á consecuencia dé la toma de Badajoz, y á la certeza que tenia de que el mariscal Soult retroceder i a inmediatamente á Andalucía sin arriesgar una batalla, á la cual no dependía de mí el atraerlo : y creo que el conde de Penne Viilemur había comunica…</t>
  </si>
  <si>
    <t>,,Sé por noticias recibidas del mediodía, que ni el conde de Penne ni el general Ballesteros entraron en Sevilla á principios de este mes, cuando el mariscal Soult se hallaba en Extremadura. — El conde de Penne se halla actualmente de vuelta para Extremadura coa las tro­ pas del quinto exército. — El general Drouet está en Fu…</t>
  </si>
  <si>
    <t>Gaceta de Madrid n.º 147</t>
  </si>
  <si>
    <t>­ Este inñuxo fatal et lo que yo pretendo indicar, da la pompa y magnificencia posible. S. E el señor y me lisonjeo de que eo ia próxima elección los general Soult, acompañado del señor subprefecto miembros del coman podrán exercer sus derechos y demas gefes y oficiales franceses y españoles, con independencia, aun quando alg…</t>
  </si>
  <si>
    <t>amado de Portu­ gal están reunidas en Castilla ,á excepción de la división de Bonnet. „E1 cuartel general del mariscal M&amp;rmont está en Salamanca. „E1 mariscal Soult llegó á Sevilla el 28 de mayo, habiendo ve­ nido de las líneas de la costa; y no hay noticia de que haya salido de aquella ciudad. No sé que las tropas del Norte …</t>
  </si>
  <si>
    <t>á medida, que cerrando toda la linea e Guadáñete me imposibilitaba’ marchar sobre la campiña en la estación mas ventajosa , á la par que aseguraba al mariscal Soult todas sus comunicaciones. „Ño dudé un momento éa atacar á Conroux para -destruir, los trabajos principiados , sin embargo dé que éste general se hallaba en pronta…</t>
  </si>
  <si>
    <t>776</t>
  </si>
  <si>
    <t>mis húsares, al primer toque de trompeta volvieron caras , y preci­ pitándose sobre ios franceses del centro, degollare» á un oficial, so­ brino del general Soult, y á otros 7 húsares, hiriendo á 4 : el resto, asombrado de tanta bizarría, retrocedió á incorporare con su grue­ so. — De mi parte no hay ni siquiera un herido. To…</t>
  </si>
  <si>
    <t>arde á V. E. muchos años. = En la Carretera 28 de agosto de 1812. = El Empecinado. = Excmo. Sr. duque de Ciudad-Rodrigo.” De Andalucía se sabe que el mariscal Soult está muy cerca de experi­ mentar la misma suerte que tuvo el arrogante Marmont en Castilla: tal vez no podrá evitar el golpe que se Je prepara. Los exércitos 4.0 …</t>
  </si>
  <si>
    <t>61</t>
  </si>
  <si>
    <t>o exército al señor gefe del es­ tado mayor general. ,,Para proteger un movimiento general del exército de mi mande, á 2 leguas de la línea de el del mariscal Soult, me íué preciso lla­ mar ia atención del enemigo sobra el flanco izquierdo del ala dere-</t>
  </si>
  <si>
    <t>roteger con sus maniobras la empresa impertióte de 4 regimien­ tos que hoy han debido obrar por retaguardia, precisamente contra la misma persona del mariscal Soult y toda la caterva de malos es­ pinóos, que en eí tiempo antiguo disfrutaban empleos distinguidos. r,Hc conferido en el campo de batalla , á nombre de S. A., al sa…</t>
  </si>
  <si>
    <t>ital y Castilla la Nueva &amp;c. Habiendo sido aprehendido D. Francisco Navarro Sandoval disfrazado de clérigo, con pasaportes fingidos, y un escrito del mariscal Soult para el Rey intruso, que llevaba dentro de un boton con rosca, ha sido condenado por el juzgado militar, precedida la debida consulta, como espía convicto, á la p…</t>
  </si>
  <si>
    <t>aL Darmagnac con-3© infantas, 300rca­ ballos y trespiezas de artillería. , . &lt;• .. • V Escribe*! &lt;de Ademúz, con fecha _de 12- del' corriente, que eT mariscal Soult llegó á Valencia el día. 11 r y selialbba.allí con Souchét y el Rey in­ truso; que-hablan sacado de la ciudad muchos equipages, y que los' emplea­ dos civiles pas…</t>
  </si>
  <si>
    <t>e la guarnición, heridos los mas, entre ellos el gobernador, y maltradas las obras, hubieron de rendirse, aunque cubiertos de gloria. El exército del mariscal Soult se extiende por la provincia de Cuenca. En esta ciudad entraron el 19 del mismo ; y habiendo exi­ gido raciones , volvieron á evacuarla. El dia 11 tuvo el general…</t>
  </si>
  <si>
    <t>Ebro : se dice que ha re­ cibido otro refuerzo de Francia. „Segnn los avisos del teniente general Sir Ricardo Hill de 7 dei corriente , perece que el mariscal Soult se reunió con el rey entre Valencia y Murcia el 29 de Seti- vubre. Un destacamento del exército del misino mariscal ocupo á Albacete el día 3 del corriente, y un …</t>
  </si>
  <si>
    <t>el re­ ques , que fueron siempre rechazados, habiéndose fuerzo del general Hill. mantenido bastante tiempo los dos partidos en sus La vanguardia del mariscal Soult entró en Aranposiciones, hasta que el enemigo, fuese por las ma­ juez el dia 29 un momento después de haber eva­ niobras que execuraba un destacamento de la sépti­…</t>
  </si>
  <si>
    <t>Southevell</t>
  </si>
  <si>
    <t>argados de velar sobre la conservación El conde Reniñare. del orden , y del respeto y seguridad de las pro­ El vizconde de Gormanscou. piedades. * EL'vizconde Southevell. Parts 18 de marzo. Ei lord KilleeD. El ilustre Tomas Barnewall. El general español Blake , presidente de la re­ El ilustre Cirios French. gencia insurreccio…</t>
  </si>
  <si>
    <t>Souville</t>
  </si>
  <si>
    <t>mo de apartarse executaba el agosto. León su abordage. El Renard volvió con mejor Lo mismo sucede con el añil. La fécula del suceso segunda vez, y el capitán Souville salto pastel da un añil absolutamente semejante al de hasta las hileras de las redes de abordage, y casi Guatemala, tiene Ls mismas cualidades , y es mas toda s…</t>
  </si>
  <si>
    <t>Spiy</t>
  </si>
  <si>
    <t>e'te­ niente general Colé. El mariscal Sir Guillermo.Beresford., que se,ha­ llaba casualmente en aquel punto, dispuso que la brigada, del briga­ dier general Spiy, de la quinta división, que estaba en la misma lí­ nea,.mudase de trente, y dirigiese sus fuegos; al flanco de la división enemiga p y- me es sensible añadir que- m…</t>
  </si>
  <si>
    <t>Spry</t>
  </si>
  <si>
    <t>ocasión el teniente general Colé. El'mariscal conde de Tron­ cóse-, que á este tiempo se hallaba en aquel punto, dispuso que la brigada al mando deL brigadier Spry, perteneciente á la quinta división, que estaba en la segunda línea, mudase su frente, y dirigiese el fuego sobre el flanco de la división enemiga; y debo exponer …</t>
  </si>
  <si>
    <t>Srnolensko</t>
  </si>
  <si>
    <t>tos 12.0 y 21.0 de infante­ /•o la sanea, Srnolensko la fuerte, y la llave de ría de línea y el 7.0 de tropa ligera. La elección Moskoiv. Quien tiene d Srnolensko tiene á Masy nombramientos íe hicieron en el campo y en me­ konv, suelen decir los paisanos. dio de un gran círculo delante de). Emperador, y El calor es excesivo: …</t>
  </si>
  <si>
    <t>SS, Augusta</t>
  </si>
  <si>
    <t>Augusta SS</t>
  </si>
  <si>
    <t>Del S. RUSIA. S.M. entró ayer noche en esta capital devuel­ ta de su viage á Varsovia en compañía de la Rei­ Petersburgo 1$ de diciembre. na y de la Princesa Augusta SS. MM. fueron re­ El mes pasado í-s botó al agua una fragata de cibidos fuera de las puertas de la ciudad por una</t>
  </si>
  <si>
    <t>St, Gouvion</t>
  </si>
  <si>
    <t>Gouvion St</t>
  </si>
  <si>
    <t>­ bucazo. Por causa de la herida, que es grave, fue cond cido á Wilna , mas no se alteró de modo alguno sobre las consecuencias de este accidente. El general Gouvion St. Cyr tomó él mando del segundo y sexto cuer­ po. El 17 en la tarde el enemigo se retiró por el desfiladero: el general Verdisr fue herido, y le sucedió en el …</t>
  </si>
  <si>
    <t>s inmediatamente á los depósitos establecidos en Prusia y Polonia. ' Por decreto de Bonaparte del 22 de Agosto en SJawkovo , el ger neral de división conde Gouvion St. Cyr lia sido nombrado maris­ cal del imperio. , El cuerpo de exército que manda Víctor llegó á Konigsberg á principios de Setiembre ; y otro cuerpo al mando dé…</t>
  </si>
  <si>
    <t>, Extracto de un oficio del general conde Wittgenstein á S, M, 1. desde Poíotsk á 20 de Octubre, „Despucs de una acción reñida, que duró dos dias, el mariscal Gouvion St. Cyr hubo de repasar el Duna, gracias al Todopodero­ so , y yo me hallo en Poíotsk con el cuerpo confiado á mi mando. „Ei 18 de este mes encargué al teniente…</t>
  </si>
  <si>
    <t>St-Cyr, Gouvion</t>
  </si>
  <si>
    <t>Gouvion St-Cyr</t>
  </si>
  <si>
    <t>e mostraron las tropas en esta ocasión. El mariscal Oudinot fue herido gravemente en el hombro, lo que le obligó á entregar el mando de sus tropas al general Gouvion St-Cyr.” Cana que escribió su Eminencia el metropolitano de Moscou, Platoiv, con fecha de 26 de julio d S. M. el Emperador de Rusia. „Serenísimo Señor y Emperado…</t>
  </si>
  <si>
    <t>Sta, Adrián</t>
  </si>
  <si>
    <t>Adrián Sta</t>
  </si>
  <si>
    <t>se aguarda. ARTICULO DE OFICIO. Continúan los donativos del Perú, D. Julián Mendez , 2 pesos fuertes. D. José Muñoz Rubio , 2. D. Vi­ cente Gago , 2. D. Adrián Sta. Cruz , capellán mayor del hospital de San Andrés , 2. D. Miguel Rotalde , id., 2. D. José Saez , 1. D. Manuel Rizo, capellán mavor del hospital de S. Bartolomé , …</t>
  </si>
  <si>
    <t>Sta, Juan</t>
  </si>
  <si>
    <t>Juan Sta</t>
  </si>
  <si>
    <t>. José Pequeño , 4. D. Juan Fernandez, 2. D. José Gordilio , 2. D. José Cañizares, 2. D. Juan Melgar , 2. D. Lorenzo Vargas , 2. D. José Ramírez , 2. D. Juan Sta. María, 2. — Cirujanos, i). José Gay i no Chacaltana , 25. Tomas Ortigoso , 25. Fabiafi Salas, 25. José Santos Montero , 25. Ramón Castro , 25. D. Hipólito Lisarraga…</t>
  </si>
  <si>
    <t>Stackelberg</t>
  </si>
  <si>
    <t>ca, desapareciendo ía ilu­ sión en los paises del mediodia. Las cartas de Viena del 28 de julio refieren que se le habían entregado inopinadamente al conde Stackelberg, embaxador de Rusia, los pasaportes necesarios para el y su comitiva, á fin de que saliese de aquella capital. Se dice que el conde habia representado con tant…</t>
  </si>
  <si>
    <t>Stanhope</t>
  </si>
  <si>
    <t>nn discurso tan elocuente como enérgico , el ocal fue interrumpido repetidas veces por los aplausos Londres 27 de diciembre. de los concurrentes. El capitán Stanhope observó en su discurso, Banquete de los amigos de la libertad religiosa ,,que no tenia noticia de ninguna acción, por la en Irlanda. que mereciese el comandante …</t>
  </si>
  <si>
    <t>Stapleton-Cotton, Sir</t>
  </si>
  <si>
    <t>Sir Stapleton-Cotton</t>
  </si>
  <si>
    <t>£3 1 nicnte general Colé , y la caballería clel mando del teniente general Sir Stapleton-Cotton la atacaban por el frente, sostenida^ en reserva por la sexta división del mando del mayor general Clinton , la sépti­ ma del mayor general Hope , y la división española de D. Cí&gt;rlos .España. El brigadier general P</t>
  </si>
  <si>
    <t>Stark</t>
  </si>
  <si>
    <t>ugsburgo 3 de enero. llas-al norte dei emb. c.dero del Escalda fot roa sorprehendidas estas embarcaciones por una borras­ Según las observaciones del profesor Stark pa­ ca espantosa, que separó á la Cressy d-' S. Jor­ rece que los dos cometas se han separado mucho ge , y dos dias después trató la Cressy Je bus­ desde el 4 de …</t>
  </si>
  <si>
    <t>Stefani, Antonio</t>
  </si>
  <si>
    <t>Antonio Stefani</t>
  </si>
  <si>
    <t>idos los individuos siguientes. digne aceptar las seguridades y protestas sinceras Primer batallón. de nuestro afecto á su real persona, y de nuestro D. Antonio Stefani, sargento primero, á subr zelo ardiente, por la conservación de su gobier- teniente de la primera compañía. no." Pero bien pronto se vió que no seria fácil Se…</t>
  </si>
  <si>
    <t>Stehelin</t>
  </si>
  <si>
    <t>ich ha nombrado taril- do! por si REI nuestro Señor los socorros sucesivos. bieu para el mismo efecto al consejero Meyer de Ko.Qua.o- El de Basüea al coronel Stehelin y al consejero We &gt;k; y el de Thurgovia á ios.conse­ 1IBROS. jeros de Estado Mordí y Freyeomuth. Ofleío de la Semana Santa , traducido por D. Josef Rigual, á 9 …</t>
  </si>
  <si>
    <t>Steingel</t>
  </si>
  <si>
    <t>civiles 6 eclesiásticos, y M.-rlc. Mandóle marchar sin detención al encuentro oficiales en servicio activo-,-' reformados ó retirados, dei cuerpo del general Steingel, atacarlo con vigor, que' hayan aceptado ó continuado exercierido fun­ V arrojarlo al otro Ldo del Ouscharz, para lo que, ciones públicas durante la ócupácíon d…</t>
  </si>
  <si>
    <t>Steinheil</t>
  </si>
  <si>
    <t>á los prusianos en las inmediaciones de esta ciu­ dad. En efecto, el 26 del anterior salió de Riga un cuerpo de tropas considerable á las órdenes del conde Steinheil, y las lanchas cañone­ ras, mandadas por los oficiales ingleses, acompañaron á una fuerte división de 40 lanchas rusas , ademas de 10 botes grandes , al mando de…</t>
  </si>
  <si>
    <t>icio que refiere la derrota del mariscal St. Cyr por el conde Wittgenstein ; el asalto de Polotsfc en 20 del actual y las ventajas conseguidas por el general Steinheil contra los cuerpos que manda el mariscal Macdonald. . ,jEl teniente general conde Wittgenstein ha sido promovido á ge­ neral de caballería , y en acción de gra…</t>
  </si>
  <si>
    <t>logré arrojarle de sus atrincheramientos que eran muy inertes ; habiendo contribuido mucho para el buen éxito de estas operaciones el movimiento del conde Steinheil-. ,,E1 enemigo huyó precipitadamente á la ciudad que estaba cer­ cada con empalizada doble, y allí se mantuvo casi toda la noche ha-</t>
  </si>
  <si>
    <t>quel asaltaba la ciudad La obscuridad de la noche suspendió las operaciones. Ademas de los muertos y herido* que tuvo el enemigo, hizo prisioneros el general Steinheil á un coro­ nel , un oficial de estado mayor, 37 oficiales y 500 entre sargentos y soldados. El teniente general hace el mayor elogio del auxilio que recibió de…</t>
  </si>
  <si>
    <t>Stéinheil</t>
  </si>
  <si>
    <t>y en comunicación con el general Wittgenstein. Extracto del parte del conde Wittgenstein. Ouchatke 26 de Octubre. —Después de hablar de la marcha del general Stéinheil dice i „Con este movimiento los bávaros tienen cor­ tada su comunicación con el cuerpo de Saint-Cyr, y se retiran por Goublokoe, perseguidos de una vanguardia …</t>
  </si>
  <si>
    <t>Steinheü</t>
  </si>
  <si>
    <t>donó sus hospitales y una porción considerable dé municiones. Desde entonces no cesan de lle­ gar prisioneros. Id. 6 de Noviembre. Parte del teniente general Steinheü. Koubliche §6 de Octubre. — Después de mi parte de ayeT, en que di cuenta de haber rechazado al enemigo hasta Koubliche, he continuado mis movimientos; ayer me …</t>
  </si>
  <si>
    <t>Sterlin, Nevero</t>
  </si>
  <si>
    <t>Nevero Sterlin</t>
  </si>
  <si>
    <t>ores de Zafra ; D. Manuel Bau­ sa , del de la Princesa ; O. Juan Echavarría, del de Aragón; Don Marcelo Baeza, del'batallón dé voluntarios de León, y D. Nevero Sterlin , del de voluntarios de Campo mayor. Buques que han recogido correspondencia en la administración de correos de Cádiz durante la semana finalizada en 28 del co…</t>
  </si>
  <si>
    <t>Stewart</t>
  </si>
  <si>
    <t>nte deseadas en cierta época, llegaron el dia 31 del mes pasado, y al presente son de grande importancia para la defensa de la plaza. La conducta del capitán Stewart en el mando de las cañoneras rusas é inglesas merece grandes elogios, y su constante actividad, tan honrosa para la nación, ha sido imitada con ardor por los ofi…</t>
  </si>
  <si>
    <t>Stewart, Carlos</t>
  </si>
  <si>
    <t>Carlos Stewart</t>
  </si>
  <si>
    <t>vanguardia ha remitido hoy también 37 soldados y uu oficial, y el príncipe Ki* áasohow 2$ soldados. GRAN-BRETAÑA. Londres !.• de Diciembré. El mayor general Carlos Stewart (hermano del vizconde de Casilereagh) saldrá muy pronto para el exército de lord Weilington coa una excelente brigada de húsares , compuesta de nueve escua…</t>
  </si>
  <si>
    <t>Stnrmer</t>
  </si>
  <si>
    <t>1'.? de este mes, Igualmente, ha .venido otro de Constantiriopla, des­ y de decirle al mismo tiempo que según las leyes pachado según se dice, por el barón Stnrmer. de Francia, todo matrimonio contraído por un pri­ Todas las. noticias convienen en asegurar que han sionero francés en Inglaterra es nulo:y ale ningún vuelto á pr…</t>
  </si>
  <si>
    <t>Stonor</t>
  </si>
  <si>
    <t>0. Los señores F-x y cctnp:*;.fíía ( Falmouih) , 20. D. Gui­ llermo Míiler, 5. D. Felipe Fernandez, 1. L. M., LO y 10 D. Manuel de Beigareche, 50. El teniente coronel Stonor, 10 y 10. El cap* tan Lftc-gtc:*?, 10- D. Gerór-imo HUI é híj-os fRri&amp;tol) , 100. D. G?*rónimo Hi.1! pBaisló!), 50.. I31. Jnao Stock (Co^k), 20. O. Migue…</t>
  </si>
  <si>
    <t>Strike</t>
  </si>
  <si>
    <t>puerto. EL 16 después de medio dia descu­ inas comprometidos en el asunto. Estos manifesta­ brió una fragata , á la que dio caza; pero como el ron al general Strike y al mayor que estaban pron­ viento era lleno , no pudieron acercarle antes de tos á entregarse á la autoridad civil, siempre que ha.-. iT.e noche cara reconocers…</t>
  </si>
  <si>
    <t>Strogonoil</t>
  </si>
  <si>
    <t>s granaderos de Moskow. tersburgo, Ekaterinoslaw, Táuride, Paulowsky y En este cuerpo hubo pocos oficiales muertos, pe­ Arackschezetf, mandada por el conde Strogonoil, ro muchos heridos. y que hacia parte del tercer cuerpo de exército, es­ 5.0 La división vlgésimaqnarta del sexto cuer­ taba situada en la extremidad izquierda …</t>
  </si>
  <si>
    <t>Strogonow</t>
  </si>
  <si>
    <t>spaña al Sr. Taleschtschew, consejero íntimo y gen­ tilhombre de cámara de S. M. I.; en Inglaterra al teniente general conde de Lievven; en Suecia al barón Strogonow, consejero íntimo y gentilhombre de cámara; en Palormo al consejero-lie estado coade Moncenego; en Cerdeña al príncipe Koslowski. ESPAÑA. Sahagitn 15 de Noviembr…</t>
  </si>
  <si>
    <t>Stroiz, Jum Bautista</t>
  </si>
  <si>
    <t>Jum Bautista Stroiz</t>
  </si>
  <si>
    <t>g.se á sobrevenir alguna mutación en la per­ Volteadores de 1 1 gu.ud.a reo............. . I4Ó0 sona de los vasallos , quaJquiera que sea. Excmo. Sr. D. Jum Bautista Stroiz..... 200 ,, La prestóte ordenanza se insertará en el pe­ Sr. D. Cárir/s C Tuina............................ -200 riódico ministerial del gran ducado. Sr. …</t>
  </si>
  <si>
    <t>Stubbs</t>
  </si>
  <si>
    <t>eniente general Colé que atacase con las brigadas de infantería del mayor general '¡Anson y del brigadier general Iíervey (mandada esta última por el coronel Stubbs) á la infantería del enemigo, que estaba sosteniendo á su caballería. ,,Inmediatamente los atacó y deshizo con los regimientos 27 y 40 que cargaron á la bayoneta,…</t>
  </si>
  <si>
    <t>tonces del Arapil, todavía continuaba su resistencia. Por lo tanto di orden para que las divisiones primera y ligera1 y la brigada por- ; tuguesa del coronel Stubbs, de la quarta división, que se habia vuel­ to á formar, y la brigada del mayor general Guillermo Anson, tam­ bién de la cuarta división, sostenidas por la tercera…</t>
  </si>
  <si>
    <t>general Colé con las brigadas de infantería al mando dei mayor general Willíen Anson y del brigadier Hervey (hallándose esta última baxo el mando del coronel Stubbs), atacase á la infantería enemi­ ga, apoyando su caballería: este ataque se verificó al momento, y el enemi­ go fue destrozado por los regimientos 27.0 y 4o.0, qu…</t>
  </si>
  <si>
    <t>iles , continuaba aun haciendo resistencia; por esto mandé que la primera división ligera , la brigada portuguesa de la quarta división, al mando del coronel Stubbs, que se había rehecho , y la brigada mandada por el mayor general Anson, perteneciente también á la quarta división, envolviesen el ala derecha del exército enemi…</t>
  </si>
  <si>
    <t>e, que mandaba otra brigada eñ lá división quinta des­ pués que el general Leith fue herido: \í los brigadieres generales Bradford, Spry y Power : al coronel Stubbs, que está ai servicio portugués: igualmente al coronel Campbell del regimiento 94-.°* qúe mandaba uña brigada en la ter­ cera división. |Son también muy dignos de…</t>
  </si>
  <si>
    <t>Sturgeon</t>
  </si>
  <si>
    <t>pañan: á los del red cuerpo de zapadores, por la eficacia con que ine auxiliaron, y en particular al honorable teniente coronel Dundas, al te­ niente coronel Sturgeon, perteneciente al último, y al mayor Seovell, perte­ neciente al primero: asimismo al teniente coronel vVaters, que al presente se halla á la cabeza del departa…</t>
  </si>
  <si>
    <t>Su-zo, Vicente</t>
  </si>
  <si>
    <t>Vicente Su-zo</t>
  </si>
  <si>
    <t>ospitalarios de S. Juan de Dios. D. Rafael Bustillo, residente en Ecija........ 2200 -D. Josef Je Córdoba , id ................................ 2 ICO D. Vicente Su-zo, residente en Córdoba.. 2200 D. Diego Falconero , id............................i...... 22 OO D. F ruando Camacho, id..’...................... 2202 D. Francisco…</t>
  </si>
  <si>
    <t>Suaivz, Salvador María</t>
  </si>
  <si>
    <t>Salvador María Suaivz</t>
  </si>
  <si>
    <t>segundo, á D. Juan José Fernandez, subteniente del! regimiento de Alpujarras : á tenientes, á D. Bruno Portillo, sub­ teniente de Alcázar de S. Juan, D. Salvador María Suaivz, subte­ niente de Alpujarías , D. Francisco de Paula Benavides , subtenien­ te del primero de Guadix, D. Luis Castilla y O. Julián Lombar­ do , subtenie…</t>
  </si>
  <si>
    <t>Suances, Juan</t>
  </si>
  <si>
    <t>Juan Suances</t>
  </si>
  <si>
    <t>Sano, D. Ma­ nuel Blanco y D. Andrés González , el capitán del de Mortrey, D. Jo é Salgado, ios tenientes de granaderos y cazadores del mismo cuerpo D. Juan Suances, D. Ambrosio HorcasiHasy D. Felipe A ña­ ño , y ios subtenientes D. Francisco B¿an, D. Joaquín Quiroga y D. Aíitonio Boan, como igualmente el teniente y comandant…</t>
  </si>
  <si>
    <t>Suarez, Salvador María</t>
  </si>
  <si>
    <t>Salvador María Suarez</t>
  </si>
  <si>
    <t>llegaron á la villa de Alcira , donde se re­ unió toda la segunda división de mi mando. . ,,La compañía primera de zapadores, mandada por el teniente D. Salvador María Suarez, se colocó al amanecer del expresado dia £6 á la baxada del puente de Cuarte, desde donde se dirigió en pe­ queñas partidas para atender á romper los pu…</t>
  </si>
  <si>
    <t>Suavedra, Juan</t>
  </si>
  <si>
    <t>Juan Suavedra</t>
  </si>
  <si>
    <t>nua'es que disfruta de sobresuel­ do. El contador D. Félix López Ayllon , mensuales, 18. D. José María Piar, id., 9. D. Juan Alonso Carriazo, id., 9. D. Juan Suavedra, id. , 4. D. Juan. José Hortelano , id., 2. D. Juan Cayetano de Miranda, id., 12. D. José Her­ nández , id. , uno. D. Vicente González, id., uno. I&gt;. Tomas Calv…</t>
  </si>
  <si>
    <t>Subías, Josef</t>
  </si>
  <si>
    <t>Josef Subías</t>
  </si>
  <si>
    <t>vuelta de pocos años podrán los Estados Uni­ plazo de D. Josef Fernandez ; y al subteniente dos ser una potencia poderosa y mui respetable. agregado D. Josef Subías á subteniente de la oc­ ,,AJ mismo tiempo deberá abrirse^una nego­ tava compañía en la vacante de D. Lázaro Xiiaent. ciación coa la Inglaterra con intención since…</t>
  </si>
  <si>
    <t>Sucbet</t>
  </si>
  <si>
    <t>acamento de 5000 hombres intimó á esta plaza su rendición, y negándose á acceder á ella el gobernador, este general se retiró al dia inmediato» ,, El mariscal Sucbet ha dexado la división del general Arispe en el reyno de Valencia, y después de sacar una gran contribución, marchó para Cataluña, donde me dicen que el general L…</t>
  </si>
  <si>
    <t>Suche</t>
  </si>
  <si>
    <t>uarniciones en ios princi­ pales pueblos.” ARTICULO DE OFICIO. Uno de los artículos de !a capitulación acordada en Vdcncía en­ tre el Sr. 13!ake y el mariscal Suche!, es el cargo de prisioneros de guerra, en caso deque lo aprobase el Supremo Consejo de 11 g ¡;cia de Las Espadas; pero S. A , que ha jurado no entrar en ajuste a…</t>
  </si>
  <si>
    <t>con los 6 caballos abandonados. La del enemigo es mayor, segua informes de los pai­ sanos.” Gwdad- Rodrigo 19 de ft brete. Esbriben de Madrid que ei general Suche! salió áe Valencia para Cbüduña, ndoneie lo llamaban con .urgencia los progresos de las ar­ mas española:, en aquella provincia, y el temor de qué se apoderasen de …</t>
  </si>
  <si>
    <t>Suchet</t>
  </si>
  <si>
    <t>veces anunciado rompimiento con L Francia. Tenemos pues sohrado fundamento para creer que el anun­ cio publicado en Valencia de Alcántara, con re­ El mariscal Suchet atacó en Ies dias 26 y 27 ferencia á nn general francés reden llegado á Sa­ de diciembre al exército insurgente de Valencia lamanca , es uno de los muchos ardide…</t>
  </si>
  <si>
    <t>162</t>
  </si>
  <si>
    <t>dia, no se presentaban ya sino perspectivas melancólicas; solamente al­ guna revolución política ú otro acontecimiento extraordinario, que privase al mariscal Suchet de los socorros con que contaba , podía preservar por ahora á Valencia, y mi plan fue sostener su línea ó atrincheramientos, y consiguientemente la ciudad todo e…</t>
  </si>
  <si>
    <t>a ciudad edificios de bóvedas medianamente fuertes, sótanos ni otra especie alguna de abrigo ó defensivo. „El 6 á medio dia recibí una intimación del mariscal Suchet, á que contesté en el modo regular desatendiendo su propuesta ; pero el 8 estaba tan consternado ei pueblo, y yo mismo me hallaba con­ movido de tal modo al cons…</t>
  </si>
  <si>
    <t>nes de Badajoz. Se ha oido algún fuego de la plaza y del campo: se cree habrá sido al tomar posiciones las tropas* ESPAÑA. Valencia lo de febrero. El general Suchet continúa en esta ciudad. A pesar del respeto á las propiedades, estipulado en la capitulación , se recogen todas las alhajas y efectos preciosos, y se van deposit…</t>
  </si>
  <si>
    <t>o que los demás nom­ parece que la guarnición no ha podido resistir á la bramientos ó promociones no se pub icaran hasta impetuosidad del enemigo. Hl mariscal Suchet, la llegada de las tropas inglesas.” (The Times.) después de la toma de Peñíscola, ha mand.do Napoleón considera , como debíamos esperarlo, avanzar sus tropas há…</t>
  </si>
  <si>
    <t>Españas del jueves 7 de mayo de 181 2, i.úm. 57, «capítulo de Valencia, se inserta un decreto da­ Amsterdan iz de mayo. ndo en el mes de marzo por el mariscal Suchet «para la instalación de la audiencia;” y en el ar­ Hoi se han botado al agua dos fragatas cons­ ticulo 2.0 se dice: ,,Que esta seguí.á en administruidas eo nuest…</t>
  </si>
  <si>
    <t>berse dado con solo tal acto por mas que sufi­ Nuestra pérdida asciende a unos 200 hombres. El cientemente vindicada, sin ios demás motivos que señor mariscal Suchet felicita al general Harispé hasta entonces la dexaron bien puesta con la mis­ por c-1 vigor que ha manifestado mandando la ac­ ma Europa y la posteridad. H.ber d…</t>
  </si>
  <si>
    <t>las intenciones del enemigo, salvando á muchos pueblos de ser sa­ queados por las tropa* francesas. La falta de víveres que estas tie­ nen obligó al mariscal Suchet á destacar una columna de 7000 hom­ bres de todas armas al mando del general Robert, con el fin de ba­ tir a las divisiones de los generales Bassecourt y Villacam…</t>
  </si>
  <si>
    <t>Suchetj</t>
  </si>
  <si>
    <t>á esta disposición serán reparados como ladrones ca y Valencia , y ei Exento. Sr. mariscal dei im­ y saqueadores , y futí ados inmediatamente, perio conde Suchetj en carta de fecha de 18 del ,, Soldados: he prometido proteger las personas corriente , manifiesta al REI nuestro Señor, entre y propiedades de Valencia : cuento co…</t>
  </si>
  <si>
    <t>Suchtelen</t>
  </si>
  <si>
    <t>rsonages de su acompañamiento. Vuelto S. M. á su palacio le visitó el príncipe ; y habiéndose res­ tituido este á su alojamiento, recibió de mano del general Suchtelen, á nombre del emperador, las insignias de las órdenes de S. Andrés, S?. Alexandro Newsky, y Sta. Ana. En la noche del 27 hubo iluminación. El príncipe pensaba …</t>
  </si>
  <si>
    <t>Suclict</t>
  </si>
  <si>
    <t>entraron unos 500, cayendo los demas en manos de los patriotas : no se expresa el número de los muertos. ESPAÑA. Madrid 13 de dici'.mbre de 1811. El general Suclict pide socorros á toda prisa, y que se envíen fuerzas que mantengan expedita, su comunicación con Aragón, por­ que escasea de víveres , no podiendo contar con auxil…</t>
  </si>
  <si>
    <t>Suecia, Kucusow</t>
  </si>
  <si>
    <t>Kucusow Suecia</t>
  </si>
  <si>
    <t>e. Como Mr. el valias modificaciones de las b.,ses de este, tratado; barón de ArmLldt, no siendo ya súbdito de la y añade esta carta que como el gmer.d Kucusow Suecia» no puede continuar siendo miembro de la y el caballero Italinsky no querrán determinar por academia , se ha nombrado en su lugar á Mr. de si , sin recibir nuev…</t>
  </si>
  <si>
    <t>Suero, Tomas</t>
  </si>
  <si>
    <t>Tomas Suero</t>
  </si>
  <si>
    <t>­ ridos, 2 de ellos de gravedad. Distinguiéronse los capitanes D Si­ món de la Portilla y D. José Velcz, el teniente D. Agustín Elorza, los alféreces D. Tomas Suero, D. Juan Amador y D. Joaquín Bar­ ragan , y en general toda la oficialidad de Tres Villas. I). Manuel Pardo participa con la misma fecha de 6 de Junio al menciona…</t>
  </si>
  <si>
    <t>Sueya</t>
  </si>
  <si>
    <t>id 12 de febrero de 1812. — Exército de Portugal.—&gt; Orden del dia. — S.'E. el Rr. mariscal duque de Ragusa manifiesta su satisfacción al Sr. ayudarte comandante Sueya, encargado del hospital de convalecientes de Toledo, por el celo con que ha pro­ curado mejorar la suerte de los soldados en los hospitales y depé»</t>
  </si>
  <si>
    <t>Susuarregui, José Ignacio</t>
  </si>
  <si>
    <t>José Ignacio Susuarregui</t>
  </si>
  <si>
    <t>del alférez de fragata D. José de Mesa y Figueroa, y de !o3 ca­ pitanes y pilotos de baques particulares, D. Mateo Oronoz, D. An­ tonio Ugarrechena, D. José Ignacio Susuarregui, D. Pedro Echenique y D. Vicente García, concurriendo con solas 16 embarca­ ciones , entre goletas y lanchas, á la absoluta destrucción de la es­ cuad…</t>
  </si>
  <si>
    <t>Suticia</t>
  </si>
  <si>
    <t>stados to­ timo, y por ellos se ve que nada pu je resistir ni dos los ingleses que se hadan aqui; pero esta no­ impedir los triunfos del exército dei mariscal Suticia no tiene ni aun asomos de verdad. chet en el reino de Valencia. I media» im- nte des­ „ Ayer llegaron á esta ciudad todos los prín­ pués de la rendición de esta…</t>
  </si>
  <si>
    <t>Suwarow</t>
  </si>
  <si>
    <t>o en la corte de Viena, é hizo dimisión de su empleo. A po­ co tiempo de su casamiento pasó á S. Petersburgo, en cuya capital contraxo amistad con el general Suwarow, circunstancia que echó los cimientos á su fama militar. Habiendo muerto su esposa en 1773» entró al servicio de Rusia con el grado de teniente coronel, baxó los…</t>
  </si>
  <si>
    <t>T, Francisco</t>
  </si>
  <si>
    <t>Francisco T</t>
  </si>
  <si>
    <t>rar, debien­ do pasar á servir esta prefectura en comisión el prcficto que fe.ó de Xr-rez D. Juian María Ponce. Para Mórula h n nombrado pre­ fecto á D. Francisco T^-ran, intendente que era de Badr k-z . y pa&gt; ra Xerez al regidor de M adrid L). Fulgencio de ia R va Agüero. 7 a ¿overa 31 de entro. Aquí se padece tanta escasez …</t>
  </si>
  <si>
    <t>T, Manuel</t>
  </si>
  <si>
    <t>Manuel T</t>
  </si>
  <si>
    <t>José Mari?. Galdraio, D. Pedro Moreno y A-tazarra, D. José Pío García y D. M-.trña CuisascJa ; subtenencias de granaderos, á Don Juan Esteban G&amp;rate, D Manuel T jada y Cuadra y D. José de Xazartc ; de cazadores, á D Julián García Montarroso; y de fusile­ ros, á D. Manuel Ortiz de Villa te, D. Francisco Mendoza, D. Ra­ fael Ló…</t>
  </si>
  <si>
    <t>Mora, ¿0. Un patriota español, 100 y 120 cami­ sa?. D. Jorge Sacdcman, 100. D. Antonio Gower, 20. D. Juan Gar­ cía, 100. D. Juan Bautista Arnaza, 10. D Manuel T aranera, ¿0. D. Enrique Dowel, 100. Un amigo de D. Enrique Dowei, 50. M. y 8., 100. D. Juan de Agreda, 21. Un asturiano, 10. E. M. D., 200. Doa Mauricio Onis, 10. G. …</t>
  </si>
  <si>
    <t>Ta, Antonio</t>
  </si>
  <si>
    <t>Antonio Ta</t>
  </si>
  <si>
    <t>a y Urrutia , teniente de ingenieros ; D. Fíorencio Cerutti, alférez de reales guardias esp~;ño­ las ; D. Carlos Victoria, de caballería del Infante; D. Antonio Ta­ hona , del batallón de la Victoria ; D. Francisco Gamboa, del regi­ miento de Sigilenza, graduado de teniente coronel; D José Alva­ res Guerra , del extinguido de…</t>
  </si>
  <si>
    <t>Tabeada, Francisco</t>
  </si>
  <si>
    <t>Francisco Tabeada</t>
  </si>
  <si>
    <t>ia en manos del capitán general , el teniente general D. Joaquín María de Velarde, el mariscal de campo, comandante* general de la alarma de Galicia, D. Francisco Tabeada; los briga­ dieres D. Antonio Garces de Marcilla, D. Crisóstomo Lallave, conde de Priegue, D. Antonio Mañiz y Alvarez, marques de Almeyda , y D. Manuel Torr…</t>
  </si>
  <si>
    <t>Tablada, Francisco Solano de Agnilar</t>
  </si>
  <si>
    <t>Francisco Solano de Agnilar Tablada</t>
  </si>
  <si>
    <t>. Luis Topete. tada escribanía. ART. m. En la compañía de milicia cívica de caballería de la ciudad de MontUla quedan asi­ mismo promovidos. TRATAOS. D. Francisco Solano de Agnilar Tablada á ca­ En el del Príncipe, i las siete y media de la no­ pitao , en reemplazo de D. Fraocisco Perez Alga va. che, se representará por la co…</t>
  </si>
  <si>
    <t>Taboada, Felipe Sobrino</t>
  </si>
  <si>
    <t>Felipe Sobrino Taboada</t>
  </si>
  <si>
    <t>1691</t>
  </si>
  <si>
    <t>que no se sintiera la pesadumbre del hujno) tenia 80 pies en quadro y ocho de alto..... y otras cosas que no se pueden leer sin extremecerse. El Dr. D. Felipe Sobrino Taboada, catedrático de cánones en Santiago, ha publicado un manifiesto sobre el atropellamiento que sufrió por aquella inquisición á pretexto de haber escrito …</t>
  </si>
  <si>
    <t>Taboenca</t>
  </si>
  <si>
    <t>W3 dió las casas contiguas , lo que obligó á situarse á alguna mayor distancia pira observarla y centén tria. „E¡ teniente coronel Taboenca, despurs de dar un rodeo de 3 le­ guas y media, llegó al punto señalado á las 3 de la madrugada. Se aplicaron las encalas : pero halló vigilante al enemigo y fuiroado en la plaza delante de</t>
  </si>
  <si>
    <t>Tabuenca, Juan Antonio</t>
  </si>
  <si>
    <t>Juan Antonio Tabuenca</t>
  </si>
  <si>
    <t>el alcance hasta una legua de la ciudad Se han señalado los comandantes D. Bartolomé Amor, de la caballería, D. Domingo Murcia , de la artillería , y D. Juan Antonio Tabuenca, del batallón de Rioja : llenaron sus deberes los comandantes An­ téalas y .Bcraiz, y los soldados dieron muestras del mayor denue­ do , arrojándose alg…</t>
  </si>
  <si>
    <t>dió la carcha. Las ecolumnas que debían asaltar, es­ taban mandadas, la primera por el teniente coronel, comandante in­ terino del batallón de Ridji, D. Juan Antonio Tabuenca ; la segui­ da por el capitán de Numautinos D. Gregorio de Vera; y la ter­ cera por el temerte coronel, comandante de la compañía de zapa­ dores y artil…</t>
  </si>
  <si>
    <t>699</t>
  </si>
  <si>
    <t>de Rioja, 6 compañías de los Numantinos y ligero de Soria, á las órdenes del valiente y bien acreditado comandante del primero, el teniente coro­ nel D. Juan Antonio Tabuenca, y por la Misericordia</t>
  </si>
  <si>
    <t>do hace algunos dias en esta parte de Rioja con, el ;olveto de «distar los jovenes , que no lo habían sido hasta ,aho7iva,tñandé; al teniepte coíonel D. Juan Antonio Tabuenca, cpe con todo el batallen de Rioja, cue tan dignamente manda, y: 100 eaba-</t>
  </si>
  <si>
    <t>1162 Rioja D. Juan Antonio Tabuenca, me dice desde el pueblo de So­ tés, con fecha L° del corriente, lo que sigue : ,,Mi general: ya que Y. S. me dispensó el honor de dexarme al frente de la guarnición de Logroño, para proteg</t>
  </si>
  <si>
    <t>Tabuenca, Vitorino</t>
  </si>
  <si>
    <t>Vitorino Tabuenca</t>
  </si>
  <si>
    <t>ido Domínguez, que recibió la herida de pasar un brazo, y el de ca­ zadores D. Josef Bernaz , los subtenientes D. Cipriano Galvez, D. Manuel Hurtado, D. Vitorino Tabuenca, mi ayudante D. Pedro Pedrosa, el sar­ gento 2.0 Agustín Jargue , que salió herido, y el distinguido D. Timo­ teo Ruiz: las compañías de granaderos, cazador…</t>
  </si>
  <si>
    <t>Tacaño, José</t>
  </si>
  <si>
    <t>José Tacaño</t>
  </si>
  <si>
    <t>ncisco Pas­ tor , capellán y maestro , 12. D. Pedro Amezaga, id., 12. D. José Beltran, id., 6. D. Redro Rolando., id* 6. D. José Navarrete , id. , 6. D. José Tacaño, id., 12. D. Felipe Cárdenas, 4 y 2- rs?. D. Miguel Mascare, S. I). Manuel Tejada, '8. D. Antonio Amezaga , 35. D. José Peña, 13. D. José Dámaso Árgueda, 8. D. Ma…</t>
  </si>
  <si>
    <t>Tacón, Miguel</t>
  </si>
  <si>
    <t>Miguel Tacón</t>
  </si>
  <si>
    <t>mante­ ner la subordinación, aun en las que pertenecían á dueños que se ha* lian con los rebeldes. La Regencia del rejno, á instancias del expresado D. Miguel Tacón, ha resuelto se inserte en la gaceta todo lo referido, para pre­ caver cualquiera mala impresión que puedan producir contraía con­ ducta de aquel gefe, las especi…</t>
  </si>
  <si>
    <t>Tadei, Angel María</t>
  </si>
  <si>
    <t>Angel María Tadei</t>
  </si>
  <si>
    <t>2 gran­ D. Ventura Mandaya. jas con todo el forrage , donde por fortuna no; ha­ Diputadas seculares bía nadie,y repentinamente se detuvo eT) forma de D. Angel María Tadei. mnrallayá distancia de un tiro de fusil dé ñn pue­ D. JJrancisco Orsoiino. blo. D. Francisco Tormos. ESPAÑA. ■ r&gt; Secretario D. Melchor G^.nez de la Tórre¿…</t>
  </si>
  <si>
    <t>Tafur, Francisco</t>
  </si>
  <si>
    <t>Francisco Tafur</t>
  </si>
  <si>
    <t>no Infantas, 4. José Mi­ guel Villegas , 4. Francisco Almagro , 4. Clemente Mirelas , 4. — Farmacéu­ ticos. D. Sebastian ?vlena, protoboticario , 17. D. Francisco Tafur por sí y por la botica de la congregación de S. Felipe Neri , 25. 1). Domingo Pimentei , por sí y por la botica de la Bueña-muerte , 25. D. José Gil , 25. D, …</t>
  </si>
  <si>
    <t>Tafur, Manuel</t>
  </si>
  <si>
    <t>Manuel Tafur</t>
  </si>
  <si>
    <t>ria , 41 y 5. D. Boni­ facio López Ruiz , 3 y 4. D. Fernando de Mazo y su sobrino D. Francisco Penagos Mazo , 2000. El marques de Villafuerte , 1000. D. Manuel Tafur, cura de Lurin , 40Í). El capitán D. Lorenzo José de Chaves, 1000. F1 monas­ terio de la Encarnación , 500. El escribanía público D. Francisco Munarriz, en cada …</t>
  </si>
  <si>
    <t>Tagle, José Pinto y Torre</t>
  </si>
  <si>
    <t>José Pinto y Torre Tagle</t>
  </si>
  <si>
    <t>a Aniceto Gaíindo y sus individvos, 12 y 0. Compañía de caballería. JL\ capitán Juan Cosía y sus individuos, 18 y 3. El retirado Casimiro Esparza, 6.—D. José Pinto y Torre Tagle , cura de la doctrina de Tapa , 100. D. Joaquín Miguel de Arna­ do , subdelegado de Cajamarca , 200. D. Claudio Fernandez Prada, hacendado ,de Laran …</t>
  </si>
  <si>
    <t>Tagle, Mariano</t>
  </si>
  <si>
    <t>Mariano Tagle</t>
  </si>
  <si>
    <t>ero, 6. El futurario D. Manuel Pereas Vuelta, 15. Los tres curas rectores del sagrario de esta catedral D. Juan An­ tonio Iglesias , D. Juan Marin, y D. Mariano Tagle, 500. Real Convictorio Carolina, Rector D. Toribio Rodriguez de Mendoza ofrece 100 pesos en cada -tir: año de ios que dure la guerra, y ha entregado 200. D. Jua…</t>
  </si>
  <si>
    <t>Talaker, Juan Guillermo</t>
  </si>
  <si>
    <t>Juan Guillermo Talaker</t>
  </si>
  <si>
    <t>vinieron todos tres en cxe- conceptúen con derecho á los bienes que ha dexado por cut.rlo al dia siguiente por ia (arde. Reuniéronse su fallecimiento D. Juan Guillermo Talaker, y 4 cuyo era ella, :y no se verificó por miedo del dependien­ efecto se ha señalado el dia 3 de junio próximo á las quate que, erraba trabajando en la…</t>
  </si>
  <si>
    <t>Talamantes, Ignacio</t>
  </si>
  <si>
    <t>Ignacio Talamantes</t>
  </si>
  <si>
    <t>dum; 50. D. Tomas Larrea, 50. D. Joaquín de Arece , 50. D. Francisco González Pavón, 50.— Oficiales amanuenses. D. José Mariano Bustarnanie , 41 y 5. D. Ignacio Talamantes yBaeza,41y5. D. Gregorio Laiseca , 41 y 5. — Contadores de moneém. D. Pedro Vaivevde , 45 y 6 y medio. D. Tiburcio Roklarv, 41 y 5. D. Ma­ tías Alvarez , 4…</t>
  </si>
  <si>
    <t>Talancha, Manuel</t>
  </si>
  <si>
    <t>Manuel Talancha</t>
  </si>
  <si>
    <t>Mena, 10 ps. fe. El secretario de cabildo T&gt;. celas Atiza, 12. Capitán D. Antonio Lafurt, 10. Id. D. Manuel Andrea, 10. Id. D. Juna José Ruiz, 4. Id. D. Manuel Talancha, 6. Teniente B Martin Arquiseña, G. Subteniente D. Alfonso Mejorada,. 100. TX José González, 12. D. Jo­ sé Baldisan, 25. D. José Gregorio de la Mata, 10. D.Fe…</t>
  </si>
  <si>
    <t>Talayera, Gabriel de MendizabaL</t>
  </si>
  <si>
    <t>Gabriel de MendizabaL Talayera</t>
  </si>
  <si>
    <t>carga sobre ellos en el camino de Lérida. Nuestro Se­ ñor guarde á V. E. muchos años......... de abril de 1812. Francisco^Espox y Mina. — Excmo. Sr. D. Gabriel de MendizabaL” Talayera 17 de mayo* Dial, El.general Lafoy ha dicho que viene á esta villa Marrnont, y el prefecto de Cáceres ha asegurado que vendrá José Bonaparta — …</t>
  </si>
  <si>
    <t>Talbct, John</t>
  </si>
  <si>
    <t>John Talbct</t>
  </si>
  <si>
    <t>navio francés Rívoli de 84 cañones y 800 hombres de'tripu'acion , apresado el 22 de fe­ brero en las aguas de Trieste por el navio ingles Victorioso, capitán John Talbct. No habia mas que 12. horas que el liívoli se había he­ cho á la vela : el combate duró 4, y fué de los mas obstinados y san­ grientos. El navio apresado tuv…</t>
  </si>
  <si>
    <t>Talbot</t>
  </si>
  <si>
    <t>grientos. El navio apresado tuvo 400 entre muertos y heridos : el in­ gles perdió 40 muertos, inclusos 2 oficiales, y tu\o 90 heridos, entre ellos-el capitán Talbot; pero ya se hallaba restablecido enteramente. El navio francés estaba construido con sumo lnxo y magnificencia: á proa tenia una victoria ciada con una corona de …</t>
  </si>
  <si>
    <t>Talega</t>
  </si>
  <si>
    <t>tenso á la patria, y deseos de purgarla del influxo de los que viven de las preocupaciones, ael padrinazgo, y del manejo de los que hacen mas caso de Doña Talega que de los méritos; buen juicio y discernimiento natural, con instrucción en política y conocimiento exacto de su país; ser lego, porque los eclesiásticos tienen sob…</t>
  </si>
  <si>
    <t>Tallejo, José</t>
  </si>
  <si>
    <t>José Tallejo</t>
  </si>
  <si>
    <t>la audiencia y tribunales de pri­ mera instancia en este reyno; hemos decretado y decretamos lo si­ guiente : Art. I. ,,Los Sres. D. Manuel Mahamut, D. José Tallejo, Don José Elola, D. Ramón Calvo de Rozas , D. Manuel Morales, D. Ticente Fuster, D. Vicente Lisa, D. Tomas de los Cobos y D. Juan Alvarez Posadilla, jueces presen…</t>
  </si>
  <si>
    <t>Tallo, Martin</t>
  </si>
  <si>
    <t>Martin Tallo</t>
  </si>
  <si>
    <t>cuarto de la contaduría , 37 y 4. D. Camilo” Mon­ tes , escribiente de la. administración , 12 y 4. D. Francisco Calero , id. de 1*. contaduría , 25. D. Martin Tallo , archivero , 25. D. Andrés Calero , escriba­ no del ramo , 33 y 2 y medio. D. Feliciano Salas , cobrador , 6 y 2. I). Fran­ cisco Fiorcs, oficial de expedientes…</t>
  </si>
  <si>
    <t>Tamarit, Mariano</t>
  </si>
  <si>
    <t>Mariano Tamarit</t>
  </si>
  <si>
    <t>Manuel Chiva, idem. , para los buques y mercancías Inglesas, y será con­ D. Josef.Ingles , hacendado. siderado como puerto libre hasta i.° de mayo de D. Mariano Tamarit, comerciante. 1813. ,,A la pregunta hecha por el congreso sobre si El presidente pronuncio el discurso que sigue; había algún americano que hubiese entrado en…</t>
  </si>
  <si>
    <t>Tamayo, Juana Francisco</t>
  </si>
  <si>
    <t>Juana Francisco Tamayo</t>
  </si>
  <si>
    <t>. Manuel de Urrua, id. , 9. D. José María de Urrua y D, Domin­ go Bernaola, id. , 9. D. Felipe Fernandez de Silva, por uno, 9. D. Juan Kohli, id!,'9. Doña Juana Francisco Tamayo , id,, 9. D. Pedro Zamora, por 2, 18! D, Mariano Jáuregui , por 3, 2?. D. Francisco de Torres, por «no, 9. D, Vicente García Caraballo , id., 9. D. R…</t>
  </si>
  <si>
    <t>Tamayo, Julián</t>
  </si>
  <si>
    <t>Julián Tamayo</t>
  </si>
  <si>
    <t>o. Los cabos primeros Antonio Ro­ mano y Ruperto Sanz. Los soldados Francisco García, Vicente An­ drés y Angel Jsyme. Ligero de Soria. Ei subteniente D. Julián Tamayo. Ei cabo primero, herido, Francisco Astasio. Los cabos segun­ dos Feliciano Calebiq y Manuel Muñoz. Los soldados Antonio Gar­ cía, Valentín Molo, José Saenz y T…</t>
  </si>
  <si>
    <t>También</t>
  </si>
  <si>
    <t>rzar el exéreito Yo confieso á vmd. con ingenuidad , señor re­ y cuerpo de reserva acantonados en la GuIHczía. dactor , que no sé pnr que dicho señor diputado También has pasado muchos de los generales que no se contraxo i estos últimos, en donde á cada han de mandar las divisiones. El quarte! general P'-*so se tropieza con p…</t>
  </si>
  <si>
    <t>También, Bar</t>
  </si>
  <si>
    <t>Bar También</t>
  </si>
  <si>
    <t>de Kalkreuth , general feld-mariscal y gobernador, ro íntimo conde Gollowin ha sido nombrado co­ de esta capital. lero mayor. Durante ¡a ausencia del ministro Bar­ También salió ayer para Breslau S. A. el prín­ cia! de Tolly queda encargado del despacho de los cipe Carlos de Mecklemburgo-Strelitz , coronel y negocios de la gu…</t>
  </si>
  <si>
    <t>Taramona, Francisco</t>
  </si>
  <si>
    <t>Francisco Taramona</t>
  </si>
  <si>
    <t>ro tesorero interino D. Domingo de las Casas una mesada. D. Vicente Pena, oficial mayor, 30. D. Manuel Celis, 25. D. José Domínguez , 33 y 2 y medio. D. Francisco Taramona, 10. D. Pablo Antonio Moreno , 10. D. Francisco Ameta f oficial mayor jubi­ lado, 25. D. Marcelo Laclara, contador de moneda, 10. El portero Don Domingo Ch…</t>
  </si>
  <si>
    <t>Tariego, Bonifacio</t>
  </si>
  <si>
    <t>Bonifacio Tariego</t>
  </si>
  <si>
    <t>D. Francisco Delgado Vetez, id., 9. D. Manuel Urueta, por 4, 36. D. Francisco Polo , por uno, 9. D. Antonio Duarte , id., 9. D. José Perera, id., 9. D. Bonifacio Tariego, id., 9. D. Andrés Lesama, por 2, 18. D. José Marcial &lt; e Echarri, id., 18. D. Manuel Mas, por uno, 9. D. Do* mingo Cabrera , id., 9, D. Joaquín Goycourva, i…</t>
  </si>
  <si>
    <t>Tarle</t>
  </si>
  <si>
    <t>por estar parado el Liverpool... ; , i ,r;.V comercio-. E&gt; canciller aseguró que 00 tenia noti» cía de semejante su ge t o; pero que sí conocía á El general Tarle.ton pidid-permiso parapreien- c’erto recaudador deadnana, que había renuncia­ tar á la cámara de los,comunes uoa .peticion.de do su empleo temiendo que se tomasen i…</t>
  </si>
  <si>
    <t>Tarleton</t>
  </si>
  <si>
    <t>i corporaciones, baxo la pena de ser nisterio ingles tenia toda la culpa de este rompi­ responsables ellos mismos de los fondos , entregar miento. Ei general Tarleton habló después acerca ninguna herencia , legado ó donación á ninguna de la política militar de la Inglaterra , é infido da persona, sea ó no súbdito nuestro , ha…</t>
  </si>
  <si>
    <t>a ó comisión particular para que ave­ nen los gritos de resistencia y venganza contra no­ rigüe el estado de las rondas que debe haber por sotros. El general Tarleton se limitó á hablar so­ las noches, y ademas el de la policía de la me­ bre asuntos de su inspección y de que tiene cono­ trópoli. cimientos , y desaprobó las op…</t>
  </si>
  <si>
    <t>s que anteriormente á esta la contradicción que ha habido entre las aserciones órdtn estaban exfintas , continuarán gozando de los de Mr. Crewy y del general Tarleton acerca del mismos privilegios por todó" ¿í tiempo que se leu estado presente de Liverpool,' y nos hemos queda­ había concedidoi- ’ ; ’ ' do en las mismas dudas …</t>
  </si>
  <si>
    <t>al. Pudiera, y aun d.biera decirse mu­ des á la desgraciada víctima de su Venganza y al cho bueno de este hombre , cuy.iS faltas deben se­ orador. Ei general Tarleton declaró también como pultarse con sus cenizas. Tenia 11 h j rs, á quienes testigo, y otras muchas personas que presenciaron amaba tiernamente, y era el apoyo de…</t>
  </si>
  <si>
    <t>Tarquis, Juan</t>
  </si>
  <si>
    <t>Juan Tarquis</t>
  </si>
  <si>
    <t>io D. Josef de la Mano. BARRIO DE LEGA MITOS. Diputado eclesiástico D.................. .. .. ............... Alcalde- .de barrio Diputados seculares D. Juan Tarquis. D. A-ífonso Lticeño. Diputado eclesiástico D. Gregorio Sánchez. .be'»' . ,-•/ . D. Antonio G-ircía Cano. D. Roque de Lema. ,j\ , , ; ‘ , Diputados seculares Sec…</t>
  </si>
  <si>
    <t>Tarull, Francisco</t>
  </si>
  <si>
    <t>Francisco Tarull</t>
  </si>
  <si>
    <t>f&gt;70 Miians y Claros. Eí general Miláns se tí tiró á Ridaura, sin que le persiguiese el enemigo. El 13 de este mes la partida'de D. Francisco Tarull, comandanae de reserva, hizo fuego y cansó a'guna pérdida á un destacamen­ to que habla entrado efe C:Vdas de Mombui-, y ae restituía á Barce­ lona con varios vecinos preses. Acc…</t>
  </si>
  <si>
    <t>Taverne, Luis</t>
  </si>
  <si>
    <t>Luis Taverne</t>
  </si>
  <si>
    <t>refino de azúcar de las también S. M. nombrar al segundo teniente del principales ciudades. De todas Jas fábricas existen­ real cuerpo de artillería D. Luis Taverne primer tes prefiere Mr. Chapeal para este fin la de Mr. teniente de la séptima compañía del primer bata­ llón del propio cuerpo; al capitán retirado D. JoBarrael.…</t>
  </si>
  <si>
    <t>Taviel, José Zurita y D Tomas Suero</t>
  </si>
  <si>
    <t>José Zurita y D Tomas Suero Taviel</t>
  </si>
  <si>
    <t>ería se portaron con la mayor bizarría , no pudiéndose elogiar á los unos sin injuriar á los otros. Con todo recomienda á los oficiales D. José Cano, D. José Zurita y D Tomas Suero Taviel ; al sargento distinguido de dragones Don Manuel José de Salas y al cabo Francisco Méndez ; al sargento José Medrano , al cabo Felipe Monca…</t>
  </si>
  <si>
    <t>Taylor, Tomas</t>
  </si>
  <si>
    <t>Tomas Taylor</t>
  </si>
  <si>
    <t>é llegando conducida por nuestras partidas, y nos fué fácil adquirir cuantas noticias creimos conducen­ tes para nuestro plan. Llegó por fin el mismo D. Tomas Taylor, y creyendo tratar con el comandante Sancho y el ministro del estable­ cimiento , nos entregó los pliegos del gobierno revolucionario. En breve rato nos impusimo…</t>
  </si>
  <si>
    <t>TchemiskofF</t>
  </si>
  <si>
    <t>1373</t>
  </si>
  <si>
    <t>1373El almirante TscliitscbagofF entró en Slonim el SI de Octubre, y cogió 3 regimientos de huíanos polacos. El coronel TchemiskofF con un destacamento ha avanzado hasta cerca de \ arsovia. . ( Un cuerpo del exército de VUtgenstein ha entrado en .Witepsk. La carta del conde Tvos.n dice que antes de la batalla ei^ que Murat ha…</t>
  </si>
  <si>
    <t>Tci</t>
  </si>
  <si>
    <t>o.. JEh-te ccm* ndt ute , n* * m?üc$ valiente que g cetrero, é irritado ya. de los atentado* d« ^st; s. dis­ puso que- la ort&amp;va compañía al mando de D Tci hio B&gt;,ñar, se di­ rigiese á ceTtcrhs la re tire da, y marchando él coa la &gt;érto;a de freí te á ellos con espada en m*no, dando órdí-r qao n«- s,r tÚH'o un tiro, emprendió…</t>
  </si>
  <si>
    <t>Tciio, José Espinosa</t>
  </si>
  <si>
    <t>José Espinosa Tciio</t>
  </si>
  <si>
    <t>814</t>
  </si>
  <si>
    <t>de guerra y marina para-que cataba electo; se ha servido S. A. nombrar , á consulta del consejo de estado, para la referida plaza al gefe de escuadra D. José Espinosa Tciio. “CADIZ: EN LA IMPRENTA REAL*</t>
  </si>
  <si>
    <t>Tcm</t>
  </si>
  <si>
    <t>asa y Piedra , D. Joan B/ucíe ta Enea . D. Pedro Ca­ bero y Tcgle, D. Manuel I). Juan EfznUle, D. Toma? Ugr» te, D. Yícente Navas, D. Manuel Vázquez, D. Tcm&amp;s Rico, D. Ma­ nuel Esteban Martínez , y D. José Santos de Ansmendi. La junta superior ¿e Burgos y Segóvía desde Be bis Are de la Sierra , con fecha de 4 de mayo ultimo ,…</t>
  </si>
  <si>
    <t>Te, María</t>
  </si>
  <si>
    <t>María Te</t>
  </si>
  <si>
    <t>rrera natural que na, ó los habitantes! del Bolga y del Moska; la de-, debe ya dividir para siempre el Norte del Medio­ licadéza y religiosidad de la Emperatriz María Te­ día;'. este- sentirá mui luego los’ efectos de vuestro resa no podia menosd’e repúgnate) proyecto; pero invencible poder; daréis la lei, y será obedecida en…</t>
  </si>
  <si>
    <t>Tebarnedo, Juan</t>
  </si>
  <si>
    <t>Juan Tebarnedo</t>
  </si>
  <si>
    <t>de D. Lorenzo Ramírez. ........... ' ” A D. Gerónimo Hernández Martin para el de Canillas de abaxo , vacante por muerte de D. Ga­ briel Domínguez. A D. Juan Tebarnedo para el de Calvarrasa de En la extracción de la real lotería celebradi, arriba, vacante por muerte de D. Francisco Oliva. en la tarde del 27 del corriente hao s…</t>
  </si>
  <si>
    <t>Tecla</t>
  </si>
  <si>
    <t>elantémonos nosotras , Doñ Barbara, que estas el aba' ico con mucho desenfado: A la verdad, mi señoras parece que Van de&gt;pa.in , y me temo que señora Doña Tecla, que es bien extraña la deli­ no hemos de llegar á S. Sebastian á tiempo de re­ cadeza que vmd. mmiñesta. ¿Por qué hemos de servar. hacer cavo nosotras de las bachill…</t>
  </si>
  <si>
    <t>Teiíez, Eusebio</t>
  </si>
  <si>
    <t>Eusebio Teiíez</t>
  </si>
  <si>
    <t>dro Andrade, D. Antonio Yelazquez y D. José Yelazquez; subtenencia de granaderos á D. Mi­ guel Vaienza, y de fusileros á D. Francisco Xavier Vargas , D. Eusebio Teiíez , D. Pedro Mansilla , D. Jacinto Toro, y de bandera á D. Federico de Vera. En la compañía veterana de infantería de Maynas, el empleo de capitán á D. Manuel Fe…</t>
  </si>
  <si>
    <t>Teion, Pablo</t>
  </si>
  <si>
    <t>Pablo Teion</t>
  </si>
  <si>
    <t>eroa, presidente. Continúan los donativos del Perú. Don Miguel Pizarro , 168 pesos y 3 reales. I). Juan Peña , 168 y 3. Don Miguel Cebrian , 143 y 3. D. Pablo Teion, 120 y medio reai. D. Miguel Vega, 120 y medio real. D. Pedro Ruiz, 166 y 5. D. Juan Luque Marmol, jubilado , 95 y medio real. Contadores ordindrios. D. Pedro Gri…</t>
  </si>
  <si>
    <t>Tejada, Mariano</t>
  </si>
  <si>
    <t>Mariano Tejada</t>
  </si>
  <si>
    <t>n de qoe presentemos á sus reales pies e! hotínez; seminaristas D. Luis Colina , D. Joan Josef menage de sumisión y respeto que deben á V. M. Cámara, D. Mariano Tejada, D. Nicanor Esterri- todos los pueblos de su vasta monarquía. pa, D. Carlos Sicilia y D. Miguel Guridi; D. An­ ,, Mucho tiempo há que Requena y lugares de toni…</t>
  </si>
  <si>
    <t>Tejerla, Rafael</t>
  </si>
  <si>
    <t>Rafael Tejerla</t>
  </si>
  <si>
    <t>D. José Antonio G'uirola y D. Joaquín Segarte ; de subteniente de las de infantería, á D. Alonso Gil, D Leopoldo Tolleria , D. Jo:é Antonio Zamuripa, D. Rafael Tejerla, D. -Fernando GB , D. Anastasio Nava, D. Luis Ramírez, D. José Trinidad Guardia, D Pedro María O berta, D. Francisco Manzano, D. J .sé Lorenzo López y D. J é M…</t>
  </si>
  <si>
    <t>Tejero, Zacarías</t>
  </si>
  <si>
    <t>Zacarías Tejero</t>
  </si>
  <si>
    <t>santa verdad. Sobre todo, te­ Ex- trinitarios. ned valor para decirla, no solo arrostrando el po­ der y la autoridad de los particulares, sino lo qne D. Zacarías Tejero , residente en Caballar. 2200 es mas, y harto mas difícil, la preocupación gene­ D. Josef Martínez de la Vega, id. en Seral, la falsa opinión pública. ¿Solo h…</t>
  </si>
  <si>
    <t>Teles</t>
  </si>
  <si>
    <t>D. Manuel E ysaga; de teniente de las mismas milicia» de infantería, á D. Torlbio Bsttüaeourt, D. Casimiro García, D. C &gt;sme Armera, D. José Torres, D. Teles foro Montero, D. Ignacio de Medina, D. Vicente Zavala, D. José María ViUavicsncio, D. Félix María Farias y D. Juan Pedro Pe*ayo ; el mismo de ras de caballería, á D. Raf…</t>
  </si>
  <si>
    <t>Teliería, Pedro</t>
  </si>
  <si>
    <t>Pedro Teliería</t>
  </si>
  <si>
    <t>Josef de Requena ha tenido lo honra de presentarse hoi Tagola y D. Felipe de Cíorraga; gefes de trozo al REI nuestro Señor; ye! corregidor, que venia D. Pedro Teliería, D. Pablo López de la Huerta á su frente, ha pronunciado el discurso siguiente: y D. JosefTellería: seminaristas D. Tomas Hea- Señor: riquez, D. Juan Manuel Er…</t>
  </si>
  <si>
    <t>Tellechea, Amonio</t>
  </si>
  <si>
    <t>Amonio Tellechea</t>
  </si>
  <si>
    <t>balle­ jnéves pasado tuvieron una audiencia del Príncipe ría: al comandante de esquadron de dicho cuerpo Regente los duque-s de Norfolk y de Redford. D. Amonio Tellechea i mayor del mismo regí-</t>
  </si>
  <si>
    <t>Tellez, Justo</t>
  </si>
  <si>
    <t>Justo Tellez</t>
  </si>
  <si>
    <t>3 Gala, labradora rica de aquella tierra., y Marina, D. Bartolomé Escobar.................. 2053 *7 tendera de un pueblo inmediato, eran las dos qoe D. Justo Tellez............................ 14820 28 mas enamoradas estaban del espejo dichoso, y las D. Leonardo Zuhiilaga................. 10530 30 dos íe lo pidieron á la tia …</t>
  </si>
  <si>
    <t>Tello, Francisco</t>
  </si>
  <si>
    <t>Francisco Tello</t>
  </si>
  <si>
    <t>Voto, 25. D. Tomas Maguido ,4. — El gremio de carniceros de . carnero del abasto de Lima , 10 y 4 rs. Julián (duispe , indio tributario de Jauyos, 3. D. Francisco Tello &gt; 25. El monasterio de Mercenarias , 20. El cura de Aucayaraa D. Agustín de Men­ doza, 12. Ei coronel conde de Premio-real, oficiales y tropa del batallón de …</t>
  </si>
  <si>
    <t>Tello, Josef Espinosa</t>
  </si>
  <si>
    <t>Josef Espinosa Tello</t>
  </si>
  <si>
    <t>de ministro del tribunal especial de Guerra y Marina, que ha resultado vacante por dimisión que de ella se sirvió S. A.- admitir al gefe de esquadra D. Josef Espinosa Tello.</t>
  </si>
  <si>
    <t>Telltchea, Antonio</t>
  </si>
  <si>
    <t>Antonio Telltchea</t>
  </si>
  <si>
    <t>v. Las pruebas é informaciones c» ma­ capitán D. Ignacio Calvo á comandante de es­ teria civil, de qualquiera clase que sean. cuadrón en reemplazo de D. Antonio Telltchea. art. xvi. Los despachos para contraer matri­ monio, y las partidas que se presenten para obte­ Extracto de las miautas de la secretaría de neros. Estado. a…</t>
  </si>
  <si>
    <t>Telmo, Josef</t>
  </si>
  <si>
    <t>Josef Telmo</t>
  </si>
  <si>
    <t>... 6458 instrucción pública fundados por los griegos fuera D. Josef Carasa, por medio de su de la Grecia para la educación de la juventud? apoderado D. Josef Telmo La3 f ¿ Las tipografías de Moscópolis, de J tssi y rumbe.......................................... 8664 de Bucharest son las únicas que había en la Gre­ El fondo …</t>
  </si>
  <si>
    <t>Telosana, Felipe</t>
  </si>
  <si>
    <t>Felipe Telosana</t>
  </si>
  <si>
    <t>a tercera del segundo, D. Juan Monton , subteniente de la cuarta del mismo, D. Joaquín Eabayen y D. Ramón Diez de liarraza, subtenientes del tercero; D. Felipe Telosana, ayudante dei cuarto, y D. Miguel Cerain y D. Florencio Olave, subtenientes dei mismo, mereciendo un lugar distinguido el subteniente abanderado del tercero D…</t>
  </si>
  <si>
    <t>Temprano, D Antonio</t>
  </si>
  <si>
    <t>D Antonio Temprano</t>
  </si>
  <si>
    <t>patrióticas con­ tinúan con actividad y celo sus operaciones contra el enemigo. Con fecha de 14 de enero comunica á la junta de A vila el te­ niente coronel D Antonio Temprano, comandante de húsares fran­ cos saguntinos, que el sargento mayor de su escuadrón, D. Pascual de A riza, interceptó, cerca de Morales de Toro, el 27 d…</t>
  </si>
  <si>
    <t>Tena, Juan</t>
  </si>
  <si>
    <t>Juan Tena</t>
  </si>
  <si>
    <t>eferida academia militar de la isla de León, O. Eugenio Carrasco, D Sebastian Villaniieva, D Facundo Arte ga , D. Eulogio Santa Cruz , D. José Acero, D. Juan Tena, Don José López Montoya , D. Juan Ramón Llórente, O J uan Muril!o, O. Francisco Benito, D. Francisco Alameda, D. Pedro Panla­ gua, D. Luis Muñoz?, D. Vicente Ortiz,…</t>
  </si>
  <si>
    <t>Tena, Pablo</t>
  </si>
  <si>
    <t>Pablo Tena</t>
  </si>
  <si>
    <t>gual cantidad cada año durante la guerra. El presbítero D. Gerónimo Mata­ moros , 25 , y otros tantos en cada año que dure la guerra. El presbíte­ ro D. Pablo Tena, 25 , y lOcada año durante la guerra. D. Vicente Tena, 2. D. Vicente Baldisan , 1. D. Toribio Antonio Calvo, oficial de la aduana de íluaura, 25 , é igual cantidad…</t>
  </si>
  <si>
    <t>Tena, Vicente</t>
  </si>
  <si>
    <t>Vicente Tena</t>
  </si>
  <si>
    <t>ero D. Gerónimo Mata­ moros , 25 , y otros tantos en cada año que dure la guerra. El presbíte­ ro D. Pablo Tena, 25 , y lOcada año durante la guerra. D. Vicente Tena, 2. D. Vicente Baldisan , 1. D. Toribio Antonio Calvo, oficial de la aduana de íluaura, 25 , é igual cantidad cada año. que dure la guerra. El subdelega­ do de C…</t>
  </si>
  <si>
    <t>Tene</t>
  </si>
  <si>
    <t>as personas que se coa una ridicula importancia? „Mi hermano el uierc .pintar baxo el nombre de alguna planta ó Emperador de Rnsia, decía el otro dia D. Tene- e algún animal, clasificándolas y distinguiéndolas brou, ha reconocido ya al Reí Joief; el de Aus­ {»or el método de. Linneo. Ei autor de la Monacotria y todos los Prín…</t>
  </si>
  <si>
    <t>Tengo, Píatow</t>
  </si>
  <si>
    <t>Píatow Tengo</t>
  </si>
  <si>
    <t>Mohilow. „No he oido decir ni se sabía positivamente donde estaba Bonaparíe el 9 de Noviembre. .,Ii:cTuyo el primer boletin que contiene el parte del general Píatow — Tengo la honra &amp;c. — Ccíheart Por ura mala de Gottemhurgo, que acaba de llegar, se han recibi­ do despiches de Mr. Thomton , enviado británico en Stokolmo, su f…</t>
  </si>
  <si>
    <t>Teo</t>
  </si>
  <si>
    <t>o lleva consigo todas estas plagas imepara- D. Josef Pascual de Rcparaz , por «bles del comercio. La Inglaterra reduxo á inono- medio de su apoderado D. Teo­ » polio , como tiene de costumbre, los mercado* doro Cía.................................................. 22500* «de la América septentrional (1): tuvo zelos la Y D. An…</t>
  </si>
  <si>
    <t>Teresa, Andrea González Gómez y Dona María</t>
  </si>
  <si>
    <t>Andrea González Gómez y Dona María Teresa</t>
  </si>
  <si>
    <t>n coosecnencia de maduras reflexiones acerca la villa de Gata, obispado de Coria, hijo legítimo de del estado crítico en que se halla esta capital, y D. Andrea González Gómez y Dona María Teresa habiendo consultado á los señores generales del Rodríguez Giraldo, para que dentro del término de 30 exército, á los gefes del estad…</t>
  </si>
  <si>
    <t>Teresa, Doña María</t>
  </si>
  <si>
    <t>Doña María Teresa</t>
  </si>
  <si>
    <t>bu­ ques de guerra surtos en el T jo, con motivo de haber dado á luz un hijo el 4 de noviembre próximo- pasado en Rio Janeyro, la se­ renísima señora princesa Doña María Teresa, esposa del serenísimo señor infante de España D. Pedro Caitos: las luminarias fueron magníficas, y continuaron las des noches siguieñtes. Las cartas …</t>
  </si>
  <si>
    <t>Terrario, Miguel</t>
  </si>
  <si>
    <t>Miguel Terrario</t>
  </si>
  <si>
    <t>5. D. Pedro Alcántara Bruno , 100. D. Juan Mi* guel Germán , 4. D. Esteban José Amador, 100. D. Lupercio Robles, 10. D. José Gorostiza y Garzón , 25. D. Miguel Terrario va y Aviles , 12. D Vi­ cente Aviles , 20. í&gt;. Manuel Andrade , 25. D, Antonio Gonza'ez , 100. Don Isidro Domínguez, 20. D. Francisco Ortiz , 20. D. Domingo G…</t>
  </si>
  <si>
    <t>Terreros, Pedro</t>
  </si>
  <si>
    <t>Pedro Terreros</t>
  </si>
  <si>
    <t>eto.de 17 del mismo se ha servido del Barco de Avila , diócesis de Avila , vacante por S. M. nombrar muerte de D. Diego Merino Molano, en lugar del A D. Pedro Terreros, presbítero, ex-merce­ ex- benedictino D. Bernardo Leca, que pasó á ser nario calzado, para una ración de la santa iglesia racionero de la catedral de Salamanc…</t>
  </si>
  <si>
    <t>Terri, Guillermo</t>
  </si>
  <si>
    <t>Guillermo Terri</t>
  </si>
  <si>
    <t>Juan de la Torre Pner. Contador. . . D. Josef Molina Fernandez. D. Francisco Peredo. D. Juan de Gálvez Huesman. D. Antonio Perez Dávila. Secretario. D. Guillermo Terri. D. Pedro Fernandez Nieto. Municipalidad de Toledoj Corregidor. AVISO. D. Domingo Falceto. Regidores.- , En virtud de providencia del Sr. D. Juan Bautísty D. M…</t>
  </si>
  <si>
    <t>Texada, Pedro</t>
  </si>
  <si>
    <t>Pedro Texada</t>
  </si>
  <si>
    <t>Tinajas, id. id. en D. Cristóbal Morales, id.............................. 22co esta corte............. 1100 Ex-carmelitas descalzos. Bx—esculapios. D. Pedro Texada, residente en Jaén......... 2200 D. Antonio Muñoz, residente en esta corte. 2200 D. Manuel Casado, id. en Porcuna........... 2200 D. Felipe de Siles, id. en Valde…</t>
  </si>
  <si>
    <t>Texcro, José Ramón</t>
  </si>
  <si>
    <t>José Ramón Texcro</t>
  </si>
  <si>
    <t>allador mayor , 150. D Ravmundo. Marroz., oficia! mayor de; la contaduría , 81. D. Francisco Vega, segundo, 41,'D. Faustino Marrez , ter-, cero , 41. D. José Ramón Texcro , oficial de la tesorería, 25. •£). Antonio' Prieto, id. ,25. D. Mariano Cruceta, id., 12. D. Manuel. Carasás , guardavista de la fundición , 83. D. Antonio…</t>
  </si>
  <si>
    <t>Texerina, Pedro</t>
  </si>
  <si>
    <t>Pedro Texerina</t>
  </si>
  <si>
    <t>D. Joaquín Telesforo Glemot. Para nna caída estando bailando coa sa bija ia princesa juez primero á D. Manuel León de la Huerta: se­ Cariota. gundo á D. Pedro Texerina : tercero á D. Manuel ESPAÑA. Duro y Vizmanos: quarto D. Vicente Abasca!. art. iv. Nuestro ministro de la Justicia cui­ Barcelona g de enero. dará de la execuc…</t>
  </si>
  <si>
    <t>Tfobinson</t>
  </si>
  <si>
    <t>dos de artillería del regimiento tercero , y ademas se nos pasaron 3. El teniente coronel Luchesi y el capitán Nstíoli se mostraron muy activos, y el coronel Tfobinson. lanzó cohetes de Congreve contra la caballería con grande efecto. Eas cañoneras padecieron algún daño &amp;c ” Id. lt&gt; de Novi- r/ihre. Parte cficial del general …</t>
  </si>
  <si>
    <t>Thiebauit</t>
  </si>
  <si>
    <t>dia inglesa, compuesta de 15000 infantes y 3000 caballos con 14 cañones: atacó denodadamente la caballería, la rompió y puso en luga, mientras que el general Thiebauit, avanzando rápidamente sobre el camino de Alfa y ates, ha­ cia sobre el enemigo desordenado un terrible fuego de cañón. „Las maniobras de nuestra caballería no…</t>
  </si>
  <si>
    <t>Thiebault</t>
  </si>
  <si>
    <t>o un terrible fuego de cañón. „Las maniobras de nuestra caballería nos hicieron dueños de la llanura. A ias 4 y media, el general Souham se reunió u! general Thiebault con sus granaderos y volteadores , atacó el pueblo con «1 vigor que le caracteriza, y lo gauó á la bayoneta, arrojando á</t>
  </si>
  <si>
    <t>tarle; pues todos ios medios de transporte que había en la provincia se han procurado poner á su disposición. „Eíi Salamanca hay muy poca gente, y el general Thiebault, que está allí mandando, tiene tan mala opinión de su situación, que lia enviado ya á Vallado-id sus equipages. „Ei mal tiempo ha impedido tener noticias del c…</t>
  </si>
  <si>
    <t>Thormasow</t>
  </si>
  <si>
    <t>e las tropas rusas.que guarnecían la Valaquia , la Moldavia y la Servia se hablan puesto en marcha el 7 de agosto para reunirse en la Wolhynia con el general Thormasow. El aumento de las tuerzas rusas en la Wolhynia producirá la diminución de las que Bonaparte opone al exército de Alejandro, si no quiere exponerse á que sean …</t>
  </si>
  <si>
    <t>THvohsfc, Antonio Ptoleitieo</t>
  </si>
  <si>
    <t>Antonio Ptoleitieo THvohsfc</t>
  </si>
  <si>
    <t>■ :,¡u iJb nos mahometanos de la Tádrida pagarán seis rublos En el añO^dd ^^67 falleció'én eítí capital por cabeza. Los mahometanos y bohemo* avecin­ príncipe Antonio Ptoleitieo THvohsfc, y dexó-;disi&gt;b dados como artesanos en los pueblos de la Táuri- puesto en su testamento, qué te fundase en su mis-3 da pagarán tíds rublos …</t>
  </si>
  <si>
    <t>Ti, Josef</t>
  </si>
  <si>
    <t>Josef Ti</t>
  </si>
  <si>
    <t>Juan Josef Barrios. - &gt;, D. Bernardo' de Sotp y Vilarde. Dentados seculares, L ; Secretario D. Juan Amonio Villa. c '■ R. Domingo del Valle y Cano.-' D. Josef Ti ridw. BARRI® DE LA PANADERIA;’ ■ D. Juaoi Antonio Oortabarría. ; r&gt;t • - ■ f&gt; • &lt; : ; i ¿t'i Secretario Alcalde de barrio D. Jorge María de Ancos. i ■ D. Tomas Roxo.…</t>
  </si>
  <si>
    <t>Tidal, Bartolomé</t>
  </si>
  <si>
    <t>Bartolomé Tidal</t>
  </si>
  <si>
    <t>tán D. Juan Bautista Montene­ gro con 50 hombres se situase en la villa de Nieva con igual obje­ ta. Efectivamente, Martínez dió orden al subteniente D. Bartolomé Tidal para que en Sa noche del 11 al 12 de marzo se acercase con 16 hombros í. Torrecilla , como lo hizo á favor de «a obscuridad , hasta la avanzada enemiga junto …</t>
  </si>
  <si>
    <t>Tijaite, Pedro</t>
  </si>
  <si>
    <t>Pedro Tijaite</t>
  </si>
  <si>
    <t>Baharuonde, 10. D. Marcelino Velarde , 10. I&gt;. José María Frevre , íi). D. Guillermo Geraldino , 10. D. Lorenzo Barba , 10. Don Manuel Palacios , 10. D. Pedro Tijaite , 10. D. José Amador, 6. D. Julián Fi res , 4 l&gt;. José Capotillo, 4. — Sangradores y barberos. Manuel Chaves, proiobarbero , 25. José Asóla , 10. Martin Palacio…</t>
  </si>
  <si>
    <t>Timan, Cárlcs A</t>
  </si>
  <si>
    <t>Cárlcs A Timan</t>
  </si>
  <si>
    <t>sión de 6 rs. diarios á Josefa ■ Martínez■, viuda dei ilutíre patriota Bonmati, de quien le han que­ dado 6 hijos. . Elche de la sierra 20 de junio. ?D. Cárlcs A Timan, gobernador del castillo de las Peñas de S. Pe­ dro, ha dirigido un oficio á esta junta superior de la Mancha , co­ municándole as noticias dadas por un oficia…</t>
  </si>
  <si>
    <t>Timo</t>
  </si>
  <si>
    <t>Galvez, D. Manuel Hurtado, D. Vitorino Tabuenca, mi ayudante D. Pedro Pedrosa, el sar­ gento 2.0 Agustín Jargue , que salió herido, y el distinguido D. Timo­ teo Ruiz: las compañías de granaderos, cazadores y primera de fusileros se han portado con un singular valor; y todo el resto del batallón ha desempe­ ñado á mi satisfac…</t>
  </si>
  <si>
    <t>Tinaones, Nicolás</t>
  </si>
  <si>
    <t>Nicolás Tinaones</t>
  </si>
  <si>
    <t>rre, id.......................... 2200 D. Bartolomé de León y la Hada, id......2aoó D. Josef Ortiz , id....................................... . 2200 D. Nicolás Tinaones, id.................................. 2200 D. Francisco Gómez, residente en HinoJosa. 220® L&gt;. Francisco Tinaones, id.............................. 2200 D. J…</t>
  </si>
  <si>
    <t>Tío, Valentín</t>
  </si>
  <si>
    <t>Valentín Tío</t>
  </si>
  <si>
    <t>adeo de Jaudenes, id. , 360. D. Francisco Barrio ia, contador de resul­ tas f mensuales durante la guerra , 1.0. D. Juan de S I va por una vez , 100. D. Valentín Tío, durante la guerra , lO. I). Juan Rafael de Agn-ar, por una vez, 100. D. Antonio Ildefonso Belanconvt, oficial de libros, 30. D. Juan Casanova , id., 25, D. Andr…</t>
  </si>
  <si>
    <t>Tirel</t>
  </si>
  <si>
    <t>j k mató nueve muerta. Se le ha eacontrado clavado en ei pecho hombres , é hirió otro» muchos. el cuchillo con que intentó matarse. El marido es- El comandante Tirel llegó al amanecer del 18 á ti todavía mni mato,;pero se espera qne.sanará. ' Casarabonela , y habiendo sabido que 6o_ hombres .Este infeliz es padre de cinco hij…</t>
  </si>
  <si>
    <t>Tiscar, Juan</t>
  </si>
  <si>
    <t>Juan Tiscar</t>
  </si>
  <si>
    <t>e enterado. Alicante rx de noviembre• Noticias de la España ultramarina. El capitán de fragata, comandante del apostadero de marina de PuertoCabello, D. Juan Tiscar» con fecha de 2 de agosto último, participa al Exemo. Sr. secretario del despacho de Marina que las ciudades de Vitoria, Caracas y el puerto de la -Guayra se han …</t>
  </si>
  <si>
    <t>Tisidor, Pedro</t>
  </si>
  <si>
    <t>Pedro Tisidor</t>
  </si>
  <si>
    <t>D. Francisco Hidalgo ; al ayudante mayor veterano Don Narciso Arascot, y al subteniente D. Francisco Soberon, del regi­ miento de las Tres Villas ; á D. Pedro Tisidor, teniente veterano de dragones de S. Cárlos, y al ayudante mayor de los lanceros de Aguirre D. Joaquin de Izaguirre. El comandante del batallón de Lobera D. Jos…</t>
  </si>
  <si>
    <t>TIuli</t>
  </si>
  <si>
    <t>or La mañana, acabar con estos malditos torys ; hemos de beber é inmediatamente se ha esparcido la proclama del dt su sangre , y comernos su corazón. general TIuli por todos los lugares del contorno. Ya ha muerto el general Harry Lee , y hai trini La milicia canadiense deserta de Malden en par­ poca esperanza de que sobreviva…</t>
  </si>
  <si>
    <t>Tixero, Clemente</t>
  </si>
  <si>
    <t>Clemente Tixero</t>
  </si>
  <si>
    <t>Huan-uco D. Manuel Alcaraz, 50. El administrador de ren­ tas de la villa de Chancay D. José Eugenio Iverico , 50. El guarda de di­ cha administración D. Clemente Tixero, 6. El futurario D. Manuel Pereas Vuelta, 15. Los tres curas rectores del sagrario de esta catedral D. Juan An­ tonio Iglesias , D. Juan Marin, y D. Mariano T…</t>
  </si>
  <si>
    <t>Tnrab, Jayrae</t>
  </si>
  <si>
    <t>Jayrae Tnrab</t>
  </si>
  <si>
    <t>732 Triaiblí’y, 5 y 5. D. Jayrae Tnrab^ey, 20. D. Antonio Glbbs y bu fcíjo, 52 y 10. 13. H :go Bortón , 10. D. Juan Antonio Liaguno *20. JD. R vfceitü Remnuti, 5 y 5. D. R. BiiTchs.ll, 21. Les señores Balkelty, OxenfhrcJ y Al!co¿.k</t>
  </si>
  <si>
    <t>Tobía, Damaso Bernaldez</t>
  </si>
  <si>
    <t>Damaso Bernaldez Tobía</t>
  </si>
  <si>
    <t>de D. Jorecibidos, Esta Opinión es mui conforme con Ja sef F'ernandez Ubago y D. Martin de Yarguas. del poder executivo, y nos quita toda esperanza A D. Damaso Bernaldez Tobía , ex-observante de ver terminadas las desavenencias que hai entre franciscano y canónigo electo de la catedral deTulos dos gobiernos. No creo con todo …</t>
  </si>
  <si>
    <t>Tobiüa, Pedro Ponce</t>
  </si>
  <si>
    <t>Pedro Ponce Tobiüa</t>
  </si>
  <si>
    <t>Josef del Real , id...................... 2200 D. Josef de Luna, id. en Cabra................... 2200 D. Bartolomé de Luque Cardador, id....... 2200 D. Pedro Ponce Tobiüa, id............................ 2200 D. Francisco Xavier Casado, id..................... 2200 D. F rancisco Fuilierat, id.............................. 2200…</t>
  </si>
  <si>
    <t>Toiibio, Andrés López</t>
  </si>
  <si>
    <t>Andrés López Toiibio</t>
  </si>
  <si>
    <t>, residente en Caitro D. Juan Garrid», id................. . ................. 2200 del Rio..................................................... 2200 D. Andrés López Toiibio, id......................... 2300 D. Josef de Osuna, id. en Rambla............. 2200 D. Alonso Padilla , id...................... i.............. 2200 D.…</t>
  </si>
  <si>
    <t>Toledo, D Juan</t>
  </si>
  <si>
    <t>D Juan Toledo</t>
  </si>
  <si>
    <t>los 4 dias de la acción anterior, salió Baca de la villa de Arquillos con dirección á la de Rieus, haciendo alto en el vado de las Ollas, para que el capitán D Juan Toledo pasase á dicho pueblo ¿ indagar noticias de los enemigos, pues pensaba atacar la guarni­ ción de Ubeda. Llegad» la noche, se dirigió á Rieus al mismo tiemp…</t>
  </si>
  <si>
    <t>Tolitoy, Oitermann</t>
  </si>
  <si>
    <t>Oitermann Tolitoy</t>
  </si>
  <si>
    <t>gundo. En la noche del 13 al 14, el general en gafe informado de habarae descubierto patrullas enemigas en el camina de VeschenkGwitoh , dió orden al conde Oitermann Tolitoy para que se dirigiera con su cuerpo á dicho punto. Apenas habria caminado 3 werstas (2 mílías) cuando encontró los centinelas ene­ migos ; 2 de los cuale…</t>
  </si>
  <si>
    <t>Tolleria, Leopoldo</t>
  </si>
  <si>
    <t>Leopoldo Tolleria</t>
  </si>
  <si>
    <t>uel MLUaco, D. Juan de Lugo, D Juan José Perez, D. José Antonio G'uirola y D. Joaquín Segarte ; de subteniente de las de infantería, á D. Alonso Gil, D Leopoldo Tolleria , D. Jo:é Antonio Zamuripa, D. Rafael Tejerla, D. -Fernando GB , D. Anastasio Nava, D. Luis Ramírez, D. José Trinidad Guardia, D Pedro María O berta, D. Fran…</t>
  </si>
  <si>
    <t>Tolstoy</t>
  </si>
  <si>
    <t>gruesa que hiciese fuego ; lo que debía servir de señal al ge­ neral Ó-Denizoff para atacar al enemigo en su retaguardia; y en el mismo instante , el conde Tolstoy recibió orden de salir de los bosques con los 4 regimientos para reunirse con el general Docto-</t>
  </si>
  <si>
    <t>de los bosques con tres regimientos el general Ostermau,. quien tenia órden de tomar otra colina , apo­ yado perla artillería gruesa, mandada por el general Tolstoy, cu­ yo fuego causó ei mejor efecto. Pero apenas habría durado media hora, cuando observé un movimiento considerable en la&amp; filas del enemigo ; movimiento ocasion…</t>
  </si>
  <si>
    <t>Tom</t>
  </si>
  <si>
    <t>s. pérdida á la nuestra, que será como de 1® hom­ -Cuénnse entre los primeros el ayudante brigadier bres, éntre muertos, heridos y prisioneros. Ba­ • D. Tom.s Pascual. llesteros se retiró en buen orden , sin que le per­ ^ ,, has tropas se batieron con mucho entusias­ siguiese la infantería enemiga, verificándolo sola­ mo ; pe…</t>
  </si>
  <si>
    <t>Toma</t>
  </si>
  <si>
    <t>ga, D. Manuel'Antoai© de P.;ctido, D, Fraacisco de la Casa y Piedra , D. Joan B/ucíe ta Enea . D. Pedro Ca­ bero y Tcgle, D. Manuel I). Juan EfznUle, D. Toma? Ugr» te, D. Yícente Navas, D. Manuel Vázquez, D. Tcm&amp;s Rico, D. Ma­ nuel Esteban Martínez , y D. José Santos de Ansmendi. La junta superior ¿e Burgos y Segóvía desde Be…</t>
  </si>
  <si>
    <t>Tomas</t>
  </si>
  <si>
    <t>Azfor (D. Manuel), mayor c‘ gra­ presentante dejas demás en la diputacioa pr«dos^' do coread. ' ' Bírcen.i ( D. Tomas), sargento jv, rv ■+ . -Vsgif erttada'últímaménté. Estrada (D. Esteban), capitán .del nútn. 3.0 dejjiifntr. de Ganada , 4.0 de in'f’/ir: ’f; ■ hutía. “'ííázadbres á.'cabijló. .. B^mn ( D. J</t>
  </si>
  <si>
    <t>"Diputada eclesiástica BARRIO DB LA PUERTA DB TOLEDO. ■ D. Agustín Vinieras. Alcalde de barrio 'i r t Dipuiados seculares D. Francisco del A royo. D. Tomas Do mingo Kunenez. Diputado eclesiástico D. Francisco'Cabanas. D. Francisco Galindo. ; ,. D. Nicolás Iuiesta. Diputados seculares Secretario D. Marcos Labia. D. Estiban Fel…</t>
  </si>
  <si>
    <t>del esquadron de ca­ xas reunidas; pero precisándolo á diseminarlas con zadores de Avila. la variación de posiciones, aprovechó el momento Gatierrez (D. Tomas), sargento segundo de la de atacar á la'bayoneta su primera línea de iofan- compañía franca de húsares de Gu.dalaxara. terít; la batió y cargó con sq poca caballería , …</t>
  </si>
  <si>
    <t>landa. . 5 CaP' el .tenA coronel. . D. Aguitin Noguera... •. • 1 • V Subt. aban. D Ped ro Sánchez............. .... • 1 • V RIME 11A . C Capitán. • . D. Tomas de !a Fuente. • • • 1 • Cantabria &lt; Ayudante. . D&gt; Mateo Primo. ••••«»» • • 1 C Teniente . . D. Alejandro de Torres... • • 1 'Coronel. . . D. Francisco Heno............…</t>
  </si>
  <si>
    <t>también hai aqui muchos que lo han estado por el Morera y Caaer ( D. T&lt; mas) , comerciante. otro, y nadie se ha metido con ellos. Que se va­ Naudin ( D. Tomas), canónigo doctoral de la ciu­ yan estos , y vengan los otros , y al qne sea judío dad de Valencia. que le quemen. Navarro ( D. Pedro), presbítero y beneficiado de- D. …</t>
  </si>
  <si>
    <t>Tomás</t>
  </si>
  <si>
    <t>qné mayores teniente de infantería, á segundo teniente de la males les sucederían si se hubieran estádo tranqui­ seganda compañía de dicho cuerpo; i D. Tomás los y pacíficos ? Ningunos , teniendo la ganancia Carbonell, subteniente que fue de infantería, á de haberse evitado los daños que por esto se les subteniente del regimi…</t>
  </si>
  <si>
    <t>ería de Quiroga, calle de las Carretas, junto a la plazuela del Anee!, a 20 reales en rustirá. Los triunfos de U provincia de Soria, poemt épico: por D. Tomas La­ drón de Guevara y Guzmun. Esta oh'ha , en la que se ha puesto por apéndice una oda del mismo autor á los impávido» guerreros D. Bartolomé Amor y Don Juan \ntouio Ta…</t>
  </si>
  <si>
    <t>Topete, Juan</t>
  </si>
  <si>
    <t>Juan Topete</t>
  </si>
  <si>
    <t>JS35 éste puerto, el parte que acababa de recibir del teniente de fragata D. Juan Topete, cuya copia dirigí á Y. E. en aquella fecha, me pasa á mí como mas antiguo, con la de 13 el siguiente oficio. ,,Faltaría á mis deberes y á la notoria justicia que se debe á los gefes é indi</t>
  </si>
  <si>
    <t>Topete, Luis</t>
  </si>
  <si>
    <t>Luis Topete</t>
  </si>
  <si>
    <t>a «e D, Ramón García Ximenez, se ha mandado sacar quarta-compañía, en la vacante de D. josef León. á pública subasta por término de 30 dias, contados D. Luis Topete á teniente ,de la misma, en desde esta fecha, una casa sita en ja calle de Legaqjtps, señalada con el núm. 17 de la manz. 5:2, tasada en reemplazo de D. Francisco…</t>
  </si>
  <si>
    <t>Toraozo, Miguel</t>
  </si>
  <si>
    <t>Miguel Toraozo</t>
  </si>
  <si>
    <t>........ 2209 ■llani..... ............. ......... .......... ................... .. 2 ioo 0. Ildefonso Milla, id................................ 2200 D. Miguel Toraozo , id. de Vlllaíufre....... 2200 D. Pablo Al varee , id..................................... 2200 D; Antonio de Torre , id. del lugar de Ma- D. Mariano García ,…</t>
  </si>
  <si>
    <t>Tordesillas, Pedro</t>
  </si>
  <si>
    <t>Pedro Tordesillas</t>
  </si>
  <si>
    <t>onfianza , baxo de su responsabilidad, á D. Juan Garrido, que lo es de provincia, y D. Clemente de Cavia; y en ausencias y enfermedades dél primero á D. Pedro Tordesillas. En todos los quales sub­ alternos se reúnen también las qualidades necesarias para el exacto desem­ peño de sus destinos. Y mando que desde el dia de la in…</t>
  </si>
  <si>
    <t>Tordesillas, Tomas</t>
  </si>
  <si>
    <t>Tomas Tordesillas</t>
  </si>
  <si>
    <t>eculares D. Eugenio Diai. D. Manuel Lázaro. Secretario D. Antonio Neyra. D. Rafael Antonio Mazon. D. Pedro Ezquerra. Secretario BARRIO DE SANTA CRUZ. D. Tomas Tordesillas. ( Alcalde de barrio BARRIO DE MORIANAD. Blas Martínez. 1 Diputado eclesiástico Alcalde de barrio D. Felipe Montenegro. D. Pascual de Salinas. Diputados sec…</t>
  </si>
  <si>
    <t>ToribioPela</t>
  </si>
  <si>
    <t>amü. . p •. '] /nr ( Oapitd.n • •« D. Ceiareo García., • *,. i Cangas. . 1 c ¿l. . . ° ( buot^’mente D. Manuel Abadejo • ••-». • « _ • C Teniente . . D. ToribioPela^z. *.,. .. o 1 5 ídem.......... D. Valentín García .. .f. • « 1 ' \ * abielden te D. José VilIaviuoY; . • ... * * &lt; 1 \ ídem... .. D. Manuel Alonso. • o1 Coronel,…</t>
  </si>
  <si>
    <t>Tormasow</t>
  </si>
  <si>
    <t>evó ayer las dos piernas, y murió en el campo de batalla. Yo he sido también herido, aunque levemente, en la mexilla debaxo de las sienes.” Parte del general Tormasow d S. M I. Kobryn i(T ( 2#) de julio de 18 ta. ,, Tengo el honor de felicitar- humil­ demente á "V", M. por la derrota -total del cuerpo de tropas saxonas, el 27…</t>
  </si>
  <si>
    <t>exército ruso en distintos parages, y particularmente de las victorias conseguidas por el conde "W ittgenstein'contra el cuerpo de Oudjnot, y por el general Tormasow sobre Jas tropas saxonas del cuerpo de Reguier. Por las relaciones de estas accio­ nes , que según los fraaceses apenas merecen el nombre de batallas, se ve que …</t>
  </si>
  <si>
    <t>on este objeto apostó un cuerpo en Orcha, y fortificó otro en Tshavussi. Pero este plan fue enteramente trastornado por la actividad é intrepidez del general Tormasow, que no solo cubre las provincias deNinsky y V olhinia, sino que amenaza atacar la retaguardia del enemigo. Para contenerlo las tropas aus­ tríacas , mandadas p…</t>
  </si>
  <si>
    <t>io de vestuarios del exército francés. En Mojaisk. se ha co­ gido también gran cantidad de pólvora. A consecuencia de los movimientos que ha hecho el general Tormasow, sellan visto obligados los franceses á evacuar toda la. Curlaiidia y la Lávenla. El cuerpo principal del grande exército ruso está en Kalouga; Tormasow en Twer…</t>
  </si>
  <si>
    <t>Tormasoza</t>
  </si>
  <si>
    <t>cyr, quisa habiendo per­ dido de na cañonazo las des pierna», murió en el campo de bata­ lla : también fui yo levemente herido en la cera. Oficio del general Tormasoza á S. M. 1. desde Kcbryn el, 2B de de Julio.— Tengo.ía honra dé felicitar á V. M. por ia .denota total «le las tropas saxoaaa el 27 de este mes, despus» de usa …</t>
  </si>
  <si>
    <t>Tormassoff</t>
  </si>
  <si>
    <t>« gration marcha desde Sloneim á -Wileika &gt; y el exército de observación, á Jas «"órdenes del general Tormassoff, se halla en Luzk. ' ,, Esta disposición exige que se evite una batalla general hasta la llegada «del príncipe Bagraüon con el primer éxército; y en su consecuencia se ha «creído convenient</t>
  </si>
  <si>
    <t>Tormazow</t>
  </si>
  <si>
    <t>cherado , con sus reductos correspondientes, y una La novena y décimaquinta divisiones, al mando del ciudadela en la montaña, donde estaba el antiguo general Tormazow, aun. estaban á mas distancia. palacio de los Jagellons. Se construyen puentes de Bagration se puso en movimiento hacia Wilna lue­ estacas sobre el V iüa , dond…</t>
  </si>
  <si>
    <t>6.° de línea. diendo reunirse con dicho cuerpo, volvió á entrar Del *1. en Wolhlnla,y se incorporó con algunas divisiones de reclutas, que mandaba el general Tormazow, BOLETIN X2.“ DEL EXERCITO GRANDE. con las quales marchó contra el séptimo cuerpo. VViíeptk 7 de agosto. En el combate del Drissa Por este medio logró sorprehen…</t>
  </si>
  <si>
    <t>duque de Elchingen la ata­ órdenes el séptimo, cuerpo. Dicho príncipe se có, y la desalojó en un momento. El regimiento 24.® puso en marcha contra el general Tormazow, á de infantería ligera atacó á la bayoneta con la ma­ quien encontró y batió el dia ti. Lis tropas aus­ yor intrepidez la pequeña villa de Krasnoi. La ca­ tría…</t>
  </si>
  <si>
    <t>s, destiló por su derecha el ma­ copia de una orden de batalla j halladas en el aloja­ riscal duque de Elchlngen, persiguiendo al enemigo, miento deí general Tormazow en Kobrin &amp;c. ss y á una legua de la ciudad se encontró con el úl­ Firmado = Sch warzemberg. timo escalón de su retaguardia. Era una división de 5 á 6® hombres,…</t>
  </si>
  <si>
    <t>Las fuerzas que los rusos tenían en la Moldavia ten nuestra caballería; la vanguardia de la que se han venido á reunirse con las del general Tormazow. hallaba apostada delante de Vinkovo fue sorpreI.as de Finlandia han desembarcado en Riga , de hendida por una bandada de estos bárbaros, y an­ donde hicieron poco después una s…</t>
  </si>
  <si>
    <t>Tormejon, Antonio</t>
  </si>
  <si>
    <t>Antonio Tormejon</t>
  </si>
  <si>
    <t>.. 2200 Ex- mercenarias. D. Josef Larraondo, residente en Naval- Ex&gt;agustinos. manzano.......................................................... 2200 D. Antonio Tormejon , id. en Chañe.......... 2200 D. Josef Ribero, natural'de San Felice*, valle de Bnelua....,,..................................... 2200 Ex franciscanos. Doña …</t>
  </si>
  <si>
    <t>Tormos, Francisco</t>
  </si>
  <si>
    <t>Francisco Tormos</t>
  </si>
  <si>
    <t>a nadie,y repentinamente se detuvo eT) forma de D. Angel María Tadei. mnrallayá distancia de un tiro de fusil dé ñn pue­ D. JJrancisco Orsoiino. blo. D. Francisco Tormos. ESPAÑA. ■ r&gt; Secretario D. Melchor G^.nez de la Tórre¿ Madrid. . tg de abril. BARRIO DÉ SAN NICOLAS. Alcalde de barrio Extracto de las minutas de la secreta…</t>
  </si>
  <si>
    <t>Tormsssoíl</t>
  </si>
  <si>
    <t>perial, sobre Sckwevtzen : el exército del mando del príncipe Bragatioa se halla en marcha de Slerinvte Wilkrika; y el de observación, mandado por el general Tormsssoíl, eu Lutzk. Todos estos movimientos eran indispensables, á fin de evitar una acción general hasta qus el príncipe Bragation se aproximase, y á consecuencia se …</t>
  </si>
  <si>
    <t>Torniasow</t>
  </si>
  <si>
    <t>rueba la precipitación con que efectúa su retirada, en la que les hemos hecho prisioneros á 5 ofi­ ciales y 333 entre sargentos, cabos y soldados. El general Torniasow participa que el enemigo se ha retirado con la mayor precipitación á Bresc-Litowik, y que nuestra caballería, que le alcanzó la retaguardia, la acometió y derr…</t>
  </si>
  <si>
    <t>Toro, Jacinto</t>
  </si>
  <si>
    <t>Jacinto Toro</t>
  </si>
  <si>
    <t>osé Yelazquez; subtenencia de granaderos á D. Mi­ guel Vaienza, y de fusileros á D. Francisco Xavier Vargas , D. Eusebio Teiíez , D. Pedro Mansilla , D. Jacinto Toro, y de bandera á D. Federico de Vera. En la compañía veterana de infantería de Maynas, el empleo de capitán á D. Manuel Fernandez Á^varez ; tenen­ cia á D. Juan M…</t>
  </si>
  <si>
    <t>Toro, Vicente</t>
  </si>
  <si>
    <t>Vicente Toro</t>
  </si>
  <si>
    <t>adores de su mé­ rito , ui que decir á los envidiosos y detractores de su gloria. Continúan los donativos del Perú. D. Modesto Antonio Roa, 4 ps. fs. D. Vicente Toro, capellán del Espirita Santo , 4. D. Pedro Palomino , 2. D. Tiburcio Reyes , l. T). Manuel Gutiér­ rez , 1.—E! coronel v comandante de ingenieros D. Pedro Antoni…</t>
  </si>
  <si>
    <t>Torrado, Francisco</t>
  </si>
  <si>
    <t>Francisco Torrado</t>
  </si>
  <si>
    <t>Rastillos, D. José Venene, D. José Cadenas, D. Miguel E razquio, D. Francisco Ovando, D. R^mon Lavandeyrs, D. Lázaro Viílasante, D. Francisco Leoni, D. Francisco Torrado, D. Joaquín Pczusla, D. Mariano Aznarez, D. Luis Calieron, D. José Salomón y D. Juan Arnaiz ; en atención á la aplicación , aprovechamiento y bue­ na conduct…</t>
  </si>
  <si>
    <t>Torrado, Manuel</t>
  </si>
  <si>
    <t>Manuel Torrado</t>
  </si>
  <si>
    <t>Tabeada; los briga­ dieres D. Antonio Garces de Marcilla, D. Crisóstomo Lallave, conde de Priegue, D. Antonio Mañiz y Alvarez, marques de Almeyda , y D. Manuel Torrado; los coroneles D. Francisco Ramcnet, D. Be­ nito Losada, O. José Cedillo, el marques de San Esteban, D. Mi­ guel Cándamo, D. Diego Roch, D. Teobaldo Rodríguez …</t>
  </si>
  <si>
    <t>Torre, Antonio</t>
  </si>
  <si>
    <t>Antonio Torre</t>
  </si>
  <si>
    <t>enemiga para que rentas de la provincia de León; y al sargento pri­ estableciese ei teatro de rapacidad en la desgraciada mero que fue de caballería D. Antonio Torre sub­ España; en medio de todos estos crímenes aun se teniente de 1a misma arma. encuentran españoles que sin embargo de hallarse en* fregados á una vida licencio…</t>
  </si>
  <si>
    <t>Torrequemada, Diego</t>
  </si>
  <si>
    <t>Diego Torrequemada</t>
  </si>
  <si>
    <t>acción ha sido haber per­ dido loo enemigos mas de 15 miv.;rto3 ; consistiendo la nuestra ea solo uno , y aunque su. llevaban prisionero al ayudante D. Diego Torrequemada , cono fueron perseguidos, pudo libertársele, al mis­ mo tiempo que se cogió á otro ayudante de ellos, que está en nues­ tro poder. Recomienda Orííz al coma…</t>
  </si>
  <si>
    <t>Torres</t>
  </si>
  <si>
    <t>de la plaza, á cuyo tiempo entró también haciendo fuego la división del capitán Torres, que habla dado la vuelta por Arenales. ,,Por último, el teniente D. José Joaquín Fanias, con tropas de todos cuerpos, sostenido por el de Geraldino, se acoderó de ios 2 cañones, é hizo pri</t>
  </si>
  <si>
    <t>Torres, Antonio</t>
  </si>
  <si>
    <t>Antonio Torres</t>
  </si>
  <si>
    <t>Andrés Ro­ drés Fascio, y para subteniente D. Josef María mero Valdés. Marzan. Para comandante del batallón D. RafaelLopez Alfaro, y para abanderado D. Antonio Torres de ja Cerda. Extracto de ¡as minutas de la secretaría de Es­ art. v. En la milicia cívica de Guadaíaxara tado. quedan promovidos En nuestro palacio de Madrid á …</t>
  </si>
  <si>
    <t>Torres, Bernardino</t>
  </si>
  <si>
    <t>Bernardino Torres</t>
  </si>
  <si>
    <t>s , 100. D. Marcos Herrera, cura de Ca­ ras , 100 ; y ofrece igual cantidad anualmente durante la guerra. D. Bartolo­ mé Avenio, cura de Macate , 50. D. Bernardino Torres, 12. D. Antonio Ro­ mero, 4. D. Francisco García, 6. D. Santiago Valencia, 4. D. Casimiro Palma, 2. D. Antonio Ramírez, 2. D. José Mexia, 2. D. Hilario Oliv…</t>
  </si>
  <si>
    <t>Torres, Carlos</t>
  </si>
  <si>
    <t>Carlos Torres</t>
  </si>
  <si>
    <t>en Jaén.................. 2200 Madridejos.................................................. 2200 D. Francisco Xavier de León, id................ 2zoo D. Carlos Torres, id. en Madrid................ 2200 D. Juan Rodríguez, id. en Mancha Real.. 2200 D. Manuel Sevillano, id.-en-Jaén................ 2a00 Ex-ntercenarlos descalzos…</t>
  </si>
  <si>
    <t>Torres, Joaquín</t>
  </si>
  <si>
    <t>Joaquín Torres</t>
  </si>
  <si>
    <t>xtábili, 10. D. Gaspar Cenon de Medina, escribano de gobierno, 25 D. Pe­ dro Aguirre , 6. El prior de S. Agustin , 40. D. José Granada Espinosa , 10. D. Joaquín Torres , 8. D. José Moran por aguardientes y pu’peros, 341 y 4. El mismo por los regatones , chinganas y otras personas , 44 y 3. D. Ma­ nuel Andrade,-10. (Se cmtinuu…</t>
  </si>
  <si>
    <t>Torres, Joaquín Fernandez</t>
  </si>
  <si>
    <t>Joaquín Fernandez Torres</t>
  </si>
  <si>
    <t>de la fragata Tránsito, 22 y 4. Eí capitán de la fragata Tria! D. Salvador Victoria, 17. Su tripulación , 21 y 4. Ei capitán del bergan­ tín Bo] ero D. Joaquín Fernandez Torres con su tripulación , 18 y 2. La tripu­ lación de la goleta Sta. Mariana, 10 y 2. El capitán y tripulación de la fraga­ ta Teresa , 25 y 2. Eí capitán …</t>
  </si>
  <si>
    <t>Torres, José</t>
  </si>
  <si>
    <t>José Torres</t>
  </si>
  <si>
    <t>el Osteycochea y D. Manuel E ysaga; de teniente de las mismas milicia» de infantería, á D. Torlbio Bsttüaeourt, D. Casimiro García, D. C &gt;sme Armera, D. José Torres, D. Teles foro Montero, D. Ignacio de Medina, D. Vicente Zavala, D. José María ViUavicsncio, D. Félix María Farias y D. Juan Pedro Pe*ayo ; el mismo de ras de cab…</t>
  </si>
  <si>
    <t>Torres, José María</t>
  </si>
  <si>
    <t>José María Torres</t>
  </si>
  <si>
    <t>Piñeiro, 8. D. Felipe Arria, 8. D. Mariano Ay lucrdo, 13. D. Ma­ nuel llenera, S. D. Pedro Norieaga, 8. D. Juan de la Peña , 8. D. José Pasíjuel , 8. D. José María Torres, 8. D. Ignacio Icaza, 8. D. Manuel Icaza, 8. D. Carlos Icaza, 8. D. Manuel Solar, 8. D. Juan Garro, 8 D. Joaquín Jordán , 8. D. Cosme Martínez , 8. D. Manue…</t>
  </si>
  <si>
    <t>Torrin-Seefeld</t>
  </si>
  <si>
    <t>bién feimplazará el conde de L^-Tour de Valsassine. algunas noticias relativas i la vida y escritos del También se ha recibido de Neustadt la noricia conde Torrin-Seefeld, y del consejero Krenoer, de haber fallecido el barón de Milis , antiguo ambos miembros de la academia , que fallecieron consejero áulico en el departamento…</t>
  </si>
  <si>
    <t>Toscano, Antonio</t>
  </si>
  <si>
    <t>Antonio Toscano</t>
  </si>
  <si>
    <t>..................... 2200 en Granad'........................................... 2200 D.J uan Márquez , ¡4........................ .........;... 220O D. Antonio Toscano, id. en Espejo.............. 2200 D. Josef Serrano , residente en Córdoba.... 2200 D. Josef de Arroyo, id. en Sanraella.......... 2200 D. Rafael Serrano, id..…</t>
  </si>
  <si>
    <t>Toscano, Manuel Sánchez</t>
  </si>
  <si>
    <t>Manuel Sánchez Toscano</t>
  </si>
  <si>
    <t>. 150a beral ánimo del Monarca, que ha permitido se D...... Blancqnefor............................ 50 pongan á la vista y adornen á Madrid unas pro­ D. Manuel Sánchez Toscano......... 160 ducciones del arte que merecen verse, y que lian estado siglos enteros escondidas en parages obscuros, AVISOS. con oprobio del buen gusto,…</t>
  </si>
  <si>
    <t>Totissaint</t>
  </si>
  <si>
    <t>envió al Gran Señor el ESPAÑA. resaltado de las deliberaciones. Madrid 2 4 de marzo. AUSTRIA. El destacamento qne salió de esta corte, al man­ do del coronel Totissaint, llegó á Colmenar Viejo Viena a 5 de febrero. el 18 de marzo. Supo este comandante que la ca­ El magnífico camino de la Croacia, llamado ballería de Abril se …</t>
  </si>
  <si>
    <t>Toüarate, Francisco</t>
  </si>
  <si>
    <t>Francisco Toüarate</t>
  </si>
  <si>
    <t>ente en RambL....... 2200 TEATRO. D. Alfonso Callejts, id...,............................... 2200 En el de la Cruz , á las ocho de la noche , se eje­ D. Francisco Toüarate , id........... ................. 2200 cutará la comedia titulada la inas Constante muger, D. Manuel Gjrcía, residente en Pozo- con tonadilla y sainete. EN…</t>
  </si>
  <si>
    <t>Touroi, Juan Silvestre</t>
  </si>
  <si>
    <t>Juan Silvestre Touroi</t>
  </si>
  <si>
    <t>D. Jacinto de la Mata, 10 D Francisco Paredes, 200. D. Mi­ guel Navarrete , 4. D. Miguel Camino , 30. D. Joaquín Malo, 6. D. José Ma­ ría Tello , 6. D. Juan Silvestre Touroi , 20. D. Lorenzo Espinosa , 30. D. Jo­ sé Ramón Menendez, 25. D. Félix de la Cruz, 4. D. Cristóbal Barragan, 10. D. Ramón Córdoba, 12. D. Femando Plaza, …</t>
  </si>
  <si>
    <t>Trant</t>
  </si>
  <si>
    <t>n de la empresa, y se retiraron á Valdelamula, campo de Cergañan. lían llegado ya á Almeyda al­ gunas regimientos ingleses y portugueses al mando del general Trant. El mariscal de campo D. Carlos España, desde el vado de la "Vide en el Coa, trata de introducir un convoy en la plaza de CiudadRodrigo, en la cual rey na el mayor…</t>
  </si>
  <si>
    <t>„ El día 14 del corriente el mariscal Marmont se movió contra estas milicias con fuerzas considerables de caballería, infantería y artillería ; y el brigadier Trant que las mandaba , considerando la superioridad del enemigo, determinó retirarse y atravesar el Moadeg-o.— No estoy de modo alguno satisfecho de la conducta délas …</t>
  </si>
  <si>
    <t>, y ordena S. E. que estos hombres queden sin los privilegies que tenían, y perdieron incurriendo en la penñ de muerte por el acto de la fuga. El Sr. brigadier Trant hará juz­ gar en consejo de guerra á los oficiales y soldados que le parezca necesario, ó que fueron ios primeios en dar el exemplo de la fuga, y enviará el rest…</t>
  </si>
  <si>
    <t>n sin los privilegios que tenían , y perdieron incurriendo en la pena de muerte por el maestro armero y un maestro sillero. acto de la fuga; El señor brigadier Trant hará joz Cada compañía se .compondrá de gar en consejo dé guerra á los oticiales y soldado* Ua capitán, un teniente, dos subtenientes, un que le parezca rtíxesár…</t>
  </si>
  <si>
    <t>Trapero, Josef Gregorio</t>
  </si>
  <si>
    <t>Josef Gregorio Trapero</t>
  </si>
  <si>
    <t>atólico de tas Españas, á los espa­ D. Manuel Reina, presbítero y ex- mercenario des­ ñoles y á sí propio vasallo de las cortes , conclu­ calzo , y á D. Josef Gregorio Trapero , presbítero, yendo mui á propósito que la sabiduría carnal ex-franciscano; vacantes la primera por fallecimien­ solo enseña delirios y engaños (i).’* …</t>
  </si>
  <si>
    <t>Tre, Luis García</t>
  </si>
  <si>
    <t>Luis García Tre</t>
  </si>
  <si>
    <t>a mentira de la regencia, cazadores á caballo D. Bernardo Alarcon, ayu­ y Ja verdad de qaanto aqui se dice. ¿Pero de qué dante mayor, 4 capitán , y á D. Luis García Tre- otras armas pueden servirse uuos hombres vendi­ viño, teniente, á ayudante mayor; á D. Juan dos á la Inglaterra; traidores á la vez á Carlos iv; Jacquot, com…</t>
  </si>
  <si>
    <t>Treiihar</t>
  </si>
  <si>
    <t>de abril llegaron á Barcelona el barón Chauveiin, consejero de estado, nombrado intendente de los depar­ tamentos de Monserrat y Bocas del Ebro, y el conde Treiihar 1, pre­ fecto de el de Monserrat; y el general Decaen los instiló en sus car­ gos el 15 del mismo. Los franceses mismos se rien de la farsa, y co­ nocen lo aeTeo …</t>
  </si>
  <si>
    <t>Treillard</t>
  </si>
  <si>
    <t>as tropas que van con este con­ voy , y forman lo que llaman cxérciío del centro¡, rón 10000 infante* y 2000 cabaUos , en esta. ferma: la dividen del general Treillard quo estuvo en la Mancha ; la del gencrsl Paionibiri que 'acababa de lle­ gan; de Aragón Cdn 3500 hombree ; un escuadrón ce Naraamy .©tro» de Francfort; el regi…</t>
  </si>
  <si>
    <t>Trelliard</t>
  </si>
  <si>
    <t>y ir se de­ ESPAÑA. ; cidió; y hasta el dia ti de agosto1 ño Se presentó delante dé Madrid. i ■■ Vitoria 8 de noviembre. L#division de drágórtés del general Trelliard le El general Cafarelli, comandante en gefe del detuvo el paso err Majadahonda, le 'puso' fuera de exército del norte ¿ después de'habar apoy ado con combate 8o…</t>
  </si>
  <si>
    <t>Trescow</t>
  </si>
  <si>
    <t>sica de Kimtzon. Se pronunciaron varios discursos tillería. análogos á las circunstancias, dando gracias á S. M. DINAMARCA. en el orden siguiente: el profesor Trescow pro­ nunció uno en nombre del reino de Noruega y de Nistedt i.° de diciembre. sus habitantes; el profesor Hornemonn otro ea nombre de la universidad de Copenhag…</t>
  </si>
  <si>
    <t>Tri, Juan</t>
  </si>
  <si>
    <t>Juan Tri</t>
  </si>
  <si>
    <t>ons- guirse qne el enemigo las admitiese, era D. Ignacio Calvo. d • ■ &gt; preciso confirmarse con las qne él proponía. Al teniente del mismo regimiento D. Juan Tri,, Después propaso S. E. que se disentiese en vino ayudante mayor, en neemp'azo de D. Prós­ particular el veto del señor mariscal de campo Don pero Charlier. Francisc…</t>
  </si>
  <si>
    <t>Trigo</t>
  </si>
  <si>
    <t>o de los caballos. Al siguiente dia 2, á las 4 de la tarde, se aproximaron los enemigos hasta la entrada de aquel pueblo, y con esta noticia salió el capitán Trigo solo, con su caballo y trabuco, con el que disparó al oficial enemigo que venia en la descubierta con tanto acieito, que le partió el brazo derecho,</t>
  </si>
  <si>
    <t>Trigo, Benito</t>
  </si>
  <si>
    <t>Benito Trigo</t>
  </si>
  <si>
    <t>o D. Joaquín González de Sepúlveda. Schaffousa 15 de marzo. BARRIO DE SAN JUAN. Alcalde- de barrio En el Erejítigau , cantcin de, ios grisones , hubo D. Benito Trigo. él 19 de febrero un terremoto. Las montañas de Diputado eclesiástica nieve qne se ^sprendieroo de-Jas sierras hicieron D,‘ Josef Pérr sí, Vázquez. bastante daño…</t>
  </si>
  <si>
    <t>Trigo, Francisco</t>
  </si>
  <si>
    <t>Francisco Trigo</t>
  </si>
  <si>
    <t>dante segundo, las rentas y el crédito de las provincias, de las fbeapitan de la primera compañía. corporaciones y ayuntamientos , y todo lo relativo D. Francisco Trigo, sargento primero, á sub­ al papel del estado y al papel-moneda. Siempre teniente de ia primera compañía. y qoando lo tengáis por conveniente podréis nom­ D. …</t>
  </si>
  <si>
    <t>Triineno, Bernardo</t>
  </si>
  <si>
    <t>Bernardo Triineno</t>
  </si>
  <si>
    <t>Manuel Peyaado...... * Corone:!. .. *&gt;. Acxandro Hore................ 1 Capitán. . . D. José María Cela)a.. • .. 1 PRIMERA. Ordenes . 1 Triiiefctc... D. Bernardo Triineno... .. 1 Otro • •... D. Francisco Paianecs.......... .1 Teniente . . D. Ja&amp;n Mariscal.................. 1 Otro • •... D. Manuel Campos............. .. 1 Subt…</t>
  </si>
  <si>
    <t>Trillo, Jos</t>
  </si>
  <si>
    <t>Jos Trillo</t>
  </si>
  <si>
    <t>e estado ma­ yor ÍX Pedro L amperez y D. Florencio Ceruti, á los capitanes Don José Chacón y D. Ramón Un zaga , sus ayudantes de campo ; al ca­ pitán D. Jos £ Trillo, al teniente corone? D. Pedro Bruguera, al te­ niente coronel D. José Masané?, capitán de zapadores, á D. Ma­ riano Villaespesa, teniente coronel del regimiento …</t>
  </si>
  <si>
    <t>Trinidad, Joan</t>
  </si>
  <si>
    <t>Joan Trinidad</t>
  </si>
  <si>
    <t>ro de los Caños, y al mediodía y Tenientes. poniente con tierras de D. Josef Zamorano; su caber dos fanegas y cinco celemines, y su valora 780 reales D. Joan Trinidad. cada fanega. Otra en el sitio de las Madrigueras , que D. J uan Ortiz González. linda al oriente con otra de este vínculo, y ai medio­ Subtenientes. día con ot…</t>
  </si>
  <si>
    <t>Tristan</t>
  </si>
  <si>
    <t>e brusco á ía bayoneta para apoderarme del pue­ blo. Se puso en execucion por la derecha á las órdenes de Ramírez, poT la izquierda á bis de mi mayor general Tristan, y el centro á las rules con artillería á las cabezis de las divisiones; y con la mis­ ma viveza que emprendí este movimiento , desalojé de su primera lí­ nea á …</t>
  </si>
  <si>
    <t>Trota, Juaa</t>
  </si>
  <si>
    <t>Juaa Trota</t>
  </si>
  <si>
    <t>e , id. en id. 2200 por la coostirucion del estado, REI de las Espa­ D. Josef Martioez, id. en id............ ............. 2200 ña* y de las Indias. D. Juaa Trota, id. en id., lego................... noc&gt; En conformidad á nuestros decretos de 27 de abril, t8 de agosto y 5 de setiembre del año pró­ Ex- cartuxos. ximo pasado d…</t>
  </si>
  <si>
    <t>Truxillo</t>
  </si>
  <si>
    <t>á pesar de quanto se lia dicho sobre este ciudad de Valtadoli.! , que consta de zjco habi­ particular , y de lo mucho que se han exagera­ tantes: el gobernador Truxillo se defendió vigoro­ do ias deudas dei Principe, no pasan de la suma samente durante tres dias. Por la relación misma que acabamos de decir. Se asegura también…</t>
  </si>
  <si>
    <t>l sueco Lailson por 36 lanceros de S. Luis Po­ tosí. __ En Te iango derrotó el señor Castillo un fuerte cuerpo de rebeldes con mucha artillería.__ El coronel Truxillo libertó á Valladolid de Mechoacan de 82) revoltosos----- Reyna la mayor tranquilidad en Potosí, Zacatecas, Guadalaxara y gran parte de Guanaxüaro. Se está esper…</t>
  </si>
  <si>
    <t>Truxillo, Pedro</t>
  </si>
  <si>
    <t>Pedro Truxillo</t>
  </si>
  <si>
    <t>rancisco León , 5. D. Ma­ nuel León, D. Diego Noriega , 8. D. Juan de üfeían, 8. D. Juan José Qui­ ñones, 8. D. Manuel Urquiju, 8. D. Manuel Crias, 8 D. Pedro Truxillo, 12. D. Toribio Alarco , 7 y 7 rs. D. Anselmo Peña , 8. I). Isidoro Caraved» , 8. t&gt;. Luis Obregoso , 8 D. Martin Garro , 8. D. Juan Vázquez , 8. D. Francis­ c…</t>
  </si>
  <si>
    <t>Truxillo, Pedro Fernando</t>
  </si>
  <si>
    <t>Pedro Fernando Truxillo</t>
  </si>
  <si>
    <t>e Otermin , 500. I). Marcos de Torres, escribiente , 41. 1). Martin Morel, escribano , 50. D. José Márquez, portero, 41. — Corita* daría. El contador D. Pedro Fernando Truxillo , 416. El oficial primero Don. Félix Saenz de Tejada, 200. El segundo D. Francisco Torres Esquivel, 125. El tercero D. Cários Ortiz , 100. El cuarto D…</t>
  </si>
  <si>
    <t>Tschemosubow</t>
  </si>
  <si>
    <t>emigo á abandonar á Dmitrow. ,,Eí teniente coronel Prendel hace incursiones desdé Wolskolemsk eii los contornos de Mojaísk y Roussa, corno también el teniente coronel Tschemosubow en los distritos de Viasma y Gjaíh. Se han cogido dos correos .que salían de Moskow.” Cinco dias después de la fecha del parte anterior publicó Nap…</t>
  </si>
  <si>
    <t>Tschsítchagoff</t>
  </si>
  <si>
    <t>do en cobre; pero aun no estaba armado. PORTUGAL. Lisboa 2S de Noviembre. Según los periódicos de Londres, Socaparte volvía á París por Konisberg. El general Tschsítchagoff, comandante en gefe del exérch© de Moldavia, se reunió al general TormazoiF el 17 de Setiembre, ■y en diferentes reencuentros hizo 5000 prisioneros, entre…</t>
  </si>
  <si>
    <t>Tschunosubow</t>
  </si>
  <si>
    <t>nsko ; y que ha fortificado el Krem­ lin , el Ostrog y otros puntos , poniendo en todos ellos guarniciones. Al regresar aquí he recibido un parte del teniente coronel Tschunosubow, que se halla con su regimiento en el camino de Mq.scjw éntrelas ciudades de Gihat y Viasraa, en el cual me dice ha inter­ ceptado un correo que ll…</t>
  </si>
  <si>
    <t>Tsitschagoff</t>
  </si>
  <si>
    <t>intentaron defenderse; pero que el Essul Amafia se arrojó á ellos , hizo 27 prisioneros, y mató á 19, habiéndose sal­ vado los restantes huyendo. El general Tsitschagoff da parte con fecha del 15 de que nues­ tras tropas han libertado al gobierno de Volbynia del furor del ene­ migo , que continúa retirándole, siempre persegui…</t>
  </si>
  <si>
    <t>Tu'i, Je</t>
  </si>
  <si>
    <t>Je Tu'i</t>
  </si>
  <si>
    <t>tti, á precio cómodo, y trdvjo en que emplearse. de la academia .i. ói-na ; al t&lt;-ñnr Vasahí-F.andi, Todos los días se distribuyen gratis 1200 racio­ profesor Je Tu'i-n; al profesor Piad’, de Kie' , y nes de sopa económica ; á ¡38 personas de las maf. al señor IT. tV'nann B.uig, botánico de Fionia. pobres se la», da leña, y d…</t>
  </si>
  <si>
    <t>Tuinas</t>
  </si>
  <si>
    <t>que cuentan con muchos partidarios dfutro de ten........................................... 8182 ií la misma provincia, en la qual siguen los distur­ Doña Tuinas» Y.-hra , viuda y bios en varios distritos , y el aborrecimiento á los heredera de D. Pedro del Rio ge fes Oel gobierno, quienes han apurado la sangre G reía .......…</t>
  </si>
  <si>
    <t>Tupayupanqui, Manuel</t>
  </si>
  <si>
    <t>Manuel Tupayupanqui</t>
  </si>
  <si>
    <t>2. D. Marcelo Aravnbulo, 2. IX Manuel Mtrabal, 3. D., Cipriano Mirabal, 4. XX Miguel Cevallos,4. I). Ig­ nacio Carguacarschi, 6. D. José Bodelon , 2. D. Manuel Tupayupanqui, 4. IX José Mesa, 2. IX Mariano Mesa, 1. D. José Mirabal, 2. D. Juan Murcies, 4. 1&gt;. Fernando Palomino , 3. D. Manuel Roxas , 2. D. Nicolás Milla, 1. Don …</t>
  </si>
  <si>
    <t>Tupper, Pedro</t>
  </si>
  <si>
    <t>Pedro Tupper</t>
  </si>
  <si>
    <t>­ mo, 930. Pares de medias, 4000. Pares de zapatos , 2CdO. Sables, 600. Arrobas de harina, 8000. — Estos efectos vienen cousiírnados al cónsul ingles D. Pedro Tupper, para que los distribuya en esta pro­ vincia y en la de Cataluña, y los expidió el Excmo. 8r. embaxador de Inglaterra D. Enrique Weüesley , luego que tuvo notici…</t>
  </si>
  <si>
    <t>Turner</t>
  </si>
  <si>
    <t>glat Tr*. E taconTrcimienro !it humillado ¡nhuito al almirafitazgo iqgles. D.ba ' El gobierno acaba de esrablecrr enGénova una añadirse á esto que el capitán Turner no th-ne mas escuela de sor l-«s iñudos á imitación de las que hai que 22 anos, y se ve que su eos*yo ha sido ua co París 1 en B irdeos y en Groninga. ;goipe maes…</t>
  </si>
  <si>
    <t>Turno</t>
  </si>
  <si>
    <t>sido atacado por el ene­ migo , que había reforzado su vanguardia, logró batir completamen­ te á tres regimientos de huíanos polacos, que mandaba el general Turno , haciendo. prisioneros á 3 coroneles, varios oficiales y 200 soldados. El mismo, general Turno pudo solo escapar á duras penas con algunos pocos de sus huíanos* Oc…</t>
  </si>
  <si>
    <t>TuschhotL</t>
  </si>
  <si>
    <t>nstein..... 18000 hombres. 2. cuerpo por el general Baggawort.......... 1S000 3.er cuerpo por el general Schomoaloíf......... 24000 4.0 cuerpo por el general TuschhotL.......... 18000 5.0 cuerpo por el príncipe Bagration............ 40000 6.° cuerpo por el general Dortorro\v‘.......... 18000 136000 Tero debe suponerse que est…</t>
  </si>
  <si>
    <t>Tutschindividuos</t>
  </si>
  <si>
    <t>idarios; pero no sabian hombres de fuerza , ocupaba .y Nou-Troki. •donde hallarlos. Si se les habían designado algunos Et quarto cuerpo, al mando del general Tutschindividuos, era menos como amigos con quienes se kof, compuesto de las divisiones undécima y vigépodía contar,, que como hombres débiles y necesi­ siinatercia de'i…</t>
  </si>
  <si>
    <t>Tutschkow</t>
  </si>
  <si>
    <t>eros, y entre otros al conde Octavio de Segur. El 18 el cuerpo del « conde Wittgemtein se hallaba entre Wilkomir y Holteny; los cuerpos del «teniente general Tutschkow y del conde Schuwaiow se acercaban á Swen«zeny; el cuerpo del general Doctorow está en marcha desde Oschmany á «Swenzeny; el general Platow ha salido de Bájalo…</t>
  </si>
  <si>
    <t>ue su coronel Aveus fue muerto , y pañía. que al tiempo de la retirada vió en la orilla del 2.0 La primera división de granaderos, com­ rio herido al general en gefe Tutschkow, como puesta de los granaderos de los cuerpos de S. Pe- también al coronel de los granaderos de Moskow. tersburgo, Ekaterinoslaw, Táuride, Paulowsky y …</t>
  </si>
  <si>
    <t>Tvos</t>
  </si>
  <si>
    <t>TchemiskofF con un destacamento ha avanzado hasta cerca de \ arsovia. . ( Un cuerpo del exército de VUtgenstein ha entrado en .Witepsk. La carta del conde Tvos.n dice que antes de la batalla ei^ que Murat ha. sido derrotadoBoi-aparte marchó á Smolensko con 6000 hombres , y que habiendo procurado después retirarse con el obje­…</t>
  </si>
  <si>
    <t>U, Antonio</t>
  </si>
  <si>
    <t>Antonio U</t>
  </si>
  <si>
    <t>as; D. Manuel Ferran que asdtió á mi lado en hs operaciones navales*, en que hizo particulares servicios; íes coman­ dantes ¿e buque D. Mateo Oronoz, D. Antonio U¿.arrechena. D Pe­ dro Echcmque, D. José Iguació Stitmarregui y D. Vicente G reía; el alférez de fragata D. José Mesa, mí ayudante, y los cadete* í'í Po­ dro lloro, …</t>
  </si>
  <si>
    <t>U, Manuel</t>
  </si>
  <si>
    <t>Manuel U</t>
  </si>
  <si>
    <t>o Garcés, D. R-amon Roa, D. Xavier Morios, D. Pedro Astarloa, D. Juan Esteban Cueto, Don Manuel Carrera, D. José María Medina, D. Podro Jo mi Alcina, D. Manuel U&amp;bina, D. José Díaz Ace vedo v D. J nan Cádos nez ; el mismo ele caballería, á D José M dalles, D. Podro Luís Icteupi, D. Miguel Primero, D. Antonio Urblna, D. Eariqu…</t>
  </si>
  <si>
    <t>Uaher</t>
  </si>
  <si>
    <t>neral Roas cree que el enemigo no vAverá ya á ocupar eaie punto, per la razón de que no puede defenderlo. En la misma gaceta se inserta uaa carta del capitán Uaher, co­ mandante del b.jque de S. M. el Jacinto, que ha dirigido ó Gibráltar el co «aodk ra Rearóse. Refiere en ella que habiendo el Termogant destruido el fuerte de …</t>
  </si>
  <si>
    <t>Uaum</t>
  </si>
  <si>
    <t>ros; los vo leadores del Monte Oíivo reóstie— Por S. A. S. el príncipe vice-condestable ron con vigor a todos los ataques de la infantería. Ei s ñ &gt;r barón Uaum.-snil, g.-neral de brigada. Nuestras tropas se fueron aproximando á la plaza Después han tenido también el honor de ser con el mayor orlen, procurando atraer á los en…</t>
  </si>
  <si>
    <t>Ubon, Santiago</t>
  </si>
  <si>
    <t>Santiago Ubon</t>
  </si>
  <si>
    <t>stro nombre: proteged sus vivos del barrio He San Marcos, quartel de Afligidos, á «y ardientes deseos de ver tranquilamente reuniD. Manuel Gotnez y á D. Santiago Ubon, en las «dos todos sus hijos baxo su benéfica sombra y dos vacmtes que resultan por ausencia de D. Ma­ «paternal protección; acelerad, glorioso santo, el nuel C…</t>
  </si>
  <si>
    <t>Udina</t>
  </si>
  <si>
    <t>utas en el Mojaisk , en el Twer y JasvierlaíF. „ Se acaba de. recibir el parte del general Dorocoíf, que en substancia di­ ce que habiendo enviado al capitán Udina hácia el camino de Mojaisk, este ha cogido prisioneros dos capitanes, cinco oficiales y 92 hombres, con 36 carros de provisiones de artillería. Otros partes comuni…</t>
  </si>
  <si>
    <t>Ufaría, Nicolás</t>
  </si>
  <si>
    <t>Nicolás Ufaría</t>
  </si>
  <si>
    <t>astro empleos de capitanes segundos á los tenientes D. Cristóbal Binares y D. Manuel Lanchas, esie graduado de capitán ; tenencias á los subtenientes D. Nicolás Ufaría ele Te!lita , D. Joaquín Martel y D. Pedro Antonio de la Torre, los do* últimos graduados de te­ nientes : y subtenencias á los cadetes del mismo cuerpo D. Ped…</t>
  </si>
  <si>
    <t>Ufarte, Francisco</t>
  </si>
  <si>
    <t>Francisco Ufarte</t>
  </si>
  <si>
    <t>D. Vicente Décima-Villa , 100. I). Pedro de Haro, 50. D. Bernardo José Roca, 20i&gt;. D. José Amonio Roca* 50. D Pedro Roca, 50. D. Gabriel Morillo, 25. D. Francisco Ufarte, 10.— Los sargentos , cabos y dragones voluntarios de dicho cuerpo , 1023. El pro­ curador D. Manuel de Aguirre,(i. D. José Correa, 30, D. Nicolás Angulo, 25…</t>
  </si>
  <si>
    <t>Uficaagoena, Manuel</t>
  </si>
  <si>
    <t>Manuel Uficaagoena</t>
  </si>
  <si>
    <t>l marques de Valdcliiios y á D. Gaspar Rico; de cazadores, á D. Ramón Veadreü , y de fe sileros á D. Juan Bautista Oyarzabal, marques de Montealegre, D. Manuel Uficaagoena, D. Domingo Orne, D. Fiancisca Xavier de ízcue, marques de Corpa, D. José Ramón Idiaqaez , conde de Torreblanca , D. J uan de Pertica, Don Jo3é Cabero y Sa…</t>
  </si>
  <si>
    <t>Ugarrechena, Antonio</t>
  </si>
  <si>
    <t>Antonio Ugarrechena</t>
  </si>
  <si>
    <t>Francisco Sales de Echeverría y te dos los ca­ pitanes en general se han portado con el mayor valor y bizarría; pero I03 capitanes I). Mateo Oronoz y D. Antonio Ugarrechena son dignos del mayor elogio, pues proporcionándoles ía peca cala de sus embarcaciones el aproximarse mas al enemigs*, se han distingui­ do, aprovechando o…</t>
  </si>
  <si>
    <t>Ugena, Antonio</t>
  </si>
  <si>
    <t>Antonio Ugena</t>
  </si>
  <si>
    <t>nerales de Francia en Janina y Pairas, ó al en­ D. Pedro Cancio............................ 25300 3 cargado de negocios del imperio francés en Cons- D. Antonio Ugena......................... 4077 9 tantínopla , con otro sobre para el secretario de lar P. Santos García Cano................. 2166 21 academia jónica. Manuel Barr…</t>
  </si>
  <si>
    <t>Ui, Qi</t>
  </si>
  <si>
    <t>Qi Ui</t>
  </si>
  <si>
    <t>•tfobar, qife es el único motivo que prisa y -tcmne á estos focinerrsos rebeldes. Las i ro pas ¿M mando del tfnÍMfcte ce-íotíel D. Qi*Ui»tm&lt;r Nc« grcter, dcstioadas á ¿ti pem ceder T he cíe ya tiempo que candn&amp;baa en v-uio por rumbos y camines impracticables sin poder jamas lle­ gar á i as ¡ua ,iís con ellos; poique solo con …</t>
  </si>
  <si>
    <t>Uiloa, José</t>
  </si>
  <si>
    <t>José Uiloa</t>
  </si>
  <si>
    <t>Merchau, D. Víctor Casasola , D. Pascual del Rey , D. Miguel Parrales, D. Francisco Ay uso, D. Miguel González, D. Antonio (González, D. Angel Liare, D. José Uiloa,D Francisco Acosta, D. Justo Clemente, D. José Sánchez, D. Eustaquio Hidalgo, D. Basilio Aguado, D. Tomas Aparicio, Don Fernando Villanueva, D. Antonio Ansaldo , D…</t>
  </si>
  <si>
    <t>UJanow</t>
  </si>
  <si>
    <t>aque sobre la cabeza del puente, en el cual filé completamente rechazado el enemigo por las tropas que lo guarne-' cían. Los últimos partes del mayor general UJanow son de que al dia siguiente volvió el enemigo á la carga, y que de nuevo fué re­ chazado con pérdida. El príncipe Bagration lia dado ios pormeno­ res de las venta…</t>
  </si>
  <si>
    <t>Ulaniac, Lafond</t>
  </si>
  <si>
    <t>Lafond Ulaniac</t>
  </si>
  <si>
    <t>los confines de la Arar;; Ya se han in­ La ausencia de S. M. será por poco tiempo. corporado con él algunas tropas, especialmente de El Excmo. señor general Lafond Ulaniac que­ caballería. El descalabro que ha suicido el exérci­ da encargado del gobicruo de esta capital. to turco en su última expedición contra los avaha— bita…</t>
  </si>
  <si>
    <t>Ulanow</t>
  </si>
  <si>
    <t>sentó delante de Duriaberg, y empezó el ataque del puente á las quatro de la mañana; pero fue rechazado por la guarnición. Según los partes del mayor general Ulanow se repitió el ataque en el día 2, y el enemigo fue segunda vez rechazado con pérdida. „E1 príncipe Bagration participó de las ventajas obtenidas sobre él enemi­ g…</t>
  </si>
  <si>
    <t>Ulloa, Gonzalo</t>
  </si>
  <si>
    <t>Gonzalo Ulloa</t>
  </si>
  <si>
    <t>s que ha logrado va á la cabeza de 300 hombres de tropa de infantería y caballería sobre Acayucan y batería de Goazacoaleos, y el teniente de f¿agata D. Gonzalo Ulloa, comandante de Albaradó, en cuyo interesante punto ha trabajado con indecibles afanes hasta ponerlo como se halla fortificado sin gravamen de la hacienda nacio­…</t>
  </si>
  <si>
    <t>Ulloa, Josef</t>
  </si>
  <si>
    <t>Josef Ulloa</t>
  </si>
  <si>
    <t>o Merchan, D. Víctor Casasola, D. Pascual del Rey, D. Miguel Parrales, D. Francis­ co Ayuso, D. Miguel González, D. Antonio González, D. Angel Llave, D. Josef Ulloa, D. Francisco Acosta, D. Justo Clemente, D. Josef Sánchez, D. Eustaquio Hidalgo, D. Basilio Aguado, D. Tomas Aparicio, D, Fernando Villanueva, D. Antonio Ansaldo,…</t>
  </si>
  <si>
    <t>Un, Ramón</t>
  </si>
  <si>
    <t>Ramón Un</t>
  </si>
  <si>
    <t>s Laci (Én P. D. elogia el general Lacy á los ayudantes de estado ma­ yor ÍX Pedro L amperez y D. Florencio Ceruti, á los capitanes Don José Chacón y D. Ramón Un zaga , sus ayudantes de campo ; al ca­ pitán D. Jos £ Trillo, al teniente corone? D. Pedro Bruguera, al te­ niente coronel D. José Masané?, capitán de zapadores, á D…</t>
  </si>
  <si>
    <t>Una</t>
  </si>
  <si>
    <t>ontinuas represalias, que quitan la p.tz á los pue­ tos militares. blos , y causan la ruina de los particulares. Madrid 26 de diciembre de 1812. = El mariscal Una de las cosas que son peculiares de esta guer­ riel imperio Jourdan. ra, y que mas aflige 11 la humanidad, es la conduc­ ta que se observa con los prisioneros de gue…</t>
  </si>
  <si>
    <t>Uñarte, Pedro</t>
  </si>
  <si>
    <t>Pedro Uñarte</t>
  </si>
  <si>
    <t>da. El Sr. D. Manuel de Rivacoba y Gorbea* El Sr. D. Josef de Manzanilla. El Sr. D. Francisco Gutiérrez Sossl El Sr. D. Agustín de Goicoechea. El Sr. D. Pedro Uñarte. El Sr. D. Francisco Marchámalo. El Sr. D. Mariano de San Juaa. El Sr. D. Josef de Arratia. El Sr. D. Domingo DutarL El Sr. D. Lúeas de Carranza. El Sr. D. Satur…</t>
  </si>
  <si>
    <t>raba próximo. El ayuntamiento que aprobó estas disposiciones , se componía dé los regidores del ayuntamiento constitucional l&gt;. Maiíuel de líibacoba, D. Pedro Uñarte y 13. Lucas de Carranza• y de k&gt;* municipa­ les D Ju ati Antonio Pico , IX Genaro Faustino Rincón , D. Lorenzo früegas , D. Diego Barredayid José Ocharán y O. Ma…</t>
  </si>
  <si>
    <t>Unbe, Juan</t>
  </si>
  <si>
    <t>Juan Unbe</t>
  </si>
  <si>
    <t>roteo, se retiraron los enemigos á ViFanueva, dexando 3 muertos en el campo y llevándose 7 heridos. Por nuestra parte lo quedó gravemente el teniente D. Juan Unbe, y fueron ade­ mas heridos 5 caballos. Al tiempo de recibirse aquí estas noticias , hubo también la de un gran movimiento de los franceses en el reyno de Jaén. Los …</t>
  </si>
  <si>
    <t>Unitivamente</t>
  </si>
  <si>
    <t>o del Canadá, y nacido en el Canadá. Nunca das ea Carlshiin y los tres que estab.n.eu I t adt ha estado á bardo del Pequeño Belt, ni tampoco han «ido d Unitivamente condenados e! 1 de¡ mes lis otros dos marineros ( Ó anchar;! y Fríes), que pasado; dos de ellos son el Neutrality y el supone haber sido hechos prisioneros al mis…</t>
  </si>
  <si>
    <t>Uojia, Manuel</t>
  </si>
  <si>
    <t>Manuel Uojia</t>
  </si>
  <si>
    <t>ecomiendo á Y. E. para que se sirva hacerlo pre­ sente a S. A.” íContinúan los donativos del Perú. El coronel de ingenieros D. Luis Rícj, 300 ps. fs. D. Manuel Uojia, 406. D José Merino , 200. Doña Teresa Ortega y 'Páralos, J00. El ttNÍente co­ ronel D José Carbó , 200. D Dionisio Fascardo , ,6. ©. Bernardo Roca, 500. T). Dom…</t>
  </si>
  <si>
    <t>Uranduraga, Antonio</t>
  </si>
  <si>
    <t>Antonio Uranduraga</t>
  </si>
  <si>
    <t>hicieron D,‘ Josef Pérr sí, Vázquez. bastante daño en Saaz, Luzeim y S. Antonio , y Diputado secular en Valenz , cantón de S; ÓaH.-Üua de estas mon­ D. Antonio Uranduraga. tañas ó pellones de nieve se había desprendidq dos o. Secretario días antes da. una tnontaña -iomediata á'Trums; D. Josef Negueruda. pero por fortuna no hi…</t>
  </si>
  <si>
    <t>Urban, D</t>
  </si>
  <si>
    <t>D Urban</t>
  </si>
  <si>
    <t>exado en Zamora. ,,EI cuartel general del exército británico y portugués estaba en Pajares el 29, y en Fuente la Peña el 3 o. El cuerpo del mando del general D’Urban habia pasado el Ezla, y presentádose frente de Zamora el 2 5/’ CADIZ: EN LA IMPRENTA REAL.</t>
  </si>
  <si>
    <t>Urblna, Antonio</t>
  </si>
  <si>
    <t>Antonio Urblna</t>
  </si>
  <si>
    <t>D. Manuel U&amp;bina, D. José Díaz Ace vedo v D. J nan Cádos nez ; el mismo ele caballería, á D José M dalles, D. Podro Luís Icteupi, D. Miguel Primero, D. Antonio Urblna, D. Earique Fu­ rias, D. Juan Dionisio Arcaya, D. Pablo Hernández, D. José Ma­ ría Telíería, D. Juan Agustín Oberfco, D. Esteban Pe tí, D. Manuel Osteycochea y …</t>
  </si>
  <si>
    <t>Urcullo, José</t>
  </si>
  <si>
    <t>José Urcullo</t>
  </si>
  <si>
    <t>liers y D. Juan José Bou; á subtenientes de granaderos á D. Arnaido Guillemard , D. Juan Fer­ nandez y D. Diego Barrado; á subtenientes de fudleros á D. José Urcullo, D. Pedro de Vegas, D. Martin Palmo, D. Juan Itobayna, D. Bernardo Domínguez, D. Jacobo Dubreuü, 1). Luis Pana, Don 3JabIo de Ltrin, D. Juan María Grifón, D. Fra…</t>
  </si>
  <si>
    <t>Urdagarin, Domingo</t>
  </si>
  <si>
    <t>Domingo Urdagarin</t>
  </si>
  <si>
    <t>pronunciado el discurso siguiente: y D. JosefTellería: seminaristas D. Tomas Hea- Señor: riquez, D. Juan Manuel Errazqoin, D. Juan Bau­ tista Montes, D. Domingo Urdagarin, D. Juan ,,Vuestra villa de Requena, comprehendida Antonio Ozamiz, D. Juan Achucarro, D, Josef en la prefectura de Valencia, no ha esperado ni Colmenares , …</t>
  </si>
  <si>
    <t>Ureta, José</t>
  </si>
  <si>
    <t>José Ureta</t>
  </si>
  <si>
    <t>de cámara. D. Manuel Gallegos, 143 y 2. D. Andrés Ámezaga, 95 y 4. D. Francisco Montoya, 79 y 5. D. Dionisio Parían,, 71 y 5. D. Manuel Vera, 63 y 7. D. José Ureta, 55 y 5. D. José Castillo , 47 y 6. D. José. Cicilia, 47 y 6. D. Pedro Robles , 41 y 5. D. Manuel Solano, 41 y 5. D. José Carrillo, 63 y 6. El Excmo. cabildo de es…</t>
  </si>
  <si>
    <t>Uriarte, Pedro</t>
  </si>
  <si>
    <t>Pedro Uriarte</t>
  </si>
  <si>
    <t>acio, al cargo del Sr. D. Josef Manzanilla. Quartel del Barquillo, al cargo del Sr. D. Francisco Marchámalo. , Quartel de Afligidos, al cargo del Sr. D. Pedro Uriarte. Quartel de Maravillas , al cargo del 'Sr. D. Miguel Calderón de Ja Barca. Quartel de S. Gerónimo, al cargo del Sr. marques de Gástelfuerte. Quartel de S. Marti…</t>
  </si>
  <si>
    <t>Uribarren, Clemente Antonio</t>
  </si>
  <si>
    <t>Clemente Antonio Uribarren</t>
  </si>
  <si>
    <t>clesiástico Alcalde 'de barrio. D. Fraucisco Silverio Vázquez. D. Pedro de' Rio. .' . t Diputados seculares Diputado eclesiástico D. Angel Rorherosa. D. Clemente Antonio Uribarren. D. Francisco de Torre*. Diputados ‘seculares D. Juan López. D. Estéban Rodríguez. Secretario D. Antonio Febrer. L. ' D. Simón Péricibho. D. Franci…</t>
  </si>
  <si>
    <t>Urinación</t>
  </si>
  <si>
    <t>ectarado tecn en el JutUnd ei oavío S. Jorge » de 98 , al­ roto el armisticio; pero esta noticia necesita con* mirante lUáaoid,, y la Definía, de 74, capitán Urinación.</t>
  </si>
  <si>
    <t>Uriortua, Juan Manuel</t>
  </si>
  <si>
    <t>Juan Manuel Uriortua</t>
  </si>
  <si>
    <t>n vendido sus granos y ganados ; «tros de Misericordia y niños expósitos de aquella ciu­ han abandonado los cortijos, y se han ido. Y el otro dad ; á D. Juan Manuel Uriortua corregidor de la que sembró y ha podido vender un pocuelo de grano ciudad de Sevilla , y á D. Fernando Uriarte y Lanha hecho algún dinero ; ¡ pero quién …</t>
  </si>
  <si>
    <t>Uriz, Tomasa</t>
  </si>
  <si>
    <t>Tomasa Uriz</t>
  </si>
  <si>
    <t>iüas........... ........... 2211 *5 La testamentaría de D.Josef de Go­ lw Rs. vn. 1.3 68 96 23 W lfa y Moníaini.............................. 7333 11 Doña Tomasa Uriz........................ M34 84 D. Rafael Riesco............................ 6588 8! Que í una suma importan nn millón trescien­ Doña Tomasa S^rachaga......... .…</t>
  </si>
  <si>
    <t>Urizar, Santiago</t>
  </si>
  <si>
    <t>Santiago Urizar</t>
  </si>
  <si>
    <t>a de Pozuelo.................. 2183 II siendo arregladas. Do ña Juana López........................... D. Blas Marrinez.............................. D. Santiago Urizar............................ 91 I 16 García y Villanoeva........................ 981 I7| irBROS. D. Miguel Sancho Larrea................ 2617 7 Gramática españ…</t>
  </si>
  <si>
    <t>Urkina, Juan</t>
  </si>
  <si>
    <t>Juan Urkina</t>
  </si>
  <si>
    <t>nientes de granaderos á D. Juan de Castro Palomino y D. José Pinera ; á subteniente de fusileros á D. Ventura de Mora ; y á subtenientes de bandera á D. Juan Urkina, D. Víctor Santa María, D. Remigio Izaguirre y D. Feman­ do Beato. En 15 de Julio último salió de este puerto para el de la Habana la goleta mercante española nom…</t>
  </si>
  <si>
    <t>Urqui, Joaquín</t>
  </si>
  <si>
    <t>Joaquín Urqui</t>
  </si>
  <si>
    <t>e que fae del regi­ después. miento provincial de Alcázar de S. Juan , re­ Mire vmd., maestro, repuso con mucho so­ ciente dé infantería de línea ; á D. Joaquín Urqui- siego el cura* vmd.: es un hombre de bien ; no le zu , subteniehte que fue de infantería , subtenien­ tengo á vmd. por tonto, y en otras cosas le oigo te de la…</t>
  </si>
  <si>
    <t>Urquiju, Manuel</t>
  </si>
  <si>
    <t>Manuel Urquiju</t>
  </si>
  <si>
    <t>l Herrera , 6. D. José Amezaga , 35. D. Francisco León , 5. D. Ma­ nuel León, D. Diego Noriega , 8. D. Juan de üfeían, 8. D. Juan José Qui­ ñones, 8. D. Manuel Urquiju, 8. D. Manuel Crias, 8 D. Pedro Truxillo, 12. D. Toribio Alarco , 7 y 7 rs. D. Anselmo Peña , 8. I). Isidoro Caraved» , 8. t&gt;. Luis Obregoso , 8 D. Martin Garr…</t>
  </si>
  <si>
    <t>Urquizu, Santiago</t>
  </si>
  <si>
    <t>Santiago Urquizu</t>
  </si>
  <si>
    <t>y Agüero, 500. El contador L&gt;. Eugenio Valdivieso, 350. D. Juan Ranas , ensayador primero , 250. D. Pa­ blo Cano Melgarejo , ensayador segundo , 125. D. Santiago Urquizu , juez de balanza, 116. I&gt;. Manuel de Mena , fundidor mayor, 250. D. Fernando Biiv ca, guarda cuños , 116.-D. Manuel Lnndazuri, guarda materiales , 116. Don …</t>
  </si>
  <si>
    <t>Urrutia, Antonio</t>
  </si>
  <si>
    <t>Antonio Urrutia</t>
  </si>
  <si>
    <t>D. Carlos Icaza, 8. D. Manuel Solar, 8. D. Juan Garro, 8 D. Joaquín Jordán , 8. D. Cosme Martínez , 8. D. Manuel Muelle, 8. D. José María Murga , 8. D. Antonio Urrutia , 8. D. Manuel Rio, 8. D. Luis Gamio , 8, JD. Mariano Albiuri, 8. D. Blas Cabrera, 8.1). Francisco Delgado, 8. Don Manuel Herrera , 6. D. José Amezaga , 35. D.…</t>
  </si>
  <si>
    <t>Urueta, Manuel</t>
  </si>
  <si>
    <t>Manuel Urueta</t>
  </si>
  <si>
    <t>Santurio, id., 9. D. Manuel Amable , id., 9. D. José Rabeyro, por 4 , 36. D* Manuel Ruiz y compañía, por uno, 9. D. Francisco Delgado Vetez, id., 9. D. Manuel Urueta, por 4, 36. D. Francisco Polo , por uno, 9. D. Antonio Duarte , id., 9. D. José Perera, id., 9. D. Bonifacio Tariego, id., 9. D. Andrés Lesama, por 2, 18. D. Jos…</t>
  </si>
  <si>
    <t>Utgés, Ramón</t>
  </si>
  <si>
    <t>Ramón Utgés</t>
  </si>
  <si>
    <t>445 C^paña; para více-presidente, el Sr. D. Ramón Utgés, diputado propietario por Cataluña : y para secretario el Sr. D. Manuel de Lia* nos, diputado suplente por Goatemala. Él sábado 25 de este mes se vistió la coTte de gal a con motivo de ser</t>
  </si>
  <si>
    <t>Utrero, Juan</t>
  </si>
  <si>
    <t>Juan Utrero</t>
  </si>
  <si>
    <t>ázaro, D. Juan Biirguiilos, D. Santiago López Ruiz, D. Pedro Fernandez, D.'José Muela , D. José María Ximcnez , D. Domingo Draper , D. Ma­ nuel Guio, D. Juan Utrero , D. Benigno Merchau, D. Víctor Casasola , D. Pascual del Rey , D. Miguel Parrales, D. Francisco Ay uso, D. Miguel González, D. Antonio (González, D. Angel Liare,…</t>
  </si>
  <si>
    <t>tín Lázaro, D. Juan Burguillos, D. Santiago López Ruiz, D. Pedro Fernandez, D. Josef Muela, D. Josef Mafia XimenezDon Domingo Draper, D. Manuel Guio, D. Juan Utrero, D. Benigno Merchan, D. Víctor Casasola, D. Pascual del Rey, D. Miguel Parrales, D. Francis­ co Ayuso, D. Miguel González, D. Antonio González, D. Angel Llave, D.…</t>
  </si>
  <si>
    <t>Va, Langeron</t>
  </si>
  <si>
    <t>Langeron Va</t>
  </si>
  <si>
    <t>tro Del s&gt; de marzo. de poco será la Servia el teatro de la guerra. El gran visir piensa , según dicen, atacar por aquella Se confirma que el g-neral conde Langeron Va parte con fuerzas mui considerables, con el ob/eto á reemplazar al general Kntuíotv en el mando del de apoderarse de esta provincia , y de ponerse en exército …</t>
  </si>
  <si>
    <t>Vá, Miguel Vázquez</t>
  </si>
  <si>
    <t>Miguel Vázquez Vá</t>
  </si>
  <si>
    <t>compostura y ayre marcial que se advier­ te en todos los a uamos , y con espec andad en lo? caballeros cade­ tes D. Ramón Ca bete, O. Manuel Montero, D. Miguel Vázquez Vá­ rela, D. Manuel Gil y D. José Saavedra; y en les externos D. Ber­ nardo González, D. Manuel Montero y t), Luis Fociños. Este primer ensayo de un establecim…</t>
  </si>
  <si>
    <t>Vaca, Petrona</t>
  </si>
  <si>
    <t>Petrona Vaca</t>
  </si>
  <si>
    <t>Blanco por sí y su madre , 2. D. Baltasar Vargas , 4. D. Gaspar Ramí­ rez , 1. D. Pedro Vinces , 2. 1). Sebastian Ramírez, 1. D. Francisco Cbire, 1. Doña Petrona Vaca, tí. Remitidos de lina manga sin acompañar la razón da los individuos que han contribuido , 15.725 ps. y 7 rs. y medio. 1). Manuel de la Secada, teniente de dra…</t>
  </si>
  <si>
    <t>Vaca, Roque</t>
  </si>
  <si>
    <t>Roque Vaca</t>
  </si>
  <si>
    <t>25. Archivero D. Manuel López Solano, 66.—Tesorería. Oficial primero y tesorero interino D. Joaquín Jordán , 100. D. Juan de Irigoyen , segundo , 50. D. Roque Vaca, contador de moneda primero , 66. Id. segando D. Pedro Gil , 50. — Almacenes. Admi­ nistrador D. Mariano del Solar, 100. Oficial interventor D. Juan José Guzman , …</t>
  </si>
  <si>
    <t>Vaides, Agustín</t>
  </si>
  <si>
    <t>Agustín Vaides</t>
  </si>
  <si>
    <t>l de la O, 4. D. \í ría o Martínez, 2. D. Manuel de la Rocha ,-2 D. Mumu 1 Arancivia , 2. D. M t o Tapia, 2. D. Felipe Saenz , 2. D. Fedto Bernuy, 2. D. Agustín Vaides, 2. D. liste van Avila , 2. D. Francisco Villegas , 1. El Sr. virey D. Fernando Aba cal , lOtiOO. D. Simón R-óbago , secretario tlcl virey nato ocr sí y su esp…</t>
  </si>
  <si>
    <t>Vaídes, José Melchor</t>
  </si>
  <si>
    <t>José Melchor Vaídes</t>
  </si>
  <si>
    <t>J osé Marcelino de Escobedo, por 2, 18. D. Bonifacio Duarte, id., 18. El canónigo D. Julián José del Barrio , id., 18. D. Julián Delgado, por uno , 9 D. José Melchor Vaídes , id. , 9. D. Juan de Jesús Gómez , por 2, 18. D. Lojye Morales, por 4., 30. el presbítero D. Manuel Echevarría, id. 36. D. Manuel Díaz, por 10,90. D. Fra…</t>
  </si>
  <si>
    <t>Vaidioscra, Joaé Tomas</t>
  </si>
  <si>
    <t>Joaé Tomas Vaidioscra</t>
  </si>
  <si>
    <t>e la compañía de caballería de la guardia del vírey del nuevo reyno de Granada á D. Benito Aznar, y el de capotan de llaves de la plaza de Campeche á D. Joaé Tomas Vaidioscra. Ei gefe del estado mayor general ha recibido el oficio siguiente del mariscal de campo D. José O-Bonaeil, general en gefe interino dei segundo y.tercer…</t>
  </si>
  <si>
    <t>Vaivevde, Pedro</t>
  </si>
  <si>
    <t>Pedro Vaivevde</t>
  </si>
  <si>
    <t>Oficiales amanuenses. D. José Mariano Bustarnanie , 41 y 5. D. Ignacio Talamantes yBaeza,41y5. D. Gregorio Laiseca , 41 y 5. — Contadores de moneém. D. Pedro Vaivevde , 45 y 6 y medio. D. Tiburcio Roklarv, 41 y 5. D. Ma­ tías Alvarez , 41 y 5. —Escribanos. D. Amonio Somoza, 53 y 2 y medio. D. Antonio Martínez ,41 y 5. — Merin…</t>
  </si>
  <si>
    <t>Valcazai, Francisco Rodríguez</t>
  </si>
  <si>
    <t>Francisco Rodríguez Valcazai</t>
  </si>
  <si>
    <t>amur. y quemando todos los años en efigie á ta cabe­ Para el de Valdegrndas al ex-agustino recole­ za del catolicismo {2). Se llaman defensores de to D. Francisco Rodríguez Valcazai-. los españoles, los arman unos contra otros para Para el de Burujón al ex-benedictino D. Mi­ aniquilar su población; les rohan los navios ; les …</t>
  </si>
  <si>
    <t>Valda, Ansdmó Rodríguez</t>
  </si>
  <si>
    <t>Ansdmó Rodríguez Valda</t>
  </si>
  <si>
    <t>iscal de campo de los reales exércitos al brigadier D. Francisco Milans. El Consejo de Regencia ha resuelto que se den gracias en nom­ bre de S. A. á D. Ansdmó Rodríguez Valda, procurador de la au­ diencia de México, por la cesión que ha hecho de 150 pesos fuer­ tes anuales para la curación de los enfermos del hospital milita…</t>
  </si>
  <si>
    <t>Valdé, Juan Melen'dez</t>
  </si>
  <si>
    <t>Juan Melen'dez Valdé</t>
  </si>
  <si>
    <t>nguáge escolástico , no lo son n.cio Jcíveu de S..as (vara la de Madrid; al coase- en ma tera arguná in potetltta 6 hl ihtentionei És­ jero de Estado D. Juan Melen'dez Valdé» para la tos , mui lejus de ler desafectos al gobteraó , tieoen</t>
  </si>
  <si>
    <t>Valdemoro, Mateo</t>
  </si>
  <si>
    <t>Mateo Valdemoro</t>
  </si>
  <si>
    <t>f García de la Torre. = Sr. D. Ra­ món Macia Lleopat. = Sr. D. Manuel Lartiga. = $r. D. Francisco Marchamalo. Fiscales. Sr. £&gt;. Mateó Zendoqui. = 5r. D. Mateo Valdemoro. Deseoso el tribunal de Apelaciones y Vigilancia de esta corte de llenar los deberes de su cargo, adoptó el medio de publicar los expedientes de pu­ rificacio…</t>
  </si>
  <si>
    <t>Valdenebro, José Alonso</t>
  </si>
  <si>
    <t>José Alonso Valdenebro</t>
  </si>
  <si>
    <t>cuyos balcones se hallaban el capitán general, el real acuerdo, numerosa ofijt&amp;fedad y otras personas distinguidas. Subieron al tablado el corregidor D. José Alonso Valdenebro, el regidor decano, y el secretario de ayuntamiento D. Rafael Nogueyra, el cual entregó al corregidor la Constitución que la ciudad había depositado en…</t>
  </si>
  <si>
    <t>Valdés, Agustín</t>
  </si>
  <si>
    <t>Agustín Valdés</t>
  </si>
  <si>
    <t>de Villalta por 10,90. El comisario ordenador D. José de Juertes por 6,54. El secretario del gobier­ no y capitanía general, D. Juan Ibañez por 4,36. D. Agustín Valdés por 4 j 36. Él coronel D. Mauricio de Zúñiga por 2,18. D. Pedro Regalado Pe­ droso por 10,90. El auditor de guerra de esta plaza, D. pomingo Sautibañez por 2, …</t>
  </si>
  <si>
    <t>Valdés, Andrés Romero</t>
  </si>
  <si>
    <t>Andrés Romero Valdés</t>
  </si>
  <si>
    <t>al tante inihédiato al polo para no ponerse ú ocultar­ de España D. Josef Ignacio de Joven de Salas y se; que desdé este dia aumentaría de magnitud y D. Andrés Romero Valdés , nuestros consejeros de resplandor durante'cási on mes, porque se iría de Estado , quedan nombrados caballeros comen­ acercando á la tierra'; que despué…</t>
  </si>
  <si>
    <t>Valdes, Jacinto</t>
  </si>
  <si>
    <t>Jacinto Valdes</t>
  </si>
  <si>
    <t>la misma altura, con orden de contener al enemigo en caso que in­ tentase baxar al llano. En la tarde de este dia recibió Truxillo, por mano dei Dr. D. Jacinto Valdes , prebendado de aquella iglesia, una intimación de entregar la ciudad , que hacia el rebelde Muniz al comandante y á entrambos cabildos , civil y eclesiástico, …</t>
  </si>
  <si>
    <t>Valdés, José Manuel</t>
  </si>
  <si>
    <t>José Manuel Valdés</t>
  </si>
  <si>
    <t>rático de matemáticas, 100. D. Baltasar Villalobos, 50. D/ Manuel Dávalos , 50. D. José Carmona , 50. D. Domingo Bgoaguirre , 25. D. Manuel Rubia, 25 D. José Manuel Valdés , 25. D.'Lo­ renzo niñones , 25. D. Juan de la Roca , 25. D. Andrés Gómez , 25. D. José Fiaría Dávila , 25. D. José Puente , 25 D, Manuel Sequin , 25. D. P…</t>
  </si>
  <si>
    <t>Valdés, Josef Melendez</t>
  </si>
  <si>
    <t>Josef Melendez Valdés</t>
  </si>
  <si>
    <t>...................... 2200 D. J nvf González , id.................... ............. 2 2CO D. Rafael de Leiva ,dd............................... 2200 D. Josef Melendez Valdés, id.*.»............... 2200 D. Josef de Texada, Td............................... 2200 D. Andrés Benitez, resideute en Montoro. 2200 D. Joan Ramírez ; i…</t>
  </si>
  <si>
    <t>Valdes, Raytnundo Marnefo</t>
  </si>
  <si>
    <t>Raytnundo Marnefo Valdes</t>
  </si>
  <si>
    <t>mayo , id,, 9. D. Pedro Zamora, por 2, 18! D, Mariano Jáuregui , por 3, 2?. D. Francisco de Torres, por «no, 9. D, Vicente García Caraballo , id., 9. D. Raytnundo Marnefo Valdes , id., 9. D. Jo.'é Sequevra y Palma , id., 9. D. Antonio Blauco, id., 9. D. Pedro Ponce , id. , 9. D. Domingo Aldana , id., 9. El capitán D. Rafael O…</t>
  </si>
  <si>
    <t>Valdivieso, Francisco</t>
  </si>
  <si>
    <t>Francisco Valdivieso</t>
  </si>
  <si>
    <t>btas. £1 que sostenga que t#;4» teniente de Navalvillar, para el de Calora , vacante ella es una pura vaciedad ¿ que ni hace dorar,1 ni por muerte dé D. Francisco Valdivieso. reir, segal de que ya la leyó, y cante ó rabie! A D. Pedro Cornelio Flores, cura de Alcolea llore 9 ría, en el cuerpo se tiene ya las verdades de Tajo, …</t>
  </si>
  <si>
    <t>Valdivieso, Juan Bernardo</t>
  </si>
  <si>
    <t>Juan Bernardo Valdivieso</t>
  </si>
  <si>
    <t>y Arnao. El alcalde de primer voto D. Ramón Gavas , 50. Ei de segundo D. Manuel Muñoz, 12. El regidor D. Tomas de Benavides, 25. El tesorero interino D. Juan Bernardo Valdivieso, 25. El coronel de milicias D. Lorenzo Antonio de Cárdenas, 100. El capitán de milicias D. Atanasio de la Canal, 12. D. Mariano Goichi, 17. D. Antoni…</t>
  </si>
  <si>
    <t>Valearce, Patricio</t>
  </si>
  <si>
    <t>Patricio Valearce</t>
  </si>
  <si>
    <t>ldados . perdiendo ellos también algunos muer­ tos. Han vuelto á repartirse en sus puntos, y yo me dispongo otra vez para volverá incomodarlos. ^ Jje D. Patricio Valearce l, comandante déla partida -colante del repimiento'de la Corona, al mariscal de campo D. Pedro de ¿a Barcena.— Veinte y dos de diciembre ds.l 811. — El 20 d…</t>
  </si>
  <si>
    <t>Valencia, Santiago</t>
  </si>
  <si>
    <t>Santiago Valencia</t>
  </si>
  <si>
    <t>d anualmente durante la guerra. D. Bartolo­ mé Avenio, cura de Macate , 50. D. Bernardino Torres, 12. D. Antonio Ro­ mero, 4. D. Francisco García, 6. D. Santiago Valencia, 4. D. Casimiro Palma, 2. D. Antonio Ramírez, 2. D. José Mexia, 2. D. Hilario Olivera, 10. D. Ma­ nuel de Torres, 10. D. Carlos Villa-Chica, 8. D. José Sánc…</t>
  </si>
  <si>
    <t>Valenzuela, Pedro</t>
  </si>
  <si>
    <t>Pedro Valenzuela</t>
  </si>
  <si>
    <t>donativos mensuales de la isla de Cuba. D. Joaquín del Pozo, por un soldado, 9 ps. fs. mensuales. D.Erancisco Goly, id., 9. D. Manuel Gasue , id., 9. D. Pedro Valenzuela , per 6 meses . 9. D, Manuel Puebla, id., 9. D. BeJen Ramírez, id., 9. D. Ramón Hano v Ve­ ga y su hermano D. Ignacio, por 4, 36. D. José María de So-oícngo,…</t>
  </si>
  <si>
    <t>Valeqtin</t>
  </si>
  <si>
    <t>, vacante por fallecimieiUodeDon de S. M. ¿ D. Ramón de Riquer y Gallegos , hi­ Mariano Josef Saenz. &gt; jo del marques de Bmavent, primer montero d« A D. Valeqtin delitCampo, presbítero,, ex­ S- JVf* &gt; á D. Joaquín-Antonio-de-Solis, hijo del franciscano, para ona capellanía de número del co­ consejero de Estado D. Joaquín Lean…</t>
  </si>
  <si>
    <t>Vales</t>
  </si>
  <si>
    <t>augusto persqnage á quien se, dirige este apos­ cia , que llegan b^sta.«] dia;í2 del ines último. El trofe. Bueno es qoe se sepa, si es qne hai quien general Vales mandaba" alif ¿n aquella sazón, y la lo ignore, que en todo este.ijtegpcio, el qual ha si­ ciudad disfrutaba da U mayor trinaéhidad. Den­ do puesto sobre la mo,a ,…</t>
  </si>
  <si>
    <t>Valiejo, Miguel</t>
  </si>
  <si>
    <t>Miguel Valiejo</t>
  </si>
  <si>
    <t>e infantería del Rey, D. Francisco Oteyza, capitán de dragones deNumancia, D. Miguel Apciinario Fesnandez, capitán del regimiento de Cargas de Tineo, D. Miguel Valiejo, espitan del se­ gundo de Soria, D. Melchor Andarlo, tenients con gr&amp;do de espitan de! de Navarra, D. Francisco Amores, capitán del de Chinchilla, D. Jasé Masa…</t>
  </si>
  <si>
    <t>Valiente</t>
  </si>
  <si>
    <t>á evitar una desgra­ cia. Ei gobernador de la plaza se presentó y des­ En el del Príncipe, á las siete de la‘ noche, se re­ vaneció los corrillos. El diputado Valiente salió presentará por l i compañía española la comedia en tres del congreso al tiempo mi mo que los demas voca­ actos titulada el Diablo predicador y Mayor cont…</t>
  </si>
  <si>
    <t>Valle, Tomas</t>
  </si>
  <si>
    <t>Tomas Valle</t>
  </si>
  <si>
    <t>dez, agregado ai estado mayor, que trabajaron incesantemente en comunicar mis ordenes con la mayor acti­ vidad; los sargentos primero y segundo de la Princesa Tomas Valle jo y Francisco Rebollo, que ademas de haber sido heridos en los actos de mas valoreste lo tienen repetidísiinas veces acreditado, particularmente Rebollo; e…</t>
  </si>
  <si>
    <t>Vallejo</t>
  </si>
  <si>
    <t>os-niños gozan de perfecta salud, y la madre á ayudante segundo, «n larvacante de D. Sebastian cria i los tres. Tiene 33 años, yes Ja primera vez del Conde Vallejo.' que ha parido en seis años que hace que está casada.. art. ni. En los batallones de la ciudad de Toledo. ’ r : Parts 17 de abril. D. Manuel Herrera, teniente ¿ á…</t>
  </si>
  <si>
    <t>Vallejo, Andrés</t>
  </si>
  <si>
    <t>Andrés Vallejo</t>
  </si>
  <si>
    <t>uedó plenamente satisfecho dedos ade­ lantos de los discípulos-y del zelo y aptitud de los maestros, entre los quales merece particular consideración D. Andrés Vallejo, que gratuitamente, y sin mas recompensa que el honor de ser útil á la patria, se ha encargado de la clase de matemáticas. ■ Coruña 2&lt;T de agosto. : Anteayer c…</t>
  </si>
  <si>
    <t>Vallejo, Antonio</t>
  </si>
  <si>
    <t>Antonio Vallejo</t>
  </si>
  <si>
    <t>. 50. D. Guillermo Gutiérrez, 4. D. Ignacio de Vera, 6. D. Ignacio Govostiza, por algunos vecinos de la ciu­ dad Vieja , 22. D. Mariano Allende , 10. D. Antonio Vallejo por el pueblo d« Balao, 1G. D. Carlos Lagomasin, 200. D. Luis Molina , 10. D. Damian Bodero , 4. Feliciano Avecilla por sí , y los randeadores de cacao , 1G. …</t>
  </si>
  <si>
    <t>Vallejo, José Mariano</t>
  </si>
  <si>
    <t>José Mariano Vallejo</t>
  </si>
  <si>
    <t>úÜimójne dice lo que copio. — ¿tÉl Consejo de Regen­ cia se ha enterado cíe la exposición, que con fecha de 24 de este le han hecho los examinadores D. José Mariano Vallejo , I). Agustín de Sojo y D. To mas Dionisio de Loredo,. que asistieron á los uitihnániehte celebrados eri esa escuela militar. Penetrado S A. del adelantam…</t>
  </si>
  <si>
    <t>Valonee</t>
  </si>
  <si>
    <t>aunque nuestras fuerzas eran inferiores. de la dimisión Dresaix ; la división de coraceros del El resto de las enemigas esrtiba de reserva á nuestra general Valonee, y el 3.0 de cazadores de á caba­ derecha, las que podia presumirse &lt;^ue serian gran­ llo. La posición de Salta-Naceka, cuyo plan remi-, des, y principalmente las…</t>
  </si>
  <si>
    <t>Valverde, Juan</t>
  </si>
  <si>
    <t>Juan Valverde</t>
  </si>
  <si>
    <t>una compañía. Nombramos para comandante de este batallón D. Francisco Porcelo queda nombrado capitán; á D. Francisco de Sales Dívila; para ayudante á D. Juan Valverde teniente, y D. Manuel de LuD. Diego Suarez de Fígueroa, y para abanderado qae subteniente. á D. Antonio Josef de Lora. art. ix. En la guardia cívica de Córdoba …</t>
  </si>
  <si>
    <t>Van-Suchreln</t>
  </si>
  <si>
    <t>tó á sí mismo.” 1 que ha formado el nuevo cuerpo de guardias de corps tilandeses. AUSTRIA. Acaban de llegar de Estockolmo á esta capital el ingeniero general Van-Suchreln y el conse­ Viena i.° de diciembre. jero Sievert. En el dia recibimos ya con puntualidad cartas SUECIA. de Buch.irest , de Jassi y de Crujmva, y hasta de Wi…</t>
  </si>
  <si>
    <t>Vandeleur</t>
  </si>
  <si>
    <t>a el ataque de la cuarta división fueron muy acertadas, y marchó al asalto á la cabeza de la división con la mayor bizarría. ,,Pcr ausencia del mayor general Vandeleur, causada por su en­ fermedad , y del coronel Beckwith,, el teniente coronel JBimard man­ dó la división ligera en el asalto; y se distinguió no menos por lo ac…</t>
  </si>
  <si>
    <t>Vanduis</t>
  </si>
  <si>
    <t>bárbara, que se aproximaba á pasos Iil 12 el general barón Fajol, que estaba en Ig- de gigante hácia la Europa culta, para renovar houmen, destacó al capitán Vanduis con 50 caba­ acaso las escenas de horror del siglo de Atila; el llos á Khalovi. Este destacamento cogió y sorpre- ue medite al mismo tiempo la tranquilidad y or­…</t>
  </si>
  <si>
    <t>Vaotrin</t>
  </si>
  <si>
    <t>atacar un qqdvoí de surgente, mandada por un subteniente. granos que iba á Osuna , fue desbaratada por el Habiéndose presentado en Huetor un destaca­ capitán Vaotrin con 20 caballos. Los bandidos mento de una partida á tiempo que se hallaba a 11 i perdieron dos hombres muertos y varios heridos, el secretario del comandante de…</t>
  </si>
  <si>
    <t>Varea, Esteban</t>
  </si>
  <si>
    <t>Esteban Varea</t>
  </si>
  <si>
    <t>de campe de los exércitos nacionales, del consejo y cámara de In­ dias; j á D. Esteban Varea, secretario del consejo y cámara de Castilla; y han resuelto: l.° Que él decano del consejo de Estado sea el mas antiguo por el orden del nombramiento, que es el que queda expresado. 2.° Qu</t>
  </si>
  <si>
    <t>Varela, José María</t>
  </si>
  <si>
    <t>José María Varela</t>
  </si>
  <si>
    <t>. Julián Sarmiento , 41 y 5. D.' Juan Cosío , 41 y 5. D. Alexapdro Morales, agregado, 39 y 6. D. Andrés Calero, escribano de cámara, 133 y 2 y medio. D. José María Varela, archivero , 06 y 5. D. Pedro Noel, por­ tero, 25. El coronel y demas gefés, oficiales y soldados del regimiento de in­ fantería de esta capital, una mesada…</t>
  </si>
  <si>
    <t>Vargas, Baltasar</t>
  </si>
  <si>
    <t>Baltasar Vargas</t>
  </si>
  <si>
    <t>2. D. Francisco Siadas , 4. 1&gt;. Fran­ cisco Figueiras, 2. Manuel Artiaga , 1. Doña Catalina Carrasco , 2. Doña Ma­ ría Blanco por sí y su madre , 2. D. Baltasar Vargas , 4. D. Gaspar Ramí­ rez , 1. D. Pedro Vinces , 2. 1). Sebastian Ramírez, 1. D. Francisco Cbire, 1. Doña Petrona Vaca, tí. Remitidos de lina manga sin acompaña…</t>
  </si>
  <si>
    <t>Vargas, Francisco Xavier</t>
  </si>
  <si>
    <t>Francisco Xavier Vargas</t>
  </si>
  <si>
    <t>Antonio María Alvarez, D. Pedro Andrade, D. Antonio Yelazquez y D. José Yelazquez; subtenencia de granaderos á D. Mi­ guel Vaienza, y de fusileros á D. Francisco Xavier Vargas , D. Eusebio Teiíez , D. Pedro Mansilla , D. Jacinto Toro, y de bandera á D. Federico de Vera. En la compañía veterana de infantería de Maynas, el empl…</t>
  </si>
  <si>
    <t>Várgas, Josef</t>
  </si>
  <si>
    <t>Josef Várgas</t>
  </si>
  <si>
    <t>y exácta D. Miguel Arjooa. de las circunstancias ocurridas en el encuentro en­ D. Antonio Aguilar. tre la fragata de los Estados-Unidos el Presidente D. Josef Várgas. y el navio de M. británica el Pequeño Belt. D. Cristóbal Figueroa. Ei tribunal se separó para juntarse al dia liTenientes. guiente en Mechanci-Hall. D. Serafín …</t>
  </si>
  <si>
    <t>Vargas, Lorenzo</t>
  </si>
  <si>
    <t>Lorenzo Vargas</t>
  </si>
  <si>
    <t>. Isidro Andrade , 4. D. Ramón Anderos, 4. D. José Pequeño , 4. D. Juan Fernandez, 2. D. José Gordilio , 2. D. José Cañizares, 2. D. Juan Melgar , 2. D. Lorenzo Vargas , 2. D. José Ramírez , 2. D. Juan Sta. María, 2. — Cirujanos, i). José Gay i no Chacaltana , 25. Tomas Ortigoso , 25. Fabiafi Salas, 25. José Santos Montero , …</t>
  </si>
  <si>
    <t>Vargas, Rayes</t>
  </si>
  <si>
    <t>Rayes Vargas</t>
  </si>
  <si>
    <t>an sumamente fatigadas, y al amanecer del 21 me di­ rigí por el mismo camino al pueblo del rio del Tocuyo, en donde se me reunió ai teniente Gineti y capitán Rayes Vargas. esta posición permanecí hasta el 22 por la tarde por impo­ nedme á feudo del enemigo (pues variaban mucho las noticias), y for ¿t' i en el í aterí a el pla…</t>
  </si>
  <si>
    <t>VARIEDADES, Fede</t>
  </si>
  <si>
    <t>Fede VARIEDADES</t>
  </si>
  <si>
    <t>as gobierno. pruebas de la confianza y aprecio que le merecían, hasta qne fue retirado á mandar su departamento, quedando con el mando de la esquadta D. Fede­ VARIEDADES. rico Gravioa. Pero no pudiendo sufrir los apuros en que se hallaba el departamento , y que no se Descripción de Egipto, 6 colección de l ts obser-* pLns.ba …</t>
  </si>
  <si>
    <t>Vasco, Francisco</t>
  </si>
  <si>
    <t>Francisco Vasco</t>
  </si>
  <si>
    <t>rine! Re«?g?I. .Regidores, D. Josef de Eduberri/ D. Pedro Daripe. ’ D. Nicolás Muñoz. D. Jnan Manuel Nobal. D. Manuel de Cárdenas. D. Ramón Escudero. D. Francisco Vasco. D. Francisco Xavier Gandanillo*. D. Juan MonSalve.' D. Antonio G..rcíj de la Pedrosa, D. Josef L chambre. D. Ignacio G irmcndia. D. M:ga.l Crok. D. Sar.ti ,g…</t>
  </si>
  <si>
    <t>Vaso, Juan Rodríguez</t>
  </si>
  <si>
    <t>Juan Rodríguez Vaso</t>
  </si>
  <si>
    <t>. Antonio de Flores, id. en Cabra............ 2200 D. Manuel Vázquez , id........................... . 2209 D. Francisco Crespo del Pino, id. en Fer- D. Juan Rodríguez Vaso, id........................ 2 zoo nan-Nuñez......................................................... 2200 D. Diego Mexias, id....,......................,.…</t>
  </si>
  <si>
    <t>Vatier</t>
  </si>
  <si>
    <t>Por ultimo,' citaré al coronel Bo~ cabeza de la segunda división de coraceros, i Jas ór­ relli y los oiiu.iles Je mi estado mayor, cuso es­ denes dei general Vatier, arrolló quanto encontró tado tengo el honor de incluiros, y cuyos adelan­ delante de si; y advirtiendo que liabia pasado mas tamientos pido á S. M. Mojaisk 9 de …</t>
  </si>
  <si>
    <t>VaUariuo, Francisco Xavier</t>
  </si>
  <si>
    <t>Francisco Xavier VaUariuo</t>
  </si>
  <si>
    <t>ios Vargas ; segundas tenencias de fu­ sileros á los adereces, D. Ramón de .Zuloaga , de granaderos , 1&gt;. Jo­ sé de ¡as Cuevas, B José María Vergara, D. Francisco Xavier VaUariuo, D. Vicente Cortés, O. Minml Monti, de cazadores, D. Flo­ rencio Cerutti, D. Antonio del Valle, D. Manuel María Rodríguez Rubio y D. Luis María Mont…</t>
  </si>
  <si>
    <t>Vázquez, Felipe</t>
  </si>
  <si>
    <t>Felipe Vázquez</t>
  </si>
  <si>
    <t>777</t>
  </si>
  <si>
    <t>sesión de £4 del corriente á la reí cvacicn de su presidente, vice-pre­ sidente y uno de sus secretarios ; salieron electos , para presidente el Sr. D. Felipe Vázquez, diputado per Asturias; para vice-presidente</t>
  </si>
  <si>
    <t>Vázquez, Fraucisco Silverio</t>
  </si>
  <si>
    <t>Fraucisco Silverio Vázquez</t>
  </si>
  <si>
    <t>TRINIDAD. D. Francisco González. Alcalde de barrio D. Joan Antonio Balledor. BARRIO DE GUARDIAS ESPAÑOLAS. Diputado eclesiástico Alcalde 'de barrio. D. Fraucisco Silverio Vázquez. D. Pedro de' Rio. .' . t Diputados seculares Diputado eclesiástico D. Angel Rorherosa. D. Clemente Antonio Uribarren. D. Francisco de Torre*. Diput…</t>
  </si>
  <si>
    <t>Vázquez, Josef</t>
  </si>
  <si>
    <t>Josef Vázquez</t>
  </si>
  <si>
    <t>................................ 19848 12 las poesía» suizas, en que hai algunas mui dignas D. Gerónimo de Izormendía............ 2609 13 de aprecio. D. Josef Vázquez................................ 716 2 2-| A&gt; mismo tiempo se cultivan también con mu­ D. Ramón de Vitoria................•....... 4213 25 cho e-m.-ro las cienci…</t>
  </si>
  <si>
    <t>Vázquez, Juan</t>
  </si>
  <si>
    <t>Juan Vázquez</t>
  </si>
  <si>
    <t>ias, 8 D. Pedro Truxillo, 12. D. Toribio Alarco , 7 y 7 rs. D. Anselmo Peña , 8. I). Isidoro Caraved» , 8. t&gt;. Luis Obregoso , 8 D. Martin Garro , 8. D. Juan Vázquez , 8. D. Francis­ co Casas,-8. D. Hipólito Carrillo , o Ü Manuel Pinillos, 8. D. Juan José Pi­ nillos , 8. I). Santiago Pinillos , 8 1). Luis Menacho , 8. D. Vice…</t>
  </si>
  <si>
    <t>Vázquez, Manuel</t>
  </si>
  <si>
    <t>Manuel Vázquez</t>
  </si>
  <si>
    <t>, Fraacisco de la Casa y Piedra , D. Joan B/ucíe ta Enea . D. Pedro Ca­ bero y Tcgle, D. Manuel I). Juan EfznUle, D. Toma? Ugr» te, D. Yícente Navas, D. Manuel Vázquez, D. Tcm&amp;s Rico, D. Ma­ nuel Esteban Martínez , y D. José Santos de Ansmendi. La junta superior ¿e Burgos y Segóvía desde Be bis Are de la Sierra , con fecha de…</t>
  </si>
  <si>
    <t>incia de Guadalaxara...................... 2200 D. Pedro García y Lara , diácóno , id....... 2200 D. Antonio de Flores, id. en Cabra............ 2200 D. Manuel Vázquez , id........................... . 2209 D. Francisco Crespo del Pino, id. en Fer- D. Juan Rodríguez Vaso, id........................ 2 zoo nan-Nuñez............…</t>
  </si>
  <si>
    <t>Vázquez, Ramón</t>
  </si>
  <si>
    <t>Ramón Vázquez</t>
  </si>
  <si>
    <t>columna tuvo 5 muertos y 15 heridos, entre estos el teniente del regimiento de Oviedo D. José Canel, y prisionero el teniente del primero del Rivero D. Ramón Vázquez, con un húsar. — Elogia el expresado gefe la conducta de la oficialidad y tropa, recomendando el notable iníluxo que han tenido en tan deci­ sivos resultados los…</t>
  </si>
  <si>
    <t>Vdíate</t>
  </si>
  <si>
    <t>or el mariscal de campo JD. Xavier de Kilo, comnndante ge?ieral del cantón de la Isla d~ heon , á la propuesta de can* ge de prisioneros hecha por el general Vdíate, que manda las tropas franceses Gcantonadas en Ckiclana y los Patrios. ,,Señor general: Estoy muy distante de interceder con la Regen­ cia de España é Indias, par…</t>
  </si>
  <si>
    <t>Vdlalba, Rafael</t>
  </si>
  <si>
    <t>Rafael Vdlalba</t>
  </si>
  <si>
    <t>Joaquín de Torres, id............................ 2200 D. Josef Romero, id. residente en Lucena. 1100 D- Manuel de Burgos, residente en Priego. 2200 D. Rafael Vdlalba, id., id.,.......................... 1100 D. Juan de Aguitar, id. en Jyí mtemayqr... 2tpo D. Manuel de Caseto Villareju, id. en BuEx-carmelitas calzados. ¡alanc…</t>
  </si>
  <si>
    <t>Vdlence</t>
  </si>
  <si>
    <t>ciudad ua'-.R ner al general Fajol con una división de infantería, una fábrica para 60® raciones de pan. Se ha esta­ los coraceros de la división del conde Vdlence, y blecido otra para igual cantidad de raciones. Se el 2.u regimiento da caballería ligera de la guardia. forman también almacenes. La cabeza de los con­ Cortado d…</t>
  </si>
  <si>
    <t>Ve, Juan Ruiz</t>
  </si>
  <si>
    <t>Juan Ruiz Ve</t>
  </si>
  <si>
    <t>nos, godos y árabes la dominaron su** D. Benito Ga I1, id...................................... 22: o cesivamente. En ios tiempos modernos, quando ia D. Juan Ruiz Ve riz de Torres , id..... . 2200 casa d: Austria adquirió cierta preponderancia en D. Diego Díaz, diácono, id....................... 2200 Europa , consiguió est.,b…</t>
  </si>
  <si>
    <t>Ve, Norberto</t>
  </si>
  <si>
    <t>Norberto Ve</t>
  </si>
  <si>
    <t>, 12 D. Félix Devo’.i ? 10. D. Manuel Moreno , 10. D. Vicente Pastrana , 10. — Estudiantes de medicina. D. Mariano Campero, 17. D. Mariano Murga, 8. D. Norberto Ve­ ga , 4. D. Isidro Andrade , 4. D. Ramón Anderos, 4. D. José Pequeño , 4. D. Juan Fernandez, 2. D. José Gordilio , 2. D. José Cañizares, 2. D. Juan Melgar , 2. D. …</t>
  </si>
  <si>
    <t>Veadreü, Ramón</t>
  </si>
  <si>
    <t>Ramón Veadreü</t>
  </si>
  <si>
    <t>ue y D. Juan Pa­ nero; compañías de granaderos, al marques de la Celada déla Fuen­ te , al marques de Valdcliiios y á D. Gaspar Rico; de cazadores, á D. Ramón Veadreü , y de fe sileros á D. Juan Bautista Oyarzabal, marques de Montealegre, D. Manuel Uficaagoena, D. Domingo Orne, D. Fiancisca Xavier de ízcue, marques de Corpa, …</t>
  </si>
  <si>
    <t>Veciones, Francisco</t>
  </si>
  <si>
    <t>Francisco Veciones</t>
  </si>
  <si>
    <t>onscriptos ruanitestaban Para la de Santa Crnz de Alhama, sn último el buen espíritu de que estaban animados con can­ poseedor D. Alonso M.dendez , á D. Francisco Veciones alegres, con repetidas aclamaciones de viva lasco, ex-franciscano observante. el Emperador , con b.iles y otras demostraciones Para la primera sacristía de…</t>
  </si>
  <si>
    <t>Vedoya, Bartolomé</t>
  </si>
  <si>
    <t>Bartolomé Vedoya</t>
  </si>
  <si>
    <t>labrada del uso de los colegiales, 3000. D. Manuel María del Valle ? oidor de esta real audien­ cia, 500. El Sto. tribunal de la inquisición, 12QÓ0. D. Bartolomé Vedoya, teniente asesor de la intendencia de Tarma,-en cada un año de los que dure la guerra , 100. D. José Mier, minero de Pasco , en cada un año de los que dure la…</t>
  </si>
  <si>
    <t>Vega, Antonio Rodríguez</t>
  </si>
  <si>
    <t>Antonio Rodríguez Vega</t>
  </si>
  <si>
    <t>mui tarde para volverse á su casa , se que­ S. M. nombrar al subteniente de caballería de ií-’ dará con él en la cárcel, y seguirán la misma con­ nea D. Antonio Rodríguez Vega subteniente del versación por la noche, contándose uno á otro lo regimiento nfim. 3.0 de cazadores á caballo; alsarque hubiesen hecho, é induciendo á e…</t>
  </si>
  <si>
    <t>Vega, Francisco</t>
  </si>
  <si>
    <t>Francisco Vega</t>
  </si>
  <si>
    <t>6.-D. Manuel Lnndazuri, guarda materiales , 116. Don Félix Barrete , tallador mayor , 150. D Ravmundo. Marroz., oficia! mayor de; la contaduría , 81. D. Francisco Vega, segundo, 41,'D. Faustino Marrez , ter-, cero , 41. D. José Ramón Texcro , oficial de la tesorería, 25. •£). Antonio' Prieto, id. ,25. D. Mariano Cruceta, id.,…</t>
  </si>
  <si>
    <t>Vega, José</t>
  </si>
  <si>
    <t>José Vega</t>
  </si>
  <si>
    <t>el ; al sargento distinguido de dragones Don Manuel José de Salas y al cabo Francisco Méndez ; al sargento José Medrano , al cabo Felipe Moncayo y al soldado José Vega, de in­ fantería de Nueva libpaña. D Miguel Ignacio B istegui da cuenta con fecha del mismo dia 0 , que se había dirigido con ¿¡0 dragones de su regimiento de …</t>
  </si>
  <si>
    <t>Vega, Miguel</t>
  </si>
  <si>
    <t>Miguel Vega</t>
  </si>
  <si>
    <t>nativos del Perú. Don Miguel Pizarro , 168 pesos y 3 reales. I). Juan Peña , 168 y 3. Don Miguel Cebrian , 143 y 3. D. Pablo Teion, 120 y medio reai. D. Miguel Vega, 120 y medio real. D. Pedro Ruiz, 166 y 5. D. Juan Luque Marmol, jubilado , 95 y medio real. Contadores ordindrios. D. Pedro Grillo , 87 y 7. J). Manuel Dufoo , 8…</t>
  </si>
  <si>
    <t>Vega, Pablo</t>
  </si>
  <si>
    <t>Pablo Vega</t>
  </si>
  <si>
    <t>d................... 2200 D. Antonio de Navas, id................................. 22.00 D. Mariano González, id................................ 2200 D. Pablo Vega , id................................. ........... 2 2QO D. Juan Rodríguez, id..................................... 2200 D. Juan de la Rosa, id.....................…</t>
  </si>
  <si>
    <t>Vegaer, Josef</t>
  </si>
  <si>
    <t>Josef Vegaer</t>
  </si>
  <si>
    <t>al academia española , calle de Valverde. teíes y edificios militares, y a! comandante de ba­ Nota. Todos los exemplares llevan el sello de la tallón D. Josef Vegaer. academia al reverso de la portada principal. art. ir. El mismo D. Josef Vegaer exercerá las funciones de secretario de la junta superior, y estará á su cargo in…</t>
  </si>
  <si>
    <t>Vegas, Manuel</t>
  </si>
  <si>
    <t>Manuel Vegas</t>
  </si>
  <si>
    <t>ar qnando esperáis ser aplaudidos de la muche­ D. Ildefonso Pavón,id. en id....................... 2200 dumbre? ¿En qué está pues vuestro mérito para D. Manuel Vegas, id. en Fuente Santa con la patria si sacrificáis sus intereses cobarde­ Cruz......................................... 3200 mente por temor de no ser escuchados …</t>
  </si>
  <si>
    <t>Veguer, Juan</t>
  </si>
  <si>
    <t>Juan Veguer</t>
  </si>
  <si>
    <t>s de montaña en Ex­ el juramento acostumbrado. tremadura. Por otros decretos del mismo dia se ha servi­ IMPERIO FRANCES do igualmente S, M. promoverá D. Juan Veguer, capitán segundo de la primera compañía de zapa­ Parts 4 de mayo. dores , á ayudante mayor de estas compañías; á D. Ramón Rubín de Celis , D. Bernabé Portillo Aye…</t>
  </si>
  <si>
    <t>Veiazquez, José</t>
  </si>
  <si>
    <t>José Veiazquez</t>
  </si>
  <si>
    <t>­ cia á D. Juan Manuel Ogararte, y subtenencia á D Francisco de Paula Roldan. En el regimiento de infantería real de Lima, subte­ nencia de bandera á D. José Veiazquez. Ea el mencionado batallón veterano de Chiloe, compañías de fusileros á D. Antonio Mari?; Aivarez y I). Pedro Andrade ; tenencias de fusileros á D. Francisco X…</t>
  </si>
  <si>
    <t>Veiez, Joaquín</t>
  </si>
  <si>
    <t>Joaquín Veiez</t>
  </si>
  <si>
    <t>M. ha nombrado el'término perentorio de siete dias, contados des­ individuos del-corqejo de pref.ctura de Santander de la ahertura de las sesiones. á D. Joaquín Veiez de vos , á D. Remigio MiART. vil. Si no llegase el número competente zorra J a D. Josef de la.Pedrueza. de dipútalos para la ceTebrácion de la junta gene­ ral &lt;…</t>
  </si>
  <si>
    <t>Veilande</t>
  </si>
  <si>
    <t>, cesó toda resistencia, y al crepúsculo de la mañana el gobernador gene­ ral Fhilipon, que se habia retirado á S. Cristóbal, se entregó junt» con el general Veilande , la plana mayor y toda la guarnición. To­ davía no he adquirido relación exacta de la fuerza de esta, ni del número de los prisioneros : pe ro el general Phili…</t>
  </si>
  <si>
    <t>Vela, Francisco</t>
  </si>
  <si>
    <t>Francisco Vela</t>
  </si>
  <si>
    <t>. .............. 2200 D. Juan de Arjona, id...................................... 2200 D. Josef de la Rosa, id.......................... ....... 2200 D. Francisco Vela, residente eb ia Zubia D. Juan Criado , id............................................ 2200 en Granad'........................................... 2200 D.J uan …</t>
  </si>
  <si>
    <t>Vela, Juan</t>
  </si>
  <si>
    <t>Juan Vela</t>
  </si>
  <si>
    <t>sé Espinosa Tello. La Regencia del reyno se ha servido nombrar subtenientes de in­ fantería con destino á los cuerpos del segundo y tercer exército á D. Juan Vela, D. Juan Mozas, D. José Carrasco, D. Diego Perez, Don León Gordo, D. José González Yuste, D. Juan Marmol Calero, Don Calixto Rodríguez, D. Ildefonso Rulz, D. Agustí…</t>
  </si>
  <si>
    <t>Velarde</t>
  </si>
  <si>
    <t>tropas. La primera noticia que tuvo^ su goberna­ dor y sus oficiales, fué, despertarlos^ con.las bayonetas mis granaderos , mandados por su. bizarro capitán Velarde, dan­ do mas realce á esta gloriosa jornada la presa dé un convoy que al mismo tiempo venia á dicho pueblo. Más de 600 mulas, 300 caballos , varias tartanas y fur…</t>
  </si>
  <si>
    <t>ientes tropas. La primera noticia que tuvo su gobernador y sus ofi­ ciales fue despertarlos con las bayonetas mis granaderos, mandados por su bizarro capitán Velarde, dando mas realce á esta gloriosa jornada la presa de un convoy, que al mismo tiempo venia á dicho pueblo. Mas de 600 mu-</t>
  </si>
  <si>
    <t>Velarde, José</t>
  </si>
  <si>
    <t>José Velarde</t>
  </si>
  <si>
    <t>Moran , 13 ps. fs. Id. de Ocuña D Juan Sal azar, 50. Id. de Catuana I). Nicolás Brice-ño, 25. Id. de Maxes 13. Juan Chaves, 20. id. de C-huquivaniba D. José Velarde, 10. Id. de Are­ quipa D. Agustín Hidalgo , 60. Interventor J3. Justo Medina , 25. Oficial de id. , 15. Administrador de Moquegua D. José Dávila , 200. Id. de Tac…</t>
  </si>
  <si>
    <t>Velarde, Juan</t>
  </si>
  <si>
    <t>Juan Velarde</t>
  </si>
  <si>
    <t>tenencia de cazadores, ai de fusileros D. José de las Cuevas ; segundas tenencias de fasile ios á ios alféreces D. Joaquín Carcer, D. Pió Sotoiengo, D. Juan Velarde yRoxas, D. Manuel de San Llórente y D. Joaquín MaTÍa Es­ criba, este8 dos últimos de granaderos ; empleo de alférez de gra­ naderos al de fusileros D. Rodrigo Rod…</t>
  </si>
  <si>
    <t>Velarde, Marcelino</t>
  </si>
  <si>
    <t>Marcelino Velarde</t>
  </si>
  <si>
    <t>, IG. D. Luis Q, ni ros , 12. D. Ale* x andró Boh urques , 12. i). José Isidoro Alcedo, 12. D. Mariano Espino'a, 10. 1). Luis Sánchez Baharuonde, 10. D. Marcelino Velarde , 10. I&gt;. José María Frevre , íi). D. Guillermo Geraldino , 10. D. Lorenzo Barba , 10. Don Manuel Palacios , 10. D. Pedro Tijaite , 10. D. José Amador, 6. D…</t>
  </si>
  <si>
    <t>Velasco, Josef Sánchez</t>
  </si>
  <si>
    <t>Josef Sánchez Velasco</t>
  </si>
  <si>
    <t>amino á tnAr.o qne siguen*. * armada. - \ ■ i,-&gt; ¡ ■ -:. v Para el beneficio préstamo t^a la iglesia del lo­ gar de Barbadillo» vacante por muerte de D. Josef Sánchez Velasco, á D. Antonio de Alba, ex-agus­ TEATROS. tino calzado. Para el beneficio simple servidero llamado ra­ -Ftt'tel-rléi Príncipe, á Fas siete efe la nodfie …</t>
  </si>
  <si>
    <t>Velasco, Manuel</t>
  </si>
  <si>
    <t>Manuel Velasco</t>
  </si>
  <si>
    <t>quín do La última coluna dé los conscriptos no ha es­ Zea, D. Venceslao Prieto, IX Antonio Burriely perado para, salir á que¡ llegue el dia señalado. D. Manuel Velasco; y al coronel D. Francisco de A pesar de la gr nde extensión de este departa­ Arce, comandante gener.,1 de - artillería; y ai co­ mento-, y'¿de la dificultad p…</t>
  </si>
  <si>
    <t>Velasco, Pedro</t>
  </si>
  <si>
    <t>Pedro Velasco</t>
  </si>
  <si>
    <t>siete de la noche, se re­ mera compañía de cazadores de montaña de caba­ presentará por la compañía españólala comedia en tres llería de la Mancha á D. Pedro Velasco capitán; actos titulada la Mogigata , y el sainete el Sómbrenlo. á D. Antonio Rd teniente, y á D. León Moreno subteniente ; á D. Manuel Nnriega teniente de la En…</t>
  </si>
  <si>
    <t>bañez, vice-presidente de la junta superior de Burgos, D. Eulogio Muro, vocal de la misma, D. José Ortiz Covarrubias , intendente de la provincia , y D. Pedro Velasco, tesorero de la misma. Eos cadáveres de estos ilustres mártires de la libertad é in­ dependencia española, fueron colgados en la horca el mismo día, y continuab…</t>
  </si>
  <si>
    <t>Velasen, Manuel</t>
  </si>
  <si>
    <t>Manuel Velasen</t>
  </si>
  <si>
    <t>nda una representación al Príncipe Regente, exponiéndole el estado de miseria en que Brigadieres. se halla aquella colonia , y suplicándole ponga sus D. Manuel Velasen , segundo comandante ge­ producciones en el mismo pie en que están las de neral de la plaza de Valencia ; D. Josef Casimiro la Gran Bretaña. Lavalie, segundo í…</t>
  </si>
  <si>
    <t>Velazquez, Francisco</t>
  </si>
  <si>
    <t>Francisco Velazquez</t>
  </si>
  <si>
    <t>Bedoya , cura de Pac aran, 50. Colectado por el subdelegado de Jauja , 2334. Id. por el de Huamalies, 670 con 5. El marques de Fuente Hermosa, 1000. D. Francisco Velazquez, cura de Omas, 12. D. José Lamas, cura de Huanec , 20. — Cura y cle­ recía de la parroquia de S. Lázaro. D. Anselmo Perez de la Canal , cura de S. Lázaro, …</t>
  </si>
  <si>
    <t>ile , 400. El subdelegado de Chancay D. Ignacio de Alcázar , 50. Y otra tanta cantidad anualmente hasta la venida del rey. Doña Francisca Borda, 500. D. Francisco Velazquez , cura de Ornas, 13. D. Felipe Al varad o, 100. El presbítero D. José Fernandez, 25. Doña Ines Villalta, viuda , 100. Doña Teresa Villata, marquesa viuda …</t>
  </si>
  <si>
    <t>Veleña, Rafael</t>
  </si>
  <si>
    <t>Rafael Veleña</t>
  </si>
  <si>
    <t>..... ........................ 2200 D. Josef María Muña Pavón, id................... 2200 D. Gcrónimo de L-roir, id............. ............... 22CO D. Rafael Veleña, id................................... 2200 D. Antonio Navarro, ..subdiácono , id......... 2 2 00 D Josef Cantarero , id.................................... 220…</t>
  </si>
  <si>
    <t>Velez, María Dolores</t>
  </si>
  <si>
    <t>María Dolores Velez</t>
  </si>
  <si>
    <t>ayor de esta plaza , por uno, 9. D. Joaquín Recio y Torio por 2, 18. El teniente coronel D. Pedro Valverde por uno , 9. D. Joaquín Madan por uno , 9. Doña María Dolores Velez por uno, 9. D. Luis Amedey por uno , 9. D. Ramiro Hervías por 2 , 18. Doña Monserrate Chacón por uno , 9. D. José Matías de Azebal por 2 , 18. D. Ignaci…</t>
  </si>
  <si>
    <t>Vellas, Santiago</t>
  </si>
  <si>
    <t>Santiago Vellas</t>
  </si>
  <si>
    <t>io de Rivas , id. en Cneto?.... Sigüenza 16 de abril de 1812. = R. T.’’ lUr....................................... ............................. 2200 D. Santiago Vellas, id. en Segovia.............. 2200 D. Anselmo de las Heras , id. en id........... 2200 Madrid 18 de julio. Ex-carmelitas. Extracto de las minutas de la secret…</t>
  </si>
  <si>
    <t>Vellido, Manuel González</t>
  </si>
  <si>
    <t>Manuel González Vellido</t>
  </si>
  <si>
    <t>su dinastía Q iando esta decayó basta ei D Bernardo Garrido, id.............................. 2200 extremo, la casa dr B irbou , que se habí. e evado D Manuel González Vellido...................... 2 2co Sobre sus ruioas, ocupó ei trono esp.ñol por el D. Josef de la Vida* id.............. 2100 testamento de Cirios n. E.tablec…</t>
  </si>
  <si>
    <t>Vellmas</t>
  </si>
  <si>
    <t>s de sus antiguos campamentos. — Los funda­ dos temores de que los enemigos serian reforzados por los de Figue­ ras (loque se verificó) dio motivo al coronel Vellmas de dexar de perseguirlos; por lo que mandó la retirada, entrada ya la noche, á la villa de S. Lorenzo, y al amanecer emprendió la ruta para Tortelia. — La pérdid…</t>
  </si>
  <si>
    <t>do fue hacer 105 pri­ sioneros, y quedar muertos 290 asesinos (1) franceses, cogió 160 fusiles, 40 sables y una carga de equipages. En otro parte del comandante Vellmas al brigadier Robira se refiere qu« el dia 9 de clicho mes tuvo aquel otra acción en S. Miguel de Falgas; los sal­ teadores quedaron escarmentados, y dexaron 1…</t>
  </si>
  <si>
    <t>Velloso, Fernando</t>
  </si>
  <si>
    <t>Fernando Velloso</t>
  </si>
  <si>
    <t>meros siguientes : 15,63,36, 65 y 47. D. Luis Santiago, id. en Porcuna............... 2100 D. Mmuel Muñoz, id................................... 2200 D. Fernando Velloso, id.en Jaén............ 2200 Desengaños políticos.__ Se vende en la imprenta D. J uan Francisco de Torres, id................ 2200 reat a 3 rs. ct cxempUr. D…</t>
  </si>
  <si>
    <t>Vely-baxá</t>
  </si>
  <si>
    <t>e se bailan desda Toeplitc. principios de invierno otra fragata y una corbata. Los habitantes de la Mórea, cansados de los ro­ bos y vejaciones de su gobernador Vely-baxá , no GRAN DUCADO DE FRANCFORT. quieren reconocerle como tal por mas tiempo. En consecuencia de cito han nombrado una diputación Francfort 20 de mayo. compue…</t>
  </si>
  <si>
    <t>Vendrell, Liborio</t>
  </si>
  <si>
    <t>Liborio Vendrell</t>
  </si>
  <si>
    <t>i­ bano de la fragata Margarita , su contramaestre y tripulación, 15 con 4. Don Pablo Parera, capitán de la fragata Cárnien Nícolasa , 17. Su maestre D. Liborio Vendrell, 17. El segundo piloto D. Ignacio Ereñozaga, 12. El tercer piloto D. Feliciano Canesoltas , 10. El contramaestre y tripulación de dicho buque , 31. El escrib…</t>
  </si>
  <si>
    <t>Venegas</t>
  </si>
  <si>
    <t>tado del cuerpo . expedición,.rio; D. Wenceslao aquel país en mui mala disposición. Los conatos Prieto, subinspector de infantería del cuerpo ex­ del general Venegas serán probablemente inútiles, pedicionario ,. y segundo comandante de la van­ •y los insurgentes, hacen quanto pueden por mover guardia; D. Ramón Polo, segundo c…</t>
  </si>
  <si>
    <t>Venegas, Francisco Xavier</t>
  </si>
  <si>
    <t>Francisco Xavier Venegas</t>
  </si>
  <si>
    <t>1262</t>
  </si>
  <si>
    <t>nte patriotismo.—Dios guarde á Y. E muchos años. On­ zava 12 de Junio de 1812 á las 4 de la mañana :— Exorno. Sr.— Ciríaco de L’ano.—Excmo. Sr. virey D. Francisco Xavier Venegas.” Un sugeto distinguido de México, que por modestia oculta-su nombre , ha regalado 1150 pesos á los 4® lanceros de S. Luis, que el 29 de Mayo último …</t>
  </si>
  <si>
    <t>Venene, José</t>
  </si>
  <si>
    <t>José Venene</t>
  </si>
  <si>
    <t>FICIO. La Regencia del reyno se ha servido promover á subtenientes en el cuerpo de artillería á los caballeros cadetes D. Manuel Gutiérrez Rastillos, D. José Venene, D. José Cadenas, D. Miguel E razquio, D. Francisco Ovando, D. R^mon Lavandeyrs, D. Lázaro Viílasante, D. Francisco Leoni, D. Francisco Torrado, D. Joaquín Pczusl…</t>
  </si>
  <si>
    <t>Vengocne, Manuel</t>
  </si>
  <si>
    <t>Manuel Vengocne</t>
  </si>
  <si>
    <t>tégui., 2. D. Pablo Manco 2. D. Juan Batalla, 2. D. Tomas Portocarrero , 2. D. Francisco Zandagoza, D. Pedro Omdoranchey &gt; 2. D. Vicente Navarte , 2. D. Manuel Vengocne.a , 2. D. José Marlategui, 2. D. 'Francisco Roxas, 2. D. Gerónimo Larriva, 2. D. Manuel Zarate, 1. D. Pedro ÍJuidrobo , 2. D. Pedro González, 2. D. José Pac h…</t>
  </si>
  <si>
    <t>Ventora</t>
  </si>
  <si>
    <t>r (D. Luis), capitán de tiradores de la Daubenton (D. Pedro Josef) , teniente de grana­ guardia real. . . . deros de i» gaardia real. López Montero. (D. Ventora), ¿apitan de caba­ Doucet (D. Claudio), primer artillero de i caba- llería , y ayudante dé la plaza de Mad/id. , , llo de la guardia real. Lorésecha (D.Jpan), alcalde…</t>
  </si>
  <si>
    <t>Ventura</t>
  </si>
  <si>
    <t>to de para contener la reserva del enemigo que se puso Madrid , t.° de infantería de línea. en movimiento*, la salió entonces al encuentro; Jáuregui (D. Ventura), teniente de tiradores del volvió á derrotarla quedando dueño de sm última mismo regimiento. posición , y libre el camino qnc va á Masegoso, La mas ( D. Josef), comi…</t>
  </si>
  <si>
    <t>garlos en las casas que se destinaron para este efecto. El dia de la Vírgen empezaron á entrar las partidas del Comisario, Gómez (yerno del di­ funto D. Ventura), Garrido y Abuelo: entre todos componían una fuerza de 600 á 700 caballos. El dia 17 entro el hermano del Médico con la infan­ tería y unos 2ocf caballos. Es inexpli…</t>
  </si>
  <si>
    <t>Vera</t>
  </si>
  <si>
    <t>eral, y á cuya larmente en los de fines del año próximo pasado expresión reconoce únicamente por leí, soi sin dis­ quando se traró la proposición del diputado Vera puta uno de los primeros republicanos de la Espa­ l’ant&lt; ja ; pero es necesario á mi propósito el re­ ña. Si por monarquía entienden el imperio de las cordar algun…</t>
  </si>
  <si>
    <t>Vera, José Perez</t>
  </si>
  <si>
    <t>José Perez Vera</t>
  </si>
  <si>
    <t>digo hoy lo siguiente: ,, Enterada la Regencia del rey no de la insta acia hecha á V. S. * por el administrador de lg aduana de la villa de Codosera D. José Perez Vera sobre el abono de 765 reales y 10 mrs. de vellón, pro­ cedentes de gastos de escritorio y mas horas de despacho , y de lo que WS. propon* para evitar reclamaci…</t>
  </si>
  <si>
    <t>Vera, Manuel</t>
  </si>
  <si>
    <t>Manuel Vera</t>
  </si>
  <si>
    <t>ciales de la secretaría de cámara. D. Manuel Gallegos, 143 y 2. D. Andrés Ámezaga, 95 y 4. D. Francisco Montoya, 79 y 5. D. Dionisio Parían,, 71 y 5. D. Manuel Vera, 63 y 7. D. José Ureta, 55 y 5. D. José Castillo , 47 y 6. D. José. Cicilia, 47 y 6. D. Pedro Robles , 41 y 5. D. Manuel Solano, 41 y 5. D. José Carrillo, 63 y 6.…</t>
  </si>
  <si>
    <t>Vera, Pedro</t>
  </si>
  <si>
    <t>Pedro Vera</t>
  </si>
  <si>
    <t>D. Leandro del Castillo, corredor del número ; Taboada, ministro de los 20 y portero del cor* regidor, y un religioso gerónimo , hermano del canónigo D. Pedro Vera, que fué en lugar de este, á quien no pudieron encontrar. La voz común es que Montarco, Sotelo, Mezquita y otro3 malos españoles, han inducido á Soult á que tome e…</t>
  </si>
  <si>
    <t>Verde, Juan</t>
  </si>
  <si>
    <t>Juan Verde</t>
  </si>
  <si>
    <t>calles; pero ft¡é en vano, porque atacados por nuestras tropas tuvieron que huir, dexando en nuestro poder las 5 piezas, 400 muertos , entre ellos el capitán Juan Verde, muchas armas y caballos ensillados , y vanas muías cargadas de los efectos robados en los pueblos inmediatos. Noticia de las operaciones de la división del m…</t>
  </si>
  <si>
    <t>Verdejo, Cieto</t>
  </si>
  <si>
    <t>Cieto Verdejo</t>
  </si>
  <si>
    <t>3Í7 ciones del cura B. José Tomas déla Serrada y del vicario D. Cieto Verdejo, que había armado 170 negros, lograron en breve arrojar á Valdés del pueblo, y perseguirlo hasta elbaxo de Chicometepeque , en donde se hallaba atrincherado el dia 17 con solo 200 á oOO hom</t>
  </si>
  <si>
    <t>Verdier</t>
  </si>
  <si>
    <t>ue se puede entender funestas á N¿.paleen. En la primera perdió este, aegun su cómputo, 1CC0 hombres, habiendo quedado bcride» el duque de R gg o, el general Verdier y el general b?v&amp;ro D rey; y eo la segunda irgala su pérdida en bOO muertos y 2600 heridos, contándose entre los primaros el general Gudin. Se esperan les bole­ …</t>
  </si>
  <si>
    <t>Verdisr</t>
  </si>
  <si>
    <t>este accidente. El general Gouvion St. Cyr tomó él mando del segundo y sexto cuer­ po. El 17 en la tarde el enemigo se retiró por el desfiladero: el general Verdisr fue herido, y le sucedió en el mando el general Maisor, que fue reconocido como general de división. Nuestra perdida se computa en 1® hombres entre muertos y heri…</t>
  </si>
  <si>
    <t>Verdugo, Hilario García</t>
  </si>
  <si>
    <t>Hilario García Verdugo</t>
  </si>
  <si>
    <t>. Pedro Milliard, y D. Hngó para que sirva en encomienda y, por iguales partes D’Hame, sargento primero, á subteniente en reem­ con el ex- mercenario D. Hilario García Verdugo, plazo de D. Esteban Forestier. ' ; nombrado por otro decreto de a6 de .noviembre de 1811 , el beneficio de la parroquia de la villa Por decreto.de 17 …</t>
  </si>
  <si>
    <t>Verdugo, José García</t>
  </si>
  <si>
    <t>José García Verdugo</t>
  </si>
  <si>
    <t>volunta­ rios distinguidos de Cádiz; los de capitanes á D. José Pórtela . Dolí Jaciuto Alvarez del Pazo, D. Ramón Miguel de Soto, D. Pedro Roullosa, D. José García Verdugo, D. Pedro José Pórtela, D Francis­ co Rodríguez, D. Rosendo Lagoa, D* Xavier Perez Címbrelo y D. Manuel Fernandez; los de ayudantes mayores á D Francisco C…</t>
  </si>
  <si>
    <t>Vergada, Josef</t>
  </si>
  <si>
    <t>Josef Vergada</t>
  </si>
  <si>
    <t>8ti fren con las depredaciones de los berberiscos. (The D. Josef Vergada, caballero maestrante idem. Times.) E marques de la Vega,, barón de Cheste, Hemos recibido gazetas de Nueva-Yorck , que genti.hombre de cámara de Sr M. llegan hasta el 19 de marzo. El baTon</t>
  </si>
  <si>
    <t>Vergara, Antonio</t>
  </si>
  <si>
    <t>Antonio Vergara</t>
  </si>
  <si>
    <t>16200 director de los j trdir.es'de Roma: se ie espera aquí Doñ. Eusebia Conde por medio de su mui pronto, y entonces comenzarán con nueva ac­ ma'ijo D. Antonio Vergara.............. i8oco tividad las obras proyectadas para los jardines. Es­ D ña D miaña Valentín.......................... 22000 20 perantos también de París un…</t>
  </si>
  <si>
    <t>Vergara, Francisco</t>
  </si>
  <si>
    <t>Francisco Vergara</t>
  </si>
  <si>
    <t>convoyes.” Continúan los donativos del Perú, Den Francisco Maeda, cura de Cañete , 100 pesos fuertes. El deán y cabildo de esta santa iglesia , 6000. D. Francisco Vergara, capitán de la fragata Mercedes, 80. La tripulación de dicho buque, 21 y 6. Ei capitán y tripulación de la fragata Joven María, 25 y 2. D. Santiago Garagorr…</t>
  </si>
  <si>
    <t>Vergara, José</t>
  </si>
  <si>
    <t>José Vergara</t>
  </si>
  <si>
    <t>ión , 93 y G. La dotación del corsario Flecha, 76 y 4. D. Juan del Pino Manrique , oidor de esta real audiencia, 395.— Curas y feligresía de Huanaco. D. José Vergara , cura de Sta. María del Valle, 100. JA Gaspar Aynath , cura de Huanaco , 109. Don llamón Moreno, cura de id. 50. 10. José /avala , 10. IX José Metieses , 6. 10.…</t>
  </si>
  <si>
    <t>Vesruva</t>
  </si>
  <si>
    <t>uminación que hubo ayer noche fue de lás nedas una Tomana de plata. En el anverso tiene el mas magníficas yf pintorescas que se pueden ver. busto del Emperador Vesruva o con la siguiente Delante del hermosa puente&lt; del Elba bahía seis inscripción: Cacsar Vespasianas, y en el reverso obeliscos de 38 pies de altura , de los qua…</t>
  </si>
  <si>
    <t>Vetez, Francisco Delgado</t>
  </si>
  <si>
    <t>Francisco Delgado Vetez</t>
  </si>
  <si>
    <t>scual de la Peña, id., 9. D. Vicente Santurio, id., 9. D. Manuel Amable , id., 9. D. José Rabeyro, por 4 , 36. D* Manuel Ruiz y compañía, por uno, 9. D. Francisco Delgado Vetez, id., 9. D. Manuel Urueta, por 4, 36. D. Francisco Polo , por uno, 9. D. Antonio Duarte , id., 9. D. José Perera, id., 9. D. Bonifacio Tariego, id., 9…</t>
  </si>
  <si>
    <t>Vetkerall</t>
  </si>
  <si>
    <t>el del rio, y el mayor Tule fué destinado á atacar el cuerpo situado en Campong-Maylay al O. del rio : el resto del exército, á las órdenes del mayor general Vetkerall, debía ocupar sus baterías, desde las cua­ jes una columna, al mando del coronel Vood , debía asaltar el fíen­ te de la línea enemiga. En el momento del ataque…</t>
  </si>
  <si>
    <t>Vexijar, Josef</t>
  </si>
  <si>
    <t>Josef Vexijar</t>
  </si>
  <si>
    <t>Manuel Bujalance, de tiradores. D. Juan de Tienda. Tenientes. D. Josef Joaquín Henares. D. Vicente Ort'z y Alguacil. D. Pedro Atiza. D. Juan Pioeda. D. Josef Vexijar. Subtenientes. D. Josef de Osuna y Quadra. D. Andrés Padillo. D. Félix María Carrillo. D. Pedro Perez Garnacha. Subtenientes. art. vi. En la villa de Valenzaela …</t>
  </si>
  <si>
    <t>Vhuille</t>
  </si>
  <si>
    <t>imientos con el general CaíTdr.eiH , á fin de destruir á Mina, sus almacenes, tomarle los cañones , y en fin disiparle y destruirle. Pre­ vendréis al general Vhuille, que manda en Bayona, de los moví-’</t>
  </si>
  <si>
    <t>Vi, Francisco</t>
  </si>
  <si>
    <t>Francisco Vi</t>
  </si>
  <si>
    <t>rral, id., por 5, 45. El teniente coronel D. José María Seidel y Tañares, id., por 3,27. D. Juan Ignacio Rendon, anuales, 50. Ei capitán D. Joaquín y D. Francisco Vi giU vecinos de la villa de Saiiti-Spiritv.s, por uno durante la guerra, 9. D. Ber­ nardo García, por un año , al mes, 5. El doctor D. Juan Perez Delgado, por uno…</t>
  </si>
  <si>
    <t>Vi, Jutn</t>
  </si>
  <si>
    <t>Jutn Vi</t>
  </si>
  <si>
    <t>...... 2 2co Sobre sus ruioas, ocupó ei trono esp.ñol por el D. Josef de la Vida* id.............. 2100 testamento de Cirios n. E.tablecidt una nueva D. Jutn Vi iarejj, id................ *200 dinastía en Francia sobre el trono de los B irbones» D. Andrés Peinado, id. en Jaén.................. 2200 todos los políticos sensato…</t>
  </si>
  <si>
    <t>Vi, Nicolás</t>
  </si>
  <si>
    <t>Nicolás Vi</t>
  </si>
  <si>
    <t>rio exacto de las armas y demas efectos mi­ dos compañías los individuos siguientes: litares depositados en la torre Je Londres, y que Para capitanes D. Nicolás Vi banco y D. Jnait se harán nuevos reglamentos para que en lo suce­ Antonio Teron; para tenientes D. Isidro, Escobar sivo esten dichos efectos en el mejor estado pos…</t>
  </si>
  <si>
    <t>Vi, Pedro</t>
  </si>
  <si>
    <t>Pedro Vi</t>
  </si>
  <si>
    <t>........ 15778 Las últimas cartas de Belgrado anuncian que D. Tadeo G mzalez Mateo...... . -I5 000 las tropas servias se h in pne&lt;to en movimiento ea D. Pedro Vi lart........................... 3j° todos los puntos ¡nmediaros á las fronteras , con D. Josef Montero-de la Gaucha.- 428 tá motivo, &gt;r,;OB parece , de¡ que ha hecho…</t>
  </si>
  <si>
    <t>Vi-en</t>
  </si>
  <si>
    <t>el cnntej &gt; de prefec­ *e limitan á esto solo las pérdidas de la Irlanda: tura en la de Granada; y á D. Di go Coeilo de Portugal, D- Francisco Adam y D. Vi-en te Tor­ Íinvada de la presencia de las familias nobles que a hacían respetable y le daban exemplos de virtu­ res individuos del consejo de prefectura en la de des, el r…</t>
  </si>
  <si>
    <t>Vial</t>
  </si>
  <si>
    <t>D. Manuel Baroja. . ' berana, gentilhombre de cámara, y á'D. Gabriel Y para obtener en encomienda á. los ex-regu­ de "Vial y Asenjo, hijo del difunto coronel Vial. lares siguientes: D. Juan Alzaybar, presbítero, ex-mercenario Por decreto de xx del niismo S. M. ha promo­ calzado, para la prestamerade Cevico de la Tor­ vido en …</t>
  </si>
  <si>
    <t>Viamonte, Francisco</t>
  </si>
  <si>
    <t>Francisco Viamonte</t>
  </si>
  <si>
    <t>e fusileros á D. Juan Agilitar, D. Lorenzo de Avila, 0. Salva­ dor Morejon y D Francisco Seidel; y á subtenientes de bandera á D. Faustino Figueroa , D. Francisco Viamonte, D. Francisco Cortazar y D. Salvador déla Luz. En el de la Luisíana, á sargento ma­ yor á D. L ids Piernas; á capitanes de granaderos á D. José Carrizosa y…</t>
  </si>
  <si>
    <t>Viana, Francisca</t>
  </si>
  <si>
    <t>Francisca Viana</t>
  </si>
  <si>
    <t>a Juana María de Jáuregui, 20. D. Juan Quiñones , 25. — Ministe­ rio de real hacienda. El ministro contador D. Fernando ¿ambraoo , por sí y su esposa Doña Francisca Viana,tres mesadas de su actual sueldo que im­ portan , 615 y 1 y tres cuartos rs. El ministro tesorero interino D. Domingo de las Casas una mesada. D. Vicente Pe…</t>
  </si>
  <si>
    <t>Vianguet, Antoni</t>
  </si>
  <si>
    <t>Antoni Vianguet</t>
  </si>
  <si>
    <t>anaderos en el regimiento de infantería de BuenosAyres á D. José Piris, y de fusileros á D. Francisco de Reguera Pérez, D. Francisco de Vera primero, D. Antoni» Vianguet, Don José Francisco de Vera, D. José Vila y D. Juan Crisóstomo Mar­ tínez ; la ayudantía del primer batallón á D. Juan de Palma; tenen­ cias, de granaderos á…</t>
  </si>
  <si>
    <t>Viangui, José</t>
  </si>
  <si>
    <t>José Viangui</t>
  </si>
  <si>
    <t>alma; tenen­ cias, de granaderos á D. Bartolomé Carvajal, y de fusileros á Don Juan González de Caldas, D. Ignacio Cal?o, D. Alexandro de ios Reyes , D José Viangui, D. Ambrosio Agustín, D. José de los Ríos y D. Manuel Aivarez de Navia; subtenencia de granaderos á D. José: González; de fusileros á D. José Ramón Moreno, D. Jos…</t>
  </si>
  <si>
    <t>Viasma</t>
  </si>
  <si>
    <t>uar- serenidad y denuedo. El coronel del 26." de infan­ tel general imperial estaba el 1.° de noviembre en tería ligera Gueheneuc salió herido, y e! -mariscal Viasma, y el 9 en Smolensko. Ha hecho un tiem­ Saint-Cyr lo fue también en un pie de un balazo. po hermoso hasta el 6; pero el 7 empezó el in­ Ha venido á sucederte el …</t>
  </si>
  <si>
    <t>Vicario, Juan Iñigo</t>
  </si>
  <si>
    <t>Juan Iñigo Vicario</t>
  </si>
  <si>
    <t>en las pro­ das de biX '.s intereses personales, se introducían visiones del exé'CÍto............................ 2666 en las casas para promoverlos. D. Juan Iñigo Vicario, oficial de la La pra; mítica de, 171.6, á qce dió ocasión el conraduri.í d - propio'......................... 2 ICO matrimonio Jel infante D. Luis, se esc…</t>
  </si>
  <si>
    <t>Vicario, Víctor</t>
  </si>
  <si>
    <t>Víctor Vicario</t>
  </si>
  <si>
    <t>uñoz de ja Vega. media. Señoras M aria García . Rosario García y Tor­ D. Juan Santiago Perez., res. Señores Infantes, Cristiani, Avecillafy. Sfiarez. D. Víctor Vicario. En el de la Cruz, á las quatro y media de la larde, Secretario ce ejecutará la comedia titulada el Hdn'rido labrador, D. Sebaitiaq Ocaiqui. , con tonadilla y …</t>
  </si>
  <si>
    <t>Vicenre</t>
  </si>
  <si>
    <t>llas se tirotea­ ron con las del enemigo; evacuado por este el pueblo de Albacete , entró Bascourt, y salieron á recibirle el ex-asistente de‘Sevilla D. Vicenre de flo­ re, el general D. Juan Alvarez, el coronel de ingenieros Rifa, y varios oíi^ (*) Véase el Conciso del jo de julio &gt; art. Orates.</t>
  </si>
  <si>
    <t>Vicent</t>
  </si>
  <si>
    <t>vacante por muerte de D. Die^o de Fernando V ,qtie se ha puesto en la-plaza del Pes­ Landibar. 0 cado sobre un pedestal. Estos principios anuncian A D. Vicent.e Alvares Santullano , presbítero, felices progresos para en adelante, y la municipali­ para la media ración que 4?xó vacante en la santa dad encuentra en el zefo pater…</t>
  </si>
  <si>
    <t>Vicente</t>
  </si>
  <si>
    <t>­ pués murió (2). Desperes de esto Galiano mandó mos crímenes que Cano Manuel. Su difunto hermano comparecer á la señora viuda de Tílli, la que efec­ D. Vicente juró en Bayoiü , firmó la constitución , y tivamente se mostró parte en la causa, y estaba exerció el empleo de tesorero general. Ambos se esca­ dispoesta á responder…</t>
  </si>
  <si>
    <t>Moyua y Mazar re do (D. Roque) , presidente del Silvestre (D. Vicente), médico comultor del excrtribunal criminal de GuadaUxara. cito. Monasterio Díaz ( Ó. Leandro ) f presbítero, ex- St. Priest (D. Agustín), comandante de eíqoadron bcnedictioo, administrador</t>
  </si>
  <si>
    <t>, barón del imperio, couiaudaute de la D. Josef García, teniente, á capitán de la seattilletía del exército =Valée.” nuDda compañía, en ia vacante de D. Vicente verdura. ESPAÑA f. D.Jul iao González Viejo, subteniente, á te­ niente de la misma compañía, en la vacautede Don Josef García, Granada 18 de febrero. ; D.J lian Manue…</t>
  </si>
  <si>
    <t>fael), teniente de cazadores de moafigurada , y vivos amarillos á los costados. taña de. Avila. Maleta de paño también azul con los mismos Touailion (D. Vicente), subteniente del regimien­ vivos. to de tiradores de la guardia real. Chacó con placa y cabos blancos como el Valera (Marques de), caballero maestrante del Jbotou. r…</t>
  </si>
  <si>
    <t>tribunal real del consu­ lado de los individuos del comercio de Lima, 32004 con 4. Una religiosa del convento de Trinitarias de aquella capital , 25. D. Vicente, de los Toyos , 40., Colectado en Piura por su subdelegado, 1965. Remitido por dicho subdele­ gado , recogido en el partido, nu tejo de oro de media libra. D. Francis…</t>
  </si>
  <si>
    <t>Vicente, Antonio</t>
  </si>
  <si>
    <t>Antonio Vicente</t>
  </si>
  <si>
    <t>rdia Toledano (D. Francisco Xavier), ayudante pri­ real. mero de ia guardia cívica de Madrid. Morln (D. Luis), ayudante mayor dd regimieu- Torralbo ( D. Antonio Vicente), corregidor de la ta de caballas ligeros de la guardia real. _ villa, de Priego. Náchon ( D. Nicolás), ayudante mayor de gra­ Torres (D. Juan), cabo del regi…</t>
  </si>
  <si>
    <t>Vicente, Nicolás</t>
  </si>
  <si>
    <t>Nicolás Vicente</t>
  </si>
  <si>
    <t>de fusileros dé-’U *►Beche (D. Francisco), tsa-gít.t.v segur.,in de gra-, guardi* ., naderes dtl rtqímienfo Real í xíi .ií¿cVó.:;:' 1 1 Ezsérri'p.» ( D. Nicolás Vicente de), limosnero de Belefia ( D. Josef) , reiiiente y habí iRavvrH4 regí * S. M., y canciller de ia insigne órJen del Toimienta nóm. i.° de cazadores á cabafló.…</t>
  </si>
  <si>
    <t>Vicente, Pedro</t>
  </si>
  <si>
    <t>Pedro Vicente</t>
  </si>
  <si>
    <t>s ±4 de enero. Él conde Artnildez de Toledo. Brigadieres. Estado aproximado de los principales efectos de artillería existentes en la plaza de Valen­ D. Pedro Vicente, el conde de Peñaslote, el cia al tiempo de su rendición en $ de enere de marques de Crnillas, D. Henrique Matalinares. j8i 1. Coroneles ir, tenientes coroneles…</t>
  </si>
  <si>
    <t>Vill^garcia (D. Nicolás), cipitan de cazadores de lidad de Madrid , y director de la real academia la cdmpaníi de Gnadalaxara. de las Artes. Xareño ( D. Pedro Vicente ), visitador general Penin (D. Josef), zapador del regimiento de gra­ de rentas, y director de los resgaardos marítimos naderos de la guardia real. y terrestres…</t>
  </si>
  <si>
    <t>Vicentp</t>
  </si>
  <si>
    <t>. Ve coa in­ Guillermo Zagas», presbítero, para una capella­ dignación á sus propios oficiales forzados por la nía de coro de,la iglesia de Toledo; á D. Vicentp clemencia inglesa á condenar á sos conciudadanos, Gil, presbítero , ex-mercenario calzado , para una y tiene que disimular ; se contenta con vengar ar­ capellanía de …</t>
  </si>
  <si>
    <t>Víctor</t>
  </si>
  <si>
    <t>or perdido y las piezas de pequeño calibre. Se les signe el alcance, y mé han presentado hasta ahora 80 prisioneros. El cielo te; ia decretado que el general Víctor ho había de ser vencedor. Después de 17 dias de sitio y 7 de brecha practica­ ble, la que asaltaron sus tropas al segundo, fueron estas rechazadas con pérdida, se…</t>
  </si>
  <si>
    <t>as, ademas de las que están delante da se han extendido por la llanura de VtXar, fuego de qu..tro obuses ■ y de otras piezas de pe­ en donde tiene el mariscal Víctor su quartel gene­ queño calibre. Duró el fuego de los enemigos h.sca. ral, con un considerable cuerpo de tropas. Desde anochecer , y todaí las balas daban contra …</t>
  </si>
  <si>
    <t>Victor</t>
  </si>
  <si>
    <t>ex­ perimentado los nuestros por su parte otro daño que el de un ca­ ballo herido. T&gt;e¡ 7 de marzo. Según escriben de lo interior de la provincia, el mariscal Victor llegó á Santacruz el 1S del pasado al anochecer, de camino para Madrid. Fue recibido con repique de campanas, y el clero y la municipalidad salió á esperarle á l…</t>
  </si>
  <si>
    <t>eneral Dorsenne, que iba destinado á Navarra con un cuerpo numeroso de tropas , y antes de llegar á Pamplona recibió orden de pasar á Francia. Con el mariscal Víctor, que llegó el 25 de este mes, vinieron también los generales de división Girard y Belair, el de brigada Briche, 5 coroneles, 3 comandantes de batallen, 3 tenient…</t>
  </si>
  <si>
    <t>Bnitrago, como habían aparentadlo, sino por el de Guadarrama, sin duda para evitar los ataques,-y frustrar los planes de las guerrillas. En él va el mariscal Víctor, y varias señoras y fa­ milias españolas. Se compone de 10 coches y 35 carros, baxo la es­ colta de 300 dragones, 30 húsares y 600 infantes. Otro convoy salió el …</t>
  </si>
  <si>
    <t>do 80 de ellos y haciendo 40 prisioneros, inclusos dos oficiales. En el puerto de Guadarrama ha sido cogido por una partida de patriotas un coche del mariscal Víctor, que iba por aquel camino mientras el mariscal seguia por el de la Fonfria. Se dice que iba en el coche una porción considerable de alhajas y dinero , y que la p…</t>
  </si>
  <si>
    <t>l traydor Mesa, que mandó arcabucear ai uno, y arrancar al otro vi­ vo la lengua. Burgos SI de mar so. SI dia 14 salió de «sta ciudad para Francia el mariscal Víctor con otros tres generales, y un convoy numeroso, en que van muchas familias españolas que se retiran de Madrid. El 16 llegó otra parte de la caravana, que se habí…</t>
  </si>
  <si>
    <t>erzo de consideración para los franceses de Sou-’t. Pero todo ello se reducía á 500 infantes y unos 40 caballos de los que habían ido es­ coltando al mariscal Víctor. El convoy se componía de 56 carr&lt;?3 comunes y 58 carros largos de Bayona, en que iban 14000 unifor­ mes, 4000 pares de botas y provisión de zapatos. Acompañaban…</t>
  </si>
  <si>
    <t>ancia. EL plan adoptado por les rures pa­ rece ser dexar á los franceses que tomen posesión del teiritcrio de­ vastado entre el Niemen y el Duina. El general Víctor, que mandaba en España el primer cuerpo de exército, destinado á guarnecer las líneas establecidas enfrente de la isla de León, manda ahora el noveno que se compo…</t>
  </si>
  <si>
    <t>Víctores, Santiago</t>
  </si>
  <si>
    <t>Santiago Víctores</t>
  </si>
  <si>
    <t>Teresa Ortega y 'Páralos, J00. El ttNÍente co­ ronel D José Carbó , 200. D Dionisio Fascardo , ,6. ©. Bernardo Roca, 500. T). Domingo Ordeñana, 500. D. Santiago Víctores , .500. D. José María Luzeaudo , auditor de guerra, 200. D. Martin de Icasa, 1000 Doña Jacin­ ta Olave, 50. D. José Crespo, 25. D. Manuel Franco , 60. D- Jua…</t>
  </si>
  <si>
    <t>Victori</t>
  </si>
  <si>
    <t>-ano en los bino* de Tito. Con la demolición del con­ D. Francisco Daba jo Hidalgo por.......... 7200 vento del Espíritu Santo ha quedado una hermosa Doña Victori., Gómez de la Higuera, plaza en aquel terreno, la que se ensanchará aun madre de D &gt;ña Manuela de i.» Latría. 5 4°° mas luego que acabe de derribarse el templo de D…</t>
  </si>
  <si>
    <t>Victoria</t>
  </si>
  <si>
    <t>divisiones se me elogia el celo con que sirvieron los oficiales em­ pleados en esta clase de servicio, quedando heridos los mas de ellos. ,,E1 mayor general Victoria , gobernador de Yelves, y las tropas de su mando han hecho cuanto estaba en su poder para contribuí* ai logro de la empresa.</t>
  </si>
  <si>
    <t>Victoria, Carlos</t>
  </si>
  <si>
    <t>Carlos Victoria</t>
  </si>
  <si>
    <t>Zapatero, de artillaría ; D. Mariano Goicoechea y Urrutia , teniente de ingenieros ; D. Fíorencio Cerutti, alférez de reales guardias esp~;ño­ las ; D. Carlos Victoria, de caballería del Infante; D. Antonio Ta­ hona , del batallón de la Victoria ; D. Francisco Gamboa, del regi­ miento de Sigilenza, graduado de teniente corone…</t>
  </si>
  <si>
    <t>Victoria, Salvador</t>
  </si>
  <si>
    <t>Salvador Victoria</t>
  </si>
  <si>
    <t>5. D. Gerónimo N. , 10. José Severino, 10. Individuos de mar. El capitán y tripulación de la fragata Tránsito, 22 y 4. Eí capitán de la fragata Tria! D. Salvador Victoria, 17. Su tripulación , 21 y 4. Ei capitán del bergan­ tín Bo] ero D. Joaquín Fernandez Torres con su tripulación , 18 y 2. La tripu­ lación de la goleta Sta.…</t>
  </si>
  <si>
    <t>Vid, Manuel Lorenzo</t>
  </si>
  <si>
    <t>Manuel Lorenzo Vid</t>
  </si>
  <si>
    <t>oguera , portero de la calle, 33. D. Ignacio Cisne ros Merino, 33. —E! monasterio de Sta. Catalina, 109. D. Domingo Ramírez de Arel Inno , 2000. J)r. D. Manuel Lorenzo Vid turre , por tres meses de su oferta durante la guerra , 150. I). Francisco de Borja Zu­ rita y Ver gara, prebendado de la Sta. iglesia de Truxillo, 200. D.…</t>
  </si>
  <si>
    <t>Vidal, Félix</t>
  </si>
  <si>
    <t>Félix Vidal</t>
  </si>
  <si>
    <t>donativos del Perú.. i D. Manuel Qcampo, 6 pesos fuertes. .Taime ©eltrárt ,4,b. Francisco 1.0pez , 4 r^. D. tibaldo Aranda , 1. D Juan de Aranda , 1. D. Félix Vidal,'4' rs. i). Vicente Dul#»nto.,j. Clara Reyes , lv Férm¡rv López , 2. I). «Francisco Flo­ res , 2. D. Manuel Arguelles , 2- •, Joaquiti .Rerez , 4 rs. ¡ José Espin…</t>
  </si>
  <si>
    <t>Vidal, Joré</t>
  </si>
  <si>
    <t>Joré Vidal</t>
  </si>
  <si>
    <t>... D. Mariano Sánchez............. 1 Otro • • • • i O. Félix Basiane.................... 1 Otro * . . . . D' Jitc Redi... .. ...... l ''Sarg. may» r D. Joré Vidal...................... 1 Captan i.° D. Manuel Lia ño............. .. . 1 Otro • • • • » í). Francisco Csrme;............ 1 Capitán 2.°. D Juan Magrñan. ...... 1 A; …</t>
  </si>
  <si>
    <t>Vidal, José Návarro</t>
  </si>
  <si>
    <t>José Návarro Vidal</t>
  </si>
  <si>
    <t>e su recaudación, y destinar el producto á los fines mas urgentes de su instituto.” — A prepuesta del consejo de estado se ha servido S. A. nombrar á D José Návarro Vidal para la plaza que en el tribunal de justi­ cia se halla vacante por promoción de D. Antonio Cano Manuel al ministerio de gracia y justicia, v para las secre…</t>
  </si>
  <si>
    <t>Vidasolo, José Antonio</t>
  </si>
  <si>
    <t>José Antonio Vidasolo</t>
  </si>
  <si>
    <t>o, 12. D. Bernardo Soto, 10. D. Juan Falencia, 50. D. Pedro Montaivo , 10. D. Antonio Hernández , 10. B. Domingo Palacios, 10. D. Ramón Saiazar, 12. D. José Antonio Vidasolo, 25. D. Pe iro Au ionio de Casas, campanero de minas , 400. D. José Moreno , 10. D. Francisco Frevre, 100. D. losé Torres , 50. D. Espíritu Arrieta , 50.…</t>
  </si>
  <si>
    <t>Vidaurre, Manuel</t>
  </si>
  <si>
    <t>Manuel Vidaurre</t>
  </si>
  <si>
    <t>coronel conde de Premio-real, oficiales y tropa del batallón de Li­ ma , 8-&lt;22. D. Juan de Socornal, 500. D. José Antonio Sarria , 200. El ahoga­ do D. Manuel Vidaurre, por lo respectivo á marzo , 50. La caxa general d« censos de indios , 25000. — Clerecía de S. Sebastian. D. Manuel Pozo, cape­ llán de Nazarenas, 12. ( Se con…</t>
  </si>
  <si>
    <t>3 cabos y 16 soldados de id. , 118 Las com­ pañías de milicias v detnas vecindario fie aquel pueblo , 49 con 2. El cabil­ do de naturales , 2 con 4. D. Manuel Vidaurre, abogado de la audiencia de Limi , oor 9 ni-se? á razón de 5!) pesos mensuales durante la guerra, 450. El coronel y comandante de ingenieros , por la asignació…</t>
  </si>
  <si>
    <t>Vidurrisaga, José</t>
  </si>
  <si>
    <t>José Vidurrisaga</t>
  </si>
  <si>
    <t>Ignacio Prado , 50. EÍ alférez real D. Manuel Bernospi , 10O. El alcalde provisional D. Pedro Antonio Echegolien , coronel , 100. El regi­ dor decano D. José Vidurrisaga , teniente coronel , 50. Id. D. Cayetano Ar­ rima , 50. id. D. Juan Antonio Navarro , 10. Id. D. Juan José Crespo y Cas» tillo, 10. (Se continuará.) J"U I &gt; …</t>
  </si>
  <si>
    <t>Viejo, Julián González</t>
  </si>
  <si>
    <t>Julián González Viejo</t>
  </si>
  <si>
    <t>á te­ niente de la misma compañía, en la vacautede Don Josef García, Granada 18 de febrero. ; D.J lian Manuel Mayoralá subteniente, en re­ emplazo de D. Julián González Viejo, El señor conde Leval, general del quarto cuer­ D- Eitéban Peña á subteniente de la quartü po, con fecha de 17 del corriente, da parte ai sé- compañía, …</t>
  </si>
  <si>
    <t>Viejo, Ramón</t>
  </si>
  <si>
    <t>Ramón Viejo</t>
  </si>
  <si>
    <t>de ¡as minutas de la secretaría de Es­ art. v. En la milicia cívica de Guadaíaxara tado. quedan promovidos En nuestro palacio de Madrid á 8 de enero D. Ramón Viejo, subteniente, á tenietite de de 181 2. la quarta compañía, en reemplazo de D. Manuel Don Josef Napoleón por la gracia de Dios y Benito Manso. por la cotiuitucion®¿…</t>
  </si>
  <si>
    <t>Viertes, Joaquin</t>
  </si>
  <si>
    <t>Joaquin Viertes</t>
  </si>
  <si>
    <t>Í252 la cima ni guarnecida de tropa , dispuso Henriquez que las guerrilla» al mando del capitán graduado D. Felipe Lili, el de igual clase D Joaquin Viertes y el subteniente D. Manuel Santa Marina, y el teniente O. Vicente Filisola con su subalterno, principiasen á subir, habiendo situado en otros puntos diversas partidas. Ve…</t>
  </si>
  <si>
    <t>Vige, Froylan</t>
  </si>
  <si>
    <t>Froylan Vige</t>
  </si>
  <si>
    <t>cargos, que.son diminutos todos los términos'que ;emplee en su recomendación ; pero la merece muy particular el sar­ gento mayor dei batallón de Lena D. Froylan Vige, que con las 4 compañías de cazadores de estos batallones, sus auxiliares D. Vi­ cente Sánchez, de Cataluña, D. Bernardo García , de Lena , D. Jo­ sé Duran de Si…</t>
  </si>
  <si>
    <t>Vigil, Josef</t>
  </si>
  <si>
    <t>Josef Vigil</t>
  </si>
  <si>
    <t>.............. 1148 4 ESPAÑA. D. Fernando Gómez Lozano............... sí. 5 73 9 D. Manuel López Ccrredo.................. 744 24 Madrid 03 de junio. D. Josef Vigil............ ........................... 723 24 Extracto de las minutas de la secretaría de D. Baltasar de Ostabat............ 4093 27 Estado. D. Manuel Pavía.....…</t>
  </si>
  <si>
    <t>Vigneron</t>
  </si>
  <si>
    <t>d de los estados, por D. Fran­ y rr uih s fraile». Nosotros tuvimos un muerto / cisco de Paula González de Candamo. Se hallará en quairn lloridos. El Capitán Vigneron, comandante la librería de Quiroga, calle de las Carretas, núm. 1, de nuestras tropas , ha dado en esta ocasión prue* á ¿ rs. vu. en rústica. fe.s de vig&lt; ry de…</t>
  </si>
  <si>
    <t>Vigodet</t>
  </si>
  <si>
    <t>de Montevideo y varias cartas parti­ gra mucha gente, y stí va á Montevideo. No obs­ culares, y de ellas hemos extractado lo siguiente: tante esto el general Vigodet, gobernador interino Buenos-Aires 2j de diciembre de 1811. Pa­ de Montevideo , continúa entendiéndose con la jun­ rece que. los habitantes de Montevideo no están…</t>
  </si>
  <si>
    <t>ViHena, Antonio</t>
  </si>
  <si>
    <t>Antonio ViHena</t>
  </si>
  <si>
    <t>mas m vista de la deca­ 00'................................................................ 2 200 dencia á que habiá llegado la nacían: solo se dis­ D. Antonio ViHena , id................................ 2200 curría sobre el modo con que se efectuaría esta mu­ D. Josef Pascasio de Santa C.ur., id. en danza tan indispensable c…</t>
  </si>
  <si>
    <t>Vihuela, Don Benito</t>
  </si>
  <si>
    <t>Don Benito Vihuela</t>
  </si>
  <si>
    <t>al segundo batallón de Voluntarios de Aragón D. Josef Mallen , el ayudante primero dél estado mayor D. Josef Rebes, y el capitaadel regimiento de la Princesa Don Benito Vihuela, mi ayudante de campo, porque han llenado su deber á toda mi satisfacción. „ La memoria del capitán de la Princesa D. Baltasar Araujo, oficial de much…</t>
  </si>
  <si>
    <t>VII, FERNANDO</t>
  </si>
  <si>
    <t>FERNANDO VII</t>
  </si>
  <si>
    <t>1,42 D. FERNANDO VII, por la gracia de Dios y por la Constitución de la monarquía española Rey de las Esp inas, y en su ausencia y cautividad la Regencia del reyno nombrada por las Cortes generales y extraordin</t>
  </si>
  <si>
    <t>bre. Las Cortes generales y extraordinarias acaban de ratificar el siguiente tratado de amistad, unión y alianza entre España y Rusia,,S. M. Católica D. FERNANDO VII, Rey de España y de las Indias, y S. M. el Emperador de todas las Rusias, igualmente animados del deseo de restablecer y fortificar las antiguas relaciones de am…</t>
  </si>
  <si>
    <t>han jurado guerra eterna á los tiranos, y morir antes que rendirles vasallageLa R egenci.i del rey no se ha servido expedir el decreto que; signe: ,, D. FERNANDO VII , por la gracia de Dios y por la Constitución de la monarquía española Rey de las Es pañas, y en su ausencia y cautividad la Regencia del rey no nombrada por las…</t>
  </si>
  <si>
    <t>papeles cogidos: á Moreios en la cloaca de Amílpa se halló un oficio que la junta de Gitacuaro le habia dirigido, avisándole que el recono­ cer al Sn D. FERNANDO VII era solamente con el objeto de hacerse par­ tido entre europeos y americanos, lo que duraría hasta que llegase ei tiempo de quitar ilusiones.</t>
  </si>
  <si>
    <t>ón de villa, que para el efecto se habia adornado vistosamente, siendo su principal ornato un hermoso y bello retrato de nuestro amado Monarca el Sr. D. FERNANDO VII, el secretario de ayuntamiento dio principio á la lectura de la Constitución, laque continuó por espacio de dos horas y media en clara é inteligible voz. Era tal…</t>
  </si>
  <si>
    <t>272</t>
  </si>
  <si>
    <t>272 „ D. FERNANDO VII, por la gracia de Dios y por la Constitución de la monarquía española Rey de las Españas, y en su ausencia y cautividad la Regencia del reyno nombrada por las Cortes generales y extraordina</t>
  </si>
  <si>
    <t>Viííecampa</t>
  </si>
  <si>
    <t>44 3 salido de Calatayud, y se apresuraba al socorro de su compañero Pannetier; pero ]a diligencia del general Viííecampa frustró sus de­ signios : los prisioneros caminaban ya hácia Alicante , y aunque pa­ rece que el enemigo tuvo intento de libettarlos, siguiendo su marcha, le contuvo la firmeza con que nuestra división se …</t>
  </si>
  <si>
    <t>Viilacámp</t>
  </si>
  <si>
    <t>que acaban de llegar de levante en 4 dias de navega­ ción desde Cartagena, han traído noticias agradables de las provincias i 'ir lores del reyno. Eí general Viilacámp». y el coronel D. lia moa C -y a a en Ar agón; el teniente coronel I). José Muuledeu eu la pro­ vincia de Gnadalaxara: el teniente coronel 13. Juan Palarea en …</t>
  </si>
  <si>
    <t>Viílasante, Lázaro</t>
  </si>
  <si>
    <t>Lázaro Viílasante</t>
  </si>
  <si>
    <t>los caballeros cadetes D. Manuel Gutiérrez Rastillos, D. José Venene, D. José Cadenas, D. Miguel E razquio, D. Francisco Ovando, D. R^mon Lavandeyrs, D. Lázaro Viílasante, D. Francisco Leoni, D. Francisco Torrado, D. Joaquín Pczusla, D. Mariano Aznarez, D. Luis Calieron, D. José Salomón y D. Juan Arnaiz ; en atención á la apl…</t>
  </si>
  <si>
    <t>ViiLgarcía, Nicolás</t>
  </si>
  <si>
    <t>Nicolás ViiLgarcía</t>
  </si>
  <si>
    <t>l mes pasado publicaron que subteniente que era de infantería « subteniente d* el dia 4 de noviembre se había visto en Berna á infantería de línea; á D. Nicolás ViiLgarcía, ca­ las 7 de la nethe na coqueta, 4 bastante altura pital! de caballería, capitán de la compañía de ca-</t>
  </si>
  <si>
    <t>VijaJonrnar, Antonio</t>
  </si>
  <si>
    <t>Antonio VijaJonrnar</t>
  </si>
  <si>
    <t>de infantería de Palma á D. José Eraso ; del de IJitonia á D. Juan Antonio Fábregas; del de Mataró á I). Gerónimo de la Concha; del de S. Fernando á D. Antonio VijaJonrnar ; del de Fernando VII á D. Diego Alvatez; del de Ausoim á D. Mariano Villaespesa ; del de Leales Manresanos á D. Pa­ blo Miró ; y del de Barcelona á D. Jas…</t>
  </si>
  <si>
    <t>Vil, FERNANDO</t>
  </si>
  <si>
    <t>FERNANDO Vil</t>
  </si>
  <si>
    <t>os, desplegaron sus sentimientos de fidelidad y vasallage á las Cortes generales y á la Regencia del rey no, jurando á nuestro adorado Monarca el Sr. D. FERNANDO Vil, restableciendo el gobierno anterior y el buen orden con el arresto de los jueces ins.nrgentes que los te­ nían oprimidos. Dice también que la influencia del pue…</t>
  </si>
  <si>
    <t>Vildo, Juan</t>
  </si>
  <si>
    <t>Juan Vildo</t>
  </si>
  <si>
    <t>a corneta de Lobera posesionado ya de la altura, c inmediatamente se principié un ataque general. Casi toda la caballería , á los órdenes del bizarr® D. Juan Vildo*ela , desfiló por 1k derecha, dando vuelta al pueblo por fuera del foso para impedir la salida de los rebeldes , y proporcionar la en­ trada de las leales tropas p…</t>
  </si>
  <si>
    <t>VilIaviuoY, José</t>
  </si>
  <si>
    <t>José VilIaviuoY</t>
  </si>
  <si>
    <t>nte D. Manuel Abadejo • ••-». • « _ • C Teniente . . D. ToribioPela^z. *.,. .. o 1 5 ídem.......... D. Valentín García .. .f. • « 1 ' \ * abielden te D. José VilIaviuoY; . • ... * * &lt; 1 \ ídem... .. D. Manuel Alonso. • o1 Coronel, el brigadier. D. Manuel uatDpn.... '* • , 1 Capitán. • . D. Francisco Soto.. ... f t 9 » 1 Lena …</t>
  </si>
  <si>
    <t>Villa, Agustin</t>
  </si>
  <si>
    <t>Agustin Villa</t>
  </si>
  <si>
    <t>di®. Diputado eclesiástico Diputado eclesiástico D. Cayetano Sae¿. D. Cayetano Aravaca. Diputados seculares Diputados seculares D. Gregorio Zorrilla. D. Agustin Villa. D. Domingo Villamif. D. Juan Perez Pinedo. Secretario I&gt;. Antonio María Bonomo. D. Saturio Angel de VeLsco. BARRIO DE SANTO TOMAS. barrio de los, angeles. Alca…</t>
  </si>
  <si>
    <t>Villa, Miguel Velez</t>
  </si>
  <si>
    <t>Miguel Velez Villa</t>
  </si>
  <si>
    <t>. Hipólito Carrillo , o Ü Manuel Pinillos, 8. D. Juan José Pi­ nillos , 8. I). Santiago Pinillos , 8 1). Luis Menacho , 8. D. Vicente Navar•rete , 3. D. Miguel Velez Villa , 8. D. Manuel Ai 1 Ion , 8. i). Pedro Caveto, •8. I). José Malarin , 8. D. José Elizalde, 8. D. Francisco Bernoa, 4. D.'Fé­ lix Matos, 8. (Se continuará.)…</t>
  </si>
  <si>
    <t>Villa-Chica, Carlos</t>
  </si>
  <si>
    <t>Carlos Villa-Chica</t>
  </si>
  <si>
    <t>García, 6. D. Santiago Valencia, 4. D. Casimiro Palma, 2. D. Antonio Ramírez, 2. D. José Mexia, 2. D. Hilario Olivera, 10. D. Ma­ nuel de Torres, 10. D. Carlos Villa-Chica, 8. D. José Sánchez, 6. D. José Alegre, 10. D. Mariano Lucar, 6. D. Toribio Echeverría, 6. D. Lino Figueroa , 2. D. Tomas Collas, 2. D. Domingo Sánchez , 6…</t>
  </si>
  <si>
    <t>Villacampa</t>
  </si>
  <si>
    <t>uertos en el combate. Se persiguió vivamente al enemigú­ Parts a o de febr.ero. en su retirada. Los bagages de toda la infantería y los equipages de! general Villacampa cayeron eo: El día 6 de este mes hizo el capitán Ladori- nuestro poder. El general Soult volvió á Baza,ni, én Liorna, la prueba de una máquina destina­ despue…</t>
  </si>
  <si>
    <t>itio de Badajoz tienen á los franceses y á sus amigos cablzbaxos y taciturnos. Jbidés , partido de Calatayud, 4 de abril. La infatigable división del general Villacampa, después de los acertados golpes que sin descansar dio en Campillo de Aragón y en Ateca, en los que hizo cerca de 300 prisioneros , voló desde Milmarcos contr…</t>
  </si>
  <si>
    <t>rdida que algunos heridos, casi todo» levemente; la'noticia de lá entrada del general Duran en Soria el 19 del mismo mes 5 y !&amp;s de los progresos del general Villacampa , que después de triunfar del cuerpo enemigo de Palombini el 8 en Campillo, el 22 en Ateca y el 28 en Pozokondon , escarmentaba la división francesa de Cuen­ …</t>
  </si>
  <si>
    <t>iente ha dado margen á varias dudas, que creemos resolver, insertando el siguiente párrafo sacado de una carta de un general fecha 31 de agosto. ,,E1 general Villacampa ha batido ei 25 de este mes cerca de Requena «(entre Caudete y Utíel) á mas de 1© infantes enemigos, alguna caballe­ ría y artillería al mando del general bar…</t>
  </si>
  <si>
    <t>la división del general francés Arispe. El general Bascourt ha marchado con las tropas sobre Cuenca, con el ob­ jeto de reunirse con la división del general Villacampa. Las tropas españolas, al mando del mariscal de campo D. Juan dé la Cruz Mourgeon, tomaron á Sevilla el 28 del mes pasado; ha habido alguna pérdi­ da por ambas…</t>
  </si>
  <si>
    <t>as de camino. En el dia anterior tomó el general Eüo el mando del exército, y el 11 se estaba disponiendo la salida para Belmonte (1). Entre tanto el general Villacampa no contento con dar nuevas pruebas de su acreditado valor, incomoda á los enemigos por quantos medios son imaginables: uno de ellos es introducir en ciertos p…</t>
  </si>
  <si>
    <t>de Murcia. Según los últimos avises 'empeza­ rla en aquel dia mismo sus movimientos para atravesar la provincia de Murcia. Todos los días se pasan al general Villacampa jurados de Valenda en porciones de io y de 20 hombres. Se dice que viendo lo? franceses que no sacan partido alguno de las tropas españolas que están al servi…</t>
  </si>
  <si>
    <t>el 27 del pasado movimientos sobre Almansa y -Roqueña ; no se cree tengan otro ob­ jeto que proteger la reunión de Soult. Todos los días se pasaH al general Villacampa jurados de Va­ lencia. en porciones de 10 y de 20 hombres. Se dice que viendo los franceses que no sacan partido alguno! de las tropas españolas que est m ál s…</t>
  </si>
  <si>
    <t>Villaducva, Antonio</t>
  </si>
  <si>
    <t>Antonio Villaducva</t>
  </si>
  <si>
    <t>e Xbarrola. D. Gerónimo’Marrazi, D. Francisco Alvares de Santullar. D. Bonifacio Cabañas;. D. Fausto Blanco. Secretario Secretario D. Bernardo Casio. D. Antonio Villaducva. BARRIO DB XAS MONJAS DE TINTO, SARRIO Z&gt;S SAN PLACIO». Alcalde de barrio Alcalde de barrio D&lt; Manuel Redondo Manrique. D. Julián García Paraman. _ Diputad…</t>
  </si>
  <si>
    <t>Villaeair</t>
  </si>
  <si>
    <t>de los que no pudieron completar el pa­ go con la celeridad que exigían la sed del robo y el ansia de repe­ tirlos en otros pueblos. La división del general Villaeair.pa , que se hallaba en esta ciu­ dad , salió el 25 de madrugada para Muía per el camino de Aleantarilla , y á breves horas empezó á decirse que había enemigos e…</t>
  </si>
  <si>
    <t>Villaescusa, Julián</t>
  </si>
  <si>
    <t>Julián Villaescusa</t>
  </si>
  <si>
    <t>yo ; dos de 600 pesos con los números 390143 y 407492-, y el otro de 300 pesos con el número 471830, renovado» en primero de Mayo de 180S á nombre de D. Julián Villaescusa, á quien pertenecen , y endosados á favor de, Lázaro Bueno , veci­ no de dicha villa de la Motilla en 33 de Noviembre de 1809. Quien supiere su paradero , …</t>
  </si>
  <si>
    <t>Villaespesa, Mariano</t>
  </si>
  <si>
    <t>Mariano Villaespesa</t>
  </si>
  <si>
    <t>gas; del de Mataró á I). Gerónimo de la Concha; del de S. Fernando á D. Antonio VijaJonrnar ; del de Fernando VII á D. Diego Alvatez; del de Ausoim á D. Mariano Villaespesa ; del de Leales Manresanos á D. Pa­ blo Miró ; y del de Barcelona á D. Jasé Mambrilla. Comandancias de tercer batallón : del regimiento de Gerona á D. Man…</t>
  </si>
  <si>
    <t>Villafranca, Juan Perez</t>
  </si>
  <si>
    <t>Juan Perez Villafranca</t>
  </si>
  <si>
    <t>...................... 2200 D. Juan Pedro Guerra, id.............................. 220® D. Josef Quiroga, ¡d—.,..,...................... ....... 2200 D. Juan Perez Villafranca, residente en D; Juan Josef de Alcaide, id.................. . 3200 Bujalance.......................................................... 2200 D. Rafael …</t>
  </si>
  <si>
    <t>Villagarcía</t>
  </si>
  <si>
    <t>{¡6o ALEMANIA. por *1 capitán Villagarcía , y de los húsares de Guadalaxara mandados por el capitán D. Satur­ Kempten i% de abril. nino Albuin , y todos baxo las órdenes del capitán El 7 de este mes tuvimos una mutación de de dragon</t>
  </si>
  <si>
    <t>Villagarqía, Nicolás</t>
  </si>
  <si>
    <t>Nicolás Villagarqía</t>
  </si>
  <si>
    <t>-ios comandantes de los cuerpos y de la demás oficialidad , con mui de gefe. y oficiales;de este esquadron los sugetos siguientes: pocas excepciones. D. Nicolás Villagarqía, capitán, á coman­ ,, Aunque los cuerpos de la división de ía pro­ vincia del Miño, que estaban reunidos con los dante. otros, á saber, los regimientos de…</t>
  </si>
  <si>
    <t>Villalba, Francisco</t>
  </si>
  <si>
    <t>Francisco Villalba</t>
  </si>
  <si>
    <t>Daña María Francisca Adelaida'Roo- D. Isidro Agosrin de Herrera.............. 6034 17 yer.................. ........................-........ 43 200 D. Francisco Villalba , como niirido D. Apolinar Ronyer............................. . .21600 de Doña Nicolasa Díaz y‘Sta. Ana.. 10800 Doña María Alexa Cerrageríade Her­ D. Luis …</t>
  </si>
  <si>
    <t>Villalba, Lorenzo Oitízds</t>
  </si>
  <si>
    <t>Lorenzo Oitízds Villalba</t>
  </si>
  <si>
    <t>l subteniente de húsares D. Manuel Alense, el capitán con funciones de sargento mayor del primero D. Pedro Gallegos, el CRpim de granaderos del mismo D. Lorenzo Oitízds Villalba, y el capitán y teniente de cazadores del tercero D. Antonio Portal y Mayorri, y D. Bonifacio Llano. — Ha perdido ei enemigo en estas dos acciones ma…</t>
  </si>
  <si>
    <t>Villalengua, Mateo</t>
  </si>
  <si>
    <t>Mateo Villalengua</t>
  </si>
  <si>
    <t>sores de la religión quando á los católi­ á D. Antonio Rufino Muñoz de la Torre. cos de su país los tienen como esclavos, redncieuPara él de Cobisa á D. Mateo Villalengua ,cu­ do i millares de habitantes á la clase de siervos; ra teniente de Guadamur. y quemando todos los años en efigie á ta cabe­ Para el de Valdegrndas al ex…</t>
  </si>
  <si>
    <t>Villalobos, Baltasar</t>
  </si>
  <si>
    <t>Baltasar Villalobos</t>
  </si>
  <si>
    <t>al D. Jo­ sé Pezet, 25. Escribano Gerónimo Yrillafuerte, 17. Portero, Pablo Tello , 2. — médicos. D, Gabriel Moreno, catedrático de matemáticas, 100. D. Baltasar Villalobos, 50. D/ Manuel Dávalos , 50. D. José Carmona , 50. D. Domingo Bgoaguirre , 25. D. Manuel Rubia, 25 D. José Manuel Valdés , 25. D.'Lo­ renzo niñones , 25. …</t>
  </si>
  <si>
    <t>Villalobos, Joté</t>
  </si>
  <si>
    <t>Joté Villalobos</t>
  </si>
  <si>
    <t>. Id. D. Eulalio Guzman , 4. El alférez D. José Manuel Muro, 12. Id. D. José Ledesma, 2. Id. D. Jacinto Quesada, 6, Id. D. Francisco Barragan, 6. Id. D. Joté Villalobos, 12. El portaguión D. Silvestre Rodríguez, 25. El cadete. Don José María de las Muñecas, 4. Id. D. Santiago Burga, G. Id. D. Manuel An­ tonio Quiñones , 2. Id…</t>
  </si>
  <si>
    <t>Villaloo, Francisco Xavier</t>
  </si>
  <si>
    <t>Francisco Xavier Villaloo</t>
  </si>
  <si>
    <t>á teniente ,de la misma, en desde esta fecha, una casa sita en ja calle de Legaqjtps, señalada con el núm. 17 de la manz. 5:2, tasada en reemplazo de D. Francisco Xavier Villaloo. 49d.17.rr. y 14 mr$.' vn. en moneda metálica, rebaxaD. Josef Romero v Morillas 1 subteniente, en la das cargas. Quien quisiere hacer postura acuda …</t>
  </si>
  <si>
    <t>Villalta, Ines</t>
  </si>
  <si>
    <t>Ines Villalta</t>
  </si>
  <si>
    <t>enida del rey. Doña Francisca Borda, 500. D. Francisco Velazquez , cura de Ornas, 13. D. Felipe Al varad o, 100. El presbítero D. José Fernandez, 25. Doña Ines Villalta, viuda , 100. Doña Teresa Villata, marquesa viuda de Villablanca, 100. D. José López Molero, cura de Huco , 25. I). Tadeo Valverde , cura de Chacas, 100 , y o…</t>
  </si>
  <si>
    <t>Villalta, Manuel</t>
  </si>
  <si>
    <t>Manuel Villalta</t>
  </si>
  <si>
    <t>y Costiifínne : paylebot Centinela. Continúan los donativos del Perú. Real tribunal de Minería. Pór el gremio de mineros, 524000 ps. fe.."El director D. Manuel Villalta, 1000. El diputado de primer voto D. Pedro Ma­ rmol Bazo, 200. El diputado de segundo voto D. Domingo Burgos, 200. y ofrece un real en cada marco de plata que…</t>
  </si>
  <si>
    <t>Villamif, Domingo</t>
  </si>
  <si>
    <t>Domingo Villamif</t>
  </si>
  <si>
    <t>siástico Diputado eclesiástico D. Cayetano Sae¿. D. Cayetano Aravaca. Diputados seculares Diputados seculares D. Gregorio Zorrilla. D. Agustin Villa. D. Domingo Villamif. D. Juan Perez Pinedo. Secretario I&gt;. Antonio María Bonomo. D. Saturio Angel de VeLsco. BARRIO DE SANTO TOMAS. barrio de los, angeles. Alcalde de barrio Alca…</t>
  </si>
  <si>
    <t>Villamil, Juan Perez</t>
  </si>
  <si>
    <t>Juan Perez Villamil</t>
  </si>
  <si>
    <t>Monarca. Madrid 9 de octubre. Las Cortes generales y extraordinarias del reyno han nombrado por quinto individuo de la Regencia de las Españas ai Sr. D. Juan Perez Villamil, consejero de Estado. La Regencia del reyno ha tenido á bien nombrar para capitán general del reyno y costa de Granada al teniente general duque dei Parqu…</t>
  </si>
  <si>
    <t>Villaniieva, Sebastian</t>
  </si>
  <si>
    <t>Sebastian Villaniieva</t>
  </si>
  <si>
    <t>guardia de infantería Walona ; como asimismo á los distin­ guidos .y alumnos de la referida academia militar de la isla de León, O. Eugenio Carrasco, D Sebastian Villaniieva, D Facundo Arte ga , D. Eulogio Santa Cruz , D. José Acero, D. Juan Tena, Don José López Montoya , D. Juan Ramón Llórente, O J uan Muril!o, O. Francisco …</t>
  </si>
  <si>
    <t>Villaniüj</t>
  </si>
  <si>
    <t>as los puntos convenidos , y de romper el fuego los botes ingleses contraías embarcaciones'y edifi­ cios del puerto , que no tardó mucho en ocupar el coronel Villaniüj apoderándose de cuanto contenia. Los usurpadores de nuestros dere­ chos hicieron esfuerzos por rechazarnos ; pero fueron tan ineficaces sus bayonetas eomo sus …</t>
  </si>
  <si>
    <t>Villanueva, Don Juan</t>
  </si>
  <si>
    <t>Don Juan Villanueva</t>
  </si>
  <si>
    <t>e haber escarmentado al gefe francés que se gloría de haber herido á los des de nuestra divi­ sión. Recomiendo á V. S. los gefes de los cuerpos, y al capitán Don Juan Villanueva muy singularmente, y á todo el regimiento de ca-</t>
  </si>
  <si>
    <t>Villanueva, Francisco Xavier</t>
  </si>
  <si>
    <t>Francisco Xavier Villanueva</t>
  </si>
  <si>
    <t>allón. guiente á su ocurrencia con el Pequeño Belt. art. ir. Nombramos para comandante de este 16. Que el conmódoro Rodgers ofreció socor­ batallón á D. Francisco Xavier Villanueva; para ros al c.ipiran del buque deS. M. el Pequeño Belt ayudante á D. Josef de Torres, y para abandera­ en la madrugada del dia siguiente á la acc…</t>
  </si>
  <si>
    <t>Villanueva, Juan</t>
  </si>
  <si>
    <t>Juan Villanueva</t>
  </si>
  <si>
    <t>s. Manuel Torres, 1. Andrés Villanueva , 4 rs. Gregorio Ro­ dríguez, 1. José Manuel Pojuela, 4 rs. Doña Andrea Huerta, 1, Doña Fran­ cisca Pineda, 1. D. Juan Villanueva, 1. Doña Manuela Pelaez , 1. Varios individuos, 3 y 7 reales. — Pueblo de Sayán. El capitán Don Anselmo Manuel Salinas, 100 pesos, D. Francisco Santibañez , 2…</t>
  </si>
  <si>
    <t>Villanueva, Miguel</t>
  </si>
  <si>
    <t>Miguel Villanueva</t>
  </si>
  <si>
    <t>mero de muertos, ni del de los heridos ; pero sí asegurarle que de estos últimos hubo muchos, y de aquellos bastantes : entre los primeros se cuentan D. Miguel Villanueva, Bermudez y otros oficiales, y entre los he­ ridos D. Agustín Herrera, el oficial Amaya y D. Demingo French, coronel de la Estrella. Pereyra finé preso , é …</t>
  </si>
  <si>
    <t>abria , residente en Madrid. 2200 D. Juan Zurita, id. en Andújar.................. 2200 D. Manuel de Heredia, id. en Bedmar...... 2200 Ex-capuchinos. D. Miguel Villanueva , lego, id. en Baeza. 1100 D. Manneí Flores, residente en Madrid.... 2200 D. Domingo Muñoz, id. en Bedmar...... 2200 D. Benito Guillen y Cerdan, id.........…</t>
  </si>
  <si>
    <t>Villar, Josef</t>
  </si>
  <si>
    <t>Josef Villar</t>
  </si>
  <si>
    <t>ancisco Rodríguez. D. Manuel de la Torre.. i D. Eugenio Aguado. Dipul ados seculares , y el último secretario Secretario interino, D. Pedro Irig^üen. D. Josef Villar. . &gt; D. Juan de S. Miguel. BARRIO DE LA TRINIDAD. D. Francisco González. Alcalde de barrio D. Joan Antonio Balledor. BARRIO DE GUARDIAS ESPAÑOLAS. Diputado ecles…</t>
  </si>
  <si>
    <t>Villar, Manuel</t>
  </si>
  <si>
    <t>Manuel Villar</t>
  </si>
  <si>
    <t>r de la partida veterana de asamblea D. Pedro Basaldua", con su partida y piquete, 124.— Hacendados de la villa de Haaura. D. Sebastian Hurtado, 100. D. Manuel Villar, 100. D. Manuel Salazar, administrador de alcabalas 60. D. Fernando Ximenez, notario del santo ofi­ cio , 25. D. Agustín Aadrade, alcalde de españoles, 25. D. J…</t>
  </si>
  <si>
    <t>mino, itl. segundo, 100. 30. Joaquín de Elguero y Aloo , 250. D. Tomas Cavieses , del cuerpo de pilotos del comercio , 50. 15. Bernardo Martínez , 6. D. Manuel Villar, 25. D. Pió Garrido, 12. Don Pedro Tr el les , 12. D. Pedro Ruesta , 1. D. Gregorio Palacios, 25. D. José Antonio Miehilon , 1. D. Ramón Manzanares , 2. I). Gas…</t>
  </si>
  <si>
    <t>Villareju, Manuel de Caseto</t>
  </si>
  <si>
    <t>Manuel de Caseto Villareju</t>
  </si>
  <si>
    <t>nuel de Burgos, residente en Priego. 2200 D. Rafael Vdlalba, id., id.,.......................... 1100 D. Juan de Aguitar, id. en Jyí mtemayqr... 2tpo D. Manuel de Caseto Villareju, id. en BuEx-carmelitas calzados. ¡alance................................................................... 22c© D. Andrés Alarcon, residente en C…</t>
  </si>
  <si>
    <t>Villaroya, Pedro</t>
  </si>
  <si>
    <t>Pedro Villaroya</t>
  </si>
  <si>
    <t>ego á la cabeza del puente el subteniente D. Felipe Navascué*. Ni debo olvidar los 3 oficiales de húsares, D. Custodio Fonteilas, O Pe­ dro Francés y D. Pedro Villaroya , quienes me siguieron los 2 dias haciendo servicio de soldados, y quedando de avanzada los 3 solos ía noche del 14 , á fin de dar descanso á los soldados.— D…</t>
  </si>
  <si>
    <t>Villasante, Josef</t>
  </si>
  <si>
    <t>Josef Villasante</t>
  </si>
  <si>
    <t>ano Bombín. S. Cayetano de esta corte á D, Bartolomé Cano de Y para el de Alazar á D. Juan Antonio Espino* Molina, y para la de segaudo substituto á. D. Josef Villasante. _ Por decretos de 7 del corriente se ha seryido igualmente S. M. nombrar para la plaza de alcalde del barrio de las Vistillas de esta corte á D. Die- • &gt; En…</t>
  </si>
  <si>
    <t>Villat</t>
  </si>
  <si>
    <t>te á Ronda, en cuyo punto me preparé para-continuar el mió sobre Uhrique , y descubrir desde allí si las intenciones de Leval eran de reunirse con el general Villat, que ocupaba el campo de Gibraltar; pero este se acordó en esta ocasión de que le observaban los sol­ dados que^ se hicieron conocer en Alaurin y Coin al princi­ …</t>
  </si>
  <si>
    <t>á Ronda, en aqo pinito rfe preparé para continuar el mío sobre L brique , y descubrir de be alii si las intenciones de Leval eran de reunirse con el general Villat, que ocupaba el campo de Gibraltar; pero esté se acordó en esta ccasicn de que le observaban les soldados que se hi­ cieron conocer en Alaurin y Coin ai principiar…</t>
  </si>
  <si>
    <t>Villata, Teresa</t>
  </si>
  <si>
    <t>Teresa Villata</t>
  </si>
  <si>
    <t>da, 500. D. Francisco Velazquez , cura de Ornas, 13. D. Felipe Al varad o, 100. El presbítero D. José Fernandez, 25. Doña Ines Villalta, viuda , 100. Doña Teresa Villata, marquesa viuda de Villablanca, 100. D. José López Molero, cura de Huco , 25. I). Tadeo Valverde , cura de Chacas, 100 , y ofrece igual cantidad ínterin dure…</t>
  </si>
  <si>
    <t>Villatoro, Francisco Duran</t>
  </si>
  <si>
    <t>Francisco Duran Villatoro</t>
  </si>
  <si>
    <t>tado yi las providencias que deben tomar­ de Anteqnera, diócesis de Málaga, vacante por se en caso que ia Gran Bretaña persista en r¡o que­ muerte de D. Francisco Duran Villatoro. rer céiier ; pero tendrá la mala política de irlas pu­ A D. Juan Francisco (Castellano , ex—írsncisca— blicando sucesivamente para aprovechar las o…</t>
  </si>
  <si>
    <t>Villavente, Domingo</t>
  </si>
  <si>
    <t>Domingo Villavente</t>
  </si>
  <si>
    <t>518 diro Antonio Carrera , D. Domingo Villavente, y D. Antonio So­ ler y Armaría, cadetes, el primero del regimiento de zapadores, el segundo del de infantería voluntarios de Santiago , y el tercero del batallón de cadetes del sexto exérc</t>
  </si>
  <si>
    <t>Villaviccneio, Juan María</t>
  </si>
  <si>
    <t>Juan María Villaviccneio</t>
  </si>
  <si>
    <t>ibiela, diputado secretario. — Al Consejo de Regencia.” A consecuencia de este decreto, los cuatro señores regentes D. Joa­ quín Mosquera y Figueroa, D. Juan María Villaviccneio, D. Ig­ nacio Rodríguez de Rivas y el conde déla Bisbal se presentaron á las 10 de esta mañana en las sesiones de las Cortes , y prestaron el juramen…</t>
  </si>
  <si>
    <t>Villavieencio, Juan María</t>
  </si>
  <si>
    <t>Juan María Villavieencio</t>
  </si>
  <si>
    <t>duos , á saber : el duque del Infantado, teniente general de los reales exércitos; D. Joaquín Mosquera y Figueroa, consejero en el supremo de Indias; D. Juan María Villavieencio, teniente general de la real armada; D. Ignacio Rodríguez de Rivas, del consejo de S. M.; y el conde de la Bisbal, teniente general de los reales exé…</t>
  </si>
  <si>
    <t>Villegas, Francisco</t>
  </si>
  <si>
    <t>Francisco Villegas</t>
  </si>
  <si>
    <t>el de la Rocha ,-2 D. Mumu 1 Arancivia , 2. D. M t o Tapia, 2. D. Felipe Saenz , 2. D. Fedto Bernuy, 2. D. Agustín Vaides, 2. D. liste van Avila , 2. D. Francisco Villegas , 1. El Sr. virey D. Fernando Aba cal , lOtiOO. D. Simón R-óbago , secretario tlcl virey nato ocr sí y su espesa Doña Manuela Avelia Fuerte, 1200. D. José Mu-</t>
  </si>
  <si>
    <t>Villegas, Gavino</t>
  </si>
  <si>
    <t>Gavino Villegas</t>
  </si>
  <si>
    <t>Rotalde , id., 2. D. José Saez , 1. D. Manuel Rizo, capellán mavor del hospital de S. Bartolomé , 1. D. Manuel Mira, id., 2. IX F ornando Mestas , I. D. Gavino Villegas , 2. D. Pedro Martínez , 1. Don Gerónimo Arnal, capellán del monasterio de Sta. Clara , 17. D. Manuel de A iba , 2. D. José AUuzarra , 2. D. José Calixto Alza…</t>
  </si>
  <si>
    <t>Villegas, Rafael Díaz</t>
  </si>
  <si>
    <t>Rafael Díaz Villegas</t>
  </si>
  <si>
    <t>e encargó el cuidado del archivo de la comisaría general deIodiaS, por........... 2200 Ex-carmelitas calzados. D. Antonio Arroyo , lego, residente eo D. Rafael Díaz Villegas, residente en Jaén. 2200 Colmenar de Oreja..................................... 1100 D. Ildefonso Morales , id.............2200 D. Agdstin de Toro y Tina…</t>
  </si>
  <si>
    <t>VilLgarcía, Nicolás</t>
  </si>
  <si>
    <t>Nicolás VilLgarcía</t>
  </si>
  <si>
    <t>Sra. marquesa de Ariz... 50o quadron Piessen , y el capitán de la compañía da Sr. D. Juan Serra CaJano...................... loo cazadores de mont ña D. Nicolás VilLgarcía , ha Sr- D. Henrique Serradle................ 300 hecho prisionero el dia ai en Tamajon al llamado El Excmo. Sr. D. Pedro Echeverría,. ijO el Manco con i.n…</t>
  </si>
  <si>
    <t>Villorías, Juan Josef</t>
  </si>
  <si>
    <t>Juan Josef Villorías</t>
  </si>
  <si>
    <t>a , llama y emplaza á todos los que puedan tener derecho á los bienes quedados por fallecimiento miente, asi del verdadero pastel como del bastar­ de D. Juan Josef Villorías, vecino que fue de esta do , tiene un color azul 6 de violeta obscuro, no corte, para que dentro del término de 30 dias, conta­ hai señales fixas para di…</t>
  </si>
  <si>
    <t>Viñals, Salvador</t>
  </si>
  <si>
    <t>Salvador Viñals</t>
  </si>
  <si>
    <t>n, para con facilidad incendiar varios bu­ ques y otros efectos que se hallaban en la marina. Verdaderamente el sub-inspector de la patriótica legión D. Salvador Viñals, y el vo­ cal de la corregimental ü. Francisco Satorras, me proporcionaron con su unión, y hasta por sus mismas manos, el feliz resultado.— Destiné á la opera…</t>
  </si>
  <si>
    <t>Vinces, Pedro</t>
  </si>
  <si>
    <t>Pedro Vinces</t>
  </si>
  <si>
    <t>eiras, 2. Manuel Artiaga , 1. Doña Catalina Carrasco , 2. Doña Ma­ ría Blanco por sí y su madre , 2. D. Baltasar Vargas , 4. D. Gaspar Ramí­ rez , 1. D. Pedro Vinces , 2. 1). Sebastian Ramírez, 1. D. Francisco Cbire, 1. Doña Petrona Vaca, tí. Remitidos de lina manga sin acompañar la razón da los individuos que han contribuido…</t>
  </si>
  <si>
    <t>Vincri, Francisco Fernandez</t>
  </si>
  <si>
    <t>Francisco Fernandez Vincri</t>
  </si>
  <si>
    <t>de ¿ Y. muchos años. Puerto Cabello Julio 9 de 1812. — Mcnttwrde. — Se­ ñor gobernador de Cero.” Recobro del castillo de S. Felipe por el subteniente D. Francisco Fernandez Vincri, el 30 de Junio de 1812. „D seoao este oficial de abicdc nar á ios insurgentes, empezó á fondear los ánimos de varios presos dei castillo, y hallán…</t>
  </si>
  <si>
    <t>Vinieras, Agustín</t>
  </si>
  <si>
    <t>Agustín Vinieras</t>
  </si>
  <si>
    <t>"Diputada eclesiástica BARRIO DB LA PUERTA DB TOLEDO. ■ D. Agustín Vinieras. Alcalde de barrio 'i r t Dipuiados seculares D. Francisco del A royo. D. Tomas Do mingo Kunenez. Diputado eclesiástico D. Francisco'Cabanas. D. Francisco Galindo. ; ,. D. Nicolás Iuiesta.</t>
  </si>
  <si>
    <t>Vinori, Francisco Fernandez</t>
  </si>
  <si>
    <t>Francisco Fernandez Vinori</t>
  </si>
  <si>
    <t>e verificaron entre 11 y 12 del dia 6. ,, Idearon esta empresa y trabajaron para el logro de ella los sugetos si­ guientes: militares, el subteniente D. Francisco Fernandez Vinori, el sar­ gento primero Manuel Saceda, ídem segundo Bernabé Miñano, cabo prime­ ro Manuel Alcántara y D. Joaquín Nuñez. Del presidio: D. Juan Jacint…</t>
  </si>
  <si>
    <t>Virey</t>
  </si>
  <si>
    <t>Regio, que manda el se­ gundo cuerpo, tenia su quartel general en W^ehlau; el mariscal duque de Elchingen, que manda el tercer cuerpo, en Soldass; el príncipe Virey en Rastembourg; el Rey de Westfalia en Varsovia; el príncipe Poniatowski en Pultusk: el Emperador trasladó su quartel general el 12 á Konigsberg sobre el Pregel, …</t>
  </si>
  <si>
    <t>Viso, José María</t>
  </si>
  <si>
    <t>José María Viso</t>
  </si>
  <si>
    <t>amón Caballero , 25. D. José do ílercsa , 50. D. Silvestre Pon ce de León , 25. D. Francisco González, 50. D. Simón Muñoz, 25. D. Manuel Miranda, 12. D. José María Viso, 25. D. Francisco de Otero , 40. D. Francisco Merino, 25. D. Ce&gt;areo Sanor, 50. D. Juan González , 35. D, Patricio Bermudez, 12. D. Ignacio Monteros, l. D. Fr…</t>
  </si>
  <si>
    <t>Vistas, María de los Dolores B</t>
  </si>
  <si>
    <t>María de los Dolores B Vistas</t>
  </si>
  <si>
    <t>ros naturales de esta por la constitución del estado, REI délas Espa- corte............................................ 34711 16 ñas y de las Indias. Doña María de los Dolores B¿Vistas las once con'ultas de la comisión de li­ landia , por mano de su mari­ quidación de la diuda d/l estado; lo expuesto por do D. Antonio Leíral.…</t>
  </si>
  <si>
    <t>Viste</t>
  </si>
  <si>
    <t>aciones D. Mateo de Neira Galeano ; después de colocada su gente en los puntos Convenientes, dió la señal, y gritó riva España, vira el Rty y xtna el general Viste de t; y al mismo tiempo hirió con un cuchillo a Ro­ binson y á Wilson, y habiendo querido hacer lo mismo con Ga­ icano , no, pudó , porque se echó al agua , sin ac…</t>
  </si>
  <si>
    <t>Visto</t>
  </si>
  <si>
    <t>a gracia de Dio* y Augskttrgo ij de mayo. por la con.‘tirucicn del estado, REI de (as Espa­ ña; v &lt;je las India*. Varias cartas de Viena dicen que e! general Visto el informe de nuestro ministro de la prín cipe de Schtfrartz mberg, embaXador cerca de Justicia, L corte irrp-.-ri.&lt;i de Francia, va á mandar en ge- Hemos decretad…</t>
  </si>
  <si>
    <t>Vistor</t>
  </si>
  <si>
    <t>ado. Eu-eHo» dice,.que ha enviado á R-.gv-ic-r h^cia el Vístula, p*ra proteger;de cualquier, incursión* el ducado de »V tí\líp.,'asi co&gt;uo también al mariscal Vistor ¿ que estaba ar&gt;ostqdo ex tre el Elba y el Oder, para proteger su comunicación con Alemania. Ea</t>
  </si>
  <si>
    <t>Vitlarmil, Nicolás</t>
  </si>
  <si>
    <t>Nicolás Vitlarmil</t>
  </si>
  <si>
    <t>el teniente de cazadores de Zaragoza D. Antonio Moreno Navarro, con un sar­ gento y 6 soldados prisioneros, el subteniente de granaderos de Moadoñedo D. Nicolás Vitlarmil herido , y un cabo con algunos solda­ dos muertos.' El mismo general escribe, que sabe, alfaque no oficialmente, que ios enfermos enemigos, embarcados en Gi…</t>
  </si>
  <si>
    <t>Viüacampa</t>
  </si>
  <si>
    <t>el general francés A rispe. ' . ‘ . ; El" general' Basecourt ha jnarchado con sus tropas sobre Cuenca, con el objeto de reunirse con la .división del general Viüacampa. El general Mina se -hallaba1 el 30 del mes anterior en Puente la Reina restablecido de sü’dierida', aunque* con alguna incomodidad para montar á ¿aballo. - - …</t>
  </si>
  <si>
    <t>ViUavicsncio, José María</t>
  </si>
  <si>
    <t>José María ViUavicsncio</t>
  </si>
  <si>
    <t>ería, á D. Torlbio Bsttüaeourt, D. Casimiro García, D. C &gt;sme Armera, D. José Torres, D. Teles foro Montero, D. Ignacio de Medina, D. Vicente Zavala, D. José María ViUavicsncio, D. Félix María Farias y D. Juan Pedro Pe*ayo ; el mismo de ras de caballería, á D. Rafael Padrón , D. José María Arcaya, D. Miguel MLUaco, D. Juan de…</t>
  </si>
  <si>
    <t>Vives, Juan</t>
  </si>
  <si>
    <t>Juan Vives</t>
  </si>
  <si>
    <t>Gazeta de la Regencia de las Españas n.º 41</t>
  </si>
  <si>
    <t>ltado á la Regencia del rey no el consejo de Indias, después de haber examinado muy detenidamente todos los antecedentes relativos á ia separación de D. Juan Vives del gobierno é intendencia de Húmica vélica, sejra servido S. A. de­ clarar no haber habido causa legítima para verificar dicha separa­ ción *, y que el expresado …</t>
  </si>
  <si>
    <t>Vlviant, Juan Antonio</t>
  </si>
  <si>
    <t>Juan Antonio Vlviant</t>
  </si>
  <si>
    <t>de Holanda , están exceptuados del ña de Segovia; a! primar teniente del real cuerpo dereoho de tonelada, y no están obligados á reno­ de artillería D. Juan Antonio Vlviant capitán se­ var su licencia mas que una vez al ano. gundo ele: propio cuerpo; y al teniente del regi­ 12. Para que no se abuse de esto, todo barco miento …</t>
  </si>
  <si>
    <t>Von-Dernath</t>
  </si>
  <si>
    <t>ar y en baena conducta : su disciplina ha sido DINAMARCA. excelente en todos los pueblos por donde han pa­ sado. Copenhague 2 í de abril. SAXONIA. El conde Von-Dernath ) que ha estado de em­ Dresde 26de abril. ir x..dor en Estockolmo, ha salido para Dresde con el mismo destino, y el conde de Baudissinj Nada sabemos aun de cie…</t>
  </si>
  <si>
    <t>Von-Pahlen</t>
  </si>
  <si>
    <t>da para una acción general. Al mismo tiempo el general Doctorow pasó el Dwina, y llegó al mismo sitio. Toda ia retaguardia quedó baxo las órdenes del conde Von-Pahlen: estaba apostada á 10 werstas (millas rusas) del cuerpo del exército, y los espías avi­ saban de que el enemigo avanzaba para atacar. Por este tiempo el general…</t>
  </si>
  <si>
    <t>Von-Palilen</t>
  </si>
  <si>
    <t>omenzó su marcha en tres colimas. £1 comandante en gefe atribuye principalmente el feliz éxito de, éste movimiento á las admirables disposiciones del conde Von-Palilen, que cu­ briendo la marcha del exército, ha mostrado en esta ocasión todo lo que pue­ den executar el arte de la guerra y el talento militar. Nuestras tropas h…</t>
  </si>
  <si>
    <t>Von-Suchtelen</t>
  </si>
  <si>
    <t>e RomanzófFy ot.ros, personages. Luego que.el"Em­ perador salió fue á visitarlo el Príncipe heredero, y de vuelta’de la.visita'&gt; y antes de comer, el general Von-Suchtelen le etnregq de parte del,Empera­ dor las insignias de las órdenes de S. Andrés, S.AlexandroNewski y Santa Ana. En la noche del mismo dia (27) se iluminó la …</t>
  </si>
  <si>
    <t>Vood</t>
  </si>
  <si>
    <t>. del rio : el resto del exército, á las órdenes del mayor general Vetkerall, debía ocupar sus baterías, desde las cua­ jes una columna, al mando del coronel Vood , debía asaltar el fíen­ te de la línea enemiga. En el momento del ataque, el enemigo estaba sobre las armas, y su comandante el teniente general Jansens en el redu…</t>
  </si>
  <si>
    <t>Vouholzow</t>
  </si>
  <si>
    <t>z y otros apoyaron la solicitud; cogidos, y lo\ demás huyeron por los bosques y pero dexando pendiente la discusión sobre este par­ los pa ítanos. El brigadier Vouholzow , buen ofi­ ticular , se levantó la sesión. cial, dio disposiciones en Euiteugorp para refor­ Al dia siguiente 26 volvió á empezar la discu-</t>
  </si>
  <si>
    <t>Vr, Manüeí Mendez</t>
  </si>
  <si>
    <t>Manüeí Mendez Vr</t>
  </si>
  <si>
    <t>o, Prisioneros, Divisiones &gt;&gt;O *5 O fe -’Mk. 5S Cuerpos. Clases. Nombres. a ■. w sr c3 j f Teniente 2.° D. Pedro Miigarola. Guardias j Otro.......... D. Manüeí Mendez Vr¿t'des.... l Español.. lOtro ».. •. D. José de las Guebas.... .. l \ O rí D. Juan Manuel, Cogitan... l fSarg.rnivyo? í ti ten. cor. O. Pedro d ? la Yega.. . .…</t>
  </si>
  <si>
    <t>Vrergarn, Juan Francisco</t>
  </si>
  <si>
    <t>Juan Francisco Vrergarn</t>
  </si>
  <si>
    <t>on del Sr. virey el permiso de enviarla á la península, libre de derechos, consig­ nada al Sr. D. Ramón Giraido y Arquellada, diputado en Cortes, y á D. Juan Francisco Vrergarn, del comercio de Cádiz ; á lo que no solo ha asentido gustoso el Sr. virey , manifestándoles en nombre de la patria su justo agradecimiento, sino que …</t>
  </si>
  <si>
    <t>VÜ-acamp</t>
  </si>
  <si>
    <t>s y de ninguna con­ fianza, por lo cual se revocó la orden. Tal vez habrá influido tam­ bién el haberse sabido al mismo tiempo que se retiraban ya el general VÜ-acamp&amp;y el brigadier Martin, que se habían aproximado á aque­ llos puntos. Esta noche á las 9 ha entrado de Valencia , adonde había mar­ chado hace tiempo con una com…</t>
  </si>
  <si>
    <t>Vuelta, Manuel Pereas</t>
  </si>
  <si>
    <t>Manuel Pereas Vuelta</t>
  </si>
  <si>
    <t>dministrador de ren­ tas de la villa de Chancay D. José Eugenio Iverico , 50. El guarda de di­ cha administración D. Clemente Tixero, 6. El futurario D. Manuel Pereas Vuelta, 15. Los tres curas rectores del sagrario de esta catedral D. Juan An­ tonio Iglesias , D. Juan Marin, y D. Mariano Tagle, 500. Real Convictorio Carolina…</t>
  </si>
  <si>
    <t>VVrede</t>
  </si>
  <si>
    <t>ue otros lo hubieran hecho. En fin, vion-Saint-Cyr; pero toe rechazado por este ma­ nosotros estamos íntimamente convencidos que has­ riscal y por el general VVrede, que le cogieron 3S) ta que esto se consiga, todo el peso de la guerra prisioneros,y cubrieron el campo de batalla de ru­ cargará sobre la Inglaterra sola, y que …</t>
  </si>
  <si>
    <t>VYittgenstein</t>
  </si>
  <si>
    <t>ugiándose á la provincia de Livonia. La fuerza del exércíto ruso, según la estiman los boletines franceses, es como sigue. 1.er cuerpo mandado por el príncipe VYittgenstein..... 18000 hombres. 2. cuerpo por el general Baggawort.......... 1S000 3.er cuerpo por el general Schomoaloíf......... 24000 4.0 cuerpo por el general Tus…</t>
  </si>
  <si>
    <t>Waiker</t>
  </si>
  <si>
    <t>llamada Pardaleras, y otro contra las obras del fuerte que está hacía el Gua­ diana con la brigada de la izquierda de la división, al mando del mayor general Waiker , el que había de convertirse en ataque ver­ dadero si eran favorables las circunstancias; y el brigadier general Power, que atacaba la plaza con su brigada portu…</t>
  </si>
  <si>
    <t>Wain'wright, Roberto</t>
  </si>
  <si>
    <t>Roberto Wain'wright</t>
  </si>
  <si>
    <t>5 y 5. D. R. BiiTchs.ll, 21. Les señores Balkelty, OxenfhrcJ y Al!co¿.k, 3í y 10. Lo* señores H. Hiuckleyy compnñís, 52 y 10. D Jusu Bowle-s, 5 y 5. D. Roberto Wain'wright, 2 y 2. Los señores F. y compañía, 20. El lord Dsmtanviile (en FeUmouth) , 10. Los señores F-x y cctnp:*;.fíía ( Falmouih) , 20. D. Gui­ llermo Míiler, 5. …</t>
  </si>
  <si>
    <t>Walicr</t>
  </si>
  <si>
    <t>disposiciones para atacar el 27 ; mas no fué posible ocultarlas al enemigo, el cual, duranie la noche, se puso en retirada sobre Alfayatcs. El 27, el general Walicr alcanzó en Aldea déla Puente la retaguardia inglesa, compuesta de 15000 infantes y 3000 caballos con 14 cañones: atacó denodadamente la caballería, la rompió y pu…</t>
  </si>
  <si>
    <t>Walker</t>
  </si>
  <si>
    <t>portugués número 15, á las del coronel de Rc-goa, é hizo un ataque taso contra Pardal eras con e* 8 de cazadores, mandado por el mayor HUÍ. Eí mayor general Walker forzó la barrera del camino de Olivencia, y entró en el camino cubierto por la izquierda del ba­ luarte de 8. Vicente, inmediato al Guadiana: de allí baxó al foso,…</t>
  </si>
  <si>
    <t>Wallace</t>
  </si>
  <si>
    <t>, al servicio de Portugal; al teniente coronel Campbell del 94 que mandó una brigada de la tercera división ; al teniente coronel William del 60, al teniente coronel Wallace del 88, que mandó una brigada de la tercera división; al teniente coronel Lilis del 23, quemando la brigada del mayor general Packenham, mientras este av…</t>
  </si>
  <si>
    <t>imiento 94-.°* qúe mandaba uña brigada en la ter­ cera división. |Son también muy dignos de consideración el coronel Williams del regimiento 6o.°: el teniente coronel Wallace dél regimiento 88.°, que mandaba úna brigada en la tercera división: el coronel Ellis del regimien­ to 23.que mandaba la brigada del mayor general Paken…</t>
  </si>
  <si>
    <t>Washing, Jorge</t>
  </si>
  <si>
    <t>Jorge Washing</t>
  </si>
  <si>
    <t>y »»Si la Inglaterra pierde el Canadá, ,se le quitan defender sus derechos. Jas maderas de construcción, alquitrán &amp;c. que saca 7.0 A la memoria del general Jorge Washing­ .de aquella colonia en tan gran cantidad, que para soton. ¡Qué el general en gefe de nuestro nuevo Jo esto emplea todos los años 300 buques. Y no so­ exéve…</t>
  </si>
  <si>
    <t>WaT</t>
  </si>
  <si>
    <t>WdJker, fue­ ron asimismo muy juicio as, y se aprovechó muy b;ea de las cir­ cunstancias para adelantar y sostener las fuerzas del mando del ma­ yor general WaT.ker, de un modo que le acredita altamente. N ' han sido menos notables la bizarría y pericia del mayor general Wa ker, que también fué herido, y la de los oficiales y…</t>
  </si>
  <si>
    <t>Watticr</t>
  </si>
  <si>
    <t>mer objeto de mi movimiento; el segundo, que era tomar el campo atrincherado de Fuente-Guinaldo, se consi­ guió con igual prontitud. „Mientras que el general Watticr marchaba sobre Espeja con la caballería del exército del Norte, el general Montbrun se enca­ minaba á la izquierda, y alcanzaba al enemigo sobre la altura de Bod…</t>
  </si>
  <si>
    <t>Watzdort</t>
  </si>
  <si>
    <t>Wussenwolff seguirá elquartel general delEnu perador Napoleón por parte del Emperador de Austria; el mayor general Krusemark por el Rey de Prusia; el general Watzdort por el Rey de Saxonia, y el teniente general W altersdorff por el Rey de Dinamarca*. GRAN BRETAÑA. Londres 1 (f de julio. La mala de Anholt confirma las primera…</t>
  </si>
  <si>
    <t>Wcodford</t>
  </si>
  <si>
    <t>omersct, que manda el 4 de dragones , y al honorable coronel Federico Ponsonby, que manda el 12 de dragones ligeros. „Debo asimismo hacer mención del teniente coronel Wcodford, que sostenido por dos compañías de fusileros del mando del capi­ tán Crovvdcr, mantuvo el pueblo de Arapiles contra todos los esfuer­ zos del enemigo,…</t>
  </si>
  <si>
    <t>Wegener</t>
  </si>
  <si>
    <t>dei Soberano. Las tropas confian tará dividida en dos brigadas , la una baso las ór­ también mucho en su actividad y' en sus talentos denes del mayor general Wegener y la otra ba- . militares , de que ha dado pruebas, señaladamente xo las del mayor gen-ral D irvisn. en la última carnp.ni. ,, Desde el dia en que esté f&gt;r/ntda …</t>
  </si>
  <si>
    <t>Weihngton</t>
  </si>
  <si>
    <t>■ flll/^ C&lt; is T --A ■ % rtl*n l ^ClI^ÜUCa ^ IT L&lt;n C5L1 .V»/\ y-kl CA 1 /\ UJULiaU «| USC^ si; h:m asombrado á la presencia de un genio militar, del general Weihngton; ios apóstatas españoles , hijos espurios de la patria , que se presU-iron á ser ei órgano vil de las máximas de la Francia, cami­ nan ya errantes y cubiertos …</t>
  </si>
  <si>
    <t>Weldon</t>
  </si>
  <si>
    <t>o se habla de se­ ayer hubo aqui una borrasca terrib e , de cuyas re­ mejante peste- sultas han varado el transporte Chatnm, mandado VALAQUIA. por el capitán Weldon, y otra embarcación car­ gada de municiones y de artillería: probablemente Buiharest 19 de fbrero. se perderán ambos buques. El lord Bentinck debía haber ido esta…</t>
  </si>
  <si>
    <t>Weliington</t>
  </si>
  <si>
    <t>o por Nisa, Villavella y Casteíobranco , habiendo lle­ gado á Fuentes de Oñoro el 8, donde por ahora ha establecido su cuartel general. El Excmo. Sr. general Weliington pasó á curaplimcntnr al Excmo. Sr. general en gefe á pocos instantes de su llegada á Fuen­ tes de Oñoro, recibiendo las mayores muestras de atención y respeto…</t>
  </si>
  <si>
    <t>nte fueron admitidos con las solemnidades de costumbre á la orden del Baño los nuevos caballeros nombrados úl* timamente, á saber : Arthuro Paget, el conde Weliington, J. Ludlow, S. Hood, el conde de Northesk, R. J. Strache-u, A. Cochsane, J. Stuart, P. Francis, H. Barlow, el vizconde Strangford* C. G. Keats, G. Backvith, D. …</t>
  </si>
  <si>
    <t>Wellesiey, Enrique</t>
  </si>
  <si>
    <t>Enrique Wellesiey</t>
  </si>
  <si>
    <t>oderosa y eficazmente á (a victoria de la causa común, y al estable­ cimiento de nuestra libertad é independencia. ARTICULO DE OFICIO. El Excrao. Sr. D. Enrique Wellesiey , embaxador de S. M B., ha recibido y comunicado a! gobierno los oficios siguientes del ma­ riscal general lord vizconde Wellington. Gallegos 21 de enero de…</t>
  </si>
  <si>
    <t>Wellesley, Enrique</t>
  </si>
  <si>
    <t>Enrique Wellesley</t>
  </si>
  <si>
    <t>429</t>
  </si>
  <si>
    <t>emos estado á 5 leguas de Se­ villa , y á 2 nuestras avanzadas; y no hemos estado le jos de Xerez y de los Puertos. ARTICULO BE OFICIO. El Excmo. Sr. D. Enrique Wellesley, embaxador británico, ha recibido y remitido á nuestro Gobierno copia del oficio, en que el mariscal duque de Ciudad-Rodrigo da parte al secretario de Estad…</t>
  </si>
  <si>
    <t>Wellesley, Henrique</t>
  </si>
  <si>
    <t>Henrique Wellesley</t>
  </si>
  <si>
    <t>mún, en que están todos tan decididamente,empeñados. « Tengo el honor &amp;c. = Firmado =W-«llingXon. ^V¿Ua-í oro.2 de octu­ bre de 1812. = Al Excmo. Sr. D. Henrique Wellesley, caballero del Ba­ ño &amp;c.” Alicante 18 de noviembre. Las tropas nacionales que ocuparon en. el 14 y .1 y lasdnmediaci^ues j-jr aun la villa de Alcoy, se cu…</t>
  </si>
  <si>
    <t>Wellington</t>
  </si>
  <si>
    <t>182</t>
  </si>
  <si>
    <t>por los importantísimos servicios que ha hecho en favor de nuestra santa causa e: general en? gefe de las tropas británicas ea la península, el lord vizconde Wellington, y señaladamente por.el que acaba de hacer, tomando por asal­ to ia plaza de Ciudad Rodrigo con las tropas combína las cíe su man­ do; han venido, conformándo…</t>
  </si>
  <si>
    <t>para simiente: sus pue­ ñas de Guadarrama con la mira de'reunirse sobre blos quemados y desiertos; y sus ciudades mas po­ Arévalo con el exército del general Wellington.. pulosas privadas de gran parte de sus habitantes,’ El de Portugal, después de haber hecho desis­ obligados á abandonar sus hogares por huir del ren­ tir á l…</t>
  </si>
  <si>
    <t>no experimentó ningún obstáculo; pe­ cendían á 4;'? hombres de infantería y 5© de ca­ ro la vanguardia tuvo que sostener un combate mui ballería. El general Wellington tenia 22© hombres empeñado, en el qual dió el enemigo varios ata­ de infantería y 1800 caballos; pero esperaba el re­ ques , que fueron siempre rechazados, hab…</t>
  </si>
  <si>
    <t>Welltngton</t>
  </si>
  <si>
    <t>coo pocas horas de trab.jo se ha tracto de una carta del mayar general Cooke puesto por . todas partes á cobieito mucho mejor; escrita desde Cddiz al vizconde Welltngton, que nosotros. El enemigo rompió ayer et fuego á con fecha del *7 de diciembre. las diez y media, y continuó batiendo en-brecha á distancia de cerca de 300 v…</t>
  </si>
  <si>
    <t>Welüngton</t>
  </si>
  <si>
    <t>rid quien pueda alabarse de ha­ procurado alistados baxo .sus banderas como lo ha he-' ber visto ni,siquiera una guinea ; no hai artesano que cito tu general Welüngton, ofreciendo premios por con ellos. .Raya ganado para.vivir, y hasta lavanderas toda España? No te digo mas, . '. 1</t>
  </si>
  <si>
    <t>Wenceslao</t>
  </si>
  <si>
    <t>ciudad hasta caballería ídem; D. Antonio Bnrriel , g-fe del es­ fines de noviembre. Parece que las cosas están en tado del cuerpo . expedición,.rio; D. Wenceslao aquel país en mui mala disposición. Los conatos Prieto, subinspector de infantería del cuerpo ex­ del general Venegas serán probablemente inútiles, pedicionario ,. y…</t>
  </si>
  <si>
    <t>WerdereW'ki</t>
  </si>
  <si>
    <t>nterrumpir ni entorpecer por ral barón de Moeller-Sakomeiskii: 2° en el de in­ el presente decreto el comercio que se hace en lo genieros el teniente general WerdereW'ki: 3.0 en interior del reino con las antiguas mercancías co­ el mismo departamento el teniente general Opper- loniales, ó con las que provengan de Francia, 6 m…</t>
  </si>
  <si>
    <t>Weüesley, Enrique</t>
  </si>
  <si>
    <t>Enrique Weüesley</t>
  </si>
  <si>
    <t>l cónsul ingles D. Pedro Tupper, para que los distribuya en esta pro­ vincia y en la de Cataluña, y los expidió el Excmo. 8r. embaxador de Inglaterra D. Enrique Weüesley , luego que tuvo noticia de las circunstancias en que se encontraba esta importante capital , en muestra del cordial interes que la generosa nación británica…</t>
  </si>
  <si>
    <t>Weüington</t>
  </si>
  <si>
    <t>estra triste- España, cha de dicho rio, y habia sido reforzado por dos y preguntémosle quánto le ha costado la fatal vic­ divisiones del exército del general Weüington, y toria de Arapiles. Ella nos enseñará por respuesta por las tropas de Elio, Freire , España , I’enne&amp;c. muchas de sus provincias devastadas y empobreci­ Este…</t>
  </si>
  <si>
    <t>Wfttgemtefo</t>
  </si>
  <si>
    <t>bre este último, rio,-y otro sobre el primero, y salido de Polotsk hacia Sebej, se encontró con el .ademas dobles cabezas de puemes. general Wfttgemtefo ¿ pyo cuerpo había sido re* El tercer cuerpo, al mando del mariscal duque forzado por el del príncipe Repnio. Trabóse el de Elchingen , esta en Liozna. combate cerca del cast…</t>
  </si>
  <si>
    <t>Wibon</t>
  </si>
  <si>
    <t>los dc«na$, primera compañú. . no estuvieron cón ted &gt; enteramente exéotos de é¡; D. J oscf Agustín Ñoñez ,, teniente de caballe­ mas sin embargo el brigadier Wibon informó. á ría de línea , á capitán de ja segunda compañía. S. E. qué los dos batallones de la Union se com­ D. Samiago López , subteniente agregado , á portaron …</t>
  </si>
  <si>
    <t>Wilkinson</t>
  </si>
  <si>
    <t>J53S En consecuencia de la guerra, y del temor de una insurrección de parte de los negros, el general Wilkinson ha hecho una requisi­ ción de 2000 hombres de milicias en la Nueva-Orleans. Escriben de Zanewille con fecha de 16 de Setiembre, que el ge­ neral Harrison marchaba hácia el fuerte de Wayne con un cuerpo numeroso , de…</t>
  </si>
  <si>
    <t>William</t>
  </si>
  <si>
    <t>sobre todo por ia influencia que tienen sobre h preguntas, contestaron en substancia cpmo signe: constitución irritable del Rei la posición y cir­ El doctor William ¡deberde : El Reí se ha ila cunstancias particui-rss eo que se encuentra. Sita imposibilitado de trabajar. Su salud corporal es embargo, no ha perdido ni la perce…</t>
  </si>
  <si>
    <t>er general Power y al coronel Stubbs , al servicio de Portugal; al teniente coronel Campbell del 94 que mandó una brigada de la tercera división ; al teniente coronel William del 60, al teniente coronel Wallace del 88, que mandó una brigada de la tercera división; al teniente coronel Lilis del 23, quemando la brigada del mayo…</t>
  </si>
  <si>
    <t>Williams</t>
  </si>
  <si>
    <t>ia el dia antes siete navios á la visra. viniese á visitar que habia encontrado su esquadra. Sin duda ninguna esta campaña, aunque coi­ En efecto, el capitán Williams se la dió por es­ la, hace mucho honor á nuestra' marina : y el fru­ crito, y continuó su camino. Fácilmente se dexa to de ella son 86 hombres cogidos al enemig…</t>
  </si>
  <si>
    <t>s: igualmente al coronel Campbell del regimiento 94-.°* qúe mandaba uña brigada en la ter­ cera división. |Son también muy dignos de consideración el coronel Williams del regimiento 6o.°: el teniente coronel Wallace dél regimiento 88.°, que mandaba úna brigada en la tercera división: el coronel Ellis del regimien­ to 23.que m…</t>
  </si>
  <si>
    <t>Willis</t>
  </si>
  <si>
    <t>e dice que la regencia se ha visto precisada á siste mas bien en delirio que en enagenacion mental. pedir al embaxador un socorro pecuniario hasta El doctor Willis ha sido el único que ha res­ que el arreglo de los negocios en ia América me­ pondido á la quinta pregunta de palabra y por es­ ridional , que deben efectuar los c…</t>
  </si>
  <si>
    <t>Willoughby</t>
  </si>
  <si>
    <t>rovisiones, y quien los mande. Se cree que los suecos embarquen tres divisiones de io® hombres cada una: los transportes están todos aquí prontos. El capitán Willoughby, de la marina real, ha salido para ver al Emperador dé Rusia.'* Una de estas noches últimas se l]a. prendido fuego en el almacén de brea perteneciente á la co…</t>
  </si>
  <si>
    <t>Wilscn</t>
  </si>
  <si>
    <t>ion , no llegaron á teser el terror pánico en el mis­ mo grado que los demas , no estuvieroE con todo enteramente exen­ tos de él; mas sin embaído el brigadier Wilscn informó á S. E. que los dos batallones de la Union se comportaron bien, y parte del remiento de Braga, siendo el coronel Sebastian Pereyra, comandante de uno de…</t>
  </si>
  <si>
    <t>Wilson</t>
  </si>
  <si>
    <t>del Mondego y se retiraren sobre Celorico, conservando el genera!, viz­ conde de Monteaiegre, los puestos avanzados en la Lagiosa, baxo el mando del brigadier Wilson. En la mañana siguiente del dia 15, el enemigo avanzó otra vez con fuerzas considerables, haciendo re­ troceder á Io3 referidos puestos avanzados de la Lagiosa. …</t>
  </si>
  <si>
    <t>Wimpffen, Luis</t>
  </si>
  <si>
    <t>Luis Wimpffen</t>
  </si>
  <si>
    <t>Parque, que presidirá las juntas y se­ siones, ai Sr. Cooke, general al servicio de S. M. B. que se halla en esta plaza, y á los mariscales de campo D. Luis Wimpffen., segundo 4*eie del estado mayor general, y D. Juan O-Oonojú, debiendo asis­ tir en calidad de secretario un anudante general que nombrará el primer ge fe del es…</t>
  </si>
  <si>
    <t>Wínttgeustein</t>
  </si>
  <si>
    <t>se replegaron á ocupar los puestos que se les señalaron; y verificado este movi­ miento quedó el «xército en las posiciones siguiente»: el cuerpo del conde Wínttgeustein en las inmediaciones de Wílkomir: el del gene­ ral Bxggohufwridt sobre Sehiwíick, entre IVrna y Wilkomir: ios ue los generales Tntskow y ShewalofF, cerca de …</t>
  </si>
  <si>
    <t>Winzengerode</t>
  </si>
  <si>
    <t>0 piezas, y construido caballos de frisa en todas sus entradas: forma una fortaleza: en él se hacen almacenes y hornos. Boletines rusos. ’ "Parte del general Winzengerode. Daivrdowka 28 de setiembre. Sin abandonar el camino deTwer, he</t>
  </si>
  <si>
    <t>opas de nuestra recluta. Respecto al camino de Moskow, confesamos estar ocupado por el ene­ migo ; pero solo á una corta distancia , pues el ayudante general Winzengerode, que con sus tropas está situado entre Klin y Moskowa, envía dia­ riamente sus patrullas hasta cerca de Moskow. Nuestras tropas se hallan también en Twer; y…</t>
  </si>
  <si>
    <t>Winzengerode'en</t>
  </si>
  <si>
    <t>coronel Davidoff, del 15.0 de caballería ligera*, habia andado muy activo en cortar las comunicaciones entre Gjat y Mojaisk; lo mismo que el ayudante general Winzengerode'en hacer lo propio en las rutas en el Mojaisk , en el Twer y JasvierlaíF. „ Se acaba de. recibir el parte del general Dorocoíf, que en substancia di­ ce que…</t>
  </si>
  <si>
    <t>Winzingerode</t>
  </si>
  <si>
    <t>rancés al mando.de Murat fué derrotada con: gran pérdida cerca de Moscow, como también por la restauración, de esta ciudad el 22 del corriente por el general Winzingerode. • ,,Aun no se ha publicado ei boletín ; pero tengo la satisfacción de incluir copia de ia nota que recibí esta mañana de orden del emperador. „Tambien acom…</t>
  </si>
  <si>
    <t>eros , y entre ellos ün general, quedando en el campo de batalla 2000 muertes Nuestra pérdida es de poca consideración. „E1 dia 22 entró en Moskow el general Winzingerode, obligando á la guarnición que allí habla dexado el enemigo á evacuar esta ca­ pital con tanta precipitación, que quedaron en nuestro poder los hos­ pitales…</t>
  </si>
  <si>
    <t>lmacenes. Empieza luego la marcha del exéreito de este modo : El ma^ riscal Treviso (Morder) se encaminó á Vereja. El edecán del em­ perador de Rusia barón Winzingerode quiso el 22 penetrar por entre nuestras tropas al frente de 500 cosacos; pero fué rechazado y hecho prisionero. El 1&amp; estaba el cuartel general (del exéreito …</t>
  </si>
  <si>
    <t>cha, por el general Platow, cerca de Doughovtchstchina. ,jEl mayor general Kutusow , que ha tomado el mando del cuer­ po que estaba á las órdenes del general Winzingerode , se reunió con ‘su caballería al grande exército , á marchas forzadas. „Se ha cogido un oficial conductor de varios pliegos de Beauharnois (que se publicar…</t>
  </si>
  <si>
    <t>Winzingtrode</t>
  </si>
  <si>
    <t>ión de Moscow le ha costado ya, sin dispararse un tiro , por lo menos 30000 hom­ bres , contando los prisioneros que han hedí© las tropas ligeras del general Winzingtrode en los caminos de Dwer, Yaroslaw . Wladimir, Vo okolamsk , Wos-Gesensk, y las del general DorokhefF en el de Smolensko á Mojaisk, j?uernigorod•• Wiasma, Wer…</t>
  </si>
  <si>
    <t>Winzirgerode</t>
  </si>
  <si>
    <t>V. Vansittat. — jBúihurst. — Curios Long. — Melville, — Sidmoutk.” Idem 30 de Octubre. Extracto de uva carta de Peiersburgo fecha á 2 de Octubre. „E1 general Winzirgerode está apostado en el camino de Moskow , cerca de Twer, con un cuerpo de 30000 hombres , y Kutuscw se halla á poca distancia de Moskow por la parte meridional…</t>
  </si>
  <si>
    <t>Wirizingerode</t>
  </si>
  <si>
    <t>a del cuerpo de su mando desde el lugar de Ruolshuye- á Moscow, y que las restantes tropas le siguiesen ai mando del mayor general tí cok emlo rf, El barón Wirizingerode atacó coa un impeta extraordinario las avanzadas enemigas que estaban dentro de la misma ciudad , y des­ pués de algunas escarauftizas las obligó á retirarse…</t>
  </si>
  <si>
    <t>Witfgcnriein</t>
  </si>
  <si>
    <t>l conde Delow Denizen, general ayudante de S. M. I., hizo varios pri­ sioneros , entre I03 que s¿ halla el conde Octavio Segur. „El 18, el cuerpo dei conde Witfgcnriein estaba entre Wílkomie y Holtmeny: los que e;tan á cargo de ios generales Tutsckrow y el conde Schrwsloíí', se van aproximando á Sweozenny: el del general Dach…</t>
  </si>
  <si>
    <t>Witgenstein</t>
  </si>
  <si>
    <t>nhei). sé ha reunido con. Witgenstein, y según me ha aségurado un edecán de este los dos cuer­ pos cofriblííados ascienden á 50000 hombres. El misino general Witgenstein asegura que nos libertará pronto de Macdonald. Los france­ ses han evacuado á Witepsk. El general Levvis se mantiene en las mismas posiciones q sus piquetes …</t>
  </si>
  <si>
    <t>Witson</t>
  </si>
  <si>
    <t>la m'sma t¿r le marcharon en 3 columnas, ía de ?a izquierda al mando del teniente g ñera1 C.hcwne ( con les regimientos 28 y 34 , á las ór­ denes de! coronel Witson, y ei sexto de cazadores) sobre el castdlo de M-rav¿-te ; la columna de la derecha al cargo del mayor general II w &gt;d, (con los regimientos 50,71 y 92) que acompa…</t>
  </si>
  <si>
    <t>Witt</t>
  </si>
  <si>
    <t>a por ambas par­ tes en muertos y heridos se ignora todavía, aunque se sabe fue muerto el general Kulnien de los húsares rusos, y herido levemente el conde Witt­ genstein. P. D. Acabo de recibir la siguiente carta del general Essen, que confir­ ma lo que acabo de decir: ,9R¿ga G de agosto. Señor : me apresuro á comunicar á V.…</t>
  </si>
  <si>
    <t>Wittgemtein</t>
  </si>
  <si>
    <t>iones el conde Deniszen , ayudante general de S. M.’I., ha cogido varios «prisioneros, y entre otros al conde Octavio de Segur. El 18 el cuerpo del « conde Wittgemtein se hallaba entre Wilkomir y Holteny; los cuerpos del «teniente general Tutschkow y del conde Schuwaiow se acercaban á Swen«zeny; el cuerpo del general Doctorow…</t>
  </si>
  <si>
    <t>Wittgenstein</t>
  </si>
  <si>
    <t>o.,f BOLETINES RUSOS. Quartel general cerca de Akasma 26 de junio (7 de julio). „E1 exérdto se halla hoy en las posiciones siguientes: El cuerpo del «conde Wittgenstein en Breslau; el segundo y tercer cuerpo en Dedin j ei «quarto en Ma.vloky; el quinto en Metaschi, y el sexto en Novagiodi. El enemigo, há multiplicado sus movi…</t>
  </si>
  <si>
    <t>ado completamente nuestras miras, y esperamos que su­ ceda lo mismo en lo venidero. »&gt; El exército ocupa hoy las posiciones siguientes: el cuerpo del general Wittgenstein está en Rimschany : los de los generales Baggohufwudt, Tutschkow y Schuwalow se han unido en Widzy: el cuerpo del general Doktorow se halla en Budna; y la r…</t>
  </si>
  <si>
    <t>guardia y reserva. A estas horas les rusos se han apoderado ya de uua gran parte de los bagages del exército francés. Ai dia seguiente ee piopoñia el conde Wittgenstein continuar en seguir el alcance al enemigo, y pasado que hubiese el Dwina, inten­ tase ó no Oudinot disputarle el pa&amp;s, estaba resuelto á acometer el cuerpo de…</t>
  </si>
  <si>
    <t>julio. ,, Habiendo dirigido el enemigo grandes fuerzas contra nuestro flanco derecho, se-puso en mar­ cha el primer exército para hacerle frente. El conde Wittgenstein, cuyt&gt; cuerpo se había situado en la derecha del Dwina, sabiendo que dos regi­ mientos de caballería franceses se habían aproximado á Druja, envió al otro lado…</t>
  </si>
  <si>
    <t>e que Oudinot, habien­ do pasado el rio, marchaba adelante con intención de cercar á Riga, y cor­ tarle la comunicación con S. Petersburgo, quando el conde Wittgenstein lo atacó con la mayor intrepidez, y le obligó á repasar el rio con la pérdida de 3 500 prisioneros y algunos cañones. El combate fue disputado, y el con­ de p…</t>
  </si>
  <si>
    <t>muchas acciones, en una de las quales el virey de Italia Beauharnois ha sido herido, y su primer ayudante de campo hecho prisionero. La victoria del general Wittgenstein ha sido decisiva. Oudinot fue completamente derrotado después de una batalla sangrienta, en la qual dexaron los franceses 3 2) hombres muertos sobre el campo…</t>
  </si>
  <si>
    <t>ra-almirante Martin al vice-almirante sir J. Saum.irez en la bahía de Riga d 1J de agosto. Sir: debo deciros que la noche pasada llegaron correos del conde Wittgenstein y del general Barclay de Tolly, por los que se sabe que no ha ocur­ rido cosa de importancia. El conde Wittgenstein escribe, con fecha del 13 del corriente, e…</t>
  </si>
  <si>
    <t>7 * ® Otro oficio. „E1 conde Wittgenstein da parte de que después de la segunda acción del 29 de julio (10 de agosto) el mariscal Qudinot se retiro con precipitación, siendo frecuentemente atacado por la vanguardia rusa que lo perseguía de cerca; pero que habiendo recibido refuerzos considera</t>
  </si>
  <si>
    <t>ia nota que recibí esta mañana de orden del emperador. „Tambien acompaña la traducción del oficio que refiere la derrota del mariscal St. Cyr por el conde Wittgenstein ; el asalto de Polotsfc en 20 del actual y las ventajas conseguidas por el general Steinheil contra los cuerpos que manda el mariscal Macdonald. . ,jEl tenient…</t>
  </si>
  <si>
    <t>el combate que tuvo con el cuerpo de Macdonald en la orilla izquierda del Duna. El 19 encontró al enemigo junto al rio Utchatch, y de acuerdo con el conde Wittgenstein le arrojó 4 werstas mas allá de Poíotsk, mientras aquel asaltaba la ciudad La obscuridad de la noche suspendió las operaciones. Ademas de los muertos y herido*…</t>
  </si>
  <si>
    <t>á esta potencia, tanto públicos Mittau, un combare mui glorioso para las tropas como particulares. El comandante envió también aliadas. El cuerpo del príncipe Wittgenstein había sus húsares á Kustoviez, posesión que era de la pasado el Dwina en retirada para Riga, y el gene­ mugcr del general Engelhardt, de donde sacaron ral …</t>
  </si>
  <si>
    <t>que acababan de ilegar allí, habían salido en virtud de las órdenes que ya de antemano habían recibido, á unirse con el cuerpo del mando del teniente general Wittgenstein. — Ei general Miloraduwistsch da parte de que las avanzadas enemigas conservan todavía las mis­ mas posiciones, y que los cosacos , que no cesan de acosarla…</t>
  </si>
  <si>
    <t>ar cerca de ve , de no haber puesto sobre las armas un exército too caxas de municiones. español mas fuerte, mejor armado, mejor equipa­ Reforzado el general Wittgenstein con las divi­ do y mejor disciplinado. Si nos responden que no siones rusas de la Finlandia y muchas tropas de pueden conseguirlo, lo creeremos; pero tambié…</t>
  </si>
  <si>
    <t>a­ ñones , qué se apoderaron de toda ella, de 7 oficiales y de 150 solda­ dos , que fueron hechos prisioneros. En el dia estoy en comunicación con el general Wittgenstein. Extracto del parte del conde Wittgenstein. Ouchatke 26 de Octubre. —Después de hablar de la marcha del general Stéinheil dice i „Con este movimiento los bá…</t>
  </si>
  <si>
    <t>un entró ■en'PoIotáfc- el general Wittgenstein ; aunque según el boletín fué rechazado con pérdida de 3000 prisioneros é infinidad de muertos» Para disfrazar la forzosa retirada de St* Oyr á este lado del Duna, finffe el autor del boletí</t>
  </si>
  <si>
    <t>Wladimírowitsch, Jaroslaw</t>
  </si>
  <si>
    <t>Jaroslaw Wladimírowitsch</t>
  </si>
  <si>
    <t>ga, y se compondrá de 19 catedráticos y dos ciudad se distitigbe principalmente el sepulcro del lectores. S. M. se encarga de pagar los primeros gran duque Jaroslaw Wladimírowitsch, que fue gastos, y le ha regalado una ,magnífica biblioteca, el primer legislador de Rusia , y quien en tiem­ qae fue de Mr. Colbioürusen , y' tod…</t>
  </si>
  <si>
    <t>Wlttgenetein</t>
  </si>
  <si>
    <t>n 3000 pfis£ons?os, le cogieren algún t ceñcn^, y le causaron una mortandad horrorosa. Como á la valida del correo continuaba todavía la aceion, y el conde Wlttgenetein lev seguía el alcance: no ve dios nada en estos oficios del Limero de Kbuertes, b ridos y prisioneras, y solo se expresa que había sido iT’n^v t ; el gúncial …</t>
  </si>
  <si>
    <t>Wolkonsky</t>
  </si>
  <si>
    <t>riores han pedido y obtenido licencias , entre estos tres ayu­ Viena 18 de enero. dantes del Emperador, el barón de Benkendorif, el de Suchtelan y el príncipe Wolkonsky, los qua- En el año de 1811 la útil y benéfica órden lla­ les han marchado á Petersburgo. mada de los Hermanos de la piedad tenia en los El d ¡a 30 de diciemb…</t>
  </si>
  <si>
    <t>Wolkousky</t>
  </si>
  <si>
    <t>que el comercio vuelve á prospe­ También dicen que los plenipotenciarios tu os esrar. La misma carta dice que las fami.ias georgia­ tan esperando al príncipe Wolkousky que viene nas están tan unidas entre sí , que por numerosas de Petersburgo con órdenes del Emperador. El que sean jamas se separan sino en el último ex­ conde …</t>
  </si>
  <si>
    <t>Woll</t>
  </si>
  <si>
    <t>Gaceta de Madrid n.º 216</t>
  </si>
  <si>
    <t>868</t>
  </si>
  <si>
    <t>e las fáoncas donde se trabaja el hierro, ioD en las K.aru'i:batka. de co &gt;re, y 30® en la fabricación de clavos. To­ Uno de estos médicos, que es el profesor Woll, dos estos ram .S de iridusiria y de comercio ¡lili r.o ¡Midiendo sufrir una conducta tan bárbara y decaído en térm .os, que se puede ..stgu ■' qco c sumí, se expl…</t>
  </si>
  <si>
    <t>Wood</t>
  </si>
  <si>
    <t>la isla. Fuego que Sir Samuel Auchmuty tuvo noticia de su paradero, en­ vió, de concierto con el contra almirante Stopford, una división al mando del coronel Wood para ocupar la fortaleza de Oheribon , y él con otra división se dirigió la madrugada dvd 5 de setiembre as cabo $idayo para apoderarse de Sourabaya y Fort-Luis. Eu…</t>
  </si>
  <si>
    <t>Woodford</t>
  </si>
  <si>
    <t>n­ to de dragones núm. 4.0, y el teniente coronel honorable F. Pousomby dd regimiento de'dragones ligeros núm. 12.0 Debo igualmente hacer mención dtl teniente coronel Woodford , que</t>
  </si>
  <si>
    <t>Woronzow</t>
  </si>
  <si>
    <t>n el pie izquierdo el príncipe Bagratr n , y estarlo también los generales Tortchkoff, el prín­ cipe Gortchacoif, los mayores generales Bakmetoff, el conde Woronzow, y Kretcfí.__ Hemos hecho algunos prisioneros, entre ellos un general de trisada, y cosido alguna artillería; pero es de noche, y no he podido ad—. quirir mas det…</t>
  </si>
  <si>
    <t>Wranderoih, Miguel</t>
  </si>
  <si>
    <t>Miguel Wranderoih</t>
  </si>
  <si>
    <t>putados seculares Diputados seculares D. Fermín Zéldót. D. Estiban Corones. D. Bernardo García. D. Francisco Antonio Martínez. D. Joan Bautista Lasa. D. Miguel Wranderoih. • Secretario Secretario D. Pedro Grigoén y Almousa. D, Felipe Gutierre*. BARRIO DE JESUS. BARRIO DB LA BUENA* VISTA. Alcalde de barrio ¿. Alcalde de barrio…</t>
  </si>
  <si>
    <t>Wrede</t>
  </si>
  <si>
    <t>oneros. El 18, á las quatro de la tarde, el general Gouvion St. Cyr rompió so­ bre el enemigo , haciendo atacar su derecha por la división bávara del conde Wrede. La batalla se hizo general por toda la línea, y los enemigos fueron completamente derrotados y perseguidos por espacio de dos leguas en quanto lo permitió la luz de…</t>
  </si>
  <si>
    <t>retirada, hicimos 2© prisioneros. El duque de Reggio (Oudinot), quedantes de la acción Labia sido reforzado por las tropas bávaras &gt; mandadas por el general Wrede, recibió un nuevo refuerzo de las mismas trepas alas órdenes del general Deroy, lo que dio motivo, después de la reunión, á una sangrienta acción el 17 del mismo me…</t>
  </si>
  <si>
    <t>ar el cuerpo man­ dado por el mariscal Macdonald. Al mismo tiempo el mariscal Oudinot ha­ bla recibido un refuerzo de tropas bávaras, mandadas por el general Wrede, y otro después, también de las mismas tropas, á las órdenes del general Deroy; y reunido todo el cuerpo, me atacó á las quatro de la tarde del 18 por todos los pu…</t>
  </si>
  <si>
    <t>movimiento para observar el del mariscal Macdonald: entre tanto , el mariscal Oudinot habiendo recibida , ademas del cuerpo bávaro á las órdenes del general Wrede, otro refuerzo de (1) He aquí pintada en breves palabras la infeliz situación á que se vtn reducidos ¿os franceses per haberse sometido á un déspota san­ guinario. …</t>
  </si>
  <si>
    <t>campo de batalla brar, no obstante que fue rechazado cinco 6 seis premios á los regimientos que mas los merecieron; veces: la división vigésima y el general Wrede, y como el nuevo regimiento 127.° re portó digna­ que la manda, se cubrieron de gloria. El generad mente, S. M. le concedo el Aguila, honor que aun bávaro Vincenri,…</t>
  </si>
  <si>
    <t>Wülís</t>
  </si>
  <si>
    <t>690 cobrado sn cabal juicio. El buen doctor Wülís les La sexta la real casa de Campo á la ribera del prometió qae el Rei estaría mochas horas sin dar rio Manzanares. señales de demencia , y con esto llevaron á Jorge 111 Se halla de venta dicha obra en la imprenta de á S. Pabio ert medio de los vivas dei pueblo. Pero Al</t>
  </si>
  <si>
    <t>WURTEMBERG</t>
  </si>
  <si>
    <t>dición de sn His- la Organización de las postas en Alemania. torta del sistema de los estados de la Europa en los últimos siglos. El señor Hcgcwisch, profesor WURTEMBERG. en Kiel, ha escrito otras dos obras intituladas Breve historia 6 compendio de las colonias griegas desde Stuttgatdt tu de enero. el tiempo de Alexandro el G…</t>
  </si>
  <si>
    <t>Wussenwolff</t>
  </si>
  <si>
    <t>león ha llegado á Prenn, plaza pequeña situada sobre el Niemen, é inmediata á las fronte­ ras de Rusia. AUSTRIA. Viena // de junio. Se asegura que el general Wussenwolff seguirá elquartel general delEnu perador Napoleón por parte del Emperador de Austria; el mayor general Krusemark por el Rey de Prusia; el general Watzdort po…</t>
  </si>
  <si>
    <t>X, Francisco</t>
  </si>
  <si>
    <t>Francisco X</t>
  </si>
  <si>
    <t>stelar, teniente general de los exércitos nacionales ; á D Mar­ tin de Garay ; á D. Melchor José de Foncerrnda, oider de la au­ diencia de México ; á D. Francisco X avicr Castaños, capitán ge­ neral de los exércitos nacionales; á D. José Raqui ja no y Carrillo, conde de Vista florida, oidor de la audiencia de Lima : a C\ Juan…</t>
  </si>
  <si>
    <t>X, Juan Bautista</t>
  </si>
  <si>
    <t>Juan Bautista X</t>
  </si>
  <si>
    <t>........................ . 36181 2 AVISO. D. Juan Aotonio Salcedo y D. Fran­ cisco Xavier Porto Salcedo......... 8580 A virtud de providencia del Sr. D. Juan Bautista X&gt;. Manuel Sánchez Toscano........... 9066 22 Guitart, juez de primera instancia en esta villa, se ha D. Francisco de la Quintana........... mandado sacar á púb…</t>
  </si>
  <si>
    <t>X, Mercedes</t>
  </si>
  <si>
    <t>Mercedes X</t>
  </si>
  <si>
    <t>ta , 50. Doña Do ninga Lacuriaga, 20. Doña Faus’tina Gutiérrez, 4. Dona Inés Barrera , 10. Doña Manuela Ampudia, 12. Do­ ña Margarita. Armciiones, 4. Doña Mercedes X i menea, 10. Doña Francisca Berasíegui , 25. — Dependientes de minas. D. José España , 10. D. Francisco Mazorra, 8. D. José Lemus, 25. D. Juan Bautista Pelogui ,…</t>
  </si>
  <si>
    <t>X, Rafae</t>
  </si>
  <si>
    <t>Rafae X</t>
  </si>
  <si>
    <t>enemiga de ambas naciones y del continente D. R.fcl B rrigon, id................................. 2200 de Europa, no aspirase á obtener el monopolio D. Rafae X.rnenez , id............. ................... 22CO del comercio y de la ii dn tiia, y á establecer el D. Jnsef Carrillo Montes , id....................... 2200 imperio …</t>
  </si>
  <si>
    <t>Xara, Fernando Gómez</t>
  </si>
  <si>
    <t>Fernando Gómez Xara</t>
  </si>
  <si>
    <t>Berwíck y de Alba, gentilhom­ l.° de cazadores á caballo, a ayudante mayor del bre de S. M. católica, y esquadron de cazadores de montaña de Avila; á D. Fernando Gómez Xara , vice-secretario de D. Rafael Singar , «ubíenienle de la compañía de la embastada'de S. M. católica. húsares de Guadalax r.i , á teniente de la misma Por…</t>
  </si>
  <si>
    <t>Xara, Francisco Gómez</t>
  </si>
  <si>
    <t>Francisco Gómez Xara</t>
  </si>
  <si>
    <t>tin.................................. f....... 25710 to D. García Gómez Xira................... - *3í9J r4 Qoe á una suma importan un millón doscien­ D. Francisco Gómez Xara.............. 15148 29 tos diez y siete mil novecientos veinte y ocho rea­ D. Vicente Eugenio de la Serna.... 1148 4 les y tres y dos tercios de maravedi…</t>
  </si>
  <si>
    <t>Xara, García Gómez</t>
  </si>
  <si>
    <t>García Gómez Xara</t>
  </si>
  <si>
    <t>exército p3ra quien se dirigen , re­ Por decretos de 16 del corriente el REI se ha cayendo sobre los compatriotas á quienes suponen servido nombrar á D. García Gómez Xara conse­ querer defender, y de quienes reciben subsisten­ jero de la prefeetnra de Madrid, D. Juan Sempe- cias. ¡Qoáotos se quejan de esto mismo ! Déxense re …</t>
  </si>
  <si>
    <t>Xaramillo, Severiaoo</t>
  </si>
  <si>
    <t>Severiaoo Xaramillo</t>
  </si>
  <si>
    <t>Romero. D. Juan Romnaldo'de Rozas. Diputados seculares Diputados seculares D. Manuel Moreda. D. Fernando dél Sotiibo. D. Pedro Bazo. D. Pedro Madrid. D. Severiaoo Xaramillo. D. Lorenzo Marqueta. , Secretario ‘ Secretario D. Juan Roiz Divila. D. Luis López de Castro. BARRIO DE LAS BARONESAS. BARRIO DE LAS NINAS DB LA PAl. Alca…</t>
  </si>
  <si>
    <t>Xavier</t>
  </si>
  <si>
    <t>ubprefecto de Alcalá de landés. ; Henares. Olivary (D. Melchor), tirador de la guardia real. Traxler (D. Jorge), teniente del regimiento Snizo. Onde (D. Xavier), abanderado del regimiento Treilhard (D. Liberal), espitan del regimiento de Real Extrangero. tiradores de la guardia real. Orden (D. Manuel María de la), director de…</t>
  </si>
  <si>
    <t>muchcs años. Cádiz 23 de najo ce 1812.— Sr. espitan general de las provincias de-Ventzuela ’’ — Ei comandante general dei cantón de la isla de Leen, D. Xavier E ie, dice &amp;l g^-fe del estado mayor general con fecha de 30 uel ca­ sado , lo que sigue:</t>
  </si>
  <si>
    <t>Xavier, Fiancisca</t>
  </si>
  <si>
    <t>Fiancisca Xavier</t>
  </si>
  <si>
    <t>ico; de cazadores, á D. Ramón Veadreü , y de fe sileros á D. Juan Bautista Oyarzabal, marques de Montealegre, D. Manuel Uficaagoena, D. Domingo Orne, D. Fiancisca Xavier de ízcue, marques de Corpa, D. José Ramón Idiaqaez , conde de Torreblanca , D. J uan de Pertica, Don Jo3é Cabero y Salazar, D, Faustino del Campo, D. Juan Sa…</t>
  </si>
  <si>
    <t>Xavier, Francisco</t>
  </si>
  <si>
    <t>Francisco Xavier</t>
  </si>
  <si>
    <t>e cazadores á caballo. dat de la Orden Real de España. Tilly (coadc de) , mayordomo de S. M.. Moner (D. Guillermo), granadero,de la guardia Toledano (D. Francisco Xavier), ayudante pri­ real. mero de ia guardia cívica de Madrid. Morln (D. Luis), ayudante mayor dd regimieu- Torralbo ( D. Antonio Vicente), corregidor de la ta d…</t>
  </si>
  <si>
    <t>cos Labia. D. Estiban Felipe Moría. D. Alfonso Perez. . Secretario BARRIO DE SAN ISIDRO. D. Toma* Cordero. Alcalde de barrio BARRIO DE SAN FRANCISCO. D. Francisco Xavier.de C.baza. Diputado eclesiástico Alcalde de barrio D. Pedro Q-vetami CLbezas. ' . D. Joan L&lt;so de la Veg-. Diputados seculares Diputado eclesiástico D. Grego…</t>
  </si>
  <si>
    <t>compañía de granaderos á D. Francisco Arenas, y de fusileros á D. Juan José Huidobro ; ayudantía á D. Francisco Soriano ; tenen­ cia de granaderos á D Francisco Xavier.Veiazquez, y de fusile­ ros á O. Antonio María Alvarez, D. Pedro Andrade, D. Antonio Yelazquez y D. José Yelazquez; subtenencia de granaderos á D. Mi­ guel Vai…</t>
  </si>
  <si>
    <t>Xibaxa, Ambrosio Gil</t>
  </si>
  <si>
    <t>Ambrosio Gil Xibaxa</t>
  </si>
  <si>
    <t>so desagüe , . que es ia mayor cante por no-servirla personalmente el presbítero y la mas célebre operación de este género que se D. Pedro Tovar r.'á¡D. Ambrosio Gil Xibaxa , ex­ ha emprendido jamas. Esta hermosa llanura» cu­ franciscano descalzo. bierta de sembrados y de pastos , qne mantienen . . Y para la de Domingo Perez,…</t>
  </si>
  <si>
    <t>Xiiaent, Lázaro</t>
  </si>
  <si>
    <t>Lázaro Xiiaent</t>
  </si>
  <si>
    <t>poderosa y mui respetable. agregado D. Josef Subías á subteniente de la oc­ ,,AJ mismo tiempo deberá abrirse^una nego­ tava compañía en la vacante de D. Lázaro Xiiaent. ciación coa la Inglaterra con intención sincera de hacer la p: z, y no para suscitar nuevos obstácu­ los, y perpetuar el rencor y el encono entre las dos naci…</t>
  </si>
  <si>
    <t>XIII, Ctirlos</t>
  </si>
  <si>
    <t>Ctirlos XIII</t>
  </si>
  <si>
    <t>muchos indicios en ei siguiente do­ cumento , que es de suma importancia en la roa era. • jyjscurso del príncipe kt redero de Suecia ( Bernadotte) al rey Ctirlos XIII cd tiempo de entregarle el goh?ei no. 5,^eñor : se han cúmplalo mis roas ardientes votos E! restvblecimiento de la salud de Y. M. le ha puesto en estado d volvc…</t>
  </si>
  <si>
    <t>Ximcnez, José María</t>
  </si>
  <si>
    <t>José María Ximcnez</t>
  </si>
  <si>
    <t>Calero, Don Calixto Rodríguez, D. Ildefonso Rulz, D. Agustín Lázaro, D. Juan Biirguiilos, D. Santiago López Ruiz, D. Pedro Fernandez, D.'José Muela , D. José María Ximcnez , D. Domingo Draper , D. Ma­ nuel Guio, D. Juan Utrero , D. Benigno Merchau, D. Víctor Casasola , D. Pascual del Rey , D. Miguel Parrales, D. Francisco Ay …</t>
  </si>
  <si>
    <t>Ximcnez, Ramón García</t>
  </si>
  <si>
    <t>Ramón García Ximcnez</t>
  </si>
  <si>
    <t>de S. M., juez de primera instan­ sinato de su dueño, para no dexar rastro alguno cia de esta villa, refrendada del escribano del número de la misma D. Ramón García Ximcnez , se ha man­ que designase los autores de ambos crímenes. dado convocar 4 junta 4 todos los acreedores que se El viernes 22.se convinieron todos tres en c…</t>
  </si>
  <si>
    <t>Xímeaez, Antonio</t>
  </si>
  <si>
    <t>Antonio Xímeaez</t>
  </si>
  <si>
    <t>............................................................................... 2 2CO Sonvailc.................................................. 2200 D. Antonio Xímeaez, id. de Torre Ja Vega. 2 20®</t>
  </si>
  <si>
    <t>Ximenez, Ambrosio</t>
  </si>
  <si>
    <t>Ambrosio Ximenez</t>
  </si>
  <si>
    <t>AN MARTIN. QUARTEL DE LA PLAZAS - 1 BARRIO DE SAN LUIS» - l. ' BARRIO DE SAN. QINES. Alcalde de barrio~ Alcalde de barrio D,.. Josef Castro. •• - ! 1 D. Ambrosio Ximenez. Diputado eclesiástica - ’ ! : Diputado eclesiástico D. Joaquín Pascual. D. Juan Frar cisco Molina. Diputados seculares Diputados seculares D. Diego Romere. …</t>
  </si>
  <si>
    <t>Ximenez, Antonio</t>
  </si>
  <si>
    <t>Antonio Ximenez</t>
  </si>
  <si>
    <t>ampaña. Hemos perdi­ Subtenientes. do pues en la península un hermoso exército, qne D. Pedro Delgado. do pc-dremos reemplazar, aun quando hagamos una D. Antonio Ximenez. conscripción general en todo el reino. D. Bartolomé Debías. Supongamos por último qne los ¿nglo-america- art. ni. En la vilia de Pota se aumentarán nos ponen…</t>
  </si>
  <si>
    <t>eyes, para ocupar un oportuno sitio en la plaza D. Juan Puente.................................. 40 de S. Miguel: providencias que , si bien honran á D. Antonio Ximenez........................ 36 la municipalidad , acreditan el buen gusto y el li­ El consejo de Sanidad...................... 150a beral ánimo del Monarca, que h…</t>
  </si>
  <si>
    <t>Ximenez, Esteban</t>
  </si>
  <si>
    <t>Esteban Ximenez</t>
  </si>
  <si>
    <t>cdsta, 1. Teniente de milicias de Tarma IX Juan Echevarría, 100. Procurador de la ciudad-IX Pe­ dro Espinosa , 10. Capitán D. .Esteban Solis , 2. Id. D. Esteban Ximenez , 6. Teniente D. Juan Manuel O cito a, 2. id. D. Tomas Medrano, 2. Id. IX Eulalio Egoavil, 4. Id. TX José Xarvarte , 2. Id. D. Antonio Zavala , 2 Subteniente …</t>
  </si>
  <si>
    <t>Ximenez, Fernando</t>
  </si>
  <si>
    <t>Fernando Ximenez</t>
  </si>
  <si>
    <t>piquete, 124.— Hacendados de la villa de Haaura. D. Sebastian Hurtado, 100. D. Manuel Villar, 100. D. Manuel Salazar, administrador de alcabalas 60. D. Fernando Ximenez, notario del santo ofi­ cio , 25. D. Agustín Aadrade, alcalde de españoles, 25. D. José Perez , ca-; pitan del regimiento provincial de dicha villa, 25. D. Ig…</t>
  </si>
  <si>
    <t>Ximenez, Francisco</t>
  </si>
  <si>
    <t>Francisco Ximenez</t>
  </si>
  <si>
    <t>n Galán y Njdües, id....................... 2200 1). Felipe del Olmo, id. en Ecija................. 2200 D. Antonio Nadales, id................. 2200 D. Francisco Ximenez, id............................. 2200 D. Miguel Carmena, id................................... 22co D. Juan Fernandez Delgado, id.................... 2 200 …</t>
  </si>
  <si>
    <t>Ximenez, Josef</t>
  </si>
  <si>
    <t>Josef Ximenez</t>
  </si>
  <si>
    <t>enta. D. Juan Francisco de Torres. D. Gonzalo de Valenznela, de granaderos. D. Juan Martin de la Torre, de tiradores. Subtenientes. D. Pedro Morales. D. Josef Ximenez. D. Estanislao Agnilar. D. Juan de Ortega Luengo. D. Miguel Parraverde. art. v. En la villa de Espejo se formarán dos D. Josef Joaquín de Priego. compañías. D. …</t>
  </si>
  <si>
    <t>Ximenez, Juan</t>
  </si>
  <si>
    <t>Juan Ximenez</t>
  </si>
  <si>
    <t>l Barrio. D. J'taquín Rodrigo. Diputados seculares D1. Jusef Sebastian. D. Juan Amonio Perez. Secretario D. Pedro de las Muelas. D. Fermín Gutiérrez. D. Juan Ximenez. ¡ Secretario BARRIO DEL CARMEN CALZADO. D. Manuel Aotonio Echeverría. Alcalde de'barrio D. Antonio Aivarez. BARRIO DE LA PLAZUELA DB SAN JUAN* Diputado eclesiás…</t>
  </si>
  <si>
    <t>Ximenez, Pedro</t>
  </si>
  <si>
    <t>Pedro Ximenez</t>
  </si>
  <si>
    <t>d............................... . 3200 D. Míreos de la Cufesrá/id. en Cabra....... 2200 1&gt;. Ignacio Morales, id................................ 2200 D. Pedro Ximenez , id etl Luqüe........... . 2200 D. Josef de Vega, id.................. ................ aiod D. Hipólito Granados, id. en Pezuelo de D. josef Santa Cruz, id...…</t>
  </si>
  <si>
    <t>Xímenéz, Ramón García</t>
  </si>
  <si>
    <t>Ramón García Xímenéz</t>
  </si>
  <si>
    <t>ol . I Secretarlo D. Manuel L-ipez de Ribas. D. Josef María Pardo. • D. Manuel González Robles.- : ^iiví „CL Secretario BARRIÓ DB LA HDERTA DEL BATO. D. Ramón García Xímenéz. s Alcalde de barrio BARRIO DB! LA LATINA, ,, D. Víctor Tomaí de Ituarte. . -i x5&gt;í»'ijl nintif-ei ,&lt;¿ Diputado eclesiástico Alcalde de barrio\ D. Jnan B…</t>
  </si>
  <si>
    <t>Ximenez, Ramón García</t>
  </si>
  <si>
    <t>Ramón García Ximenez</t>
  </si>
  <si>
    <t>itart, del consejo de S. M. , juez de primera instan­ cia de esta villa , refrendada del escribano de número 27. B. Vamos, Sr. D. Pedro, vmd. en todo D. Ramón García Ximenez, se ha tnandido sacar 3 baila dificultades. ¡Cuidado, qne si lo que vmd. pública subasta por término de 30 días, contados des­ dice fuera verdad , ni en …</t>
  </si>
  <si>
    <t>Ximenez, Rosendo</t>
  </si>
  <si>
    <t>Rosendo Ximenez</t>
  </si>
  <si>
    <t>medio. El contador D. Francisco María Pizarro y Cevallos , 208 y 2 y medio. El tesorero interino D. Juan Manuel Olivares, 166 y 5.— Vistas y alcayde. D. Rosendo Ximenez , 166 y 5. D. Ramón Sarrio , 125. Don José Darregueiva , alcayde interino , 125. — Oficiales primeros. D. Juan de la Daga, 83 y 2 y medio. D. Francisco María …</t>
  </si>
  <si>
    <t>Ximeno, Pantaleon</t>
  </si>
  <si>
    <t>Pantaleon Ximeno</t>
  </si>
  <si>
    <t>gracia alguna; antes bien bastantes hombres y mugeres presos por la contribución han logrado su libertad, veri­ ficando esta operación el subteniente D. Pantaleon Ximeno. El 18 de setiembre entraron en Guipúzcoa Marmont y otros dos genera­ les conducidos en camii!ac, y escoltados por 3O hombres. Catfareli, Buquet y otro gener…</t>
  </si>
  <si>
    <t>Ximentz, Vicente</t>
  </si>
  <si>
    <t>Vicente Ximentz</t>
  </si>
  <si>
    <t>do que fue esta Capital á indagar noticias de ios exérciícis , ó de millones, natural de Granada. por mejor decir, á contarse recíprocamente ias qiie D. Vicente Ximentz, jubilado de rentas, na­ cada uno se á su antojo. La policía, que tural de M idrid. nada ignoraba de quanto allí trataban, [es amo­ D. Nicolás Yanguas , ayuda…</t>
  </si>
  <si>
    <t>Xira, García Gómez</t>
  </si>
  <si>
    <t>García Gómez Xira</t>
  </si>
  <si>
    <t>.... . 3479 7 El convento de Santa Clara de Vi- Total................. .....1.2x7928 5! llacastin.................................. f....... 25710 to D. García Gómez Xira................... - *3í9J r4 Qoe á una suma importan un millón doscien­ D. Francisco Gómez Xara.............. 15148 29 tos diez y siete mil novecientos vei…</t>
  </si>
  <si>
    <t>Xirnenez, Vicente</t>
  </si>
  <si>
    <t>Vicente Xirnenez</t>
  </si>
  <si>
    <t>natural de Borja; D. José Naxera , Ha­ cendado , natural de Viiloslada ; D. Manuel López Barajas, dipu­ tado que fué de mlMcnes, natural de Granada; D. Vicente Xirnenez , jubilado de rentas , netural da Madrid ; D. Nicolás YangUa», ayuda de cámara que fué de Cárlos IV, natural de Náxera ; B. José de la Fílente, clérigo de men…</t>
  </si>
  <si>
    <t>Xitnencz, Josef García</t>
  </si>
  <si>
    <t>Josef García Xitnencz</t>
  </si>
  <si>
    <t>quedará concentrada en cada nación! sin'excitar Daña Cayetana Santibañez................... 1080» ti los zetas de las vecinas, ni vergonzosos monopo- D. Josef García Xitnencz , como nu*&gt;üos, ni prohibiciones injustas, ni derechos de liio de Doña M»ría Luisa de Velo ».&lt;duanas, ni guerras perpetuas , ni deudas exór- y Arce.....…</t>
  </si>
  <si>
    <t>XJlm</t>
  </si>
  <si>
    <t>din para que iban cargados de municiones. saliese con los riavios el Wayr.im , el Dona-wert, Se tienen por perdidas la mayor parte de las tV.Genovrs, d XJlm.% y el Danubio, y con las fra­ 230 velas que componían el convoi, y se regula gas la Incorruptible y la j\l‘.dea. Esta divisiod la pérdida de ios ingleses en 3® hombres. …</t>
  </si>
  <si>
    <t>Xourakin</t>
  </si>
  <si>
    <t>dias. Esto ha sido para nosotros un testimonio de que la orgullosa , y á todas-luces ex­ BOLETIN I.° DEL EXERCITO CHANDE. traordinaria Intimación del príncipe Xourakin, por la que declara que no entraría en explicación algu­ Gumbinen 20 de junio de 18í2. A lines del na con la Francia, á menos que esta no retirase los ano 1810…</t>
  </si>
  <si>
    <t>Xrane</t>
  </si>
  <si>
    <t>con algunos oficiales. El general Nansouty elogia -mucho la conducta del general Roussel, y recomienda al teniente Bor&amp;e de los húsares prusianos, al sargento Xrane y al húsar Lutze. S. M. (Po­ mparte) ha concedido-la condecoración de la legión de Honor al .general</t>
  </si>
  <si>
    <t>y A-tazarra, Pedro Moreno</t>
  </si>
  <si>
    <t>Pedro Moreno y A-tazarra</t>
  </si>
  <si>
    <t>asiiuIto Sctimayor, í). Francisco María Zu^oaga, D. Marcelo B &gt;za y Edava, D. Manuel Morales y IJgalde, D. Benito Canicoba, Don José Mari?. Galdraio, D. Pedro Moreno y A-tazarra, D. José Pío García y D. M-.trña CuisascJa ; subtenencias de granaderos, á Don Juan Esteban G&amp;rate, D Manuel T jada y Cuadra y D. José de Xazartc ; d…</t>
  </si>
  <si>
    <t>y Aguilar, Juana Maestranza</t>
  </si>
  <si>
    <t>Juana Maestranza y Aguilar</t>
  </si>
  <si>
    <t>i vafe de Cieza................. ................... 2200 Doña Joaquina Monroi y Saavedra, id.M.. 2200 D. Juan Salmoo, id. del lugar de Revilla. 22OÓ Doña Juana Maestranza y Aguilar , id...... 2200 0. Bernardo García , id. de Reocin.......... 2200 0. Fernando Fernandez dé Sempron , id. 47300 del valle de Toranzo..............…</t>
  </si>
  <si>
    <t>y Aguilera, Juan Antonio Ruano</t>
  </si>
  <si>
    <t>Juan Antonio Ruano y Aguilera</t>
  </si>
  <si>
    <t>e de 1812. La Regencia clcl reyno se ha servido admitir con aprecio el do­ nativo de 6600 reales vellón en moneda numeraria que ofrece desde, C rdeba D. Juan Antonio Ruano y Aguilera para ayuda de los gas-, tos de la guerra, mandando se le den gracias , y se anuncie ea la gaceta. CADIZ : EN LA IMPRENTA REAL.</t>
  </si>
  <si>
    <t>y Aguirre, Matías Martínez</t>
  </si>
  <si>
    <t>Matías Martínez y Aguirre</t>
  </si>
  <si>
    <t>quín de Castillo y Bustamaute comunica ai Sr. virey los partes que le diri ­ gieron desde Tenango del Vade en 0 y 10 del pasado Junió los ofi­ ciales D Matías Martínez y Aguirre, D. Manuel Pardo , D. Miguel Ignacio Beistegui y D. José Calafat. El primero dice que habiendo salido de Tres Villas con S2 hom­ bres de.su escuadrón…</t>
  </si>
  <si>
    <t>y Aíviz, Nicolás Berroya</t>
  </si>
  <si>
    <t>Nicolás Berroya y Aíviz</t>
  </si>
  <si>
    <t>sí ó en sos tiendas , estarán sujetos á las mismas estudios, y fueron examinados D. Jrvef Durar», ¡formalidades arriba prescriptas á los maestros ar­ D. Nicolás Berroya y Aíviz, D. jos^f Fernandez meros ; pero no podrán de modo alguno vender, Mayoral, D. Manuel A: vatez deSorribis, D. Pedro comprar ni negociar armas usadas. B…</t>
  </si>
  <si>
    <t>y Alava, Cários de Pando</t>
  </si>
  <si>
    <t>Cários de Pando y Alava</t>
  </si>
  <si>
    <t>. Garay, poseedora del mayorazgode los Dazas, por medio de su apode­ rado D. Trinis Gómez Duran........ 3982 *7 Potenza (en la Basilicata) a de mayo. D. Cários de Pando y Alava, conde de Vihaptterna, como poseedor Esta mañana á las seis y quiriro hemos sentido del patronato de Pando y Ortiz..... 44279 33 un temblor de tierra …</t>
  </si>
  <si>
    <t>y Alava, Carlos Pando</t>
  </si>
  <si>
    <t>Carlos Pando y Alava</t>
  </si>
  <si>
    <t>efa Za­ Por créditos de pensiones, jubilaciones, limosnas, pata Altamirano.............................. 3351 33 asignaciones, sin Idos y viudedades. D. Carlos Pando y Alava , conde Rs. vn. de Villapatetna............................... 23792 D. Luis y D. Honorario Badiu , por 5573 20 Por créditos que dimanan de intereses de …</t>
  </si>
  <si>
    <t>y Alguacil, Vicente Ort'z</t>
  </si>
  <si>
    <t>Vicente Ort'z y Alguacil</t>
  </si>
  <si>
    <t>Joaquín Cañete, de granadero». D. Juan Francisco Ramírez. D. Manuel Bujalance, de tiradores. D. Juan de Tienda. Tenientes. D. Josef Joaquín Henares. D. Vicente Ort'z y Alguacil. D. Pedro Atiza. D. Juan Pioeda. D. Josef Vexijar. Subtenientes. D. Josef de Osuna y Quadra. D. Andrés Padillo. D. Félix María Carrillo. D. Pedro Pere…</t>
  </si>
  <si>
    <t>y Almansa, Pedro Irigoen</t>
  </si>
  <si>
    <t>Pedro Irigoen y Almansa</t>
  </si>
  <si>
    <t>en la imprenta' ducal, y se » Rs. vil. Rl/s. venda á un precio moderado un papel ó periódico de oficio, el quat se publicará de siete en siete dias. D. Pedro Irigoen y Almansa, por.. 1Ó80 D. Fsrébande la Torre...................... 47*1 12 SUIZA. D. Manuel Llórente............................. 29203 30 Los reales hospitales c…</t>
  </si>
  <si>
    <t>y Almeyda, Francisco Bernardo de la Costa</t>
  </si>
  <si>
    <t>Francisco Bernardo de la Costa y Almeyda</t>
  </si>
  <si>
    <t>a* militares. Igualmente se ha publicado en los diarios de esta capital la sentencia dada el 20 de abril último en el consejo de guerra, for­ mado al coronel Francisco Bernardo de la Costa y Almeyda, que era teniente de rey de la plaza de Almeyda el 26 de agosto de 1810, cuando acaeció la explosión del almacén de pólvora. Con…</t>
  </si>
  <si>
    <t>y Almunia, Francisco Castillo</t>
  </si>
  <si>
    <t>Francisco Castillo y Almunia</t>
  </si>
  <si>
    <t>era, caballero maestrante dida y humildemente la diputación a tu.mbre de del real cuerpo de Ronda. sus habitantes. Y mientras logran tamaña dicha rio D. Francisco Castillo y Almunia , caballero cesarán de ofrecer sus fervorosas súplicas al Todo­ maestrante del real cuerpo de Valencia. poderoso para que bendiga todas las empre…</t>
  </si>
  <si>
    <t>y Altamiráno, Jorge de Frías</t>
  </si>
  <si>
    <t>Jorge de Frías y Altamiráno</t>
  </si>
  <si>
    <t>rcos y Gallego, del segundo de Sevilla, D. Pedro Massieu, del de granaderos de Canarias, y al subteniente con grado de teniente, del segundo de León, D. Jorge de Frías y Altamiráno ; al alférez de navio de la armada nacional D. José González de Argandofía; al alférez do fragata de la misma D. Antonio Diaz de Herrera, y á los …</t>
  </si>
  <si>
    <t>y Alvarez, Antonio Mañiz</t>
  </si>
  <si>
    <t>Antonio Mañiz y Alvarez</t>
  </si>
  <si>
    <t>nte* general de la alarma de Galicia, D. Francisco Tabeada; los briga­ dieres D. Antonio Garces de Marcilla, D. Crisóstomo Lallave, conde de Priegue, D. Antonio Mañiz y Alvarez, marques de Almeyda , y D. Manuel Torrado; los coroneles D. Francisco Ramcnet, D. Be­ nito Losada, O. José Cedillo, el marques de San Esteban, D. Mi­ …</t>
  </si>
  <si>
    <t>y Andrade, Ignacio Agudo</t>
  </si>
  <si>
    <t>Ignacio Agudo y Andrade</t>
  </si>
  <si>
    <t>Doña Ber­ quatro mil quinientos quarenta reales, diez mara­ narda Costarramont........................ 47916 vedís , un tercio y dos octavos de otro. D. Ignacio Agudo y Andrade, cu­ art.’ii. Se entregarán á estos interesados las yo crédito es posterior al 6 de cédulas hipotecarias correspondientes, con arreglo julio de 1808, …</t>
  </si>
  <si>
    <t>y Arce, Feliciana de la Fuente</t>
  </si>
  <si>
    <t>Feliciana de la Fuente y Arce</t>
  </si>
  <si>
    <t>del mes de marzo, 50. E! teniente coronel d i misino cuerpo D. Francisco García Miralles,á 'Cuenta de los 141 ps. 2 y med o rs. que ofreció , 12 y 4. Doña Feliciana de la Fuente y Arce, 100. Los vecinos déla villa de Hmmoavéíica, GÜ^ó.—— Administración de tabacos de Santa. El administrador D. Juan Manuel Loza• 110,26. Ei guar…</t>
  </si>
  <si>
    <t>y Arquellada, Ramón Giraido</t>
  </si>
  <si>
    <t>Ramón Giraido y Arquellada</t>
  </si>
  <si>
    <t>esde luego la cantidad de 6036 pesos fuertes, solicitaron del Sr. virey el permiso de enviarla á la península, libre de derechos, consig­ nada al Sr. D. Ramón Giraido y Arquellada, diputado en Cortes, y á D. Juan Francisco Vrergarn, del comercio de Cádiz ; á lo que no solo ha asentido gustoso el Sr. virey , manifestándoles en…</t>
  </si>
  <si>
    <t>y Arteagi, Josef Negiete</t>
  </si>
  <si>
    <t>Josef Negiete y Arteagi</t>
  </si>
  <si>
    <t>infante­ vino y Pontejos, de quien es apo­ ría de línea , á subteniente del de Madiid , t.° de derado y habilitado judicial D. Cíe­ la misma arma; 4 D. Josef Negiete y Arteagi, me.ice de Cabía................................ I2J2LO guardia de Corps que fue, á subteniente del regi­ D. Francisco de Paula Frías, coma miento 3.0 …</t>
  </si>
  <si>
    <t>y Ay, Antonio de la Moneda</t>
  </si>
  <si>
    <t>Antonio de la Moneda y Ay</t>
  </si>
  <si>
    <t>fue de1- regimiento de S Soya . 1 nieote de iofantetía de línea; al subteniente de i Tunería de El Reí no se halla tan bien como ha estado es» línea D. Antonio de la Moneda y Ay da subte­ los tres ó quatro días últimos. niente de caballería de linea, y al teniente del re­ U i rayo ha caído en la fragata la Franqueza, gimiento…</t>
  </si>
  <si>
    <t>y Azara, Ensebio de Bardaxí</t>
  </si>
  <si>
    <t>Ensebio de Bardaxí y Azara</t>
  </si>
  <si>
    <t>ran Bretaña. PORTUGAL. Lisboa 2 de octubre. El 26 de setiembre próximo pasado tuvo su audiencia de despedida del Gobierno de este reyno el Excmo. Sr- D. Ensebio de Bardaxí y Azara, que exercia el cargo de enviado extraordinario y ministro' plenipotenciario da S. M. Católica cerca de nuestro Gobierno, habiendo presentado en el…</t>
  </si>
  <si>
    <t>y Azara, Eusebia Birdaxí</t>
  </si>
  <si>
    <t>Eusebia Birdaxí y Azara</t>
  </si>
  <si>
    <t>enido á su cargo interinamente, y lo mismo la de Gracia y Justicia, ha venido también en nombrarle ministro pleni­ potenciario en Lisboa, en lugar de D. Eusebia Birdaxí y Azara. Tendreisío entendido, y lo comunicareis á quienes corresponda para au cumplimiento. (CONTINUACION DE DOS SUCESOS MILITARES OCURRIDOS .EN LA PROVINCIA…</t>
  </si>
  <si>
    <t>y Azara, Eusebio de Bardaxí</t>
  </si>
  <si>
    <t>Eusebio de Bardaxí y Azara</t>
  </si>
  <si>
    <t>e publi­ cará muy en breve. PORTUGAL. IAshoa 2 de Octubre. El 26 del pasado tuvo su audiencia de despedida del Gobierno de estos reynos el Excmo. Sr. D. Eusebio de Bardaxí y Azara, en­ viado extraordinario y ministro plenipotenciario de España cerca del mismo Gobierno; y presentó en esta ocasión al Sr. D. Santiago Usoz y Mozi…</t>
  </si>
  <si>
    <t>y B, Diego Pozuelo</t>
  </si>
  <si>
    <t>Diego Pozuelo y B</t>
  </si>
  <si>
    <t>ef Alcoba, id............................................' 2200 D. Juan Clavero, residente en Córdoba-. 22po D, Aíanuel Fernandez, residente en Orche D. Diego Pozuelo y B &gt;rja , id...................... 2200 provincia de Guadalaxara...................... 2200 D. Pedro García y Lara , diácóno , id....... 2200 D. Antonio de Flo…</t>
  </si>
  <si>
    <t>y B, Francisco Uñarte</t>
  </si>
  <si>
    <t>Francisco Uñarte y B</t>
  </si>
  <si>
    <t>ase de generales , á D. J.sé Be:mudtz, teniente general de la armada nacional; mar­ ques de Súmemelos , teniente general de los exércitos nacionales; D. Francisco Uñarte y B;rja, gefe de escuadra de la armada na­ cional, y D. Félix Colon, madscal de campo de los exércitos nacionaie?&gt;: para las dos de la ciase de intendentes, …</t>
  </si>
  <si>
    <t>y Barcia, Miguel Cabezas</t>
  </si>
  <si>
    <t>Miguel Cabezas y Barcia</t>
  </si>
  <si>
    <t>e subteniente. á D. Antonio Josef de Lora. art. ix. En la guardia cívica de Córdoba que­ Para capitanes y oficiales de las quatro compa­ da promovido D. Miguel Cabezas y Barcia, tenien­ ñías quedan nombrados: te ( á teniente de la segnnda comoañía de granade­ ros, en reemplazo de D- Pedro Cárdenas. Capitanes. ART. x. Nuestros…</t>
  </si>
  <si>
    <t>y Barrazabal, José Joaquín Duran</t>
  </si>
  <si>
    <t>José Joaquín Duran y Barrazabal</t>
  </si>
  <si>
    <t>de agosto. Extracto de los partes comunicados d la junta superior de laprovincia de Soria por su presidente y comandante general el mariscal de campo D. José Joaquín Duran y Barrazabal. „Excriio. Sr.: En la noche del 9 al 10 del corriente la guarnición de Logroño abandonó repentinamente esta plaza , y apenas me pre­ senté en …</t>
  </si>
  <si>
    <t>y Barros, Juan Perez</t>
  </si>
  <si>
    <t>Juan Perez y Barros</t>
  </si>
  <si>
    <t>Iglesias y Vázquez, D. Manuel Perez, í&gt;. Ma­ teo Pi con , D. «luán de Neyra y D. Esteban González ; y los de subtenica íes á D. Joaquín San Marrtin , D. Juan Perez y Barros, D. Ma­ nuel Fifgueyra , O. Bartolomé Gómez, D Simón Antonio Martínez, D. Juan San Martin, D. José Iglesias y Vázquez, D, Juan García, D. Domingo de Alons…</t>
  </si>
  <si>
    <t>y Berthier, Bernadotte</t>
  </si>
  <si>
    <t>Bernadotte y Berthier</t>
  </si>
  <si>
    <t>, solo necesitaba municiones y pertrechos, y estos ya llegaron á sus recpectivos destinos. Sabemos que el gobierno tiene cartas que se han escrito el príncipe Bernadotte y Berthier. Bonaparte antes de resolverse á hostilidades contra Sue­ cia, dio como u-timatum, escribiendo á dicho Príncipe, la promesa de de­ volver á la Sue…</t>
  </si>
  <si>
    <t>y Bonillo, Ana Bíasa Joaquina García Carrasco</t>
  </si>
  <si>
    <t>Ana Bíasa Joaquina García Carrasco y Bonillo</t>
  </si>
  <si>
    <t>u viage de España, tomo v, página 196, es de las efigies de escultura mas mal he-* chas que hay en Madrid* La persona que supiere de la existencia de Doña Ana Bíasa Joaquina García Carrasco y Bonillo, casada en segundas nupcias con D. Mariano García de Con­ suegra, que habitó en la calle de Jesús y María de esta corte , ó que…</t>
  </si>
  <si>
    <t>y Bracho, Josef Pando</t>
  </si>
  <si>
    <t>Josef Pando y Bracho</t>
  </si>
  <si>
    <t>lgún obispado de Gsma , vacante por muerte de Don tiempo que escasee el numerario, y causará mil Francisco Gil Sugadi. embarazos á los comerciantes." D. Josef Pando y Bracho, presbítero, ex­ Folch , gobernador de la Florida occidental, ha agonizante , el beneficio de la parroquia de San Pa­ dexaJo el mando, y ha salido para l…</t>
  </si>
  <si>
    <t>y Braganza, Pedro Carlos de Borbon</t>
  </si>
  <si>
    <t>Pedro Carlos de Borbon y Braganza</t>
  </si>
  <si>
    <t>idad que el general Moreau. ( B. Post.) AMERICA MERIDIONAL.. Río- Janeyro jo de mayo. El dia 26 de dicho mes falleció el.Sermo. Sr. infante de España D Pedro Carlos de Borbon y Braganza en la re*:l quinta de Buenavista á las ó y 37 minutos de la tarde. Después de hallarse restablecido de sus achaques, le aco­ metió una cruel …</t>
  </si>
  <si>
    <t>y Briceño, Domingo Bácefio</t>
  </si>
  <si>
    <t>Domingo Bácefio y Briceño</t>
  </si>
  <si>
    <t>s de guerra, y algunos equipages y muías. — Ando haciendo di­ ligencias par» crgit los cabezas de esa ciudad que estaban por aquí. Hoy se me presentó D. Domingo Bácefio y Briceño, hado cuque no le conocí i; pero mío miado oportunamente del sugeto que eri} lo he asegurado. — Todo io que pongo en noticia de V. S. para su Inteli…</t>
  </si>
  <si>
    <t>y Buñuio, José Pagés</t>
  </si>
  <si>
    <t>José Pagés y Buñuio</t>
  </si>
  <si>
    <t>eros D. Gonzalo Fernandez de Córdoba; primera ayudantía ma­ yor ai primer teniente D. Angel Noguer ; primera tenencia de gra­ naderos al de fusileros D. José Pagés y Buñuio : primeras tenencias de fusileros á los segundos tenientes de granaderos y cazadores D. Pedro Morell y D. Justo Salafranca: segunda ayudantía mayor al seg…</t>
  </si>
  <si>
    <t>y Bustamaute, Joaquín de Castillo</t>
  </si>
  <si>
    <t>Joaquín de Castillo y Bustamaute</t>
  </si>
  <si>
    <t>Concluye el extracto dt !os partes de Nucva-España* E1 comandante «•enera! de las armas de Toliica D. Joaquín de Castillo y Bustamaute comunica ai Sr. virey los partes que le diri ­ gieron desde Tenango del Vade en 0 y 10 del pasado Junió los ofi­ ciales D Matías Martínez y Aguirre, D. Manuel Pardo , D. Miguel Ignacio Beisteg…</t>
  </si>
  <si>
    <t>y Cacho, Juan Alexo Martiuez Palillos</t>
  </si>
  <si>
    <t>Juan Alexo Martiuez Palillos y Cacho</t>
  </si>
  <si>
    <t>José Antonio Solis, 25. El de id. TJ. Juan José Martínez Piadlos , 17. El cadete IX Santiago Martínez de Pi­ li i líos y Cacho, 17. El de igual clase D. Juan Alexo Martiuez Palillos y Cacho, lO. {Se continuaré.) mi inu i lwu.mi■■ ■ mii■n mrwrT—nMmrww—i—m in i m—tWWT—1 CADIZ : EN LA IMPRENTA REAL.</t>
  </si>
  <si>
    <t>y Campomanes, Manuel Arana</t>
  </si>
  <si>
    <t>Manuel Arana y Campomanes</t>
  </si>
  <si>
    <t>rancisco Boladeras, 12. D. José González , G. D. Fran­ cisco Hurtado , 6. D. Antonio Le goma , por sí y su padre D. Juan , 50. Don Ignacio Odria , 6. D. Manuel Arana y Campomanes , 5. Doña María Soto, 2. D. .Mariano Vicuña, G. D. Lázaro Rubianes , 6. D. Manuel de Arrieta , 8. y D. Nicolás de Benoa, por su muger é hijos, 1G.— …</t>
  </si>
  <si>
    <t>y Carredas, Rafael Perez</t>
  </si>
  <si>
    <t>Rafael Perez y Carredas</t>
  </si>
  <si>
    <t>9 D. Francisco Cacado , id........ ................ 2200 D. Pedro Serrano, id......................... . 220O D. Juan de Hita, residente en Cañete de D. Rafael Perez y Carredas , id............ . 220® las Torres......................................................... . 2200 D. Juan Antonio Serrano, id...................... 2…</t>
  </si>
  <si>
    <t>y Carrillo, Juan Salazar</t>
  </si>
  <si>
    <t>Juan Salazar y Carrillo</t>
  </si>
  <si>
    <t>er de ízcue, marques de Corpa, D. José Ramón Idiaqaez , conde de Torreblanca , D. J uan de Pertica, Don Jo3é Cabero y Salazar, D, Faustino del Campo, D. Juan Salazar y Carrillo, conde de las Lagunas, D. Francisco de Inda, conde de Lung^ncho, D. Hipólito Íbañíz, D. Francisco Moreyra y D. Joa­ quín María Ferrer; tenencias de gr…</t>
  </si>
  <si>
    <t>y Cas, Juan José Crespo</t>
  </si>
  <si>
    <t>Juan José Crespo y Cas</t>
  </si>
  <si>
    <t>coronel , 100. El regi­ dor decano D. José Vidurrisaga , teniente coronel , 50. Id. D. Cayetano Ar­ rima , 50. id. D. Juan Antonio Navarro , 10. Id. D. Juan José Crespo y Cas» tillo, 10. (Se continuará.) J"U I &gt; '!'!■ V rr-*.... . u.i .. . —1 • ■ , ...Al / &gt;., .'"■'-■'Trw ■(' CADIZ : EN LA IMPRENTA REAL.</t>
  </si>
  <si>
    <t>y Cerdan, Benito Guillen</t>
  </si>
  <si>
    <t>Benito Guillen y Cerdan</t>
  </si>
  <si>
    <t>capuchinos. D. Miguel Villanueva , lego, id. en Baeza. 1100 D. Manneí Flores, residente en Madrid.... 2200 D. Domingo Muñoz, id. en Bedmar...... 2200 D. Benito Guillen y Cerdan, id................ 2aoo D. Marrin Palomares , id. en Jaén............ 2200 D. Manuel Ibañez, id. en Navalcarnero.... 2200 D. Juan Joaquín Jordán, id.…</t>
  </si>
  <si>
    <t>y Cevallos, Francisco María Pizarro</t>
  </si>
  <si>
    <t>Francisco María Pizarro y Cevallos</t>
  </si>
  <si>
    <t>el León , 90. —- Real aduana de esta capital. — Ministras principales. El administrador 1). Antonio Izquierdo Martínez , 333 y 2 y medio. El contador D. Francisco María Pizarro y Cevallos , 208 y 2 y medio. El tesorero interino D. Juan Manuel Olivares, 166 y 5.— Vistas y alcayde. D. Rosendo Ximenez , 166 y 5. D. Ramón Sarrio …</t>
  </si>
  <si>
    <t>y Chaume, Josef Beneito</t>
  </si>
  <si>
    <t>Josef Beneito y Chaume</t>
  </si>
  <si>
    <t>do reunir no gran cuer­ Alvarez Posadilla , y para jueces á D. Vicente Li­ po de tropas de reserva en los alrededores de Chas- sa , D. Josef A'egre , D. Josef Beneito y Chaume chao , adonde han recibido orden de marchar los y D. Manuel Chiva, alcaldes de la referida au­ príncipes de Hesse-Hamburgo y Philipsthal. diencia. Los …</t>
  </si>
  <si>
    <t>y D, Agustín de Echeverría</t>
  </si>
  <si>
    <t>Agustín de Echeverría y D</t>
  </si>
  <si>
    <t>illa y el ca­ dete D. Joaquin Paredes , merecen mi recomendación, como también los patriotas de Toluca D. Ramón García Reguera , D. Pedro Mora­ les , D. Agustín de Echeverría y D. Antonio Rueda , y los dos de Ixtlaliuaca , Comezaña y Engracia, que se unieron á la caballería. ARTICULO DE OFICIO. El mariscal de campo D. Santiag…</t>
  </si>
  <si>
    <t>y D, Agustín Población</t>
  </si>
  <si>
    <t>Agustín Población y D</t>
  </si>
  <si>
    <t>último aii, todos los grandes descubrimientos. barrio D. Joan Font: para segundo y tercero del Una de las obras mas notables qne se han pu­ de Jesús D. Agustín Población y D. Francisco blicado en el discurso del año pasado es la seganCorchero; y para, segundo substituto de alcalde da edición de la mecánica analítica del senad…</t>
  </si>
  <si>
    <t>y D, Amorío</t>
  </si>
  <si>
    <t>Amorío y D</t>
  </si>
  <si>
    <t>. Se vende en dicha librería de Quiroga, D. Josef Bulan.................................. 37711 y en la de Barco, carrera de S. Gerónimo, á 20 rs. en D. Amorío y D. Vicenie María rústica'. Boasi................................................ 5640 D Juan Pablo Yubrea..................... 12361» D. Ja ¡me Felipe, D. Ju*n Lúeas…</t>
  </si>
  <si>
    <t>y D, Andrés Gnlleo-os</t>
  </si>
  <si>
    <t>Andrés Gnlleo-os y D</t>
  </si>
  <si>
    <t>esta mañana , trae gacetas ale­ manas hasta el 9 de este mes; pero no contienen noticia alguna de importancia. ; ° Eos tcnichte-córoiielcs españoles D. Andrés Gnlleo-os y D. Juan Clarke, ayüdántes de campo del general Ballesteros, lian abierto en. tre los españoles residentes en esta Capital una susctipcion \ favor ' de la va…</t>
  </si>
  <si>
    <t>y D, Andrés Rodríguez</t>
  </si>
  <si>
    <t>Andrés Rodríguez y D</t>
  </si>
  <si>
    <t>. Luis Lacy, un oficio en que nombra á los mas sobresalientes, recomendando al mismo tiempo el mérito del direc­ tor y de los maestros, los capitanes D. Andrés Rodríguez y D. Juan G rardo Fochs , el ayudante mayor D. José Aímodovar, y les te­ nientes D* Lorenzo Novella, D Juan Hormachea y D. Ignacio Gas­ cón. El dia siguiente…</t>
  </si>
  <si>
    <t>y D, Andrés Romero Valdés</t>
  </si>
  <si>
    <t>Andrés Romero Valdés y D</t>
  </si>
  <si>
    <t>^. En algunas. _g^zet^s. je ha dicho qne había sa­ D. Juan Antonio Llórente-, D. Blas.de A tanza, lido la guarnición de esta capital, y qne la guar­ D. Andrés Romero Valdés y D. Vicente Gonzá­ dia. cínica cubría jpsjps ¿os puestos militares; pero lez Arnao, es falso. Los gxqpac^erps alemanes y húngaros con­ tinúan. hadendoA s…</t>
  </si>
  <si>
    <t>tes que ..tienen sos almaceoes en las orillas del D. Juan Antonio Llórente, D. Blas de Araoza, Mein. Pera esta próroga no se entiende con lo* D. Andrés Romero Valdés y D. Vicente Gonzá­ pagos que, bien sea por la leí ', ó por contratos lez Arnaoparticulares, ó por aso y práctica en el comercio, deben hacerse dorante la feria.…</t>
  </si>
  <si>
    <t>y D, Antolin Munarnz</t>
  </si>
  <si>
    <t>Antolin Munarnz y D</t>
  </si>
  <si>
    <t>la municipalidad-D. Juan Antonio Pico, D. Genaro Faustino dél Rincón, D. Lorenzo Iruegas,D.. Diego Barreda, D. Josef Ocharan, Don Manuel de la Viña, D. Antolin Munarnz y D. Pedro Pinillos, aprobaron unánimemente q.uanto queda réfeíádo, y se dispuso que para afianzar la tranquilidad pública saliesen, rondas numerosas, y; perpe…</t>
  </si>
  <si>
    <t>y D, Antonio Antón</t>
  </si>
  <si>
    <t>Antonio Antón y D</t>
  </si>
  <si>
    <t>de Ciw&amp;rrubi&amp;s. Al amanecer del 2 dispuse, que 2 descubiertas de 40 caballos cada una , baxo la dirección de les ca­ pitanes del referido regimiento D. Antonio Antón y D. Tomas Ibsas, marchasen á Sta. C,cilla la primera, y á Qaintaniila de la Mata la segunda; reforzando-a! mismo tiempo con otros imites caballos al capitán San…</t>
  </si>
  <si>
    <t>y D, Antonio del Valle</t>
  </si>
  <si>
    <t>Antonio del Valle y D</t>
  </si>
  <si>
    <t>ido, dexando algunos muertes y heridos. Dice Locga que su pér­ dida es de 33 muertos y 31 heridos, entre estos des tenientes de húsa­ res de Iberia , D. Antonio del Valle y D. Pedro Fcntecbm , y el sub­ teniente D. Julián Gómez Navarrete; y que ademas de hsber quedado muerto8 en el campo 37 caballos, quedan en su peder SO y u…</t>
  </si>
  <si>
    <t>y D, Antonio Gayarre</t>
  </si>
  <si>
    <t>Antonio Gayarre y D</t>
  </si>
  <si>
    <t>Mier, D. Juan Blanco; D. Francisco Morales, I). Juan Bautista PeÜerín, D. Benigno García Cdderon, D. Pedro Roia, B. Juan Moreno, O. Francisco Hevia , D. Antonio Gayarre y D. Francisco Martínez; á ayudantes á D. Luis Daunoy, Don ■Cirilo de Mor&amp;nt y D. Francisco Perez Maro; á tenientes de grana­ deros k D. José Alpanscque y D. …</t>
  </si>
  <si>
    <t>y D, Antonio Wesntuller</t>
  </si>
  <si>
    <t>Antonio Wesntuller y D</t>
  </si>
  <si>
    <t>en el regimiento Real Extiangvro, y D. Josef S. Martin, que lo era del de IMPERIO FRANCES. C .Milla, i.° de intántería ligera; y para subte­ nientes D. Antonio Wesntuller y D. Lorenzo Bayona i.° de marzo. Chefnef, que lo fueron del Real Extrangero. ílaée algunos dias que reina aquí un recio Por otro decrero de ia misma fecha …</t>
  </si>
  <si>
    <t>y D, Antonio Yelazquez</t>
  </si>
  <si>
    <t>Antonio Yelazquez y D</t>
  </si>
  <si>
    <t>ntía á D. Francisco Soriano ; tenen­ cia de granaderos á D Francisco Xavier.Veiazquez, y de fusile­ ros á O. Antonio María Alvarez, D. Pedro Andrade, D. Antonio Yelazquez y D. José Yelazquez; subtenencia de granaderos á D. Mi­ guel Vaienza, y de fusileros á D. Francisco Xavier Vargas , D. Eusebio Teiíez , D. Pedro Mansilla , …</t>
  </si>
  <si>
    <t>y D, Bartolomé Moretini</t>
  </si>
  <si>
    <t>Bartolomé Moretini y D</t>
  </si>
  <si>
    <t>osé María Colubi, sargento mayor del regimiento de infantería de Mata­ ré ; y á sargentos mayores de los regimientos de Mataré y Leales manresanos, á D. Bartolomé Moretini y D. Antonio Pierson, capi­ tán del de UAtonía, este último graduado de coronel. CADIZ EN LA IMPRENTA REAL.</t>
  </si>
  <si>
    <t>y D, Basilio</t>
  </si>
  <si>
    <t>Basilio y D</t>
  </si>
  <si>
    <t>del mes de julio del mismo año. (Se continuará.) Lo* empleados de la secretaría de la mayordomía de S. M........................ 200 ESPAÑA.' Señores D. Basilio y D. Joset Salcedo . y X iramillo.............................. . 5c&amp; Madrid 14 de enera. El Excmo. Sr. conde de Melito....... 30o El Excmo. Sr. duque de Bervia y Alb…</t>
  </si>
  <si>
    <t>y D, Benito Villuela</t>
  </si>
  <si>
    <t>Benito Villuela y D</t>
  </si>
  <si>
    <t>461 do el capitán D. José Revestí á los capitanes D. Benito Villuela y D. Mariano Buril lo, mis ayudantes de cacopo, que todos á mi lado en medio del fuego con la mayor actividad comunicaron oportuna* mente mis ó* tenes. Todo lo que participo á V. S. para su sat</t>
  </si>
  <si>
    <t>y D, Bernardo Ibañez</t>
  </si>
  <si>
    <t>Bernardo Ibañez y D</t>
  </si>
  <si>
    <t>al lo que sigue : 'v „Exerno. Sr.: El brigadier D. Antonio Porta, comandante gene­ ral del reyno de J^en, me acaba de dar noticia d- q e ls a'féreces D. Bernardo Ibañez y D. José Elvira, d ! escuadrón de c lores á que da nombre aquella capital, con D. J &gt;me Duran , salien-n el dia 28 de junio último con 30 cazadores é instruc…</t>
  </si>
  <si>
    <t>y D, Carlos Sicilia</t>
  </si>
  <si>
    <t>Carlos Sicilia y D</t>
  </si>
  <si>
    <t>Joan Josef menage de sumisión y respeto que deben á V. M. Cámara, D. Mariano Tejada, D. Nicanor Esterri- todos los pueblos de su vasta monarquía. pa, D. Carlos Sicilia y D. Miguel Guridi; D. An­ ,, Mucho tiempo há que Requena y lugares de tonio Irigoyen y D. Aniceto Aranguren agraciados su comprehension deseaban penetrar hast…</t>
  </si>
  <si>
    <t>y D, Cristóbal Bdxuial</t>
  </si>
  <si>
    <t>Cristóbal Bdxuial y D</t>
  </si>
  <si>
    <t>rugada dei £7 á los mandantes de compañías D. Narciso Iglesias, que lo es de la primera de cazadores, y D. Julián CafF* de la seguuda de fusileros, y D. Cristóbal Bdxuial y D. Fian cisco Cormi-</t>
  </si>
  <si>
    <t>y D, Cristóbal Binares</t>
  </si>
  <si>
    <t>Cristóbal Binares y D</t>
  </si>
  <si>
    <t>do aL teniente D. Pedro Gómez. Asimismo ha conferido el Consejo de Regencia en el batallón de Barbastro empleos de capitanes segundos á los tenientes D. Cristóbal Binares y D. Manuel Lanchas, esie graduado de capitán ; tenencias á los subtenientes D. Nicolás Ufaría ele Te!lita , D. Joaquín Martel y D. Pedro Antonio de la Torr…</t>
  </si>
  <si>
    <t>y D, Dloiiisio Martínez</t>
  </si>
  <si>
    <t>Dloiiisio Martínez y D</t>
  </si>
  <si>
    <t>ntería de la Habana, á teniente á D. José Perera. Y en el de dragones de milicias discipli­ nadas de Matanzas, á capitales del escuadrón desmontado á D. Dloiiisio Martínez y D. Rafael Caraballo•; á tenientes del mismo á Dan José María Chaves, D. Francisco A-Roso, D Vicente del Junco, y á subtenientes á D. Manuel del Junco, D.…</t>
  </si>
  <si>
    <t>y D, Domingo de Alonso</t>
  </si>
  <si>
    <t>Domingo de Alonso y D</t>
  </si>
  <si>
    <t>Perez y Barros, D. Ma­ nuel Fifgueyra , O. Bartolomé Gómez, D Simón Antonio Martínez, D. Juan San Martin, D. José Iglesias y Vázquez, D, Juan García, D. Domingo de Alonso y D. José Leston. En virtud de providencia del real tribunal del consulado de co­ mercio de Cádiz , se emplaza á los acreedores de Doña Francisca de Paula C…</t>
  </si>
  <si>
    <t>y D, Domingo Josué</t>
  </si>
  <si>
    <t>Domingo Josué y D</t>
  </si>
  <si>
    <t>tacando herid rÍ onbíd.Io : d i teniente de la primera compañía del mismo baU':o» D Febn* Nn vienes, que acometió á la bayoneta á les cr.emigo? : de D. Domingo Josué y D. León Mayo, cñok.fee de caballe­ ría , que fu*nv-? lo» primero#, de esta, arma que acometieron al enemi­ ga : irurImpute q'ce del subteniente de- la Eiisraa …</t>
  </si>
  <si>
    <t>y D, Eugenio Fonrdunier</t>
  </si>
  <si>
    <t>Eugenio Fonrdunier y D</t>
  </si>
  <si>
    <t>averrueozan cíe ver ú su gobierno no hacer mas qme D. Eugenio Fonrdunier y D. Manuel de It.zi se­ echar ñeros y amenazas c omo un fanfarrón, sin lle­ gundos tenientes del real cuerpo Je ingenieros; al gar á realizarlas. Salgamos ya de este letargo, y teniente gradua</t>
  </si>
  <si>
    <t>y D, Eustaquio</t>
  </si>
  <si>
    <t>Eustaquio y D</t>
  </si>
  <si>
    <t>. La escasez de municiones les obligó entonces á retirarse con el mejor orden hasta Vi! briba; aquí nos encontramos con la caballería é infantería de D. Eustaquio y D. Fermín Salcedo, quienes nos franquearon las muniettmea necesarias , y tratemos acordes de esperar al enemigo, si pasaba adelante; pero este, aunque subió la cu…</t>
  </si>
  <si>
    <t>y D, Felipe Borenguér</t>
  </si>
  <si>
    <t>Felipe Borenguér y D</t>
  </si>
  <si>
    <t>la misma clase de la división de caballería D. Manuel Sistemes, los coroneles de Lena , inmemorial del Rey y primero de Catalu­ ña, D. Jayme Butler, D. Felipe Borenguér y D. Antonio Sota; y los sargentos mayores D. José Qulntanilia, y O. Constancio Martí­ nez , que mandaban ios regimientos de Cangas de Tineo y Sigüenaa.73 Con…</t>
  </si>
  <si>
    <t>y D, Felipe Ochoa</t>
  </si>
  <si>
    <t>Felipe Ochoa y D</t>
  </si>
  <si>
    <t>$34 la hace bastante sensible la de los capitanes D. Felipe Ochoa y D. Joaquín Berruezo, del primer batallón ; los tenientes O, Manuel Jáuregui y D. Agustín Octavio, especialmente la de este último, jo­ ven bizarro , que avanzó hasta el pie del canon enemigo,</t>
  </si>
  <si>
    <t>y D, Félix Cuevas</t>
  </si>
  <si>
    <t>Félix Cuevas y D</t>
  </si>
  <si>
    <t>do el que ha sufrido y trabajado mas , siendo muy recomendable la conducta de su gefe Bíancheili: los granaderos de Ausona mandados por los capitanes D. Félix Cuevas y D. Pedro Baza , sostuvieron su alta re­ putación : se distinguieron también el subteniente de la primera de cazadores de Fernando Vil D. Joaquín Fontaniüas ; e…</t>
  </si>
  <si>
    <t>y D, Félix María Farias</t>
  </si>
  <si>
    <t>Félix María Farias y D</t>
  </si>
  <si>
    <t>rt, D. Casimiro García, D. C &gt;sme Armera, D. José Torres, D. Teles foro Montero, D. Ignacio de Medina, D. Vicente Zavala, D. José María ViUavicsncio, D. Félix María Farias y D. Juan Pedro Pe*ayo ; el mismo de ras de caballería, á D. Rafael Padrón , D. José María Arcaya, D. Miguel MLUaco, D. Juan de Lugo, D Juan José Perez, D.…</t>
  </si>
  <si>
    <t>y D, Francisco</t>
  </si>
  <si>
    <t>Francisco y D</t>
  </si>
  <si>
    <t>la colección de donativos en los bar­ rios de S. Francisco de Asis y fuerza de esta ciudad, recogieran de ios vecinos que los componen, 4207 y medio, D. Francisco y D, Ensebio Al­ vares , por un soldado durante la guerra, 9. D. Antonio Evora , id., 9. Don Evaristo de. Aguirre y D. Pedro Morales , id., 9. D. Blas Fuertes , id.…</t>
  </si>
  <si>
    <t>y D, Francisco Assin</t>
  </si>
  <si>
    <t>Francisco Assin y D</t>
  </si>
  <si>
    <t>gildo Rodríguez de Ribera, oidor de la chancillería de Valladolid; D. Manuel de Estrada, juez mayor de Viz­ caya, de la misma; D. Lorenzo Gotaredona, D. Francisco Assin y D. Juan de Quesada, abogados en esta corte. Por fiscal al Sr. D. Josef Hernández Martínez, igualmente abogado. Por agentes fiscales á D. Simeón García Peric…</t>
  </si>
  <si>
    <t>y D, Francisco Cabrera</t>
  </si>
  <si>
    <t>Francisco Cabrera y D</t>
  </si>
  <si>
    <t>soldados de es­ te valiente cuerpo el mayor sentimiento porque no saliesen de la pla­ za enemigos con quienes batirse. „!Ie sabido por los generales D. Francisco Cabrera y D. Fede­ rico CastañoR , que sus respectivas tropas se han conducido del mis­ mo modo que las que han estado ;t mi vista: y espero con la mas fundada confi…</t>
  </si>
  <si>
    <t>y D, Francisco Casalios</t>
  </si>
  <si>
    <t>Francisco Casalios y D</t>
  </si>
  <si>
    <t>an mentó del Tanaro; otro en Fabriano, y otro en Sánchez, teniente, á capitán; D. Manuel LinusaGubbio: á todos ellos se les está formando causa. ya , D. Francisco Casalios y D. Jorge Driget, sub­ Las monedas que han contrahecho están tan mal tenientes , á tenientes; y D. Juan D’ Augusting, trabajadas, que á primera vista se c…</t>
  </si>
  <si>
    <t>y D, Francisco Cortazar</t>
  </si>
  <si>
    <t>Francisco Cortazar y D</t>
  </si>
  <si>
    <t>gilitar, D. Lorenzo de Avila, 0. Salva­ dor Morejon y D Francisco Seidel; y á subtenientes de bandera á D. Faustino Figueroa , D. Francisco Viamonte, D. Francisco Cortazar y D. Salvador déla Luz. En el de la Luisíana, á sargento ma­ yor á D. L ids Piernas; á capitanes de granaderos á D. José Carrizosa y D. Carlos Devílie; á c…</t>
  </si>
  <si>
    <t>y D, Francisco Devilliers</t>
  </si>
  <si>
    <t>Francisco Devilliers y D</t>
  </si>
  <si>
    <t>­ mínguez , D. J usé Bernardo, D. Pedro Rey-yo , D. Carlos Reggio, D Bernardo Prieto, D. Cirilo Lessacier, í). Juan Galguare, Don Francisco Dalcourt, D. Francisco Devilliers y D. Juan José Bou; á subtenientes de granaderos á D. Arnaido Guillemard , D. Juan Fer­ nandez y D. Diego Barrado; á subtenientes de fudleros á D. José U…</t>
  </si>
  <si>
    <t>y D, Francisco López</t>
  </si>
  <si>
    <t>Francisco López y D</t>
  </si>
  <si>
    <t>us heridas, al capitán en comisión D. Francisco Fernandez, al ayudante D. Pe­ dro Nolasco Llordella, al teniente D. Antonio Gálbulo , á los cade­ tes D. Francisco López y D. Francisco Barranco, y al sargento pri­ mero Juan González, y de Almansa al comandante de escuadrón D. Epifariio Comvay , que cumplió con su deber por la …</t>
  </si>
  <si>
    <t>y D, Francisco Luis Jácome</t>
  </si>
  <si>
    <t>Francisco Luis Jácome y D</t>
  </si>
  <si>
    <t>la cabeza de su compañía, y el segando persiguiendo con tesón las guerrillas enemigas; el del teniente y subteniente de caballería húsares de Aragoa, D. Francisco Luis Jácome y D. José Cabrerizo, que mandaban ian guerrillas de caballería que hice avanzar al pueblo, y lo hicieron con el mayor ím­ petu y denuedo, distinguiéndos…</t>
  </si>
  <si>
    <t>y D, Francisco Moreyra</t>
  </si>
  <si>
    <t>Francisco Moreyra y D</t>
  </si>
  <si>
    <t>ero y Salazar, D, Faustino del Campo, D. Juan Salazar y Carrillo, conde de las Lagunas, D. Francisco de Inda, conde de Lung^ncho, D. Hipólito Íbañíz, D. Francisco Moreyra y D. Joa­ quín María Ferrer; tenencias de granaderos á D. Juan Quintanilia, D. José Garrea y D. Antonio Taranco, de cazadores, á D. Jo­ sé Francisco de Isas…</t>
  </si>
  <si>
    <t>y D, Francisco Reyes</t>
  </si>
  <si>
    <t>Francisco Reyes y D</t>
  </si>
  <si>
    <t>Fernandez Carcalen,, D. Manuel Fér■ñaiidéz dé'IqS1 Senderos, 0.' Francisco Soler , D. José Perez, D. Luis Arzu, D. Rafaei Lacy , D. Antonio Elizaldi, D. Francisco Reyes y D. Manuel PezueiaCADL6 : EN LA IMPRENTA REAL.</t>
  </si>
  <si>
    <t>y D, Francisco Robayna</t>
  </si>
  <si>
    <t>Francisco Robayna y D</t>
  </si>
  <si>
    <t>nientes del mismo á Dan José María Chaves, D. Francisco A-Roso, D Vicente del Junco, y á subtenientes á D. Manuel del Junco, D. José María de Torres, D. Francisco Robayna y D. José Gómez ; y en e1 escuadro^ monta­ do, á capitán á D. Felipe Ximenez; á leo lente á D. Andrés de L°on; á subteniente á D J osé Gabriel de Arango , y…</t>
  </si>
  <si>
    <t>y D, Francisco Tonbio Ugarte</t>
  </si>
  <si>
    <t>Francisco Tonbio Ugarte y D</t>
  </si>
  <si>
    <t>os de su reciente instalación ha tomado las providencias mas enér­ gicas para que la real audiencia de este reyno, sostenida solo por sus dos oidores D. Francisco Tonbio Ugarte y D. José López de Gozar, se organice al punto , y entre con toda su plenitud al txercicio-de sus tuiciones. Ya está echando sus miradas sobre la equi…</t>
  </si>
  <si>
    <t>y D, Francisco Xavier de Mugartegni</t>
  </si>
  <si>
    <t>Francisco Xavier de Mugartegni y D</t>
  </si>
  <si>
    <t>n los l^télones primero de Vizcaya, segundo de Alava, y el escuadren de -húsares de Ric ji* á las ordene» de les comandantes D. Eusta­ quio Salcedo , D. Francisco Xavier de Mugartegni y D. Fermín de Salcedo. Dkpusa al memento, que se lernas se una pequeña co­ lumna de vanguardia, fuerte de 130 plazas, compuesta de la com­ pañ…</t>
  </si>
  <si>
    <t>y D, Francisco Xavier Vargas</t>
  </si>
  <si>
    <t>Francisco Xavier Vargas y D</t>
  </si>
  <si>
    <t>quez. Ea el mencionado batallón veterano de Chiloe, compañías de fusileros á D. Antonio Mari?; Aivarez y I). Pedro Andrade ; tenencias de fusileros á D. Francisco Xavier Vargas y D. Jacinto Toro, y subtenencias á D. Manuel Gó­ mez y D. Fermín Perez ; tenencia veterana en el -batallón de milicias disciplinadas de Campeche á D.…</t>
  </si>
  <si>
    <t>y D, Gabriel Se do</t>
  </si>
  <si>
    <t>Gabriel Se do y D</t>
  </si>
  <si>
    <t>mandan las citadas compañías de voluntarios D. Geróaimo Ruiz de Cárdenas y D. Jo¿é Teyneire del regimiento de Tuy , con sus subalternos los tenientes D. Gabriel Se­ dó y D. Luis Tlxeyro, y los subtenientes D. Genaro Sano, D. Ma­ nuel Blanco y D. Andrés González , el capitán del de Mortrey, D. Jo é Salgado, ios tenientes de gr…</t>
  </si>
  <si>
    <t>y D, Geróaimo Ruiz de Cárdenas</t>
  </si>
  <si>
    <t>Geróaimo Ruiz de Cárdenas y D</t>
  </si>
  <si>
    <t>ocimiento, debiendo recomendar nuevamente á V. E. ei medio particular que han contraído los capitanes que mandan las citadas compañías de voluntarios D. Geróaimo Ruiz de Cárdenas y D. Jo¿é Teyneire del regimiento de Tuy , con sus subalternos los tenientes D. Gabriel Se­ dó y D. Luis Tlxeyro, y los subtenientes D. Genaro Sano,…</t>
  </si>
  <si>
    <t>y D, Gonzalo Herrera</t>
  </si>
  <si>
    <t>Gonzalo Herrera y D</t>
  </si>
  <si>
    <t>un año, 1S. El mismo como encargado por el Gobierno para la colección de donativos en el barrio de S. Nicolás ex’ramuros, recogió y entregó 239 y (i. D. Gonzalo Herrera y D. Francisco Her­ nández, encargados por el Gobierno de la colección de donativos en los bar­ rios de S. Francisco de Asis y fuerza de esta ciudad, recogier…</t>
  </si>
  <si>
    <t>y D, Gonzalo Josef de Vilches</t>
  </si>
  <si>
    <t>Gonzalo Josef de Vilches y D</t>
  </si>
  <si>
    <t>as cuyos conocimientos y zelo correspondiesen á la importancia del objeto, comisiono el Sr. Gefe político con las facultades necesarias á los señores D. Gonzalo Josef de Vilches y D. Felipe Ignacio Canga, quienes las están practicando con la ma}7or actividad, para que el público pueda lo­ grar quanto antes los beneficios que …</t>
  </si>
  <si>
    <t>y D, Gregorio Bea</t>
  </si>
  <si>
    <t>Gregorio Bea y D</t>
  </si>
  <si>
    <t>disciplina: pero debo elogiar señaladamente á ios capitanes D. Mariano Marques y D. Angel Perez, á los tenientes D. José La­ tas», D. Lorenzo Alonso, D. Gregorio Bea y D. Pedro Ferraz, al subteniente D. Francisco Navarro, y el celo y puntualidad del pa­ dre capellán D.-José M.cr&amp;ta.”— .Lista de ios'presos que se han hecho en …</t>
  </si>
  <si>
    <t>y D, Hermenegildo de Ribera</t>
  </si>
  <si>
    <t>Hermenegildo de Ribera y D</t>
  </si>
  <si>
    <t>overon, secretario. Madrid 16 de octubre• Habiendo cesado en su encargo de ministros interinos del tribunal dé Vi­ gilancia y Apelaciones los señores D. Hermenegildo de Ribera y D. Manuel de Estrada, ministros de la real chancillería de \ralladolid, y el Sr. D. Fran­ cisco Assin, abogado del colegio de esta villa, juez interi…</t>
  </si>
  <si>
    <t>y D, Isidoro Antillon</t>
  </si>
  <si>
    <t>Isidoro Antillon y D</t>
  </si>
  <si>
    <t>de los Sres. D. Isidoro Antillon y D. Lorenzo Calvo de Rozas : el 7, de D. Antonio Panadero, alcalde de Miguel-Esteban, y de D. Alon­ so de Castro por sí y en nombre de varios pueblos de la provincia de Orense : el 11 , del ju</t>
  </si>
  <si>
    <t>y D, Jaecho Escario</t>
  </si>
  <si>
    <t>Jaecho Escario y D</t>
  </si>
  <si>
    <t>de ayudantes primeros á los segundos D. Francisco de Paula Figuerss , D. Juan Cini, D. Ventura Escalio , D. Agostía de Salazar 9.,D. Joaquín Escario, D Jaecho Escario y D. Luis Cepeda; y empleos tle ayudantes segundos á los adictos D. Jacobo Mstia de Espinosa, teniente del regimiento de Badajoz, D. José Cruz Mulle?, alférez d…</t>
  </si>
  <si>
    <t>y D, Joaquín Eabayen</t>
  </si>
  <si>
    <t>Joaquín Eabayen y D</t>
  </si>
  <si>
    <t>e de la cuarta del cuaTto : de los segundos D. Marcelino Orá, capitán de la tercera del segundo, D. Juan Monton , subteniente de la cuarta del mismo, D. Joaquín Eabayen y D. Ramón Diez de liarraza, subtenientes del tercero; D. Felipe Telosana, ayudante dei cuarto, y D. Miguel Cerain y D. Florencio Olave, subtenientes dei mism…</t>
  </si>
  <si>
    <t>y D, Joaquín Martel</t>
  </si>
  <si>
    <t>Joaquín Martel y D</t>
  </si>
  <si>
    <t>dos á los tenientes D. Cristóbal Binares y D. Manuel Lanchas, esie graduado de capitán ; tenencias á los subtenientes D. Nicolás Ufaría ele Te!lita , D. Joaquín Martel y D. Pedro Antonio de la Torre, los do* últimos graduados de te­ nientes : y subtenencias á los cadetes del mismo cuerpo D. Pedro Pé­ rez Ponce y D- Manuel Car…</t>
  </si>
  <si>
    <t>y D, Joaquín Quiroga</t>
  </si>
  <si>
    <t>Joaquín Quiroga y D</t>
  </si>
  <si>
    <t>ientes de granaderos y cazadores del mismo cuerpo D. Juan Suances, D. Ambrosio HorcasiHasy D. Felipe A ña­ ño , y ios subtenientes D. Francisco B¿an, D. Joaquín Quiroga y D. Aíitonio Boan, como igualmente el teniente y comandante de la compañía de cazadores, D. José Fcminaya, y el subteniente de la misma D. Cristóbal Marfil. …</t>
  </si>
  <si>
    <t>y D, Joaquin Ruiz de Abreu</t>
  </si>
  <si>
    <t>Joaquin Ruiz de Abreu y D</t>
  </si>
  <si>
    <t>ia de fusileros á D. Fernando de Hercdiá, conde de Prado Caste­ llano, coronel agregado al regimiento primero de Saboya, y á los se­ gundos tenientes D. Joaquin Ruiz de Abreu y D. Cárlos O-Reylli, barón de Clonkee ; segunda tenencia de granaderos al de fusileros D. José Clemente de Buerens ; idem de cazadores al segundo tenie…</t>
  </si>
  <si>
    <t>y D, José</t>
  </si>
  <si>
    <t>José y D</t>
  </si>
  <si>
    <t>l Pajares, de id., 10.D. Pedro .fosé de la 'forre cura de Huacho, 25. El presbítero.D. Podro red roso, iníái p:e5e de la doctrina de Pacchas, 12. Id, D. José y D, Manuel Cevalios, id,, 12. 1). Antonio Correa, capitán de artillería, ademas de lo que di ó con los capitanes de su cuerpo en noviembre delaño pasado, 30 con 6. Juli…</t>
  </si>
  <si>
    <t>y D, José Acevedo</t>
  </si>
  <si>
    <t>José Acevedo y D</t>
  </si>
  <si>
    <t>yres, deseando terminar las desagradables diferencias ocurridas en estas provincias, han conferido sus plenos poderes, S. E. el Sr. virey á los Sres. D. José Acevedo y D. Antonio Garfias, y la Excma. Sra. junta al Sr. D. Julián Perez para que ar­ reglen el.correspondiente tratado, quienes después &lt;Jp cangear debidamente sus r…</t>
  </si>
  <si>
    <t>y D, José Alpanscque</t>
  </si>
  <si>
    <t>José Alpanscque y D</t>
  </si>
  <si>
    <t>Antonio Gayarre y D. Francisco Martínez; á ayudantes á D. Luis Daunoy, Don ■Cirilo de Mor&amp;nt y D. Francisco Perez Maro; á tenientes de grana­ deros k D. José Alpanscque y D. José Declouuf; á tenientes de fu­ sileros á D. Antonio Dubrevii, D. Francisco Cañedo, D. Juan Do­ mínguez , D. J usé Bernardo, D. Pedro Rey-yo , D. Carlo…</t>
  </si>
  <si>
    <t>y D, José Antonio G'uirola</t>
  </si>
  <si>
    <t>José Antonio G'uirola y D</t>
  </si>
  <si>
    <t>. Juan Pedro Pe*ayo ; el mismo de ras de caballería, á D. Rafael Padrón , D. José María Arcaya, D. Miguel MLUaco, D. Juan de Lugo, D Juan José Perez, D. José Antonio G'uirola y D. Joaquín Segarte ; de subteniente de las de infantería, á D. Alonso Gil, D Leopoldo Tolleria , D. Jo:é Antonio Zamuripa, D. Rafael Tejerla, D. -Fern…</t>
  </si>
  <si>
    <t>y D, José Barrachina</t>
  </si>
  <si>
    <t>José Barrachina y D</t>
  </si>
  <si>
    <t>as de granaderos y cazadores de mi regimiento á las ór­ denes del comandante de Lobera; las hice marchar inmediatamente con los acreditados oficiales D. José Barrachina y D. Vicente Fili­ sola , mientras yo me ponía en movimiento á las 2 de la ma­ ñana del 16 con 242 infantes, 200 caballos y 4 piezas de artillería para salir …</t>
  </si>
  <si>
    <t>y D, José Bernatd</t>
  </si>
  <si>
    <t>José Bernatd y D</t>
  </si>
  <si>
    <t>lientes soldados ; así como en el batallón de Rioja el capitán D. Pedro Sologaistoa , el te­ niente ü. José Díaz, los subtenientes D. Pedro Ped rosa, D. José Bernatd y D. Leandro Baró , y los soldados* D.: Estbban .Quarteto , y Agustín Jarqüe : y eri eh de Soria, el cabo primero Francisco Atasío y el soldado Custodio Burgos ,…</t>
  </si>
  <si>
    <t>y D, José Brun Isasi</t>
  </si>
  <si>
    <t>José Brun Isasi y D</t>
  </si>
  <si>
    <t>el combate. ARTICULO DE OFICIO. La Regencia del reyno se ha servido aprobar, con justa satisfac­ ción , la aplicación propuesta por D. Víctor Soret, D. José Brun Isasi y D. F rancisco Escudero, de los 80,080 rs. vn. que han sacado de les 53 y medio billetes de la lotería nacional que tomaron, reunidos á otros individuos, con …</t>
  </si>
  <si>
    <t>y D, José Cano</t>
  </si>
  <si>
    <t>José Cano y D</t>
  </si>
  <si>
    <t>n batalla , y despreciando el fuego de bala rasa y do metralla que hacían , subieron al cerro el teniente y subteniente de infantería de Nueya-España D. José Cano y D. José Zurita cmv tropa de su regimiento y un piquete del de Tres Villas , y se hicie­ ron dueños de la batería que mandaba el cura Correa , cogiendo pri­ sioner…</t>
  </si>
  <si>
    <t>y D, José Carrizosa</t>
  </si>
  <si>
    <t>José Carrizosa y D</t>
  </si>
  <si>
    <t>isco Viamonte, D. Francisco Cortazar y D. Salvador déla Luz. En el de la Luisíana, á sargento ma­ yor á D. L ids Piernas; á capitanes de granaderos á D. José Carrizosa y D. Carlos Devílie; á capitanes de fusileros á D. Francisco Guerrero, D. Juan Mier, D. Juan Blanco; D. Francisco Morales, I). Juan Bautista PeÜerín, D. Benign…</t>
  </si>
  <si>
    <t>y D, José de los Ríos</t>
  </si>
  <si>
    <t>José de los Ríos y D</t>
  </si>
  <si>
    <t>Bartolomé Carvajal, y de fusileros á Don Juan González de Caldas, D. Ignacio Cal?o, D. Alexandro de ios Reyes , D José Viangui, D. Ambrosio Agustín, D. José de los Ríos y D. Manuel Aivarez de Navia; subtenencia de granaderos á D. José: González; de fusileros á D. José Ramón Moreno, D. José Benito Mendez, D. José García Cárden…</t>
  </si>
  <si>
    <t>y D, José del Valle</t>
  </si>
  <si>
    <t>José del Valle y D</t>
  </si>
  <si>
    <t>mingo Pallete, y D. Ro­ que B rrasie y D. Juan Rutista Roche; al subteniente D. Tadeo Saiesa ; al arquitecto D- Domingo Radiola, á D. Mu uel Beitran, D. José del Valle y D. Vicente Pastor; á los sargentos segundos Eugenio Q ii'cz, Joaquín Jarqué,'Ambrosio Rodríguez y Manuel Oxtis; y á los so'dados D. Mariano Lázaro, Vicente C…</t>
  </si>
  <si>
    <t>y D, José Gabriel Roncal</t>
  </si>
  <si>
    <t>José Gabriel Roncal y D</t>
  </si>
  <si>
    <t>204 J isé Pasapera . á D. José Gabriel Roncal y D. P Oro E oinosa á 5 años de presidio é igual desí ierro; y María Guadalupe González á un año^de reclusión.— El Lie. F.rrer, poco dates de morir , pifso y r^mit?o á sus jaeces uii papel en d</t>
  </si>
  <si>
    <t>y D, José Gándara</t>
  </si>
  <si>
    <t>José Gándara y D</t>
  </si>
  <si>
    <t>Baldiola. Tabuenca dis­ tingue entre los que estuvieron á sus ordenes , á los capitanes de Rioja D. Ramón Arroz, D. Juan Bueno, D. Antonio Herrera , D. José Gándara y D. Antonio Pendón: el primero á la cabeza de su compañía, no paró hasta ponerse encima de los cañones, y el se­ gundo murió al pie de ellos ; los otros tres con…</t>
  </si>
  <si>
    <t>y D, José Garrea</t>
  </si>
  <si>
    <t>José Garrea y D</t>
  </si>
  <si>
    <t>sco de Inda, conde de Lung^ncho, D. Hipólito Íbañíz, D. Francisco Moreyra y D. Joa­ quín María Ferrer; tenencias de granaderos á D. Juan Quintanilia, D. José Garrea y D. Antonio Taranco, de cazadores, á D. Jo­ sé Francisco de Isasi, y de fusileros á D. Pedro Abadía, D. José de la Riva Agüero , D Jacinto de Ximeno , D. Juan de…</t>
  </si>
  <si>
    <t>y D, José Gordillo</t>
  </si>
  <si>
    <t>José Gordillo y D</t>
  </si>
  <si>
    <t>o mayor de brigada al capitán , graduado de teniente coronel, D. Joaquín Ortiz de Zarate i y á capitanes á los tenientes D. Pablo Ruiz de la Bastida, D. José Gordillo y D. Manuel Casti­ lla, el segundo graduado.de capitanCADIZ : EN LA IMPRENTA REAL.</t>
  </si>
  <si>
    <t>y D, José Ignacio Sasuarregni</t>
  </si>
  <si>
    <t>José Ignacio Sasuarregni y D</t>
  </si>
  <si>
    <t>de sus embarcaciones el aproximarse mas al enemigs*, se han distingui­ do, aprovechando oportunamente la venir ja de sus embarcaciones. Los capitanes D. José Ignacio Sasuarregni y D. Vicente García se distinguiersa igualmente, el primero por el vivísimo y aceitado fue­ go que hizo al enemigo, era elquslog. ó, siendo c&amp;bczc de…</t>
  </si>
  <si>
    <t>y D, José Iguació Stitmarregui</t>
  </si>
  <si>
    <t>José Iguació Stitmarregui y D</t>
  </si>
  <si>
    <t>hs operaciones navales*, en que hizo particulares servicios; íes coman­ dantes ¿e buque D. Mateo Oronoz, D. Antonio U¿.arrechena. D Pe­ dro Echcmque, D. José Iguació Stitmarregui y D. Vicente G reía; el alférez de fragata D. José Mesa, mí ayudante, y los cadete* í'í Po­ dro lloro, D. Francisco Monserrate y el aventurero D. To…</t>
  </si>
  <si>
    <t>y D, José María de Urrua</t>
  </si>
  <si>
    <t>José María de Urrua y D</t>
  </si>
  <si>
    <t>Martin Domínguez, id. 9. D* Joaquín de Cárdenas, id., 9. I), José Mrgiu Tarrafa , id., 9. D. Manuel de los Ríos, id., 9. D. Manuel de Urrua, id. , 9. D. José María de Urrua y D, Domin­ go Bernaola, id. , 9. D. Felipe Fernandez de Silva, por uno, 9. D. Juan Kohli, id!,'9. Doña Juana Francisco Tamayo , id,, 9. D. Pedro Zamora, …</t>
  </si>
  <si>
    <t>y D, José Pareja</t>
  </si>
  <si>
    <t>José Pareja y D</t>
  </si>
  <si>
    <t>Lequizaman , D. Mateo Masegosa, D. Sebastian Vilches y Don' Antonio María Muñoz, cadetes de la escuela mi-ifar del tercer exército, D. JuEn Escolar , D. José Pareja y D. Higinio Fernandez , sar­ gentos primeros del expresado batallón de zapadores, el segur do graduado de subteniente. Igualmente ha promovido S. A. en el sex­ t…</t>
  </si>
  <si>
    <t>y D, José Pío García</t>
  </si>
  <si>
    <t>José Pío García y D</t>
  </si>
  <si>
    <t>isco María Zu^oaga, D. Marcelo B &gt;za y Edava, D. Manuel Morales y IJgalde, D. Benito Canicoba, Don José Mari?. Galdraio, D. Pedro Moreno y A-tazarra, D. José Pío García y D. M-.trña CuisascJa ; subtenencias de granaderos, á Don Juan Esteban G&amp;rate, D Manuel T jada y Cuadra y D. José de Xazartc ; de cazadores, á D Julián Garcí…</t>
  </si>
  <si>
    <t>y D, José Potau</t>
  </si>
  <si>
    <t>José Potau y D</t>
  </si>
  <si>
    <t>minero de Pasco , en cada un año de los que dure la guerra , 100. D. Juan Reymundez, cura de Laraos, 100. D. Pedr» Aivarado, cura de Atunyaugos , 50. D. José Potau y D. Lorenzo Tomas de Al­ calá, curas de S. Sebastian , 100. I^a congregación de seglares de nuestra Sra. de la O, 12000. Cuerpo de Morenos de esta capital. Piaña …</t>
  </si>
  <si>
    <t>y D, José Sagui</t>
  </si>
  <si>
    <t>José Sagui y D</t>
  </si>
  <si>
    <t>JRbtnedios , por un año , 74. El subdelegado administrador y demás empleados de la villa de Sta. Clara, me usual mente y durante la guer­ ra, 30 y 4. D. José Sagui y D. Antonio Maru, por uno , mientras puedan, 9. El licenciado D. Pedro Perez de Medina y su esposa Doña Juana de Dios Pimienta, por uno durante la guerra, 9. D. M…</t>
  </si>
  <si>
    <t>y D, José Salomón</t>
  </si>
  <si>
    <t>José Salomón y D</t>
  </si>
  <si>
    <t>vando, D. R^mon Lavandeyrs, D. Lázaro Viílasante, D. Francisco Leoni, D. Francisco Torrado, D. Joaquín Pczusla, D. Mariano Aznarez, D. Luis Calieron, D. José Salomón y D. Juan Arnaiz ; en atención á la aplicación , aprovechamiento y bue­ na conducta que han manifestado en el colegio milt¿¿r de artillería. Aviso. En la imprent…</t>
  </si>
  <si>
    <t>y D, José Sata y JiusBy</t>
  </si>
  <si>
    <t>José Sata y JiusBy y D</t>
  </si>
  <si>
    <t>embargo el comandante general del exército de S. M. C., constante en sus sentimientos de humanidad, admitirá la última respuesta de los comisionados D. José Sata y JiusBy y D. Mau^.'l Aidao ¿ que contenga la final proposición para que esten autorizados, á condición de que haya de ser en el término de dos horas. Valencia y Jul…</t>
  </si>
  <si>
    <t>y D, José Vila</t>
  </si>
  <si>
    <t>José Vila y D</t>
  </si>
  <si>
    <t>Ayres á D. José Piris, y de fusileros á D. Francisco de Reguera Pérez, D. Francisco de Vera primero, D. Antoni» Vianguet, Don José Francisco de Vera, D. José Vila y D. Juan Crisóstomo Mar­ tínez ; la ayudantía del primer batallón á D. Juan de Palma; tenen­ cias, de granaderos á D. Bartolomé Carvajal, y de fusileros á Don Juan…</t>
  </si>
  <si>
    <t>y D, Josef María</t>
  </si>
  <si>
    <t>Josef María y D</t>
  </si>
  <si>
    <t>Boasi................................................ 5640 D Juan Pablo Yubrea..................... 12361» D. Ja ¡me Felipe, D. Ju*n Lúeas, TXATXOI. D. Josef María y D. Hipólito Durazo.............. ............................. 36750 En el del Príncipe, á las siete de la noche, se re­ Doña Eugenia Palavicini.................…</t>
  </si>
  <si>
    <t>árbara Mingorranz, como £1 fondo pió del ministerio de la tutora y curadora de sus hijos Guerra........................................ 7.218420 17 £ D. Josef María y D. Fernando Gallego.............................................. 879116 Total...................... 9.053607 7 D. Francisco Hernández París.... 30000 Doñ&lt; Ramo…</t>
  </si>
  <si>
    <t>y D, Josefa Vejarano</t>
  </si>
  <si>
    <t>Josefa Vejarano y D</t>
  </si>
  <si>
    <t>3. D. Gregorio Astyte , 4- La cuadri­ lla de negros trabajadores de aguardientes, 8. D. Manuel Morillo, 20. D. José Baloña, 30. D. Pedro García, 50. Doña Josefa Vejarano y D. Jacinto Vejarano, coronel de milicias , 500. La plana mayor de milicias veteranas y los soldados voluntarios y oficiales, que ofrecieron una mesada en 4…</t>
  </si>
  <si>
    <t>y D, Juan Amador</t>
  </si>
  <si>
    <t>Juan Amador y D</t>
  </si>
  <si>
    <t>los de gravedad. Distinguiéronse los capitanes D Si­ món de la Portilla y D. José Velcz, el teniente D. Agustín Elorza, los alféreces D. Tomas Suero, D. Juan Amador y D. Joaquín Bar­ ragan , y en general toda la oficialidad de Tres Villas. I). Manuel Pardo participa con la misma fecha de 6 de Junio al mencionado comandante ge…</t>
  </si>
  <si>
    <t>y D, Juan Antonio Cuervo</t>
  </si>
  <si>
    <t>Juan Antonio Cuervo y D</t>
  </si>
  <si>
    <t>de su muerte recibió una nueva prueba de la D. Pedro Hermoso para la de teniente de escul­ munificencia dei Soberano con el nombramiento de tura ; á D. Juan Antonio Cuervo y D. Silvestre individuo del consejo supremo de Sanidad, y ea Pérez para las.de directores de arquitectura; á el momento que recibía enhorabuenas por esta …</t>
  </si>
  <si>
    <t>y D, Juan Aotonio Salcedo</t>
  </si>
  <si>
    <t>Juan Aotonio Salcedo y D</t>
  </si>
  <si>
    <t>coLgio de Santa Isabel de esta corte, por medio de so ma­ yordomo D. Pedro Alonso Ro­ dríguez...................................... . 36181 2 AVISO. D. Juan Aotonio Salcedo y D. Fran­ cisco Xavier Porto Salcedo......... 8580 A virtud de providencia del Sr. D. Juan Bautista X&gt;. Manuel Sánchez Toscano........... 9066 22 Guitart…</t>
  </si>
  <si>
    <t>y D, Juan de Castro Palomino</t>
  </si>
  <si>
    <t>Juan de Castro Palomino y D</t>
  </si>
  <si>
    <t>tán de granaderos á D. Bru­ no de Elias y Larrazabal; á ayudante á D. Pío Mar.a Ruiz ; á teniente á D. Nicolás Gasas ; á subtenientes de granaderos á D. Juan de Castro Palomino y D. José Pinera ; á subteniente de fusileros á D. Ventura de Mora ; y á subtenientes de bandera á D. Juan Urkina, D. Víctor Santa María, D. Remigio I…</t>
  </si>
  <si>
    <t>y D, Juan de Cortes</t>
  </si>
  <si>
    <t>Juan de Cortes y D</t>
  </si>
  <si>
    <t>lles Mohtredor ; segunda tenencia de fusileros á D. Juan de Yanguas , capitán del regimiento de Baylen ; y á los al­ féreces D. Buenaventura de Mena, D. Juan de Cortes y D. Cárlos Pozzodivórgo ; empleo de alférez de granaderos al de fusileros Don Francisco Martínez de Baños; y empleos de alféreces de fusileros á los tenientes…</t>
  </si>
  <si>
    <t>y D, Juan de la Cruz Margeon</t>
  </si>
  <si>
    <t>Juan de la Cruz Margeon y D</t>
  </si>
  <si>
    <t>gimiento de guar nas españolas al alférez D. Bernabé Sánchez. Satisfecha la Regencia del reyno de los servicios y méritos de los mariscales de campo D. Juan de la Cruz Margeon y D. Pedro Sarsfield ; ha tenido á bien nombrarlos comandantes generales, del princi­ pado de Asturias al primero, y del reyno de Aragón al segundo. Ig…</t>
  </si>
  <si>
    <t>y D, Juan Esra</t>
  </si>
  <si>
    <t>Juan Esra y D</t>
  </si>
  <si>
    <t>ubo una acción con 50 caballos y 60 infantes enemigos , á los cuales atacaren les teniente* del escua­ drón de es redores de Jaén , D. Ramón Arévalo, D. Juan Esra y D. Baltasar F^rrer. Los franceses quisieron recobrar la cabina, y para e.to hicieron grandes esfuerzos hasta batirse can la espada, pe­ ro todo Lié tn varo poique…</t>
  </si>
  <si>
    <t>y D, Juan Eusebio Manzano</t>
  </si>
  <si>
    <t>Juan Eusebio Manzano y D</t>
  </si>
  <si>
    <t>an y D. Manuel Gamindez ; el capit&amp;n de fragata D. Jo«é Connock; los sargentos mayores D. Jian de Arcos, D. José María Rubio, D, Francisco Florencio, D. Juan Eusebio Manzano y D. Vicente Jaudenes, y el auditor de gaern O B ai Osores. En seguida los gefes de los cuerpos, puestos al frente de sus respectivas tropas, que estaban…</t>
  </si>
  <si>
    <t>y D, Juan Hormachea</t>
  </si>
  <si>
    <t>Juan Hormachea y D</t>
  </si>
  <si>
    <t>los maestros, los capitanes D. Andrés Rodríguez y D. Juan G rardo Fochs , el ayudante mayor D. José Aímodovar, y les te­ nientes D* Lorenzo Novella, D Juan Hormachea y D. Ignacio Gas­ cón. El dia siguiente revistó las escuelas de sargentos , cabos, tam­ bores , pitos y cometas, acerca de cuyo estado ha dado asimismo informes …</t>
  </si>
  <si>
    <t>y D, Juan López</t>
  </si>
  <si>
    <t>Juan López y D</t>
  </si>
  <si>
    <t>z, D. José García Cárdenas, D. Antonio Quintana, D. Anto­ nio Villegas, D. Pedro Perez Uriondov D. José Guerra y D. José María Celada; y de bandera á D. Juan López y D. José Benito Azcuénaga. En la compañía de infantería de voluntarios de Madrid de nueva creación , subtenencia á D. Pedro Alfáiran. En el regimiento de dragones…</t>
  </si>
  <si>
    <t>y D, Juan Luis de Ttigo</t>
  </si>
  <si>
    <t>Juan Luis de Ttigo y D</t>
  </si>
  <si>
    <t>618 esperamos alivio para nuestros males mientras per­ D. Juan Luis de Ttigo y D. Pedro Sánchez Ibarmita ia nación que los ministros actuales conserven guen. sus destinos. Quando considero el ningún taiento art. 111. En la milicia cívica de la villa de y prudencia de es</t>
  </si>
  <si>
    <t>y D, Juan Manuel de Cogiten</t>
  </si>
  <si>
    <t>Juan Manuel de Cogiten y D</t>
  </si>
  <si>
    <t>de Lemus : primera tenencia con retención de ia segunda ayudantía á D. Pedro de Alcántara Muso: segundas ayudantías mayores á los segundos tenientes D. Juan Manuel de Cogiten y D. Fernando Mon y Arguelles, este graduado de teiiien-t« coronel; segunda tenencia de granaderos al de fusileros l). José Vaides ; segundas tenencias …</t>
  </si>
  <si>
    <t>y D, Juan Pablo Martínez de Hervís</t>
  </si>
  <si>
    <t>Juan Pablo Martínez de Hervís y D</t>
  </si>
  <si>
    <t>o­ tenieate de caballería-de línea D. Fernando Jaques nel D. Lino de Urbina en la de escudero, y 3 á teniente del Regimiento x.**de cazadores á caba­ D. Juan Pablo Martínez de Hervís y D. Antonio llo; al teniente de infantería D. Manuel Perez TeRuiztfb Castilla ea la de maestros dé cérémóniás. lló á tenieate de caballería de …</t>
  </si>
  <si>
    <t>y D, Juan Ponman</t>
  </si>
  <si>
    <t>Juan Ponman y D</t>
  </si>
  <si>
    <t>. José Armisen; el capitán de navio D. Manuel Delgado ; los tenientes-co­ roneles D. Francisco Serrállach, D. Luis Genaro La-Rocque, D. Jo­ sé Minio, D. Juan Ponman y D. Manuel Gamindez ; el capit&amp;n de fragata D. Jo«é Connock; los sargentos mayores D. Jian de Arcos, D. José María Rubio, D, Francisco Florencio, D. Juan Eusebio…</t>
  </si>
  <si>
    <t>y D, Juan Sorribas</t>
  </si>
  <si>
    <t>Juan Sorribas y D</t>
  </si>
  <si>
    <t>7 soldados prisioneros, y un oficial y 4 soldados muertos, con la pérdida por nuestra paite de les tenientes del bata­ llón de voluntarios de Molina, D. Juan Sorribas y D. José Bardóla, heridos. ,,Dispuestos los enemigos á retirarse luego que replegaron el res ia de sus guerrillas dispersas en dirección á Albarracin , ordené …</t>
  </si>
  <si>
    <t>y D, León Villegas</t>
  </si>
  <si>
    <t>León Villegas y D</t>
  </si>
  <si>
    <t>on; zadores de montaña de Avila. Asimismo se ha ser­ A D. Ignacio Ramírez , teniente, á capitán , y á vido S. M. nombrar por otro decreto de la misma D. León Villegas y D. Juan Bailen , subtenientes, fecha ayudantes de tercera clase de la plaza de i tenientes: en el esquadron de geodarmería real Toledo á D. Santiago Techler y…</t>
  </si>
  <si>
    <t>y D, Lois</t>
  </si>
  <si>
    <t>Lois y D</t>
  </si>
  <si>
    <t>*7 Por decreto de i» del corriente el REI se ha D. Juan Piedramillera....... .............. 26353 servido nombrar para el beneficio de la parroquial D. Lois y D. Josef María Cásale... 406 r 85 de Vidania , en Guipúzcoa, vacante por falleci­ D. Josef Ruiz de Z=¡ada................. 3346 17 miento de D. Francisco Lúeas de Chinc…</t>
  </si>
  <si>
    <t>y D, Lorenzo Fernandez de Somera</t>
  </si>
  <si>
    <t>Lorenzo Fernandez de Somera y D</t>
  </si>
  <si>
    <t>s de Serítmanat, D. José Alcalá Gaiiano, D Manuel de Arrióla, D. José Miró , D. José Antonio de Armenteros , D. José dé Acosta, D. Cárlos Armenteros, D. Lorenzo Fernandez de Somera y D. Juan, José Barutell. Igualmente ha conferido S. A. én el regimiento de guardias Walonas compañía de granaderos al capitán de fusileros D. Rom…</t>
  </si>
  <si>
    <t>y D, Lúeas Villaescüsa</t>
  </si>
  <si>
    <t>Lúeas Villaescüsa y D</t>
  </si>
  <si>
    <t>adrana por uno , 9, Doña Blanca Resentí por uno, 9. D. Braulio D ego de Vivanco , oficial roal honorario, por uno , 9. D. Nicolás Fernandez por 2,18. D. Lúeas Villaescüsa y D. Jo­ sé Zapata, por uno , 9. Don Francisco Alonso Pela* z , 6 pesos mensuales, (Se continuará.) CADIZ EN LA IMPRENTA REAL.</t>
  </si>
  <si>
    <t>y D, Luis</t>
  </si>
  <si>
    <t>Luis y D</t>
  </si>
  <si>
    <t>........... 3351 33 asignaciones, sin Idos y viudedades. D. Carlos Pando y Alava , conde Rs. vn. de Villapatetna............................... 23792 D. Luis y D. Honorario Badiu , por 5573 20 Por créditos que dimanan de intereses de vales D. P dro Faura.................................. toyo reales. D. F rancisco Mald nado..…</t>
  </si>
  <si>
    <t>y D, Luis Daoiz</t>
  </si>
  <si>
    <t>Luis Daoiz y D</t>
  </si>
  <si>
    <t>helo de imi­ tarlas; ha resuelto , á propuesta del director general de artillería, el mariscal decampo D. Martin García y Loigorri, que íes espitan*» D. Luis Daoiz y D. Pedro Vels.rde pasen siempre revista en el de­ partamento donde s j halle el colegio de caballeros cadetes del cuer­ po de artillería como crpitanes de este, …</t>
  </si>
  <si>
    <t>y D, Luis María Salazar</t>
  </si>
  <si>
    <t>Luis María Salazar y D</t>
  </si>
  <si>
    <t>s que ccrao á tales secreta­ rios de estado y del despacho corresponde. Pero hallándose ausentes el marque» de Casa Lujo, D. Tomas González Calderón, D. Luis María Salazar y D. Francisco Xavier Abadía, deberán quedar exerciendo durante su respectiva ausencia, D. Ignacio de.la Pezuela el destino que está á su cargo de secretar…</t>
  </si>
  <si>
    <t>y D, Luis Rivat</t>
  </si>
  <si>
    <t>Luis Rivat y D</t>
  </si>
  <si>
    <t>Martín Ordaz, rector de S. Fclix de Solovio y Santa María S.^lom6 , D. Andrés Maquieyra de Sia. María de Sar, D. Die­ go Mosqiuxi de S. Fructuoso, y D. Luis Rivat y D. Domingo Sor­ do, del Gmn-Hospital y Sta. María-del Camino. Madrid 22 de julio. En la gaceta de hoy se lee el siguiente ar ículo : ,,’S. M. salió ayer de esta c…</t>
  </si>
  <si>
    <t>y D, Manuel</t>
  </si>
  <si>
    <t>Manuel y D</t>
  </si>
  <si>
    <t>niciones y víveres para los veb Idos, y por haber estado establecidos en él le« primaros promotoras de la re­ belión ; á sxber, ei Dr. Víllavicencio, D. Manuel y D. Diego Gar­ cía , D. Tálejforo de Orea, que se daba el título de ministro, y un tai E&gt;. Mariano Mantilla, que mandó la caballería de los rebeldes en el ataque de V…</t>
  </si>
  <si>
    <t>y D, Manuel Bcitran</t>
  </si>
  <si>
    <t>Manuel Bcitran y D</t>
  </si>
  <si>
    <t>o­ nisio Radiola, y á los sargentos primeros graduados de caballería, empleados siempre con partidas de la misma arma en obseryaci@n de los enemigos, D. Manuel Bcitran y D. J osé del Valle, para que</t>
  </si>
  <si>
    <t>y D, Manuel Bonalde</t>
  </si>
  <si>
    <t>Manuel Bonalde y D</t>
  </si>
  <si>
    <t>ava y D J &gt;¿é Dámaso M irabes; habiendo concedido al porpio tiempo ayudantías veteranas de infantería, á ios ayudantes primers? y segando de urbanos, D. Manuel Bonalde y D. Manuel Pa­</t>
  </si>
  <si>
    <t>y D, Manuel Bustillo</t>
  </si>
  <si>
    <t>Manuel Bustillo y D</t>
  </si>
  <si>
    <t>a y ordenanza de la renta de correos. De ésta pública operación, presencia­ da por el contador general interino de ella D. Pedro Alonso Rodríguez, de D. Manuel Bustillo y D. Juan de Ayllon, en calidad de administrador el primero, y de interventor el segundo del citado oficio, resultó la separación de varios papeles qué conten…</t>
  </si>
  <si>
    <t>y D, Manuel Castañeda</t>
  </si>
  <si>
    <t>Manuel Castañeda y D</t>
  </si>
  <si>
    <t>lla, mandados por su comandante D. Miguel Diez. Nuestra pérdida ha sido de 50 hombres, la mayor parte heridos, contán­ dose entre estos los tenientes D. Manuel Castañeda y D. Martin Novia, dos cadetes^ y los demas soldados: asimismo asistieron ákli«has acciones los cazadores de á caballo de Vizcaya al mando del teniente coron…</t>
  </si>
  <si>
    <t>y D, Manuel de San Llórente</t>
  </si>
  <si>
    <t>Manuel de San Llórente y D</t>
  </si>
  <si>
    <t>ai de fusileros D. José de las Cuevas ; segundas tenencias de fasile ios á ios alféreces D. Joaquín Carcer, D. Pió Sotoiengo, D. Juan Velarde yRoxas, D. Manuel de San Llórente y D. Joaquín MaTÍa Es­ criba, este8 dos últimos de granaderos ; empleo de alférez de gra­ naderos al de fusileros D. Rodrigo Rodríguez Campcmanes ; y e…</t>
  </si>
  <si>
    <t>y D, Manuel de Terrazas</t>
  </si>
  <si>
    <t>Manuel de Terrazas y D</t>
  </si>
  <si>
    <t>capitán de fusileros D. Román de Laiidaburu; ídem dé cazadores al de fusileros D. Vicente de Quesada ; compañía de fusileros á los primeros tenientes D. Manuel de Terrazas y D. Esteban Miró , y al primer ayudante mayor con gra­ do de coronel D Román de Lassaleta; primera ayudantía mayor al segundo teniente D. Cárlos Demons; p…</t>
  </si>
  <si>
    <t>y D, Manuel Domingo Morales</t>
  </si>
  <si>
    <t>Manuel Domingo Morales y D</t>
  </si>
  <si>
    <t>retamos lo siguiente: Palacio de TulleriaS ó de diciembre de i8rr. articulo I. ,,Don Ramón Calvo de Rozas, Napoleón , Empacador de los franceses, Reí D. Manuel Domingo Morales y D. Vicente Fus- de Italia y protector de la confederación del Rin. ter, alcaldes del crimen de la audiencia de Va­ Oído el informe de nuestro ministr…</t>
  </si>
  <si>
    <t>y D, Manuel Fernandez ViUamil</t>
  </si>
  <si>
    <t>Manuel Fernandez ViUamil y D</t>
  </si>
  <si>
    <t>del reyn® empleos de coroneles en los regimientos de infantería de Fernan­ do VII, Gerona y Mataró á los tenientes coroneles D. Santiago Mon­ tero , D. Manuel Fernandez ViUamil y D. Tomas García. Tenen­ cias coronelas : del regimiento de infantería de Palma á D. José Eraso ; del de IJitonia á D. Juan Antonio Fábregas; del de …</t>
  </si>
  <si>
    <t>y D, Manuel Gil</t>
  </si>
  <si>
    <t>Manuel Gil y D</t>
  </si>
  <si>
    <t>e se advier­ te en todos los a uamos , y con espec andad en lo? caballeros cade­ tes D. Ramón Ca bete, O. Manuel Montero, D. Miguel Vázquez Vá­ rela, D. Manuel Gil y D. José Saavedra; y en les externos D. Ber­ nardo González, D. Manuel Montero y t), Luis Fociños. Este primer ensayo de un establecimiento apenas formado, y que …</t>
  </si>
  <si>
    <t>y D, Manuel Hurtado</t>
  </si>
  <si>
    <t>Manuel Hurtado y D</t>
  </si>
  <si>
    <t>ma clase D. Plácido Domínguez, que recibió una herida que le 'pasó un brazo , y el de cazadores D. José Remad , los subtenien­ tes D. Cipriano Garde, D. Manuel Hurtado y D. Victorino Tnbuei'r ca, mi ayudante D. Pedro Pedrosa , el sargento segundo Agustín Jarque . que salió herido, y el distinguido D. Timoteo Raíz : las compañ…</t>
  </si>
  <si>
    <t>y D, Manuel María Rodríguez Rubio</t>
  </si>
  <si>
    <t>Manuel María Rodríguez Rubio y D</t>
  </si>
  <si>
    <t>s, B José María Vergara, D. Francisco Xavier VaUariuo, D. Vicente Cortés, O. Minml Monti, de cazadores, D. Flo­ rencio Cerutti, D. Antonio del Valle, D. Manuel María Rodríguez Rubio y D. Luis María Montero, ele cazadores ; al conde de Torre* jon, D. Ramón de Orozco, D. Tomas Heredia, D. Joaquín Bay ona y D. Hanión Parada, de …</t>
  </si>
  <si>
    <t>y D, Manuel Osteycochea</t>
  </si>
  <si>
    <t>Manuel Osteycochea y D</t>
  </si>
  <si>
    <t>ntonio Urblna, D. Earique Fu­ rias, D. Juan Dionisio Arcaya, D. Pablo Hernández, D. José Ma­ ría Telíería, D. Juan Agustín Oberfco, D. Esteban Pe tí, D. Manuel Osteycochea y D. Manuel E ysaga; de teniente de las mismas milicia» de infantería, á D. Torlbio Bsttüaeourt, D. Casimiro García, D. C &gt;sme Armera, D. José Torres, D. T…</t>
  </si>
  <si>
    <t>y D, Manuel Suarez</t>
  </si>
  <si>
    <t>Manuel Suarez y D</t>
  </si>
  <si>
    <t>, subtenencia á D. Pedro Alfáiran. En el regimiento de dragones de Buenos * Ay res * ayudantía á D. Marcos Sobremonte; tenencias á D. Manuel Cuervo, D. Manuel Suarez y D. Prudencio</t>
  </si>
  <si>
    <t>y D, Manuel Vicente</t>
  </si>
  <si>
    <t>Manuel Vicente y D</t>
  </si>
  <si>
    <t>ores, al teniente coronel D. Miguel Duarte, capitán de gra­ naderos y sargento mayor en comisión del regimiento infantería de Almansa : á capitanes á D. Manuel Vicente y D. Bartolomé Ruiz, tenientes del regimiento de la Corona, D. Marcos Antonio Mane so, teniente del primero de Gnariix, D. Antonio Bravo , teniente de Aimansa …</t>
  </si>
  <si>
    <t>y D, María Luisa</t>
  </si>
  <si>
    <t>María Luisa y D</t>
  </si>
  <si>
    <t>es de efectos de villa. D. Antonio Fernandez de Córdoba, TEATRO. padre y legítimo administrador .En el de la Cruz, á las ocho de la noche, ye eje­ de Doña María Luisa y D. Anto­ cutará la comedia titulada el Hospital de los Jocos; una nio Fernandez de Córdoba Cer­ buena tonadilla, y un divertido sainete. EN LA IMPRENTA REAL.</t>
  </si>
  <si>
    <t>y D, Mariana</t>
  </si>
  <si>
    <t>Mariana y D</t>
  </si>
  <si>
    <t>, 9. D. Domingo del Cueto, id. , 9. Doña Manuela Laborda, id., 9. D. Tomas de la Fuente, id., 9. Los herederos de D. Julio AWarez, D ñi ?daría Luisa, Doña Mariana y D. Diego Mayoli, id., 9. Don Miguel Pascual de la Peña, id., 9. D. Vicente Santurio, id., 9. D. Manuel Amable , id., 9. D. José Rabeyro, por 4 , 36. D* Manuel Rui…</t>
  </si>
  <si>
    <t>y D, Mariano Garigcita</t>
  </si>
  <si>
    <t>Mariano Garigcita y D</t>
  </si>
  <si>
    <t>roldados, gloriándome de su disciplina y valor, particularmente del sin guiar y marcial con que se distinguieron'el teniente y subteniente de húsares D. Mariano Garigcita y D. Francisco Bricne* que recomiendo á V. E. muy par­ tículas me nts; el subteniente de húsares D. Manuel Alense, el capitán con funciones de sargento mayo…</t>
  </si>
  <si>
    <t>y D, Mariano Marques</t>
  </si>
  <si>
    <t>Mariano Marques y D</t>
  </si>
  <si>
    <t>acompaño.—? To­ do el batallen ha dado en esta expedición relevantes pruebas de fvalor y disciplina: pero debo elogiar señaladamente á ios capitanes D. Mariano Marques y D. Angel Perez, á los tenientes D. José La­ tas», D. Lorenzo Alonso, D. Gregorio Bea y D. Pedro Ferraz, al subteniente D. Francisco Navarro, y el celo y punt…</t>
  </si>
  <si>
    <t>y D, Mariano Rodríguez</t>
  </si>
  <si>
    <t>Mariano Rodríguez y D</t>
  </si>
  <si>
    <t>nto de zapadores minadores, á sar­ gento mayor, á D. José Olave y Romero, capitán de granaderos del regimiento infantería de Monterey; á capitanes, á D. Mariano Rodríguez y D. Francisco de Paula Mariné , que lo eran del regi­ miento de Cádiz y batallón del general , D. Francisco Brandis , ayu­ dante mayor del regimiento volun…</t>
  </si>
  <si>
    <t>y D, Mariano Roxas</t>
  </si>
  <si>
    <t>Mariano Roxas y D</t>
  </si>
  <si>
    <t>te­ sellado tiene las armas reales y el nombre del So­ niente , á ayudante mayor; á D. Tomas Monroi, berano. Todas las corporaciones prestaron con la D. Mariano Roxas y D. Fernando Angiada-, sub­ mayor solemnidad el juramento á S. M., á ia cons­ tenientes , á tenientes, y 4 D. Juan Armirez , Dod titución y á las leyes. El rei…</t>
  </si>
  <si>
    <t>y D, Mariano Tabuenca</t>
  </si>
  <si>
    <t>Mariano Tabuenca y D</t>
  </si>
  <si>
    <t>ocasen llamada para su reunión en el pueblo de Briones; los de la misma clase D. Pedro Sologaistoa y D. Antonio Herrera ; los tenientes de granaderos D. Mariano Tabuenca y D. Antonio Aznar; los de la misma clase D. Plácido Domínguez, que recibió la herida de pasar un brazo, y el de ca­ zadores D. Josef Bernaz , los subtenient…</t>
  </si>
  <si>
    <t>sen llamada para su reunión en el pueblo de Rrioncs; á los dé la misma clase D. Pedro Sologaistoa y D. Antonio Herrera, los tenien­ tes de granaderos D Mariano Tabuenca y D. Antonio Aznar, los de la misma clase D. Plácido Domínguez, que recibió una herida que le 'pasó un brazo , y el de cazadores D. José Remad , los subtenien…</t>
  </si>
  <si>
    <t>y D, Mariano Villa</t>
  </si>
  <si>
    <t>Mariano Villa y D</t>
  </si>
  <si>
    <t>os; in­ mediatamente concebí la idea de tomar á S villa, p. ra lo que des­ pués de haber dado mis órdenes á los comandantes de las columnas volantes, D. Mariano Villa y D. Felipe Arco Agüero, segundo ayu­ dante de estado mayor y teniente coronel de ingenieros, que se ha­ llaban en Bormujos y VUlanueva de Aria cal, para que si…</t>
  </si>
  <si>
    <t>y D, Martin Alos</t>
  </si>
  <si>
    <t>Martin Alos y D</t>
  </si>
  <si>
    <t>7¿S Madrid / de Julia. témvnte , í capitán; á D. Martin Alos y D. Jotef Gi ra Ido , subteniente* , á tenientes, y ¿I sargento Por decretos de i.* del corneóte &lt;e tu servido primero D. Eustasio Samaniego á subteniente: en S. M. promover eo el regimiento d</t>
  </si>
  <si>
    <t>y D, Matías</t>
  </si>
  <si>
    <t>Matías y D</t>
  </si>
  <si>
    <t>an Prada, 25. D. Fer­ nando Quirós , 25. D. José Antonio Fuente, 4. D. Francisco Cavero , 2. Don Silvestre Peñaranda, 2. D. Sebastian Guerrero , 2. Y D. Matías y D. Clemen­ te Maestro , 100. — Provincia de llunrochiri. Los operarios de la hacienda mineral de D. Miguel García, 70. Los vecinos del pueblo de Sunicancha. 10 y 2. …</t>
  </si>
  <si>
    <t>y D, Matías de Larreta</t>
  </si>
  <si>
    <t>Matías de Larreta y D</t>
  </si>
  <si>
    <t>de infantería de voluntarios dis­ tinguidos de la Concordia Española del Perú , la tenencia coronela áD.F rancisco Arias de Saavedra; comandancias á D. Matías de Larreta y D. Antonio Alvarez d;i Villar; la sargentía mayor, al marques de Torre-Tagls ; ayudantías á D. Francisco Antonio Goy tá­ salo, O- Dámaso Ar as y D. Fernand…</t>
  </si>
  <si>
    <t>y D, Miguel Cerain</t>
  </si>
  <si>
    <t>Miguel Cerain y D</t>
  </si>
  <si>
    <t>teniente de la cuarta del mismo, D. Joaquín Eabayen y D. Ramón Diez de liarraza, subtenientes del tercero; D. Felipe Telosana, ayudante dei cuarto, y D. Miguel Cerain y D. Florencio Olave, subtenientes dei mismo, mereciendo un lugar distinguido el subteniente abanderado del tercero D. Francisco Macaya, que por no caer en mano…</t>
  </si>
  <si>
    <t>y D, Miguel Ignacio Beistegui</t>
  </si>
  <si>
    <t>Miguel Ignacio Beistegui y D</t>
  </si>
  <si>
    <t>irey los partes que le diri ­ gieron desde Tenango del Vade en 0 y 10 del pasado Junió los ofi­ ciales D Matías Martínez y Aguirre, D. Manuel Pardo , D. Miguel Ignacio Beistegui y D. José Calafat. El primero dice que habiendo salido de Tres Villas con S2 hom­ bres de.su escuadrón y 100 de infantería con. eí objeto de fingir u…</t>
  </si>
  <si>
    <t>y D, Pedro Echenique</t>
  </si>
  <si>
    <t>Pedro Echenique y D</t>
  </si>
  <si>
    <t>sé de Mesa y Figueroa, y de !o3 ca­ pitanes y pilotos de baques particulares, D. Mateo Oronoz, D. An­ tonio Ugarrechena, D. José Ignacio Susuarregui, D. Pedro Echenique y D. Vicente García, concurriendo con solas 16 embarca­ ciones , entre goletas y lanchas, á la absoluta destrucción de la es­ cuadrilla de los insurgentes de …</t>
  </si>
  <si>
    <t>y D, Pedro Joset Valiente</t>
  </si>
  <si>
    <t>Pedro Joset Valiente y D</t>
  </si>
  <si>
    <t>hilo de acero que se hace en Francia en el hospitales civiles de la mtsmr ; y á D. Agustín dia, traten los Chicantes de elaborarlo, y dar Carretero , D. Pedro Joset Valiente y D. F. ancis­ abasto á su consumo. Pero la sociedad de fomento, co MorJes individuos del constjo de prefectura considerando que esta fabricación exige m…</t>
  </si>
  <si>
    <t>y D, Pedro Morell</t>
  </si>
  <si>
    <t>Pedro Morell y D</t>
  </si>
  <si>
    <t>tenencia de gra­ naderos al de fusileros D. José Pagés y Buñuio : primeras tenencias de fusileros á los segundos tenientes de granaderos y cazadores D. Pedro Morell y D. Justo Salafranca: segunda ayudantía mayor al segundo teniente de granaderos D. José Clemente de Buerens:segundas tenencias de granaderos á los de fusileros D…</t>
  </si>
  <si>
    <t>y D, Pedro Sixto</t>
  </si>
  <si>
    <t>Pedro Sixto y D</t>
  </si>
  <si>
    <t>585</t>
  </si>
  <si>
    <t>sí y á nombre de la viüa. Si 3, practicaron igual diligen­ cia la dirección, contaduría y tesorería de correos y caminos, y &lt;1 conde de Rio •Molí no, D. Pedro Sixto y D. Francisco de Paul a Loez de Castro, regidores de Cádiz. El. 5, los marqueses de Sales y g íélgida, ge íes de palacio, por sí á nombre de ios fiemas individuo…</t>
  </si>
  <si>
    <t>y D, Pedro Sologaistoa</t>
  </si>
  <si>
    <t>Pedro Sologaistoa y D</t>
  </si>
  <si>
    <t>terreno, hasta las inmediaciones de Haro, en donde le obligó á mandar tocasen llamada para su reunión en el pueblo de Briones; los de la misma clase D. Pedro Sologaistoa y D. Antonio Herrera ; los tenientes de granaderos D. Mariano Tabuenca y D. Antonio Aznar; los de la misma clase D. Plácido Domínguez, que recibió la herida …</t>
  </si>
  <si>
    <t>eno, hasta las inmediaciones de Raro , en donde me obligó á mandar to­ casen llamada para su reunión en el pueblo de Rrioncs; á los dé la misma clase D. Pedro Sologaistoa y D. Antonio Herrera, los tenien­ tes de granaderos D Mariano Tabuenca y D. Antonio Aznar, los de la misma clase D. Plácido Domínguez, que recibió una herid…</t>
  </si>
  <si>
    <t>y D, Rafael Palomeque</t>
  </si>
  <si>
    <t>Rafael Palomeque y D</t>
  </si>
  <si>
    <t>lo, O- Dámaso Ar as y D. Fernando Dueñas; subtenencias de ban­ dera á D. Ramón deErrea, D. Manuel del Valle, D. Juan Gil, D. Juan Ignacio Mendizabal, D. Rafael Palomeque y D. Juan Pa­ nero; compañías de granaderos, al marques de la Celada déla Fuen­ te , al marques de Valdcliiios y á D. Gaspar Rico; de cazadores, á D. Ramón V…</t>
  </si>
  <si>
    <t>y D, Ramón Gayan</t>
  </si>
  <si>
    <t>Ramón Gayan y D</t>
  </si>
  <si>
    <t>desde Zaragoza á socorrer esta guarnición, que se veía estrechada por un cerco, que con aprobación mía habian formado muy acertadamente los coroneles D. Ramón Gayan y D. Matías Torres, el primero con el regimiento de Cariñena de su mando, y el segundo con varías pan¡g¿as sueltas que componían el número de 300 hombres armados …</t>
  </si>
  <si>
    <t>y D, Ramón Tabeada</t>
  </si>
  <si>
    <t>Ramón Tabeada y D</t>
  </si>
  <si>
    <t>segundas compañí as de granaderos de Tuy y Monterey, que componían la columna que decidieron la acción con Krúker ODonnell, v los capitanes de ellas D. Ramón Tabeada y D. Antonio de Pazos.” Posteriormente avisa el general Losada con fecha del 9, que se­ gún noticias positivas , la pérdida del enemigo en la acción de ‘ Otero f…</t>
  </si>
  <si>
    <t>y D, Remigio Izaguirre</t>
  </si>
  <si>
    <t>Remigio Izaguirre y D</t>
  </si>
  <si>
    <t>ro Palomino y D. José Pinera ; á subteniente de fusileros á D. Ventura de Mora ; y á subtenientes de bandera á D. Juan Urkina, D. Víctor Santa María, D. Remigio Izaguirre y D. Feman­ do Beato. En 15 de Julio último salió de este puerto para el de la Habana la goleta mercante española nombrada Venturosa con corresponden­ cia d…</t>
  </si>
  <si>
    <t>y D, Roque Mengod</t>
  </si>
  <si>
    <t>Roque Mengod y D</t>
  </si>
  <si>
    <t>a, determiné salirles al encuentro, como lo hice con óo caba­ llos á la orden del capitán D. Pedro Agustino, y 80 infantes i la de los de igual clase D. Roque Mengod y D. Pedro Mars ; los esperé en el molino de Riela, haciéndoles frente con una poca fuerza hasta que la demas tomó po­ siciones de izquierda y derecha. Cerróse e…</t>
  </si>
  <si>
    <t>y D, Roque Ñovella</t>
  </si>
  <si>
    <t>Roque Ñovella y D</t>
  </si>
  <si>
    <t>ués de abandonar sin acción la,Polonia, como» ahora el juzgado de primera instancia de esta corte heridos de la justicia, ó con ánimo de restituir un D. Roque Ñovella y D. Joaquín Lezaeta, jnecc» pais mal adquirido, pues ni lo fue por tratado ni' de las juntas criminales de Gu.Malaxara y Segovia, por derecho Be. conquista. , …</t>
  </si>
  <si>
    <t>y D, Santiago Techler</t>
  </si>
  <si>
    <t>Santiago Techler y D</t>
  </si>
  <si>
    <t>n Villegas y D. Juan Bailen , subtenientes, fecha ayudantes de tercera clase de la plaza de i tenientes: en el esquadron de geodarmería real Toledo á D. Santiago Techler y D. Francisco OJde Sevilla á D. Francisco Atnat, capitán, á co­ done, teniente y subteniente que eran del regi­ mandante de esqoadron; á D. Francisco Montad…</t>
  </si>
  <si>
    <t>y D, Simeón García Pericacho</t>
  </si>
  <si>
    <t>Simeón García Pericacho y D</t>
  </si>
  <si>
    <t>ancisco Assin y D. Juan de Quesada, abogados en esta corte. Por fiscal al Sr. D. Josef Hernández Martínez, igualmente abogado. Por agentes fiscales á D. Simeón García Pericacho y D. Francisco Mariano Bustamante. Por relator á D. Benito Sán­ chez Parga: y por escribanos principales, con facultad de que nombren los de diligencí…</t>
  </si>
  <si>
    <t>y D, Simón Manso</t>
  </si>
  <si>
    <t>Simón Manso y D</t>
  </si>
  <si>
    <t>mente la.columna volante de los enemigos y aun maniobrar sobre la ribera- opuesta del Orbigo para llamarle» la atención , míen tras que los coroneles D. Simón Manso y D: Pablo Mier, con 3 es­ cuadrones de cazadores.de á; caballo y la legión de Castilla, se han establecido sobre el Cea, para que maniobrando al otro lado, de; L…</t>
  </si>
  <si>
    <t>y D, Teobaldo Rodríguez</t>
  </si>
  <si>
    <t>Teobaldo Rodríguez y D</t>
  </si>
  <si>
    <t>nuel Torrado; los coroneles D. Francisco Ramcnet, D. Be­ nito Losada, O. José Cedillo, el marques de San Esteban, D. Mi­ guel Cándamo, D. Diego Roch, D. Teobaldo Rodríguez y D. José Armisen; el capitán de navio D. Manuel Delgado ; los tenientes-co­ roneles D. Francisco Serrállach, D. Luis Genaro La-Rocque, D. Jo­ sé Minio, D.…</t>
  </si>
  <si>
    <t>y D, Tomas Balocco</t>
  </si>
  <si>
    <t>Tomas Balocco y D</t>
  </si>
  <si>
    <t>, sub­ Las monedas que han contrahecho están tan mal tenientes , á tenientes; y D. Juan D’ Augusting, trabajadas, que á primera vista se conoce desde D. Tomas Balocco y D. Josef María Nuñez, sar­ luego que son falsas. gentos primeros, á subtenientes; D. Josef Mari— ner , teniente de carabineros del regimiento de REINO DE ÑAPO…</t>
  </si>
  <si>
    <t>y D, Tomas de los Cobos</t>
  </si>
  <si>
    <t>Tomas de los Cobos y D</t>
  </si>
  <si>
    <t>. I. ,,Los Sres. D. Manuel Mahamut, D. José Tallejo, Don José Elola, D. Ramón Calvo de Rozas , D. Manuel Morales, D. Ticente Fuster, D. Vicente Lisa, D. Tomas de los Cobos y D. Juan Alvarez Posadilla, jueces presentes en esta ciudad de Valencia, se reunirán el dia 21 de marzo en la sala acostumbrada de audiencia, y pensarán d…</t>
  </si>
  <si>
    <t>y D, Tomas Moyano</t>
  </si>
  <si>
    <t>Tomas Moyano y D</t>
  </si>
  <si>
    <t>1174</t>
  </si>
  <si>
    <t>, y órdenes posteriormente expedidas por S. M.; sirviéndo­ se nombrar para que compongan dicha junta á los ministros del con­ sejo Real y de Hacienda D. Tomas Moyano y D. Ramón Navarro Pin-' garron con el tesorero general en cesación , ó el en exercicio por de­ fecto de este, y para secretario contador de ella á D, Manuel Hil…</t>
  </si>
  <si>
    <t>y D, Tomas O-Colgau</t>
  </si>
  <si>
    <t>Tomas O-Colgau y D</t>
  </si>
  <si>
    <t>pos volantes, que tuvo la mayor parte en dichas ventajas. Igualmente hace mención del mérito que han contraído sus ayu­ dantes de campo los capitanes D. Tomas O-Colgau y D. Antonio Arríete, que dirigieron con toda puntualidad y conocimiento la cor­ tadura del puente de Cornelíana, á pesar de la decidida, resistencia, de los e…</t>
  </si>
  <si>
    <t>y D, Tornas Rifa</t>
  </si>
  <si>
    <t>Tornas Rifa y D</t>
  </si>
  <si>
    <t>nosotros, á subteniente. Por decretos de 13 de! mismo S. M. se ha ser­ y-qne 00 oyen rtntsa? Ya , dixo la tia~Rita ; pero co­ vido también nombrar á D. Tornas Rifa y D. Juan mo ahora he oido decir que venían á defender la María Retz, mayores del real cuerpo de ingenie­ fe, podía ser que Dios Ies hubiese tocado en el ros , cor…</t>
  </si>
  <si>
    <t>y D, Vicente Ximeno</t>
  </si>
  <si>
    <t>Vicente Ximeno y D</t>
  </si>
  <si>
    <t>ya convencido, corno de lo que *e ha dicho En la pinturas O. M .reclino Zumel , Din hoi ni la mi-a , de que aqui , si ha de haber paz, Mariano Rosi , D. Vicente Ximeno y D. Cario* h&lt; de haber por precisión un Reí á gusto de la Marian i. Francia , parque , ti no es á su gusto , no lo han do En la escultura : D Franci co Aí'arr…</t>
  </si>
  <si>
    <t>y Delgado, Josef Colorado</t>
  </si>
  <si>
    <t>Josef Colorado y Delgado</t>
  </si>
  <si>
    <t>........................... 22co D. Francisco Fernandez, id.............. ............. 2200 D. Juan Garrido, id. en Baena..... ................ 2200 D. Josef Colorado y Delgado, id...,.......... 220O D. Jacinto Gómez, id. en Benamexí........... 2200 D. Josef López , id............................... ;............. 2200 D. Jo…</t>
  </si>
  <si>
    <t>y Don, Luií Ribero</t>
  </si>
  <si>
    <t>Luií Ribero y Don</t>
  </si>
  <si>
    <t>es siempre, para el Manuel Gadea , b. Estéban Perez, D. Pedro Cor­ cántaro, y otras cosas por este estilo; ya se ve, la rales , D. Maxíiuino García , D. Luií Ribero y Don pobre cuitada se espiritaba y consumía; yá tal Antonio de Toro, á subtenientes. punto se fue rematando y consumiendo, que dió art. v. En las compañías de la…</t>
  </si>
  <si>
    <t>y Doña, Bárbara</t>
  </si>
  <si>
    <t>Bárbara y Doña</t>
  </si>
  <si>
    <t>gritos á con eso no oigo mas noticias que las que me aco­ que pensemos como ellos. modan, y me ahorro de que me apesadumbren y Oian esta conversación Doña Bárbara y Doña perviertan, j Bjeno fuer * por cierro que diese ya Beatriz, dos conocidas nuestras, que encontramos mi dinero para pag ¡r picardías é iujnri s ! No, se­ por …</t>
  </si>
  <si>
    <t>y Es, Liberto Veranio</t>
  </si>
  <si>
    <t>Liberto Veranio y Es</t>
  </si>
  <si>
    <t>á entender qne el gobierno in­ De nuestro estado, nuestros mate? , y su seguro gles teme que caigan en manos de los franceses y tínico remedio ? por D. Liberto Veranio y Es­ las .mercancías inglesas que bai en los puertos de pañol ; papel en 4.a Véndese en el despacho de Rusia. Las licencias de que en ella se habla, se­ la im…</t>
  </si>
  <si>
    <t>y Escanden, Francisco Moreno</t>
  </si>
  <si>
    <t>Francisco Moreno y Escanden</t>
  </si>
  <si>
    <t>132 ñoz , asesor general, 1000. El Exorno, cabildo por completo de los 100.000 ps. que ofreció, 30.000. D. Francisco Moreno y Escanden , oidor de esta real audiencia, 395. D. Francisco Esterripa, alcalde de corte, 400. D. Juan Ramí­ rez, gobernador de íínaroehiry, 300. D. Francisco Calderón y Fastamente, co­ ronel de 'Farma</t>
  </si>
  <si>
    <t>y Estrada, Julián Alonso</t>
  </si>
  <si>
    <t>Julián Alonso y Estrada</t>
  </si>
  <si>
    <t>edores. Quien quisiere hacer postura á En nuestro palacio de Madrid á t.° de jalio ella acuda ante su señoría y escribanía de provincia de ~ác iSt 2. D. Julián Alonso y Estrada, que se admitirán las que Don Josef Napoleón por la gra.cia de Dios y hicieren, siendo arregladas; cuyo .término de go día* por la constitución del es…</t>
  </si>
  <si>
    <t>y Fastamente, Francisco Calderón</t>
  </si>
  <si>
    <t>Francisco Calderón y Fastamente</t>
  </si>
  <si>
    <t>eno y Escanden , oidor de esta real audiencia, 395. D. Francisco Esterripa, alcalde de corte, 400. D. Juan Ramí­ rez, gobernador de íínaroehiry, 300. D. Francisco Calderón y Fastamente, co­ ronel de 'Farma, 2000. D. Antonio Alvarez y INI oran , teniente coronel de id., 2000. D. Mariano Rodríguez y Subiate, subdelegado interin…</t>
  </si>
  <si>
    <t>y Figueroa, Andrea de la Rúa</t>
  </si>
  <si>
    <t>Andrea de la Rúa y Figueroa</t>
  </si>
  <si>
    <t>inconvenientes, resolví salir el 19, dexaado el mando de esta capital y de toda la parte occidental al coronel, comandante del cuerpo de artillería, D. Andrea de la Rúa y Figueroa. El 21 Legué á las ferfaPzcs ; y el 25, después de dar varias disposiciones, arengué til la laz\ á las tropas y marinería , les puse á la vista el …</t>
  </si>
  <si>
    <t>y Figueroa, Joaquín Mosquera</t>
  </si>
  <si>
    <t>Joaquín Mosquera y Figueroa</t>
  </si>
  <si>
    <t>or parte, han resuelto crear una Regencia compuesta de cineo individuos , á saber : el duque del Infantado, teniente general de los reales exércitos; D. Joaquín Mosquera y Figueroa, consejero en el supremo de Indias; D. Juan María Villavieencio, teniente general de la real armada; D. Ignacio Rodríguez de Rivas, del consejo de…</t>
  </si>
  <si>
    <t>y Fjntíveros, Ak-xandro Soii'jao</t>
  </si>
  <si>
    <t>Ak-xandro Soii'jao y Fjntíveros</t>
  </si>
  <si>
    <t>e den'gracias-, y que se anun­ cie en la gaceta para gstisfeccion dd citado Ech&amp;nove. Enterada la Regencia del reyno con aprecio de los donativos que D. Ak-xandro Soii'jao y Fjntíveros, adminktmdor de rentas del Arahaí, ha expuesto tiene hechos anteriormente por efecto de su pa­ triotismo, y del que ahora ofrece de 3250 w. vn…</t>
  </si>
  <si>
    <t>y Fortnoss, Juan Revira</t>
  </si>
  <si>
    <t>Juan Revira y Fortnoss</t>
  </si>
  <si>
    <t>r estos acaecimientos. „Hc hecho alto aquí hoy, pira dar descanso á las tropas, que han caminado durante muchos dias.’’ ’ . ' •' - ' ' 1 * .1 1 / . . D. Juan Revira y -Fortnoss, dueño de las fábricas de paños de Tarrasa y Tarragona, á 'pesar'de eataT estas totalmente destruidas por ei esemigo, y asoladas sus casas y hacienda,…</t>
  </si>
  <si>
    <t>y Gallegos, Ramón de Riquer</t>
  </si>
  <si>
    <t>Ramón de Riquer y Gallegos</t>
  </si>
  <si>
    <t>canongia.de la colegiata de S. Hipó­ Castilla maestro de ceremonias r-y caballeros pages lito de Córdoba , vacante por fallecimieiUodeDon de S. M. ¿ D. Ramón de Riquer y Gallegos , hi­ Mariano Josef Saenz. &gt; jo del marques de Bmavent, primer montero d« A D. Valeqtin delitCampo, presbítero,, ex­ S- JVf* &gt; á D. Joaquín-Antonio-…</t>
  </si>
  <si>
    <t>y García, José Aparici</t>
  </si>
  <si>
    <t>José Aparici y García</t>
  </si>
  <si>
    <t>y alumno de la misma ; D Francisco Luque, cadete del regimiento infantería del infante D. Carlos; D. José Segundo Carbnjal cailete del de Cantabria: D. José Aparici y García , cadete de reales guardia de infantería Walona ; como asimismo á los distin­ guidos .y alumnos de la referida academia militar de la isla de León, O. Eu…</t>
  </si>
  <si>
    <t>y Garzón, José Gorostiza</t>
  </si>
  <si>
    <t>José Gorostiza y Garzón</t>
  </si>
  <si>
    <t>yor del gremio de barberos ,29 y 5. D. Pedro Alcántara Bruno , 100. D. Juan Mi* guel Germán , 4. D. Esteban José Amador, 100. D. Lupercio Robles, 10. D. José Gorostiza y Garzón , 25. D. Miguel Terrario va y Aviles , 12. D Vi­ cente Aviles , 20. í&gt;. Manuel Andrade , 25. D, Antonio Gonza'ez , 100. Don Isidro Domínguez, 20. D. F…</t>
  </si>
  <si>
    <t>y Go'tt, Migoel de Landa</t>
  </si>
  <si>
    <t>Migoel de Landa y Go'tt</t>
  </si>
  <si>
    <t>*4 art. 11. Sé entregarán á estos interesados las Doña Juana Banqué.......................... 285 cédulas hipotecarias correspondientes, con arreglo D. Migoel de Landa y Go'tt'u.......... 1722 4 ai arríenlo 3.0 de nuestro real decreto de 9 de ju­ D. Josef Montes y Rícarte.............. , 3°co lio de 1809. D. Manuel González..…</t>
  </si>
  <si>
    <t>y Gofbea, Lorenzo de Palacio</t>
  </si>
  <si>
    <t>Lorenzo de Palacio y Gofbea</t>
  </si>
  <si>
    <t>D. M. D. Rueda León. Véndese en la li­ Aguirre é hijos.................................. 20820 brería de Quiroga, calle de las Carretas, á 14 rs. en D. Lorenzo de Palacio y Gofbea.... 13620 rústica. D. Pedro Baille y compañía........... 4551 11 Gramática francesa para uso de los españoles, por Donat, hermanos y compañía......…</t>
  </si>
  <si>
    <t>y Gonzá, Asensio Cabrera</t>
  </si>
  <si>
    <t>Asensio Cabrera y Gonzá</t>
  </si>
  <si>
    <t>Sebastian de Moya, D. Antonio Ma­ ría Portaz, D. Antonio Moreno, D. Andrés Rodríguez, D. Josef Martínez, D. Josef Muñoz Silleros, D. Agustín Molina, D. Asensio Cabrera y Gonzá­ lez, D. Carlos María Godinez, D. Rafael Piñuela, y á los subtenientes gra­ duados D. Juan Díaz Pino, D. Josef María Angulo, D. Diego Padilla, Don Pedr…</t>
  </si>
  <si>
    <t>y González, Pedro de Castro</t>
  </si>
  <si>
    <t>Pedro de Castro y González</t>
  </si>
  <si>
    <t>sladase á esta corte el tribunal de Alzadas, creado para la provincia de Guadalaxara por decreto de la Regencia del reyno, que le componían los Sres. D. Pedro dé Castro y González, presidente; D. Juan de Dios Alonso</t>
  </si>
  <si>
    <t>y Gorvea, Manuel de Rivacoba</t>
  </si>
  <si>
    <t>Manuel de Rivacoba y Gorvea</t>
  </si>
  <si>
    <t>que lo-* graron retirarse totalmente, por haber incorporado á la municipalidad los re-* gidores conde de Canillejas, D. Ignacio María de Luzuriaga , D. Manuel de Rivacoba y Gorvea, D. Nicolás García Caballero, y marques de Tolosa, de los quales solo tomaron posesión los dos últimos. El dia 6, tras varios movimientos extraordi…</t>
  </si>
  <si>
    <t>y Gragera, Manuel Galan</t>
  </si>
  <si>
    <t>Manuel Galan y Gragera</t>
  </si>
  <si>
    <t>nsiguiente , las 300 libras de azúcar da­ infantería de línea; al subteniente de caballería de rían too libras de azúcar de pilón, y 200 de me­ línea D. Manuel Galan y Gragera subteniente del regimiento i.° de cazadores a cab • .0 ; al subte­ lote. niente que fue de caballería D. Agustín Piniiies Hemos supuesto el precio de l…</t>
  </si>
  <si>
    <t>y Guerra, Alonso de Torres</t>
  </si>
  <si>
    <t>Alonso de Torres y Guerra</t>
  </si>
  <si>
    <t>nte v uno de sus secretarios ; salieron electos, para, presidente el Sr. D. Ji¿an. P 4o Catalina, diputado por Aragón ; para vice-presi­ dente ei Sr. D. Alonso de Torres y Guerra, diputado por-'Cádiz, y para secretario el Sr. D. Juan Bernardo O-Gayan, diputado por la isla de Cuba. La Regencia del reyno se ha servido expedir e…</t>
  </si>
  <si>
    <t>y Hevia, Alfonso de Tuero</t>
  </si>
  <si>
    <t>Alfonso de Tuero y Hevia</t>
  </si>
  <si>
    <t>Keyser; id. de cazadores á los de fusileros D. José Mazon y D Die­ go de Orbaneja; y empleos de alféreces de fusileros á los tenientes de infantería D. Alfonso de Tuero y Hevia , del regimiento de Can­ tabria y D. Silvestre Palacios, del batallón del general del cuarto exército, D. Joaquín Jurado Valdelomardel de Guadalaxara,…</t>
  </si>
  <si>
    <t>y Holsteín, Pedro de Souza</t>
  </si>
  <si>
    <t>Pedro de Souza y Holsteín</t>
  </si>
  <si>
    <t>.ayer fondeó en este puerto ia fragata española S. Fer­ rando , procedente de Veracruz en 62 días de navegación, con fru­ tos y 183000 ps. fs. Ei Sr. D Pedro de Souza y Holsteín, enviado extraordinario y ministro plenipotenciario de la corte del Brasil cerca de nuestro Go­ bierno, ha sido condecorado por S. A. R. el príncipe …</t>
  </si>
  <si>
    <t>y I, Baynes</t>
  </si>
  <si>
    <t>Baynes y I</t>
  </si>
  <si>
    <t>as de Amherstburgh , desdé que el ge­ neral Hull fué rechazado con pérdida de 60 hombres el 30 del mes último. Se ha concluido un armisticio entre el general Baynes y «I general americano Dearbom , entre tanto que se Ye el efecto de la re­ vocación de las órdenes del gabinete. Ilalifmx 24 de Agosto. Se ha extractado de la gac…</t>
  </si>
  <si>
    <t>y I, Jo e Antonio de la Torre</t>
  </si>
  <si>
    <t>Jo e Antonio de la Torre y I</t>
  </si>
  <si>
    <t>del reyrio se ha servido conferir en el regimiento do reales guardias españolas comandancias de batallón , % los brigadie­ res y capitanes del mismo D. Jo&gt;é Antonio de la Torre y I). José Dusuy ; compañía de granaderos al de fusileros D. Manuel de Víllamieva ; id. de cazadores al de fusileros D. Francisco de Paula ele Marimon…</t>
  </si>
  <si>
    <t>y IJgalde, Manuel Morales</t>
  </si>
  <si>
    <t>Manuel Morales y IJgalde</t>
  </si>
  <si>
    <t>tonio Raras, Don Tornas de la Casa y Piedra , D. Domingo Laspiur, D. José CasiiuIto Sctimayor, í). Francisco María Zu^oaga, D. Marcelo B &gt;za y Edava, D. Manuel Morales y IJgalde, D. Benito Canicoba, Don José Mari?. Galdraio, D. Pedro Moreno y A-tazarra, D. José Pío García y D. M-.trña CuisascJa ; subtenencias de granaderos, á…</t>
  </si>
  <si>
    <t>y INI, Antonio Alvarez</t>
  </si>
  <si>
    <t>Antonio Alvarez y INI</t>
  </si>
  <si>
    <t>o Esterripa, alcalde de corte, 400. D. Juan Ramí­ rez, gobernador de íínaroehiry, 300. D. Francisco Calderón y Fastamente, co­ ronel de 'Farma, 2000. D. Antonio Alvarez y INI oran , teniente coronel de id., 2000. D. Mariano Rodríguez y Subiate, subdelegado interino de Chachapoyas, 2000. D. José Nunez , presbítero, 50. D. José…</t>
  </si>
  <si>
    <t>y JAEN, CÓRDOBA</t>
  </si>
  <si>
    <t>CÓRDOBA y JAEN</t>
  </si>
  <si>
    <t>urgentes, que han huido vergonzo­ Sevilla 20 de diciembre. samente, despocs de haber dexado en e¡ campo de batalla tr muertos y siete prisioneros. El capitán CÓRDOBA Y JAEN. Goisset elogia mucho la conducta de las tropas, especialmente el’valorque han mostrado el señor La compañía de guias de SieAamorena, que Gaudet, subtenie…</t>
  </si>
  <si>
    <t>y JBussy, José de Sata</t>
  </si>
  <si>
    <t>José de Sata y JBussy</t>
  </si>
  <si>
    <t>everde. La capitulación de que se ha hecho mención arriba es como sigue: ,,D. Domingo de Monteverde, comandante general délas tropas de S. M. Q. y el capitán José de 'Sata y JBussy, comisionado por el generalísimo del exército de Venezuela Francisco de Miranda, después de terminado y ratificado. el convenio hecho entre ambos …</t>
  </si>
  <si>
    <t>y L, Juan Ramirez</t>
  </si>
  <si>
    <t>Juan Ramirez y L</t>
  </si>
  <si>
    <t>233</t>
  </si>
  <si>
    <t>, corren á los aliares á ofrecer sus fervorosos votos al Altísimo en justo ob« sequío de las gracias que V. JE. me dispensa , como á los beneméritos” D. Juan Ramirez y L). Pío Tristan , sin omitir que la arti feria y todo el instrumental de este pueblo resuene por calles y p'azas con vivas y aclamaciones de todo mi cxército..…</t>
  </si>
  <si>
    <t>y Lanha, Fernando Uriarte</t>
  </si>
  <si>
    <t>Fernando Uriarte y Lanha</t>
  </si>
  <si>
    <t>s, y se han ido. Y el otro dad ; á D. Juan Manuel Uriortua corregidor de la que sembró y ha podido vender un pocuelo de grano ciudad de Sevilla , y á D. Fernando Uriarte y Lanha hecho algún dinero ; ¡ pero quién tapa aquella falta, da y á D. Ignacio de Cáceres regidores de la mu­ particularmente con tanto como gasta el exérci…</t>
  </si>
  <si>
    <t>y Laquér, Pedr Lagner</t>
  </si>
  <si>
    <t>Pedr Lagner y Laquér</t>
  </si>
  <si>
    <t>precio de pan, á que contribuyen los mayores gas­ los cuerpos, especialmente del teniente coronel tos de fabricación del pan de flor, y el mayor con­ D. Pedr» Lagner y Laquér, comandante del bata­ sumo que de él se hace; llón dé Molina; él solo mandó á los fusileros de Atendiendo á que en las circunstancias difíci­ Cuenca y á…</t>
  </si>
  <si>
    <t>y Lara, Francisco Pradana</t>
  </si>
  <si>
    <t>Francisco Pradana y Lara</t>
  </si>
  <si>
    <t>...... .......... ........................ 2 200 D. B as Xirr.enez , residente en Ecija.......... 2 200 D. Josef Muñoz, residente en Córdoba.... 2200 D. Francisco Pradana y Lara , id. en Mon- D. Rafivl G un \z, id........................... ............. 2200 toro....... ................................................ ......…</t>
  </si>
  <si>
    <t>y Lara, Marcos de León</t>
  </si>
  <si>
    <t>Marcos de León y Lara</t>
  </si>
  <si>
    <t>quín de Pineda, id. en Espejo.......... 2200 D. Bartolomé de León, id,,,.......................... 2200 D. Vicente Fernandez, id. en Alcaracejo. 2200 D. Marcos de León y Lara, id...................... 2200 D..Domingo Ximenez , id. en Etjija.............. 2200 D. Pedro de Cañas, id................................. . 2200 D. Jo…</t>
  </si>
  <si>
    <t>y Lara, Pedro García</t>
  </si>
  <si>
    <t>Pedro García y Lara</t>
  </si>
  <si>
    <t>, Aíanuel Fernandez, residente en Orche D. Diego Pozuelo y B &gt;rja , id...................... 2200 provincia de Guadalaxara...................... 2200 D. Pedro García y Lara , diácóno , id....... 2200 D. Antonio de Flores, id. en Cabra............ 2200 D. Manuel Vázquez , id........................... . 2209 D. Francisco Cresp…</t>
  </si>
  <si>
    <t>y Leiva, Manuel Aguijar</t>
  </si>
  <si>
    <t>Manuel Aguijar y Leiva</t>
  </si>
  <si>
    <t>....................... .......... 2200 D. Cristóbal de León, id................................. &amp;2QO D, Miguel Cobos, residente en Pozoblanco; 22©o D. Manuel Aguijar y Leiva , id.......... aaejo D. Manuel Muñoz, id. en Torrecampo...... 2200 D. Bernardo Guadix, id.......................... ;.... 2200 D. Lúeas Romero¡ id...,.…</t>
  </si>
  <si>
    <t>y Lemus, José Lago</t>
  </si>
  <si>
    <t>José Lago y Lemus</t>
  </si>
  <si>
    <t>s , 4905. Mineros ; D. Francisco Liaño, dipu­ tado de primer voto , 300. D. Manuel Santalla , id. de segundo voto , 50. D. Eugenio de Burtubay , 500. D. José Lago y Lemus , 100, y ofrece )o mis­ mo anualmente durante la guerra. D. Miguel Alvarez , 50. D. Juan Manuel Quirós , 400. El marques de la real Confianza , 200. Doña Fr…</t>
  </si>
  <si>
    <t>y Loeches, Jacinto Gaona</t>
  </si>
  <si>
    <t>Jacinto Gaona y Loeches</t>
  </si>
  <si>
    <t>luar con exactitud la cantidad juez de primera instancia, de fecha de 15 del corrien­ de simiente qne da una determinada porción de te, refrendada de D. Jacinto Gaona y Loeches, habi­ terreno, porque esto depende de la calidad del sne- litado para el despacho de la escribanía del número de lo, de la temperatura de la estación…</t>
  </si>
  <si>
    <t>y Lomas, Mora</t>
  </si>
  <si>
    <t>Mora y Lomas</t>
  </si>
  <si>
    <t>erra, sino también utensilios y com ¿falibles. . Ayer llegaron á esta ciudad varios empleados , procedentes de Madrid y otros pueblos, entre ellos el prefecto Mora y Lomas, quien parece viene á relevar á Osorno, y el coronel dei núm. 3 de relega­ dos. Venían en el convoy que fué atacado en Gusrroman per nuestras trepas. Hoy h…</t>
  </si>
  <si>
    <t>y Lomas, Pedro de Mora</t>
  </si>
  <si>
    <t>Pedro de Mora y Lomas</t>
  </si>
  <si>
    <t>00 algunos años que se había establecido aquí, se ha D. Francisco Josef d ■ Viana.............. 70200 nombrado una nueva dirección , encargada de to­ D. Pedro de Mora y Lomas....... ........ qcoco do lo perteneciente á instrucción pública. S. M. el D. D'iminfo .Je Arargoif................... , 18900 Rei de Saxonia , satisfech…</t>
  </si>
  <si>
    <t>ban de Madrid á sus casas, y varios oficiales y empleados españoles al ser­ vicio de ios franceses, entre ellos el nuevo comisario regio de Grana­ da D. Pedro de Mora y Lomas. Ai tiempo de atravesar este convoy el puente de S. Miguel sobre el rio Jabalón, se presentó á retaguardia ua destacamento de 14 hú­ sares francos de Va…</t>
  </si>
  <si>
    <t>e lo puso en la sacristía para aliñarse la perilla , y ros de D. Benito Sagües.......... 5218 19 revestirse qnaodo salía á decir misa. Murió el cora, D. Pedro de Mora y Lomas....... 12495 30 y la señora Justa, su ama y su legítima y universal D. Josef Martínez de Bastos...... *3593 r4 heredera, cargó con el espejo, y se lo ll…</t>
  </si>
  <si>
    <t>y López, Luis Gabaldon</t>
  </si>
  <si>
    <t>Luis Gabaldon y López</t>
  </si>
  <si>
    <t>rimera instancia, y ha nombrado interinamente, y con subordinación á lo que la Regencia del reyno determine, á los señores D. Juan Andrés de Segovia, D. Luis Gabaldon y López, y D. Francisco Rodríguez de Maqueda. Una carta que hemos visto del quartel general del segundo y tercer exér­ cito, fecha 11 del corriente, dice qué So…</t>
  </si>
  <si>
    <t>y Mañea, Santiago Key</t>
  </si>
  <si>
    <t>Santiago Key y Mañea</t>
  </si>
  <si>
    <t>Sr. D. Andrés de Jáuregui, diputado per la Habana; para vice­ presidente el Sr. D. Francisco Morros, diputado por Cataluña ; y para secretario ti Sr. D. Santiago Key y Mañea, diputado por Ca­ narias. La Regencia del reyno ha tenido á bien nombrar para espitan general interino del reyno y costa de Granada al teniente generad d…</t>
  </si>
  <si>
    <t>y Matos, Joaquín Bas</t>
  </si>
  <si>
    <t>Joaquín Bas y Matos</t>
  </si>
  <si>
    <t>199</t>
  </si>
  <si>
    <t>iban sin glnetes, replegándose á Barcarrota, de donde salió á las 11 de la noche del mismo dia para Alconchel. El dia 12, reunidas su partida y la de D. Joaquín Bas y Matos, compuesta de 16 hombres, se dirigieron á buscar á 35 dragones franceses que se hallaban en Salvaleon para exigir una contribución. Noticiosos del camino …</t>
  </si>
  <si>
    <t>y Matute, Francisco Moretra</t>
  </si>
  <si>
    <t>Francisco Moretra y Matute</t>
  </si>
  <si>
    <t>de Sta. Rosa , 2. D. Bernabé de Tamarjcia, 25. D. Manuel Concha,!. D. Gabriel Oroviogoitia, 6. D. Manuel de la Daga , 10. D. Francisco Moreno , 1. — D. Francisco Moretra y Matute , fiel de moneda , 1000. El monasterio del Prado , 20. — Batallón de infantería válidas de Tt'u.villo. El capitán de granaderos y comandante interin…</t>
  </si>
  <si>
    <t>y Meneses, Juan Oden</t>
  </si>
  <si>
    <t>Juan Oden y Meneses</t>
  </si>
  <si>
    <t>. Fulgencio de la Riva Agii.ro. Él conde de Montes Claros á espitan de la ter­ IMPERIO FRANCES. cera compañía del séptimo batallón , en la vacante de D. Juan Oden y Meneses. París i.° de abril. art. TV. Nuestros ministros de lo Interior y La ballena que hace algún tiempo dixitnos ha­ de la Guerra quedar»,encargados de la exec…</t>
  </si>
  <si>
    <t>y Metieses, Juan Oden</t>
  </si>
  <si>
    <t>Juan Oden y Metieses</t>
  </si>
  <si>
    <t>uardida de la embarcación Woodbank, que iba de Li­ to batallón, en la vacante de D. Pedro Ferrer. verpool á los Estados-Unidos , y lia perecido en la D. Juan Oden y Metieses, capitán , á ayudante costa de Irlanda, sin haber podido salvar de su primero del tercer batallón , en reemplazo de Don cargamento mas que una pequeña pa…</t>
  </si>
  <si>
    <t>y Mi, Espoz</t>
  </si>
  <si>
    <t>Espoz y Mi</t>
  </si>
  <si>
    <t>556 Oviedo 9 de mayo. Han llegado aquí los prisioneros que hizo el general Espoz y Mi­ na, entre Salinas y Arlaban, el 9 del pasado, y algunos de los espa­ ñoles puestos en libertad aquel mismo dia. Se sabe de positivo, par carta escrita desde Potes, que han llega­ do allí mucho</t>
  </si>
  <si>
    <t>y Miaa, Esooz</t>
  </si>
  <si>
    <t>Esooz y Miaa</t>
  </si>
  <si>
    <t>las guarniciones y destacamentos enemigos. Se había de haber sido derrotada la co­ lumna francesa del general C JLrelt hi ña Sos por la d!v¡síoa del general Esooz y Miaa. El espiran le resistencia á la opresión se va manifestando en el reyno de Vabacia, don le ha habí lo ya varias acciones entrólas partida?* francesa-* y las …</t>
  </si>
  <si>
    <t>y Mica, Francisco Espoz</t>
  </si>
  <si>
    <t>Francisco Espoz y Mica</t>
  </si>
  <si>
    <t>segundo y terceto batallón deben no baber perdi­ do nn solo hombre en su retirada. — Dios guarde &amp;c. Etayo y ju­ nio 10 de 1812. — José Gorrix. — Sr. D. Francisco Espoz y Mica.’* Lo qne traslado á V. E. para su inteligencia. — Nuestro Señor &amp;c. Leache y junio 14 de 1812. — Francisco Esfox y Mina. 5.° Excmo. Sr.: El alférez de…</t>
  </si>
  <si>
    <t>y Mina, Don Francisco Espez</t>
  </si>
  <si>
    <t>Don Francisco Espez y Mina</t>
  </si>
  <si>
    <t>de &amp;c.— Lumbier 17 de marzo de 1832.— Jrancisco Espo% y Mina. — Excmo. Sr. D. Gabriel de Mendízabal.” El capitán D. Ramón Elorrio, de la división del brigadier Don Francisco Espez y Mina, viniendo á traer estos partes al cuartel ge* neral de este séptimo exército, acompañado de 3 voluntarios y un cabo, al pasar la carretera r…</t>
  </si>
  <si>
    <t>y Mina, Don Francisco Espoz</t>
  </si>
  <si>
    <t>Don Francisco Espoz y Mina</t>
  </si>
  <si>
    <t>to. — Cuartel general de Riaza y diciembre 16 de 1811.— Gabriel-de Mendizabal” Coruña 19 de febrero. El capitán D. Fermin Argaiz , de la división del brigadier Don Francisco Espoz y Mina, y su comisionado en esta plaza, acaba de recibir por conducto fidedigno la noticia de que á fines de enero par­ te de la división navarra a…</t>
  </si>
  <si>
    <t>y Mina, Espoz</t>
  </si>
  <si>
    <t>Espoz y Mina</t>
  </si>
  <si>
    <t>32 que Bonnet había sido derrotado y herido en im combate en Asturias. Se cuenta* nuevas ventajas obtenidas por el brigadier Espoz y Mina, con referencia á cartas de la Corurla de 23 de diciembre. El 20 no había novedad de consideración en Valencia. Se sabe que los sitiadores de Tarifa tenían abierta brecha el 31, y que habie</t>
  </si>
  <si>
    <t>plenipotencia­ rios en Batavia , que podían continuar en sus funciones cerca del gobierno ingles. ESPAÑA. Coruña 2.9 de enero. Hay noticia de que el brigadier Espoz y Mina se hallaba á fines &lt;3e diciembre en ?a parte alta de Aragón con 3 batallones de infan­ tería y un regimiento de caballería. De orden .leí Gobierno m-*- ha …</t>
  </si>
  <si>
    <t>Aceytuno, Doña Antonia Coca , D. Pedro Maza y ca­ nónigo Ubago. Alicante 7 de febrero. Según una relación que acaba de recibirse, habiendo entrado el brigadier Espoz y Mina en el arrabal de Zaragoza á primeros del pa­ sado , la guarnición francesa abandonó la ciudad, y se encerró en el castillo de la Aljafcría. Después de hab…</t>
  </si>
  <si>
    <t>archa lue­ go á B urges. Igualmente aseguran que va á extinguirse el consejo de Estado ; y que la guardia real se llamará en adelante imperial. —— El brigadier Espoz y Mina se ha apoderado de un convoy de trigo que los enemigos conducían á Pamplona, derrotando á los 2000 hombres que lo escoltaban. — Todos aquí, españoles, fra…</t>
  </si>
  <si>
    <t>el rey intruso para servir los empleos de Valencia. Aquí están los franceses sobremanera descontentos con la no­ ticia que han tenido de un bando del brigadier Espoz y Mina, en que establece las medidas mas enérgicas contra los franceses de Navarra, cuya capital tiene, segun dicen, sitiada; y añaden que en un reencuentro que …</t>
  </si>
  <si>
    <t>ntes que ha formado. La Espa­ ña los aprecia en su justo valoT; y yo me honro de tener en los exércitos de mi mando la indomable división navarra del general Espoz y Mina.— V. S y sus tropas deben contar con cuanta esté al alcanco de mis deseos de sil gloria y bien estar. — Dios guarde á Y. S. ma­ chos años. Cuartel general d…</t>
  </si>
  <si>
    <t>639</t>
  </si>
  <si>
    <t>de volver á Asturias , auique e¿to se consideraba poco ■verisímil después de la reoonqukta de Ciudad-Rodrigo y de Badajoz. Corre la especie de que el general Espoz y Mina ha sorprekendid© últimamente y hecho prisioneros en Milagro á 900 franceses que andaban exigiendo contribuciones en la Rivera de Navarra. Alicante 11 de moy…</t>
  </si>
  <si>
    <t>701 nes empleadas en la persecución del célebre general Espoz y Mina. El triunfo hubiera sido completo , si una tormenta de truenos horribles no hubiera disper­ tado á los enemigos, y si la proximidad de una di­ visión respetable de estos no pusiera á Duran</t>
  </si>
  <si>
    <t>y Mina, Francisco de Espoz</t>
  </si>
  <si>
    <t>Francisco de Espoz y Mina</t>
  </si>
  <si>
    <t>eseos de sil gloria y bien estar. — Dios guarde á Y. S. ma­ chos años. Cuartel general de Pontevedra 28 de abril de 1812.—Xa­ vier de Casianos. — Sr. D. Francisco de Espoz y Mina.” Carta escrita al general E &lt;p3z y Mina por el general Girón , gefe de es ha ¡o mayor, remitiéndole uno fax a de marisco/ de campo. ‘ Señor general…</t>
  </si>
  <si>
    <t>y Mina, Francisco Espcz</t>
  </si>
  <si>
    <t>Francisco Espcz y Mina</t>
  </si>
  <si>
    <t>o de refacción hasta rendir al enemigo. Lies guarde á V. S. muchos años. Motrico á las 10 de la noche del 3 de noviembre de 1811.— José Gorriz. — Sr. D. Francisco Espcz y Mina. — 2.° Sr. coronel: Esta mañana salí para Deva, y al pasar el puente de Sariola me avisaron las avanzadas , que desde Eígoibar se dirigían á Mendaro 40…</t>
  </si>
  <si>
    <t>a 3 caballas, y/ía3 cogió 6 con sus armamentos y more tura y 2 rautas útiles. — Días guarde &amp;?. Torralba 17 cíe junio de 1812. — Pedro Viüaroya.— Sr. D. Francisco Espcz y Mina.” Eo comunico á Y. E. con tanto mas gusto cuanto son las en­ sayes de la tropa organizada en el alto Aragón,, que me itP.ua ciar mu­ chas ventsjas para…</t>
  </si>
  <si>
    <t>y Mina, Francisco Espoz</t>
  </si>
  <si>
    <t>Francisco Espoz y Mina</t>
  </si>
  <si>
    <t>cordándose que son los vencedores del campo de Plasencía. Dies guarde á V. S. mucho» años. Lizarraga 1.° de noviembre de 1811.—Gregorio Cruchaga.—Sr. D. Francisco Espoz y Mina,— „ La madrugada del 2 recibí aviso de haber llegado 800 infantes y 200 caballos desde Pamplona á Huarte-Araquil, que dista 2 horas de Lizarraga y 4 de…</t>
  </si>
  <si>
    <t>ca algunos conciertos para alivio deis corazón español. Dios guarde á. V. S. muchos años. Tafalla y diciembre 4 de 1811'.— Gregorio. Gritíhaga.— Sr. D. Francisco Espoz y Mina.—Lo traslado á noti­ cia de Y. E. parales efectos que tenga á bien. Nuestro Señor guarde á Y. E: muchos anos, tarraga y diciembre 5 de 1811.—Exorno. Sr.…</t>
  </si>
  <si>
    <t>os ía noche del 14 , á fin de dar descanso á los soldados.— Dios guar­ de á V. S. muchos años. Eulate 15 de marzo de 1812. — Gregorio Cruchaga, — Sr. D. Francisco Espoz y Mina. —</t>
  </si>
  <si>
    <t>ando de V. S. el mas afecto apasionado y servidor Q. B. S. M. — El general CP. A. Girón. — Cuartel general de Pon­ tevedra 2S de abril de 1812. — Sr. D. Francisco Espoz y Mina.” ARTICULO DE OFICIO. Decreto de la Regencia. „La Regencia del reyno, nombrada por las Cortes generales y ex­ traordinarias en la ausencia y cautividad…</t>
  </si>
  <si>
    <t>pér­ dida de 4 caballos muertos y otros 3 h ridos. Dios guarde á V. S. muchos año3. Alcubierre y abril 20 de 1812.—Miguel Marta fri­ to arrert. — Sr. D. Francisco Espoz y Mina. — ,,£&lt;o traslado á V. E. para su noticia , y satisfacción que le cau­ sará vsr protegido por mis tropas el hermoso pais del alto Aragón , y que al tie…</t>
  </si>
  <si>
    <t>ometo dar á Y. S. algu­ nos rato» de gusto con sus hazañas. — Dios guarde á Y. S. mu­ chos años. Domeño 31 de mayo de 1812. — Joaquín de F*ablo.— Sr. D. Francisco Espoz y Mina.” Lo traslado á V. E. para su conocimiento y satisfacción. Nues­ tro Señor guarde &amp;&lt;?. Leaehe y jusio 14 de 1812. — Francisco Espoz y Mina. — Exnno. Sr…</t>
  </si>
  <si>
    <t>mendar á V. S. al capitán D. Matías Iizarbe y al sargento Saldias, que hicieron prodigios, como se ve por el resultado. Dios &amp;c. —Félix Sarasa. — Sr. D. Francisco Espoz y Mina.” Cádiz 30 de Octubre. A consecuencia de haber muerto en el lazareto extramuro* de la ciudad de Alicante D. José Rincón y su muger, los médicos es­ pañ…</t>
  </si>
  <si>
    <t>y Mina, O Francisco Espoz</t>
  </si>
  <si>
    <t>O Francisco Espoz y Mina</t>
  </si>
  <si>
    <t>Núm. 18. 157 GACETA DE EA REGENCIA DE LAS ESPAÑAS DEL MARTES 11 DE FEBRERO DE 1312. ESPAÑA. ■REYNO DE NAVARRA. Continúan los partes del brigadier O Francisco Espoz y Mina al general en gefe del sépthno exércilo D. Gabriel de Mendizabal, acer­ ca de sus operaciones desde principios de junio hasta mediados de octu­ bre de 181 í…</t>
  </si>
  <si>
    <t>y Mira, Erpcz</t>
  </si>
  <si>
    <t>Erpcz y Mira</t>
  </si>
  <si>
    <t>esta fuerza ©i enemigo se verá pR&amp;?ú&gt;ado á mantenerse en su» guarnicio­ nes , y no derramarse como hs&gt;. hecho baria acra en p aruasg a .permitida al general Erpcz y Mira poder organizar antes crias fuer­ zas, se bebiera impedid© el peso de 15000 cabezas de ganado me­ rino , que éetñe Andalucía ha legrado el enemigo introducir…</t>
  </si>
  <si>
    <t>y Monpuis, Cordignac</t>
  </si>
  <si>
    <t>Cordignac y Monpuis</t>
  </si>
  <si>
    <t>1348</t>
  </si>
  <si>
    <t>armas; pero se opuso el gobernador de la plaza, y hubo una cuestión muy seria. El cuartel general, que estaba en Moxente , ha pasado á S. Felipe. El general Cordignac y Monpuis vuelven á Francia. Se habla de un combate sangriento que ha tenido la partida de Lqnga con una división francesa de 3600 hombres, en el que han perdid…</t>
  </si>
  <si>
    <t>y Morales, Josef Rebollo</t>
  </si>
  <si>
    <t>Josef Rebollo y Morales</t>
  </si>
  <si>
    <t>lle del Príncipe, número n y 12. Curso completo elemental de matemáticas puras, compuesto en francés por S. F. Lacroix, y traducido ai castellano por D. Josef Rebollo y Morales: to­ mo 2.0 que contiene los elementos de álgebra. La exactitud de ideas, la propie­ dad y precisión del leoguage y la rigurosa observancia de todas l…</t>
  </si>
  <si>
    <t>y Mosi, Santiago Usoz</t>
  </si>
  <si>
    <t>Santiago Usoz y Mosi</t>
  </si>
  <si>
    <t>a el cargo de enviado extraordinario y ministro' plenipotenciario da S. M. Católica cerca de nuestro Gobierno, habiendo presentado en el mismo acto á D. Santiago Usoz y Mosi, que continúa en Portugal con el carácter de encargado de Negocios. En los papeles ingleses de 11 del mes último se contiene un artículo de Douver de 10 …</t>
  </si>
  <si>
    <t>y Mox'ica, Juan Potous</t>
  </si>
  <si>
    <t>Juan Potous y Mox'ica</t>
  </si>
  <si>
    <t>reales vellón para cos­ tear algunos premios que se distribuyesen á los mas sobresalientes; y el gí-fj de estado mayor del ssguudo y t:rcer exército D. Juan Potous y Mox'ica, que tuvo la moderación de ocultar su nombre, que una casualidad ha descubierto, entregó para el mismo objeto otros 1000 r&lt;?.: y la junta militar del col…</t>
  </si>
  <si>
    <t>y Moya, Dionisio Angulo</t>
  </si>
  <si>
    <t>Dionisio Angulo y Moya</t>
  </si>
  <si>
    <t>ar &lt;ie la proximidad ue un navio de línea y de tres Por otro decreto de Lual fecha ha nombrado •corbetas inglesas fondeadas en Arons del Mar. S. M. á D. Dionisio Angulo y Moya. alcalde ma­ La esquadrilla francesa lavó que vencer des­ yor, juez de piimcra instard:. de Uxijar y su pués en el día 4 grandes dificultades, dimanada…</t>
  </si>
  <si>
    <t>y Mozi, Santiago Usoz</t>
  </si>
  <si>
    <t>Santiago Usoz y Mozi</t>
  </si>
  <si>
    <t>usebio de Bardaxí y Azara, en­ viado extraordinario y ministro plenipotenciario de España cerca del mismo Gobierno; y presentó en esta ocasión al Sr. D. Santiago Usoz y Mozi, quien queda en Portugal con el carácter de Encarga­ do de Negocios. Id. 3 de Octubre. Según noticias de Londres estaban prontos á embarcarse nuevo* refu…</t>
  </si>
  <si>
    <t>y Muro, Pedro Gil</t>
  </si>
  <si>
    <t>Pedro Gil y Muro</t>
  </si>
  <si>
    <t>Josef Mana Fourdicer. D. Rafael González del Valle. . D. Anastasio García. D. Joaquín Hevia. QUARTEL DE MARAVILLAS. Secretario BARRIO DE SAN BASILIO. D. Pedro Gil y Muro. Alcalde de barrio BARRIO DE SAN MARCOS. D. Fernando Aguado. Alcalde de barrio Diputado eclesiástico D. Josef Laguera. D. Antonio Liaño. Diputado eclesiástic…</t>
  </si>
  <si>
    <t>y Navia, Francisco Copons</t>
  </si>
  <si>
    <t>Francisco Copons y Navia</t>
  </si>
  <si>
    <t>ré en conocimiento de V. E. en cumplimiento de mi deber. ,,Dios guarde á V. E. muchos años. Concentayna y setiembre 2 de 1812.=: Fernando Reig. = Sr. D. Francisco Copons y Navia.’* Madrid 18 de setiembre. Se ha recibido una carta de Sevilla, fecha 2 del corriente, que habla de lo ocurrido en aquella capital al tiempo de evacu…</t>
  </si>
  <si>
    <t>y Njdües, Juan Galán</t>
  </si>
  <si>
    <t>Juan Galán y Njdües</t>
  </si>
  <si>
    <t>rido , residente en MonD. Iuan'Munoz-, residente en Montilla...... 2 iOO retnayor.............. 2200 D. Pedro Sánchez , id. en Castro de) Rio.. 2 IOO D. Juan Galán y Njdües, id....................... 2200 1). Felipe del Olmo, id. en Ecija................. 2200 D. Antonio Nadales, id................. 2200 D. Francisco Ximenez,…</t>
  </si>
  <si>
    <t>y O, Diego Barredayid José Ocharán</t>
  </si>
  <si>
    <t>Diego Barredayid José Ocharán y O</t>
  </si>
  <si>
    <t>e líibacoba, D. Pedro Uñarte y 13. Lucas de Carranza• y de k&gt;* municipa­ les D Ju ati Antonio Pico , IX Genaro Faustino Rincón , D. Lorenzo früegas , D. Diego Barredayid José Ocharán y O. Manuel'de la Veñá, D. Antolin .M un arria y D. Pedro Pimtiós, todos baxo la preBideuciá del expresado D. Pedro Sáinz de; Baranda. Por acuer…</t>
  </si>
  <si>
    <t>y O, Francisco de Tdas</t>
  </si>
  <si>
    <t>Francisco de Tdas y O</t>
  </si>
  <si>
    <t>e del mismo consejo el teniente genera! duque dd P irque ; y a istíráa co o vo­ cales los tenientes generales, v'zconda de Gante , D. J ,ñé G -l azo, D. Francisco de Tdas y O. Fnlix J &gt;n«s ; y loa m irÍ3oaíes de cam­ po D. Martin’G urnía y L£Msr-'.»rri, D. Migas! Vaicarcel, D. Pere­ grino Jacorné y D. Tomas O-DjügjÚ. Continúa…</t>
  </si>
  <si>
    <t>y O, José María Samper</t>
  </si>
  <si>
    <t>José María Samper y O</t>
  </si>
  <si>
    <t>e tuvieron la fortuna de poderío hacer, fueron de nuevo acometidos en las llanu­ ras inmediatas por una porción de patriotas, que el cura de Catorce, D. José María Samper y O. Gregorio Blanco , noticiosos de la pro­ ximidad del enemigo, habían reunido para atacarlos sin noticia del movimiento de El ousa. El campo y las cades …</t>
  </si>
  <si>
    <t>y O, Luis Castilla</t>
  </si>
  <si>
    <t>Luis Castilla y O</t>
  </si>
  <si>
    <t>de Alcázar de S. Juan, D. Salvador María Suaivz, subte­ niente de Alpujarías , D. Francisco de Paula Benavides , subtenien­ te del primero de Guadix, D. Luis Castilla y O. Julián Lombar­ do , subtenientes de la Corona: á subtenientes, á D. Valentín del Rio, D. Francisco Palacios, D. Ildefonso Lillo, D. Pedro Ortiz de Lequizam…</t>
  </si>
  <si>
    <t>y O, Pedro Herce</t>
  </si>
  <si>
    <t>Pedro Herce y O</t>
  </si>
  <si>
    <t>de , capitán del inmemorial del Rey el de la misma clase del pri­ mero de Cataluña D. Vicente Sánchez ; los subtenientes del regi­ miento de Sigüenza D. Pedro Herce y O. José Guerrero; estos oácíales, y los individuos de las otras clases, que han derramado su sangre en una acción tan gloriosa, los considero dignos de la gra­ …</t>
  </si>
  <si>
    <t>y O, Pedro Simo</t>
  </si>
  <si>
    <t>Pedro Simo y O</t>
  </si>
  <si>
    <t>los regidores, marques de la Granja y D. Francisco Cavaleri; el regente de esta real audiencia D. Fernando Calvia, y los oidores D. Teótimo Escudero, D. Pedro Simo y O. Tema3 Romero Agredano ; un oidor de Vals adalid; los dos hijos del marques de la Granja; el primogénito del marques de Gradina; D. Leandro del Castillo, corre…</t>
  </si>
  <si>
    <t>y O, Ramón Arévalo</t>
  </si>
  <si>
    <t>Ramón Arévalo y O</t>
  </si>
  <si>
    <t>­ quez , este de caballería y aquel de infantería ; al difu esto Trayano, comandante de la infantería de vanguardia , á los alféreces de caba­ llería D. Ramón Arévalo y O. Juan Sarmiento, y al soldado, tam­ bién de caballería ., Juan García , natural de Castril, quien, después de haber roto su. lanza matando enemigos , echó m…</t>
  </si>
  <si>
    <t>y Oder, Juan Villa</t>
  </si>
  <si>
    <t>Juan Villa y Oder</t>
  </si>
  <si>
    <t>mañana pasó por delante de esta do ia suerte, acudan á la secretaría de la munici­ rada un buque enemigo, que venia del suroeste palidad del cargo de D. Juan Villa y Oder , á ob­ con dirección al sur. tener las respectivas certificaciones, para qu.e veri­ El dia 14, á las cinco de la tarde, entró en es­ ficados sus matrimonio…</t>
  </si>
  <si>
    <t>y Onega, Ramón Prieto</t>
  </si>
  <si>
    <t>Ramón Prieto y Onega</t>
  </si>
  <si>
    <t>tados seculares Diputado eclesiástico IX Félix González. D. Andrés Sánchez. D- Gregorio Martínez Mollinedo. Diputados seculares D. Francisco Bermejo. D. Ramón Prieto y Onega. Secretario D. Manuel Ramos de Zafra. £X Juan Efeuriz. D. Francisco García. Secretario 5 BARRIO DE SAN JUSTO. t Lo exerce el diputado D. Ramón Prieto, Al…</t>
  </si>
  <si>
    <t>y Oudinot, Wittgenstein</t>
  </si>
  <si>
    <t>Wittgenstein y Oudinot</t>
  </si>
  <si>
    <t>prudente esperar Ja confirmación de ella; pues tememos con a'guna probabilidad que acaso será la misma que refieren los boietines franceses entre el conde Wittgenstein y Oudinot el dia 16 de agosto, de la qual no nos ha^ hablado todavía los boietines rusos.</t>
  </si>
  <si>
    <t>y Pache, Francisco Aviles</t>
  </si>
  <si>
    <t>Francisco Aviles y Pache</t>
  </si>
  <si>
    <t>s Molina , 10. D. Damian Bodero , 4. Feliciano Avecilla por sí , y los randeadores de cacao , 1G. Toma* Suarez , G. José Plaza, 2. Marcos Galarza, 2. D. Francisco Aviles y Pache­ co, 50. Juan Nolasco, maestro mayor de carpinteros de lo blanco por si y su gremio , 84. Manuel Rodríguez maestro mayor de plateros , por sí y su gr…</t>
  </si>
  <si>
    <t>y Paez, Josef Galluzo</t>
  </si>
  <si>
    <t>Josef Galluzo y Paez</t>
  </si>
  <si>
    <t>añol renegado, la suerte que esta novedad prepara á los partidarios del intruso les hace clamar y blasfemar contra Napoleón. Proclama del JExcmo. Sr. D. Josef Galluzo y Paez} teniente general de los reales exércitos nacionales 3 comandante general de Castilla la Vieja. ,,La Regencia del reyno me ha nombrado comandante general…</t>
  </si>
  <si>
    <t>y Páralos, Teresa Ortega</t>
  </si>
  <si>
    <t>Teresa Ortega y Páralos</t>
  </si>
  <si>
    <t>pre­ sente a S. A.” íContinúan los donativos del Perú. El coronel de ingenieros D. Luis Rícj, 300 ps. fs. D. Manuel Uojia, 406. D José Merino , 200. Doña Teresa Ortega y 'Páralos, J00. El ttNÍente co­ ronel D José Carbó , 200. D Dionisio Fascardo , ,6. ©. Bernardo Roca, 500. T). Domingo Ordeñana, 500. D. Santiago Víctores , .…</t>
  </si>
  <si>
    <t>y Pereda, Mariano Bringas</t>
  </si>
  <si>
    <t>Mariano Bringas y Pereda</t>
  </si>
  <si>
    <t>Por imposiciones en la renta del tabaco. de su apoderado D. Mariano Bringas y Pereda.................................. 73í Viilodas...................... .............. 2 537 5 14 £1 fondo pió del ministerio de la Por un crédito despachado en la tesorería geúeGuerra........</t>
  </si>
  <si>
    <t>y Pineda, Juan de Pineda</t>
  </si>
  <si>
    <t>Juan de Pineda y Pineda</t>
  </si>
  <si>
    <t>se hnian , y que quando llegaban no era de art. vi. En la milicia cívica de la villa de. Espejo. grado , sino porque los traían ; y por último, quan­ D. Juan de Pineda y Pineda, teniente, á ca­ do llegó á convencerse, que Dios sabe el trabajo pitán de la segunda compañía. que costó, de que era cierto lo de Valencia, ¡A art. v…</t>
  </si>
  <si>
    <t>y Piniüos, Pedro García</t>
  </si>
  <si>
    <t>Pedro García y Piniüos</t>
  </si>
  <si>
    <t>...... ........................... 92835 23! Qoerejazu........... ............................. 7840 Por depósitos hechos en la caxa de amortización. D. Pedro García y Piniüos......... 677 2 17 Doña Bárbara Mingorranz, como £1 fondo pió del ministerio de la tutora y curadora de sus hijos Guerra................................…</t>
  </si>
  <si>
    <t>y Pizarro, José de León</t>
  </si>
  <si>
    <t>José de León y Pizarro</t>
  </si>
  <si>
    <t>spacho de estado al marques de Cusa-1rujo; secretario de estado y del des­ pacho de la gobernación del reyno para la Península é islas adya­ centes á D. José de León y Pizarro; secretario de estado y del des­ pacho de la gobernación del reyno para Ultramar á D. Tomas Gon­ zález Calderón; secretario de estado y del despacho de…</t>
  </si>
  <si>
    <t>y Plana, Antonio Pons</t>
  </si>
  <si>
    <t>Antonio Pons y Plana</t>
  </si>
  <si>
    <t>diciembre de 1811.— JLuis Lidcy”— fiemos tenido 26 muertos,' 141 heridas, entre los cuales se cuentan 10 oficiales, y 19prisioneros. II. Excroo. Sr : D. Antonio Pons y Plana, desde S- Salvador de Breda, medico con fecha de 8 del corriente, entre otras cosas, lo que sigue: ,,Participo á V. E como ayer por la mañana, apostada m…</t>
  </si>
  <si>
    <t>y Poveda, Atanasio Puyal</t>
  </si>
  <si>
    <t>Atanasio Puyal y Poveda</t>
  </si>
  <si>
    <t>ompone esta junta son los siguientes: El Sr. D. Cárlos de España, mariscal de campo, y comandante general interino de Castilla la Nueva. El limo. Sr. D. Atanasio Puyal y Poveda, obispo de Caristo y auxiliar de Madrid. El Sr. D. Esteban Rodríguez Gallego, intendente en comisión de la pro­ vincia de Avila, y presidente de la ju…</t>
  </si>
  <si>
    <t>y Prats, Francisco Tahona</t>
  </si>
  <si>
    <t>Francisco Tahona y Prats</t>
  </si>
  <si>
    <t>golfo dq Finlandia ? ¡ Y no al mayorazgo fundado por D. Nicolás de Palacios, del piensan que' hásta los mismos rusos, viéndose libres que es poseedor D. Francisco Tahona y Prats, á fin de de las cadenas que los oprimían, darán á su comer­ invertir su producto en la reparación de unas casas si­ cio la dirección que antes teñía…</t>
  </si>
  <si>
    <t>y Puello, Ramón Royo</t>
  </si>
  <si>
    <t>Ramón Royo y Puello</t>
  </si>
  <si>
    <t>Mendez. D. Antonio Regino López. BARRIO DE. XA PLAZUELA DEL GATO. BARRIO DE SAN ILDEFONSO. Alcalde de barrio Alcalde de barrio D. Juan López Arias. , D. Ramón Royo y Puello.</t>
  </si>
  <si>
    <t>y Puente, Angel del Monte</t>
  </si>
  <si>
    <t>Angel del Monte y Puente</t>
  </si>
  <si>
    <t>tar el exemplo segunda compañía. patriótico de los ciudadanos de Lóndres, manifes­ Tercer batallan. taron con bastante claridad que si llegaran á re­ D. Angel del Monte y Puente, subteniente, á unirse , no seria ciertamente para prestar su apo­ teniente de l.i quarta compañía. yo á la corrupción y á la venalidad. En este in­ …</t>
  </si>
  <si>
    <t>y Quadra, Josef de Osuna</t>
  </si>
  <si>
    <t>Josef de Osuna y Quadra</t>
  </si>
  <si>
    <t>D. Juan de Tienda. Tenientes. D. Josef Joaquín Henares. D. Vicente Ort'z y Alguacil. D. Pedro Atiza. D. Juan Pioeda. D. Josef Vexijar. Subtenientes. D. Josef de Osuna y Quadra. D. Andrés Padillo. D. Félix María Carrillo. D. Pedro Perez Garnacha. Subtenientes. art. vi. En la villa de Valenzaela se forma­ D. Agustin Cubero, de …</t>
  </si>
  <si>
    <t>y Querejazu, Constanza de la Puente</t>
  </si>
  <si>
    <t>Constanza de la Puente y Querejazu</t>
  </si>
  <si>
    <t>, 163 y 2 y medio. D. Ma­ tías Querejazu, canónigo de esta Sta. iglesia, 1000. D. Tomas Querejazu, 500. Doña Rosa Catalina Vázquez de Velasco , 500. Doña Constanza de la Puente y Querejazu, 500. D. Juan Antonio 4ndueza, cura de Yangai, 100. El cirujano Miguel Galarza , 10. El colegio seminario de Sto. Toribio.de esta ciudad, …</t>
  </si>
  <si>
    <t>y Quiñones, Francisco Vigil</t>
  </si>
  <si>
    <t>Francisco Vigil y Quiñones</t>
  </si>
  <si>
    <t>copiada ó traducida , ro merece perdón de Dios.. Cebolla, para el de Yuocos, vacante por muerte El que la gradué de inútil &gt; digo que no sabe'del de D. Francisco Vigil y Quiñones. fie que coxeanuis, y que se le entiende mui poco A D. Manad María Saenz dé Buruaga, cura de achaque de obtas. £1 que sostenga que t#;4» teniente de…</t>
  </si>
  <si>
    <t>y Remirez, Josef Moreno</t>
  </si>
  <si>
    <t>Josef Moreno y Remirez</t>
  </si>
  <si>
    <t>ado todo el concurso, que no hubieran tenido fin , á no haberle impuesto la expresa orden del magistrado. Obtenido, aunque no sin dificultad , el Dr. D. Josef Moreno y Remirez, corregidor de esta villa, á presencia de un divino Crucifixo,y puesta la mano • sobre los,santos evangelios, prestó juramento á la Constitución en la …</t>
  </si>
  <si>
    <t>y Rícarte, Josef Montes</t>
  </si>
  <si>
    <t>Josef Montes y Rícarte</t>
  </si>
  <si>
    <t>cédulas hipotecarias correspondientes, con arreglo D. Migoel de Landa y Go'tt'u.......... 1722 4 ai arríenlo 3.0 de nuestro real decreto de 9 de ju­ D. Josef Montes y Rícarte.............. , 3°co lio de 1809. D. Manuel González............... . 3495 22 art. ni. Naestro ministro de Hacienda que­ D. Josef Dionisio de Agoilar...…</t>
  </si>
  <si>
    <t>y Romero, José Olave</t>
  </si>
  <si>
    <t>José Olave y Romero</t>
  </si>
  <si>
    <t>o graduado de subteniente. Igualmente ha promovido S. A. en el sex­ to batallón del referido regimiento de zapadores minadores, á sar­ gento mayor, á D. José Olave y Romero, capitán de granaderos del regimiento infantería de Monterey; á capitanes, á D. Mariano Rodríguez y D. Francisco de Paula Mariné , que lo eran del regi­ m…</t>
  </si>
  <si>
    <t>y Rosal, Manuel Je Citnpos</t>
  </si>
  <si>
    <t>Manuel Je Citnpos y Rosal</t>
  </si>
  <si>
    <t>regimiento de granaderos de la guardia real en sidente en París. reemplazo de D. Víctor Roberto MungarnniJ; al ESPAÑA. capit.m de infantería de línea D. Manuel Je Citnpos y Rosal capitán de caballería de línea con Madrid 6de enero. agregación al regimienro 3.° de cazadores á c,,ba­ Extracto de las minutas de la secretaría de …</t>
  </si>
  <si>
    <t>y Roxas, Diego Fernandez</t>
  </si>
  <si>
    <t>Diego Fernandez y Roxas</t>
  </si>
  <si>
    <t>.. . 3200 Bujalance.......................................................... 2200 D. Rafael Navarra , id.............. ....... ................ 2200 D. Diego Fernandez y Roxas, id................. 2200 D. Juan Pedro Alarcon, id..................... neo D. Juaii Herrero, residente en Rute.......... 2200 D. Blas López Cordobés…</t>
  </si>
  <si>
    <t>y Ruiz, Josef Cabello</t>
  </si>
  <si>
    <t>Josef Cabello y Ruiz</t>
  </si>
  <si>
    <t>en Torrecampo...... 2200 D. Bernardo Guadix, id.......................... ;.... 2200 D. Lúeas Romero¡ id...,................................... 2200 D. Josef Cabello y Ruiz, id........... ............. 2290 D. PeJto Rubio, residente en Ovejo........... 2200 D.-Joan de Quero, id....................................... 2290 D. F…</t>
  </si>
  <si>
    <t>y Rustamante, Joaquin de Castillo</t>
  </si>
  <si>
    <t>Joaquin de Castillo y Rustamante</t>
  </si>
  <si>
    <t>lanceros de Aguirre D. Joaquin de Izaguirre. El comandante del batallón de Lobera D. José Enriquez da cuenta con fecha de 6 de Junio desde Tenango á D. Joaquin de Castillo y Rustamante , que en cumplimiento de las órdenes é ins­ trucciones que le había dado el dia anterior , para que con su bata­ llón , las compañías de cazad…</t>
  </si>
  <si>
    <t>y S, Almirante</t>
  </si>
  <si>
    <t>Almirante y S</t>
  </si>
  <si>
    <t>que han recogido correspondencia, en la admiAsiración de correos de Cádiz durante la semana finwhada en 4 del corriente, Para Poniente; místicos del rey Almirante y S. Cayetano.— Para Algeciras y otros puntos de Lavante : barca-correo Sto. Cristo del Grao.— Para 'Algeciras: laúd-corleo N. Sra. del Cármen. —- Pa~ ra la Habana …</t>
  </si>
  <si>
    <t>ue han recogido correspondencia en la administración de correos de Cádiz durante la semana finalizada en 25 del corriente. Para Poniente; místico del rey Almirante y S. Cayetano. — Pa­ ra Algeciras: falucho de guerra núm. 39 y místico de guerra el Bru­ no. — Para Levante : polacra-correo Concepción. — Para Ceuta: barca Sto. C…</t>
  </si>
  <si>
    <t>y Saavedra, Joaquina Monroi</t>
  </si>
  <si>
    <t>Joaquina Monroi y Saavedra</t>
  </si>
  <si>
    <t>, id. de Villasuso de Madrid............................... ...................... 2200 eo ei vafe de Cieza................. ................... 2200 Doña Joaquina Monroi y Saavedra, id.M.. 2200 D. Juan Salmoo, id. del lugar de Revilla. 22OÓ Doña Juana Maestranza y Aguilar , id...... 2200 0. Bernardo García , id. de Reocin...…</t>
  </si>
  <si>
    <t>y Saavedra, Miría Teresa de Monroi</t>
  </si>
  <si>
    <t>Miría Teresa de Monroi y Saavedra</t>
  </si>
  <si>
    <t>200 D. Miguel Fernandez, id. de Santa Gadea., 2200 0. Francisco Medeil , ex-capuchino, ligo. 1100 0. Pedro Cansí, id. de Santander.............. 2200 Doña Miría Teresa de Monroi y Saavedra, 0. Angel Murcedas ,-id. del lugar de Cueto. 2 200 ex-agustina recoleta de ia Encarnación 0. Francisco González, id. de Villasuso de Madri…</t>
  </si>
  <si>
    <t>y Salagow, Gortschakow</t>
  </si>
  <si>
    <t>Gortschakow y Salagow</t>
  </si>
  <si>
    <t>tro de interior del reino remesas de dichas mercancías, la Guerra, á saber: 1.® los tenientes generales cuyo peso exceda de Qn quintal, ademas de los príncipe Gortschakow y Salagow, y el general certificados y pasaportes ordinarios, un testimonio mayor Milowanow han sido nombrados miembros particular en aleman y en francés, q…</t>
  </si>
  <si>
    <t>y Salomonis, Antonio Hernández Aliendc de Medina</t>
  </si>
  <si>
    <t>Antonio Hernández Aliendc de Medina y Salomonis</t>
  </si>
  <si>
    <t>personas que contemplen tener derecho á ios bienes que hayan quedado por fallecimiento abintestamea , sicut tabernaeula Coedar et sicut pelles to de D. Antonio Hernández Aliendc de Medina y Salomonis." (Es en electo su mayor gloria; pero Doña Romuaida Medina y Vizcaya, su sobrina, veci­ jqua.i poco envidiable!) A las quatro s…</t>
  </si>
  <si>
    <t>y Salvador, Pedro Lezcano</t>
  </si>
  <si>
    <t>Pedro Lezcano y Salvador</t>
  </si>
  <si>
    <t>undo: su precio 16 rs. en negro, 18 ilumi­ nado, y g6 con lienzo y caxa. Usté plano, delineado cal forma con el añil, la materia verde y la subs­ por D. Pedro Lezcano y Salvador, profesor de arqui­ tancia amarilla; y de este modo se manifiestan el tectura, y grabado por D. Josef Fonseca, reúne á lo añil y las dos substancias,…</t>
  </si>
  <si>
    <t>y Sdlazar, Josef Morales</t>
  </si>
  <si>
    <t>Josef Morales y Sdlazar</t>
  </si>
  <si>
    <t>..................... i.......... 22CG D. Juan Muñoz, id........ ............................... 2200 D. Cristóbal Ramírez, residente en Luceóa. 2200 D. Josef Morales y Sdlazar, id.................... 2200 D. Juan de Lucena , id...... ............ ............. 22C0 LS. Miguel Redel, id............................... . 3200 D…</t>
  </si>
  <si>
    <t>y Sta, Nicolasa Díaz</t>
  </si>
  <si>
    <t>Nicolasa Díaz y Sta</t>
  </si>
  <si>
    <t>........... ........................-........ 43 200 D. Francisco Villalba , como niirido D. Apolinar Ronyer............................. . .21600 de Doña Nicolasa Díaz y‘Sta. Ana.. 10800 Doña María Alexa Cerrageríade Her­ D. Luis Blizitde........................ 45Q'-&gt; moso............................................. 22500 …</t>
  </si>
  <si>
    <t>y Suarez, Felipe Várela</t>
  </si>
  <si>
    <t>Felipe Várela y Suarez</t>
  </si>
  <si>
    <t>ría Bonomo. D. Saturio Angel de VeLsco. BARRIO DE SANTO TOMAS. barrio de los, angeles. Alcalde de barrio Alcalde de barrio I). Manuel de la Cámara. i D. Felipe Várela y Suarez. Diputados seculares Diputado eclesiástico D. Francisco Moreno. D. Tomas Conde. D. Fernando G.ilan. Diputados seculares D. Eugenio Diai. D. Manuel Láza…</t>
  </si>
  <si>
    <t>y Subiate, Mariano Rodríguez</t>
  </si>
  <si>
    <t>Mariano Rodríguez y Subiate</t>
  </si>
  <si>
    <t>or de íínaroehiry, 300. D. Francisco Calderón y Fastamente, co­ ronel de 'Farma, 2000. D. Antonio Alvarez y INI oran , teniente coronel de id., 2000. D. Mariano Rodríguez y Subiate, subdelegado interino de Chachapoyas, 2000. D. José Nunez , presbítero, 50. D. José Manuel Gómez , capitán del bergantín Europa, 20. Su tripulació…</t>
  </si>
  <si>
    <t>y Tello, Mariano Arcia</t>
  </si>
  <si>
    <t>Mariano Arcia y Tello</t>
  </si>
  <si>
    <t>ro Garóes , 4. Tomas Duarte , 4. D. Manuel Bravo, 5. D. José Florencia, 6. D. Ventura Bustamante, G. Don Pedro Ríos , 10. D. Juan María Morillo , 10. D. Mariano Arcia y Tello, 20. D. José Camilo Morillo, 10. D. Juan..... .. 50. D. Guillermo Gutiérrez, 4. D. Ignacio de Vera, 6. D. Ignacio Govostiza, por algunos vecinos de la c…</t>
  </si>
  <si>
    <t>y Tinajas, Agdstin de Toro</t>
  </si>
  <si>
    <t>Agdstin de Toro y Tinajas</t>
  </si>
  <si>
    <t>Rafael Díaz Villegas, residente en Jaén. 2200 Colmenar de Oreja..................................... 1100 D. Ildefonso Morales , id.............2200 D. Agdstin de Toro y Tinajas, id. id. en D. Cristóbal Morales, id.............................. 22co esta corte............. 1100 Ex-carmelitas descalzos. Bx—esculapios. D. Pedro…</t>
  </si>
  <si>
    <t>y Torio, Joaquín Recio</t>
  </si>
  <si>
    <t>Joaquín Recio y Torio</t>
  </si>
  <si>
    <t>por uno, 9. El conde de Zaldivar por 5, 45. D. Juan Bautista Pacheco por 5,45. El coronel D. José Ovando , sargento mayor de esta plaza , por uno, 9. D. Joaquín Recio y Torio por 2, 18. El teniente coronel D. Pedro Valverde por uno , 9. D. Joaquín Madan por uno , 9. Doña María Dolores Velez por uno, 9. D. Luis Amedey por uno …</t>
  </si>
  <si>
    <t>y Tricio, Patricio Josef González</t>
  </si>
  <si>
    <t>Patricio Josef González y Tricio</t>
  </si>
  <si>
    <t>;;.í7........ 118800 y como apoderado de Doña Juana D. Ramón María de Ripa....... ............ 5x6ñií no María López de Robredo................. 3195 D. Patricio Josef González y Tricio.. 10480 Doña María Aoa Ramírez de Estenoz. 18000 D. Francisco de Panla Batanero......... 16S00 D. Josef Benito de Cuellar........... . 4951 3…</t>
  </si>
  <si>
    <t>y Trígeros, Juan Villa</t>
  </si>
  <si>
    <t>Juan Villa y Trígeros</t>
  </si>
  <si>
    <t>. Miguel Sarralde, subteniente , á teniente de la décima compañía. REAL ORDEN DE.ESPAÑA. ! Séptimo batallón, El REI se ha dignado mandar que se pagne D. Juan Villa y Trígeros, ayudante segundo» i los caballeros sargentos» cabos y soldados el me­ á capitán de: le quinta compañía. ■ &gt; ., dio año de su pensión vencido desde i.” …</t>
  </si>
  <si>
    <t>y Uria, Juan Bernardo Quiroga</t>
  </si>
  <si>
    <t>Juan Bernardo Quiroga y Uria</t>
  </si>
  <si>
    <t>presideute y uno de sus secretarios ; salieron electos, para presidente el Sr. D. Juan de Valle, diputado por Cataluña; para vicc-prcsiden* te el Sr. D. Juan Bernardo Quiroga y Uria , diputado por Galicia; y. para secretario el Sr. D. Juan María Jg Herrera, diputado por Extremadura. Circular del ministerio de Gracia ?/ Justic…</t>
  </si>
  <si>
    <t>y Urrutia, Mariano Goicoechea</t>
  </si>
  <si>
    <t>Mariano Goicoechea y Urrutia</t>
  </si>
  <si>
    <t>Regencia del reyno se J#a servido nombs^v ayudantes segun­ dos del estado mayor de los exércitos á los capitanes D. Manuel Zapatero, de artillaría ; D. Mariano Goicoechea y Urrutia , teniente de ingenieros ; D. Fíorencio Cerutti, alférez de reales guardias esp~;ño­ las ; D. Carlos Victoria, de caballería del Infante; D. Anton…</t>
  </si>
  <si>
    <t>y Valdes, Carlos Valeriano Arraniz</t>
  </si>
  <si>
    <t>Carlos Valeriano Arraniz y Valdes</t>
  </si>
  <si>
    <t>..... 2aoo D. Marrin Palomares , id. en Jaén............ 2200 D. Manuel Ibañez, id. en Navalcarnero.... 2200 D. Juan Joaquín Jordán, id. en Arquiilos D. Carlos Valeriano Arraniz y Valdes, le­ de Sierra-Morena;.......... ........................... 2200</t>
  </si>
  <si>
    <t>y Vázquez, José Iglesias</t>
  </si>
  <si>
    <t>José Iglesias y Vázquez</t>
  </si>
  <si>
    <t>nica íes á D. Joaquín San Marrtin , D. Juan Perez y Barros, D. Ma­ nuel Fifgueyra , O. Bartolomé Gómez, D Simón Antonio Martínez, D. Juan San Martin, D. José Iglesias y Vázquez, D, Juan García, D. Domingo de Alonso y D. José Leston. En virtud de providencia del real tribunal del consulado de co­ mercio de Cádiz , se emplaza á…</t>
  </si>
  <si>
    <t>y Veíanle, Arias Mon</t>
  </si>
  <si>
    <t>Arias Mon y Veíanle</t>
  </si>
  <si>
    <t>, por no someterse á la domina­ ción del tirano ; han venido en declarar , como por el presente decreto declaran, benemérito de la patria al referido D. Arias Mon y Veíanle. Lo tendrá entendido-el Consejo de Regencia; y para que llegue á noticia de todos , lo ntandaiá imprimir , publicar y circular. — Ma* nu?l de Villafañe, p…</t>
  </si>
  <si>
    <t>y Venegas, Josef Fenec</t>
  </si>
  <si>
    <t>Josef Fenec y Venegas</t>
  </si>
  <si>
    <t>ar algunos cañonazos, á que coote'taron nuestros buques. El convoi llegó á su Séptimo batalloff. , destino con fiiicidad. Los legionarios han dado en D. Josef Fenec y Venegas, subleaieote, á t*«* ambos dias pruebas de su se lo y valor, acudiendo súeate de Ja sexta compañía.</t>
  </si>
  <si>
    <t>y Ví, Anas Mon</t>
  </si>
  <si>
    <t>Anas Mon y Ví</t>
  </si>
  <si>
    <t>do en Cádiz á 7 de enero de ib 12. — Ai Consejo de 'Regencia.” II. A temí, endo las -C ó ríes generales y extraordinarias al dis­ tinguido inér.to de D. Anas Mon y Ví larde, decano que fué del consejo y cam ra de Castilla , y particularmente á ia firmeza de ca­ rácter y fortaleza que manifestó á la faz de la nación por su r-c…</t>
  </si>
  <si>
    <t>y Vilarde, Bernardo de Sotp</t>
  </si>
  <si>
    <t>Bernardo de Sotp y Vilarde</t>
  </si>
  <si>
    <t>Diputado eclesiástico . -i D. Francisco Perez Crias.' D. Juan Josef Barrios. - &gt;, D. Bernardo' de Sotp y Vilarde. Dentados seculares, L ; Secretario D. Juan Amonio Villa. c '■ R. Domingo del Valle y Cano.-' D. Josef Ti ridw. BARRI® DE LA PANADERIA;’ ■ D. Juaoi Antonio Oortabarría. ; r&gt;t • - ■ f&gt; • &lt; :</t>
  </si>
  <si>
    <t>y Vizcaya, Romuaida Medina</t>
  </si>
  <si>
    <t>Romuaida Medina y Vizcaya</t>
  </si>
  <si>
    <t>bintestamea , sicut tabernaeula Coedar et sicut pelles to de D. Antonio Hernández Aliendc de Medina y Salomonis." (Es en electo su mayor gloria; pero Doña Romuaida Medina y Vizcaya, su sobrina, veci­ jqua.i poco envidiable!) A las quatro se acabaron nos que fueron de esta corte, natura] el primero de la de leer las sentencias…</t>
  </si>
  <si>
    <t>y Wandergoporque, Livinio Stuiek</t>
  </si>
  <si>
    <t>Livinio Stuiek y Wandergoporque</t>
  </si>
  <si>
    <t>...... . 470 expedición , no solo por el 1 ú nero respetable de D. Juan Manuel de U'itcgui..... 70950 fuerz.s que han reunido pata ella, sino también D. Livinio Stuiek y Wandergoporque cuentan con muchos partidarios dfutro de ten........................................... 8182 ií la misma provincia, en la qual siguen los dist…</t>
  </si>
  <si>
    <t>y Yebra, Estéban Barrera</t>
  </si>
  <si>
    <t>Estéban Barrera y Yebra</t>
  </si>
  <si>
    <t>arroquia aquella y aun hasta el punto de no existir, se- de S. Ildefonso de Jaén, vacante por muerte de goa algunas noticias. Mauston, Cumare, JLipe, D. Estéban Barrera y Yebra. Barquisimeto, Iritagua..... y otros pueblos fue­ Y D. Cristóbal Morales, presbítero y ex-car­ ron arruinados; el valle de la Vega y ia Guaira melita …</t>
  </si>
  <si>
    <t>Yañez, José</t>
  </si>
  <si>
    <t>José Yañez</t>
  </si>
  <si>
    <t>se vieron precisados á clavarlo y abandonarlo, porque la división de Mármol y la caballería iba en sus alcances. Mis ayudantes D. Fran­ cisco Oberto, D. José Yañez y el cadete D. Luis Urganeta han ma­ nifestado la mayor serenidad y bizarría en todas las comisiones que tuvieron, comunicando órdenes á todas partes; la caballerí…</t>
  </si>
  <si>
    <t>antema­ no tomadas todas las retiradas de TruxHlo hacia Mérida y Barinas con 200 hombres de infantería y 20 de caballería á las órdenes del teniente D. José Yañez con otros t fichles, y porción de vecinos de los pueblos de Boconó y otros de la retirada, donde ya se han pre­ sentado tropas de las fugitivas, operación que les o…</t>
  </si>
  <si>
    <t>YangUa, Nicolás</t>
  </si>
  <si>
    <t>Nicolás YangUa</t>
  </si>
  <si>
    <t>iloslada ; D. Manuel López Barajas, dipu­ tado que fué de mlMcnes, natural de Granada; D. Vicente Xirnenez , jubilado de rentas , netural da Madrid ; D. Nicolás YangUa», ayuda de cámara que fué de Cárlos IV, natural de Náxera ; B. José de la Fílente, clérigo de menores, natural de Madrid; D. Fabian Polo , corredor intruso , c…</t>
  </si>
  <si>
    <t>Yanguas, Nicolás</t>
  </si>
  <si>
    <t>Nicolás Yanguas</t>
  </si>
  <si>
    <t>. Vicente Ximentz, jubilado de rentas, na­ cada uno se á su antojo. La policía, que tural de M idrid. nada ignoraba de quanto allí trataban, [es amo­ D. Nicolás Yanguas , ayuda de cámara que fue nestó alguna vez por tned o dei dueño de la tien­ de Carlos IV, nattnai de Naxera. da , qiu hiciesen mejor u&gt;o de su tiempo y de su …</t>
  </si>
  <si>
    <t>Yarza, Rafael</t>
  </si>
  <si>
    <t>Rafael Yarza</t>
  </si>
  <si>
    <t>.............. 3429 17 ravedís de vellón. D. Juan Caillard.................................... 2346 17 art, ir. Se entregarán i esto* interesados lat D. Rafael Yarza............ 8t2 8f cédulas hipotecarias correspondientes , con arreglo Doña Angela Peñalosa , por su apode­ al artículo 3.° de nuestro decreto de 9 de junio de r…</t>
  </si>
  <si>
    <t>Ycpes, Josef Milano</t>
  </si>
  <si>
    <t>Josef Milano Ycpes</t>
  </si>
  <si>
    <t>do es­ El general Maitland , que habla venido hace po­ pitan de ella; D. Mariano Aranguren teniente, y co tiempo de Ceilan, donde ha estado de gober­ D. Josef Milano Ycpes subteniente. nador, se embarcará otra vez para la ludia, por aut. III. En los batallones de milicia cívica haber sido nombrado gobernador de Java. de esta …</t>
  </si>
  <si>
    <t>Yeia, Diego López</t>
  </si>
  <si>
    <t>Diego López Yeia</t>
  </si>
  <si>
    <t>bada. Paja. Fho. Ce!. Fau. Cel. Arr. Carr. Leandro Salazar 40 arrobas de paja................. 40 Eulogio González 30 arrobas de id............... 3° D. Diego López Yeia 2 fanegas de trigo y 2 de cebada............... ............................... *..... . 2 2 Doña Marta Martin 3 fanegas de cebada....... 3 Manuel López de Y…</t>
  </si>
  <si>
    <t>Yepes, Santiago</t>
  </si>
  <si>
    <t>Santiago Yepes</t>
  </si>
  <si>
    <t>) á teniente ea gro , y al norte con otra de D. Hermenegildo López reemplazo de D. Manuel Menoyo. Sandoval; su caber cinco fanegas, nueve celemines y D. Santiago Yepes, sargento primero, ¿subte­ 20 estadales, y su valor á 550 rs. fanega. Otra en el niente en la vacante de D. Miguel Gómez. sitio de la Barranca, que al oriente …</t>
  </si>
  <si>
    <t>Yicíor</t>
  </si>
  <si>
    <t>de ayer se revó de Car&amp;banohe! una parfila d ■ patriotas 8 muías de D. Jasé de Murga, director deja casa de los Aginrres.^ El ¿9 del pasado estuvo el mariscal Yicíor con Jo-,é en la Casa del campo Se embarcaron en el ei-tanque grande , y hab enrío sobre­ venido de repente una loiicaenta con granizo, estuvieron ¿a* a perecer*</t>
  </si>
  <si>
    <t>Yillamil</t>
  </si>
  <si>
    <t>júbilo y al regocijo por la publicación de la Constitución , medité la sorpresa del puerto de Tarragona. Entre la. una. y, dos ele la noche del 27 el coronel Yillamil con, 300 hombres escogidos del batallón de Fernando VII ocupó el Francol» , al mismo tiempo que el sargento mayor D. José Quer con las compañías de gra­ naderos…</t>
  </si>
  <si>
    <t>York</t>
  </si>
  <si>
    <t>cer bien por mal; y en tán de guardias de Corps conde de Branderburg fin , que si los efectos arrebatados eran necesaria­ recibió una leve herida. El general York entró en mente presa del vencedor, ellos restituirían su va­ Liebau. Eckau pertenece al conde de Paklen. S? lor en metálico al propietario. asegura que los rusos li…</t>
  </si>
  <si>
    <t>Yost, Josef</t>
  </si>
  <si>
    <t>Josef Yost</t>
  </si>
  <si>
    <t>s de serlo. £1 año pasado decíais: en no habien­ llón de infantería agregado á dicho cuerpo; j á do que comer se irán ; y ahora que por vuestros mis­ D. Josef Yost, capitán de infantería de línea, y mos desatinos os estáis muriendo de hambre pregun­ ayudante de la plaza de Madrid, comandante de táis: ¡dónde está la felicidad …</t>
  </si>
  <si>
    <t>Yubrea, Juan Pablo</t>
  </si>
  <si>
    <t>Juan Pablo Yubrea</t>
  </si>
  <si>
    <t>en la de Barco, carrera de S. Gerónimo, á 20 rs. en D. Amorío y D. Vicenie María rústica'. Boasi................................................ 5640 D Juan Pablo Yubrea..................... 12361» D. Ja ¡me Felipe, D. Ju*n Lúeas, TXATXOI. D. Josef María y D. Hipólito Durazo.............. ............................. 36750 E…</t>
  </si>
  <si>
    <t>Yuste, José González</t>
  </si>
  <si>
    <t>José González Yuste</t>
  </si>
  <si>
    <t>in­ fantería con destino á los cuerpos del segundo y tercer exército á D. Juan Vela, D. Juan Mozas, D. José Carrasco, D. Diego Perez, Don León Gordo, D. José González Yuste, D. Juan Marmol Calero, Don Calixto Rodríguez, D. Ildefonso Rulz, D. Agustín Lázaro, D. Juan Biirguiilos, D. Santiago López Ruiz, D. Pedro Fernandez, D.'J…</t>
  </si>
  <si>
    <t>YVeílingtpn</t>
  </si>
  <si>
    <t>ucción personal de Bonaparte---- =E1 carácter nacional de la Inglaterra y la reputación de sus armas han merecido los mayores elogios, hablándose del conde YVeílingtpn y djel exército que está á su mando, como de otros tantos héroes que han emprendido, la .gloriosa causa de libertar á una nación oprimida. Pa­ ra que el conoci…</t>
  </si>
  <si>
    <t>YViü</t>
  </si>
  <si>
    <t>fe de guerrilla; y si nuestros lecto­ ñor b.irnn de Gouben , consejero intimo de listado, res qnieren formarse una idea exacra de este pas­ del señor prefecto YViü y del señor Kood, inspector moso personaje, y de sns no menos pasmosos com­ del instituto de química , ha estado á visitar la pañeros, que lean el retrato que hace…</t>
  </si>
  <si>
    <t>Z, Jote</t>
  </si>
  <si>
    <t>Jote Z</t>
  </si>
  <si>
    <t>f.r.cion con el mtte de Con.'tanda de Cao, sus capitu­ laren, el alcalde primero D. Andrés Ta svera, alcalde segundo Don Francisco Cuba, alférez rta; D. Jote Z«-v-da, a’guf cii mayor Daa Pablo Ignacio Arcaya, ale? 1 de provincial D. José Miialtcs. y rogidejes D. M&amp;iiuel Ü.-.bir.a, D. Francisco Xavier Iruusquin, D. Mi­ guel Gi…</t>
  </si>
  <si>
    <t>Zabala, Bernardo</t>
  </si>
  <si>
    <t>Bernardo Zabala</t>
  </si>
  <si>
    <t>nido 30 muertos, y 200 heridos en la infantería, siendo de los primeros el teniente D. Femando An­ sa, el subteniente abanderado del segundo batallón D. Bernardo Zabala, y D. Fermín Azcárate, subteniente de la cuarta del cuaTto : de los segundos D. Marcelino Orá, capitán de la tercera del segundo, D. Juan Monton , subteniente…</t>
  </si>
  <si>
    <t>Zagas</t>
  </si>
  <si>
    <t>a, que la .parándolos con los intrépidos vencedores de Chi­ iba siguiendo á tiro de fusil. china y de Al¿'itera, y cita varios oficiales que se ,, El general Zagas acompaña este parte con un han distinguido particul rrmenfe. estado de ios oficiales que h , perdido, que fueren ,, El general Lardizabal remite con su parte -)4 d…</t>
  </si>
  <si>
    <t>Zamarra</t>
  </si>
  <si>
    <t>abril de 1812, —El pacífico ,,Entienda vmd. que los tales nuestros son el ma­ español." riscal Chaleco, el general Calzones, el capitán Bo­ tines, el sargento Zamarra, el cabo Pretina , el va­ liente Soleta , el inmortal Corbata, el invencible TEATROS. Guiñapo, y otros héroes, que parece han salido del En el del Príncipe , á …</t>
  </si>
  <si>
    <t>Zamora, Pedro</t>
  </si>
  <si>
    <t>Pedro Zamora</t>
  </si>
  <si>
    <t>ría de Urrua y D, Domin­ go Bernaola, id. , 9. D. Felipe Fernandez de Silva, por uno, 9. D. Juan Kohli, id!,'9. Doña Juana Francisco Tamayo , id,, 9. D. Pedro Zamora, por 2, 18! D, Mariano Jáuregui , por 3, 2?. D. Francisco de Torres, por «no, 9. D, Vicente García Caraballo , id., 9. D. Raytnundo Marnefo Valdes , id., 9. D. J…</t>
  </si>
  <si>
    <t>Zamora, Vicente</t>
  </si>
  <si>
    <t>Vicente Zamora</t>
  </si>
  <si>
    <t>801 ESPAÑA. Para el de Navas y Cinco Villas á D. Vicente Zamora. a Para el de Mañosa al ex carmelita descalzp l5on Madrid 16 de julio. Domingo Caballero. Para el de Olmeda de Cebolla i D. Nicolás Por decreto de 30 de junio S. M. s$ lia servi­ Montes. do</t>
  </si>
  <si>
    <t>Zamorano, Josef</t>
  </si>
  <si>
    <t>Josef Zamorano</t>
  </si>
  <si>
    <t>su valer es de 720 reales cada fanega. D. Josef Molinero. Otra en el cerro del Castañar, que linda al oriente con D. Juan Andrés Palacios. tierra de D. Josef Zamorano, vecino de Leganes , y al D. Juan Cora. norte con el citado mayorazgo de Luzon; su caber tres fanegas y dos celemines, incluso un pedazo que se ha­ Subtenientes…</t>
  </si>
  <si>
    <t>Zamudio, Espíritu</t>
  </si>
  <si>
    <t>Espíritu Zamudio</t>
  </si>
  <si>
    <t>sco. D. Francisco Fuster, 50. D. Antonio de la Serna, 12. D. Lorenzo Sánchez Ribera, 12. I). Manuel Alvarez , 12. D. Alexandro Odiantes Cevallos, 50. D. Espíritu Zamudio, 12. IX Fermín Hernández, 25. D. Nicolás Berrocal , 25. D. Francisco Xavier de Arias , 25. D. Dionisio Mesedua , 25. D. Manuel Salcedo , 12. D. Juan de la Cr…</t>
  </si>
  <si>
    <t>Zandagoza, Francisco</t>
  </si>
  <si>
    <t>Francisco Zandagoza</t>
  </si>
  <si>
    <t>arrete , 2. D. "Martin Fer­ nandez , 2. D. Juan Loaisa, 2. D. Camilo Mariatégui., 2. D. Pablo Manco 2. D. Juan Batalla, 2. D. Tomas Portocarrero , 2. D. Francisco Zandagoza, D. Pedro Omdoranchey &gt; 2. D. Vicente Navarte , 2. D. Manuel Vengocne.a , 2. D. José Marlategui, 2. D. 'Francisco Roxas, 2. D. Gerónimo Larriva, 2. D. Man…</t>
  </si>
  <si>
    <t>Zapalena, Tomas</t>
  </si>
  <si>
    <t>Tomas Zapalena</t>
  </si>
  <si>
    <t>dos seculares D. Cár!os:Bosch. &gt; -i D. Pedro Perez García. Diputados seculares D. Francisco Agustin, Crespo. D. Tomas Peña. - D. Francisco Santíüsté. D. Tomas Zapalena. Secretario D. Manuel Medina. D. Josef Ibarra. Secretaria D. Rafael Oarrichena. ' “■ QUARTEL DE-SAN MARTIN. QUARTEL DE LA PLAZAS - 1 BARRIO DE SAN LUIS» - l. '…</t>
  </si>
  <si>
    <t>Zapata, Antonio Gil</t>
  </si>
  <si>
    <t>Antonio Gil Zapata</t>
  </si>
  <si>
    <t>iscano, para ona capellanía de número del co­ consejero de Estado D. Joaquín Leandro de Solis; ro de la catedral de Falencia , vacante por muerte i ó D. Antonio Gil Zapata,-hijo ¿ehconde de Ber- de D. Manuel Baroja. . ' berana, gentilhombre de cámara, y á'D. Gabriel Y para obtener en encomienda á. los ex-regu­ de "Vial y Asen…</t>
  </si>
  <si>
    <t>Zapater, Matías</t>
  </si>
  <si>
    <t>Matías Zapater</t>
  </si>
  <si>
    <t>ficial interventor D. Juan José Guzman , 66.—, Administración del casca. Administrador v tercenista D. Pedro Roque del Villar, 66. Tercenista primero D. Matías Zapater, 58. Id. segun­ do X). Juan de Unanue , 50. Ayudante D. Juan Díaz del Campo , 25- — Ron­ da de vista y administraciones. D. Tomas López , visitador de almacene…</t>
  </si>
  <si>
    <t>Zapatero, Juan</t>
  </si>
  <si>
    <t>Juan Zapatero</t>
  </si>
  <si>
    <t>xtensión de este departa­ Arce, comandante gener.,1 de - artillería; y ai co­ mento-, y'¿de la dificultad para las comunicaciones ronel de ingenieros D. Juan Zapatero; y como se^ en la'estación del invierno en nn pais montañoso, cretario sin voto al coronel D. Josef de Lavangos, asi el,sorteo,como todasi.las demas operaciones…</t>
  </si>
  <si>
    <t>Zapatero, Manuel</t>
  </si>
  <si>
    <t>Manuel Zapatero</t>
  </si>
  <si>
    <t>La Regencia del reyno se J#a servido nombs^v ayudantes segun­ dos del estado mayor de los exércitos á los capitanes D. Manuel Zapatero, de artillaría ; D. Mariano Goicoechea y Urrutia , teniente de ingenieros ; D. Fíorencio Cerutti, alférez de reales guardias esp~;ño­ las ; D. Carlos Victoria, de caballería del Infante; D.</t>
  </si>
  <si>
    <t>Zapatero, Manuel Hilario</t>
  </si>
  <si>
    <t>Manuel Hilario Zapatero</t>
  </si>
  <si>
    <t>se le satisfizo1 el dia 29.......... . 40000 Idem al secretario de la capitanía general idem. , 2000 Idem al secretario del monte-pio de * oficinas . D. Manuel Hilario Zapatero á. cuenta de sueldos 850693995 2730 Idem á D. F ranclsco Hurtado de Mendoza, comisionado para conducir á Cádiz los pa­ peles del archivo déla secretar…</t>
  </si>
  <si>
    <t>Zapatiu, Juan</t>
  </si>
  <si>
    <t>Juan Zapatiu</t>
  </si>
  <si>
    <t>2 y medio. Oficia­ les de libros. D, Domingo Moreno , 50. D. José de Eslava , 50. Amanuenses. D. Justo Díaz , 41 y 5. D. José Mariano Arris , 41 y 5. D. Juan Zapatiu. 41 y 5. D. Julián Sarmiento , 41 y 5. D.' Juan Cosío , 41 y 5. D. Alexapdro Morales, agregado, 39 y 6. D. Andrés Calero, escribano de cámara, 133 y 2 y medio. D…</t>
  </si>
  <si>
    <t>Zaragoza, Felipe</t>
  </si>
  <si>
    <t>Felipe Zaragoza</t>
  </si>
  <si>
    <t>efiéndannos ellos , y dantes de batallón del real cuerpo de artilJerra, co­ tnas que sean moros;' y como nosotros hagamos roneles del mismo cuerpo; á D. Felipe Zaragoza, nuestro negocio, ¿qué mal- hai en que ellos hagan teniente del regimiento de Toledo, 2.°de infante­ al mismo tiempo el suya? Salgamos nosotros de ría de líne…</t>
  </si>
  <si>
    <t>Zaragoza, Raymundo</t>
  </si>
  <si>
    <t>Raymundo Zaragoza</t>
  </si>
  <si>
    <t>IX José Pclaez, del Mixto: al capitán de Puebla D. José Velazquez ; al de la Corona D. Vicente Enderica; al teniente D. José María Novoa, al patriota D. Raymundo Zaragoza , y á José María Yillavlcencio , del batallón de Tula, que mató á uno de los capi­ tanes insurgentes que intentó salir á caballo por la puerta que él guarda…</t>
  </si>
  <si>
    <t>Zarate, Manuel</t>
  </si>
  <si>
    <t>Manuel Zarate</t>
  </si>
  <si>
    <t>a, D. Pedro Omdoranchey &gt; 2. D. Vicente Navarte , 2. D. Manuel Vengocne.a , 2. D. José Marlategui, 2. D. 'Francisco Roxas, 2. D. Gerónimo Larriva, 2. D. Manuel Zarate, 1. D. Pedro ÍJuidrobo , 2. D. Pedro González, 2. D. José Pac hoco , 2. D. Antonio Córdoba , 2. D. Manuel Maza , 2. Don Mariano Hurtado, 1 y /i. D. José Perez, …</t>
  </si>
  <si>
    <t>Zarja, Cristóbal</t>
  </si>
  <si>
    <t>Cristóbal Zarja</t>
  </si>
  <si>
    <t>os y comandante interino Don José de la Puente, sin perjuicio de k&gt; que le corresponda como alcalde or­ dinario de primer voto, 50. El ayudante mayor D. Cristóbal Zarja, 200. El teniente D. Miguel Cortabarria , 200. El subteniente D. Manuel Castro, 20. El capitán agregado D. Enrique Odonoban , 12.— Regimiento de caba­ llería.…</t>
  </si>
  <si>
    <t>Zarzosa</t>
  </si>
  <si>
    <t>tro de sus mismas trinchera*, fueros desalojados coa per üda de mas de 400 muertas. Los qu* escaparon de este reeneusnifo, parte cayeron en muios del capitán Zarzosa, el cual al reiUnrse á su posición, después de haberles picado la reta­ guardia , derrotó un cuerpo de. 400 de ellos, que lo acometieron ea ■una emboscada \ y pa…</t>
  </si>
  <si>
    <t>Zavala, Agustín</t>
  </si>
  <si>
    <t>Agustín Zavala</t>
  </si>
  <si>
    <t>tando al Furor , para que se coloque en D.........Fichet........................................ 100 la fuente de la nueva plaza de Santa Ana; y tam­ D. Agustín Zavala............................. 60 bién ha dado otra estatua de nuestros antiguos D. Agustín Duro.............................. 40 Reyes, para ocupar un oportuno …</t>
  </si>
  <si>
    <t>Zavala, Antonio</t>
  </si>
  <si>
    <t>Antonio Zavala</t>
  </si>
  <si>
    <t>2. Id. D. Esteban Ximenez , 6. Teniente D. Juan Manuel O cito a, 2. id. D. Tomas Medrano, 2. Id. IX Eulalio Egoavil, 4. Id. TX José Xarvarte , 2. Id. D. Antonio Zavala , 2 Subteniente IX Diego Adalid, 25. Jd. D. José Espinosa, 25. Id. D. Manuel Aidaieo , i. Id. D. Tadeo Rozas , 2. Sargento n»ayor D. Juan Duran , 4. Capitán D.…</t>
  </si>
  <si>
    <t>Zavala, Vicente</t>
  </si>
  <si>
    <t>Vicente Zavala</t>
  </si>
  <si>
    <t>milicia» de infantería, á D. Torlbio Bsttüaeourt, D. Casimiro García, D. C &gt;sme Armera, D. José Torres, D. Teles foro Montero, D. Ignacio de Medina, D. Vicente Zavala, D. José María ViUavicsncio, D. Félix María Farias y D. Juan Pedro Pe*ayo ; el mismo de ras de caballería, á D. Rafael Padrón , D. José María Arcaya, D. Miguel …</t>
  </si>
  <si>
    <t>Zay, Josef</t>
  </si>
  <si>
    <t>Josef Zay</t>
  </si>
  <si>
    <t>ó á consejo I M P E R I Ó F R A N C E S. de guerra en el lugar acostumbrado á los señorea mariscales de campo D. Carlos O D mell, D. Jo— sef Miranda, D. Josef Zay.is, D. Ruuon Pirez, . . . Ródez's'tf de manzo. L). Francisco M.rcó del Pont y D. Josef Lardizahal; y á los señores brig idieres D. Joaquín do La última coluna dé lo…</t>
  </si>
  <si>
    <t>Zayas</t>
  </si>
  <si>
    <t>sa, y poco después se me incor­ poró el capitán de artillería D. Bartolomé Guürrrez con 2 obuses, de orden de V. E. Al llegar á Mislata, manifesté al general Zayas el objeto de mi comisión, y noticioso de qué venían'de Valencia 2 ba­ tallones en su auxilio, me pidió únicamente los 2 ohnses que podían, serle de mucha utilidad.…</t>
  </si>
  <si>
    <t>aron cortar las tropas de Qmirle, pasan­ do al mismo tiempo por deba-xo de Q’uartc : pero este movimiento se ío anido, constantemente la división del general Zayas , situada en Mislata. No puedo asegurar si per' este recelo, ó por que otra combinación, los atrincheramientos de Qiiarte y S. Onofré se. eva­ cuaron sin ser ataca…</t>
  </si>
  <si>
    <t>„El general Lardizabal, embarazado con un artillería sobre (as alturas de Puch: inmediatamen­ tren de artillería de lo cañones, y en nn terreno te el general Zayas replegó su primera línea sobre cortado de barrancos y acequias, resolvió perderlo la de reserva , haciendo maniobrar por la derecha; todo por ganarlo todo , y asi …</t>
  </si>
  <si>
    <t>Zayas, Josef</t>
  </si>
  <si>
    <t>Josef Zayas</t>
  </si>
  <si>
    <t>sta el 23 de noviembre. El dia 29 general dei z.° exército, y gobernador de la plaza de octubre se reunió la asamblea de la colonia. Por de Valencia; D. Josef Zayas , comandante de la una de las actas qne la cámara ha sancionado se quarta división expedicionaria de Cádiz; L&gt;. Josef duplican los derechos que antes pagaban los …</t>
  </si>
  <si>
    <t>Zazo, Nicolás</t>
  </si>
  <si>
    <t>Nicolás Zazo</t>
  </si>
  <si>
    <t>3 25 cho e-m.-ro las ciencias y la literatura. D. Ramón Zazo.................................... 861 2 Nuestra universidad está perfectamente organi­ D. Nicolás Zazo,........... ................... 1617 27 zada, y concurren á ella muchos discípulos. Por D. Manuel de Agreda.......................... 1000 d-’-tgracia acaba de p…</t>
  </si>
  <si>
    <t>Zazo, Ramón</t>
  </si>
  <si>
    <t>Ramón Zazo</t>
  </si>
  <si>
    <t>. 716 2 2-| A&gt; mismo tiempo se cultivan también con mu­ D. Ramón de Vitoria................•....... 4213 25 cho e-m.-ro las ciencias y la literatura. D. Ramón Zazo.................................... 861 2 Nuestra universidad está perfectamente organi­ D. Nicolás Zazo,........... ................... 1617 27 zada, y concurren …</t>
  </si>
  <si>
    <t>Zea, Joaquín</t>
  </si>
  <si>
    <t>Joaquín Zea</t>
  </si>
  <si>
    <t>alencia ; D. Josef Casimiro la Gran Bretaña. Lavalie, segundo ídem de la mi nera división del El Hyperion, que acaba de llegar de Vera- 2.0 exército; D. Joaquín Zea, subinspector de ernz, ha traído noticias de aquella ciudad hasta caballería ídem; D. Antonio Bnrriel , g-fe del es­ fines de noviembre. Parece que las cosas está…</t>
  </si>
  <si>
    <t>Zeiden</t>
  </si>
  <si>
    <t>u artillería. La pérdida de los rusos com­ parada con la de los franceses , fné amy corta, aunque doloroso pac Jlftbcr muerto de una bala de caños di general Zeiden. ESPAÑA» Cercanías de Burgos 8 de agosto. Las tropas del mando del coronel D. Francisco Langa »* ccnpaa hace ya mucho tiempo en interceptar con sus acertados movi…</t>
  </si>
  <si>
    <t>Zéldót, Fermín</t>
  </si>
  <si>
    <t>Fermín Zéldót</t>
  </si>
  <si>
    <t>nio de AlisedO-,» Diputado eclesiástico Diputado eclesiástico D. Josef llar! Fernandez. D. Gerónimo Martines. Diputados seculares Diputados seculares D. Fermín Zéldót. D. Estiban Corones. D. Bernardo García. D. Francisco Antonio Martínez. D. Joan Bautista Lasa. D. Miguel Wranderoih. • Secretario Secretario D. Pedro Grigoén y …</t>
  </si>
  <si>
    <t>Ziyas</t>
  </si>
  <si>
    <t>eron á expedicionario. juntarse con él por la izquierda. f*o esto una nu­ merosa colima de infantería enemiga se avanz bi á ,, El 25 por la mañana el general Ziyas se toda prisa por el ílinco derecho: el regimiento es­ apostó con su división á la salida de Pucli y en el pañol de dragones dtl Reí quiso c.rg.ir sr,b;e esta cami…</t>
  </si>
  <si>
    <t>ZjYa, Manuel de Ramos</t>
  </si>
  <si>
    <t>Manuel de Ramos ZjYa</t>
  </si>
  <si>
    <t>del Pitar Lo­ del empréstito y de los intereses tienen todas las sada , por medio de su apoderado seguridades posibles ; y asi es que tt do el mundo D. Manuel de Ramos ZjYa...... .... 3590 6 toma parte en ¿1 con la mayor confianza. v P. Ramón García Gdiego , marido de Doña María Bujeta Martínez REINO DE ÑAPOLES. Garay, poseed…</t>
  </si>
  <si>
    <t>Znbaía, Don Juan Bautista</t>
  </si>
  <si>
    <t>Don Juan Bautista Znbaía</t>
  </si>
  <si>
    <t>márraga; p*ra lo qi-sl dispuse que toda la tropa se pariese en marcha para emboscar nos en lus in­ mediaciones de Ormaktegui, como en efecto msndé si capitán Don Juan Bautista Znbaía cubriese con tie* compañías el j?ro de A&amp;tofazar para no permitir ei paso al enemigo á Villafranca y la restante tropa al mande de! mayor D. Fer…</t>
  </si>
  <si>
    <t>Zomalave, Josef Ramón</t>
  </si>
  <si>
    <t>Josef Ramón Zomalave</t>
  </si>
  <si>
    <t>ados su comprehension deseaban penetrar hasta su So­ de la villa de Placencia; D. Antonio Aguillo, berano , hallar en 6i el centro de la justicia, el D. Josef Ramón Zomalave, D. Pedro LarrUmbe protector da sns vasallos, y el reparo de los males y D. Josef Errasti, que también reciben la edu­ que la guerra ha hecho inevitables…</t>
  </si>
  <si>
    <t>Zornoza, Juan Manuel</t>
  </si>
  <si>
    <t>Juan Manuel Zornoza</t>
  </si>
  <si>
    <t>ado por muchas fuer­ zas en su puesto de Sta. Catalina, destacó en su socorro la mitad de la caballería que tenia, al mando de Arana y del voluntario D. Juan Manuel Zornoza. Pero el enemigo, que no cesaba de aumentarse con­ siderablemente , y de hacer fuego con 8 cañones, hizo conocer á Truvillo, que no le quedaba otro recurs…</t>
  </si>
  <si>
    <t>Zorraquin, José</t>
  </si>
  <si>
    <t>José Zorraquin</t>
  </si>
  <si>
    <t>l Sr. D. An­ tonio Payan, diputado por la Coruña; para vice-presidente el señor D. José Joaquín Ortiz, diputado por Panamá ; y para secretario el Sr. D. José Zorraquin, diputado por Madrid. El Consejo de Regencia se ha servido expedir el decrete que sigue: D. Fernando vii , por la gracia de Dios, rey de España y de las Indias…</t>
  </si>
  <si>
    <t>Zorrilla, Gregorio</t>
  </si>
  <si>
    <t>Gregorio Zorrilla</t>
  </si>
  <si>
    <t>Francisco Xavier Burd.di®. Diputado eclesiástico Diputado eclesiástico D. Cayetano Sae¿. D. Cayetano Aravaca. Diputados seculares Diputados seculares D. Gregorio Zorrilla. D. Agustin Villa. D. Domingo Villamif. D. Juan Perez Pinedo. Secretario I&gt;. Antonio María Bonomo. D. Saturio Angel de VeLsco. BARRIO DE SANTO TOMAS. barrio…</t>
  </si>
  <si>
    <t>Ztmborain, Gerónimo</t>
  </si>
  <si>
    <t>Gerónimo Ztmborain</t>
  </si>
  <si>
    <t>eber de todo ciudadano amante de su patria. nota. En la gazeta de: 17 de octubre núm. 28, pág. 289, lín. 13, don­ de dice D. Gerónimo Ceboraim, léase D. Gerónimo Ztmborain. Constitución de la monarquía española, reimpresa de orden superior en la Im­ prenta real de Madrid, en cuyo despacho se hallará en octavo á 10 r$., y ea f…</t>
  </si>
  <si>
    <t>Zuhiilaga, Leonardo</t>
  </si>
  <si>
    <t>Leonardo Zuhiilaga</t>
  </si>
  <si>
    <t>endera de un pueblo inmediato, eran las dos qoe D. Justo Tellez............................ 14820 28 mas enamoradas estaban del espejo dichoso, y las D. Leonardo Zuhiilaga................. 10530 30 dos íe lo pidieron á la tia Justa. Ella, como eran D. Miguel García Sacristán......... 6595 24 ricas, por no quedar mal con ningu…</t>
  </si>
  <si>
    <t>Zúñiga, Francisco</t>
  </si>
  <si>
    <t>Francisco Zúñiga</t>
  </si>
  <si>
    <t>. x\ntonio Manrique, cirujano, 25. D. Lorenzo Cepeda, guarda de la renta de alcabalas, 20. Don José Salvador , comandante de la partida veterana, 10. D. Francisco Zúñiga, vecino de dicha villa, 10. D. José Manuel Herróse, 10. D. Damian Jáuregui, 10. D. Juan Bustamante , 10. D. Agustín Fernandez, 10. D. Francisco Ilervoso , 6.…</t>
  </si>
  <si>
    <t>Zurita, Francisco</t>
  </si>
  <si>
    <t>Francisco Zurita</t>
  </si>
  <si>
    <t>.................................. ateo tidades que ti cada uno se le especifican. P. Francisco Perez , iJ...................................... 2200 D. Francisco Zurita, id.................................... 2200 Rs^vn^ P. Francisco Avi'és , id.................................... 22co Ex-mínimos. P. Vicente Moyíno, id......…</t>
  </si>
  <si>
    <t>Zurita, Juan</t>
  </si>
  <si>
    <t>Juan Zurita</t>
  </si>
  <si>
    <t>. en Valdepeñas de Ex-mínimos. Jacú.............................................................. 2200 D. Andrés Sanabria , residente en Madrid. 2200 D. Juan Zurita, id. en Andújar.................. 2200 D. Manuel de Heredia, id. en Bedmar...... 2200 Ex-capuchinos. D. Miguel Villanueva , lego, id. en Baeza. 1100 D. Manneí Flo…</t>
  </si>
  <si>
    <t>Zurita, Ramón</t>
  </si>
  <si>
    <t>Ramón Zurita</t>
  </si>
  <si>
    <t>uidado sobre la conservación de las el arzobispado de Granada, vacante por muerte del obras antiguas» y no omite nada para mantener en ex-franciscano D. Ramón Zurita , á D. Pedro O.ibuen estado los canales qne existían anteriormente. va Lozano, ex-monge gerónimo. Esperamos pues qne en breve. tiempo estará Para,la de Peligras,…</t>
  </si>
  <si>
    <t>ZuUieta, Tiburcio</t>
  </si>
  <si>
    <t>Tiburcio ZuUieta</t>
  </si>
  <si>
    <t>D. Blas Fuertes , id. , 9. Don Juan Madrazo, por 2,18. I). Hermenegildo Gaíeano, por uno ,9. D. JuaRuiz, por 2; i8 D Francisco Menacho, por uno-, 9. D. Tiburcio ZuUieta, por ano , 9. D. Manuel Diaz de Castro, id., 9. D. Pedro Boyer y su es­ posa , id., 9. El teniente D. Agustin de Cárdenas, por 3, 27. D. Claudio Ma­ teo , por…</t>
  </si>
  <si>
    <t>Zuza, Vicente</t>
  </si>
  <si>
    <t>Vicente Zuza</t>
  </si>
  <si>
    <t>R amon García Gallego , por........ 54* *7 es: rá buxo eí mando del príncipe de Hoheazo- D. Agustín Ventades.......................... 180 17 licr.t. D. Vicente Zuza , por medio de su apoderado D. Peaio García Piniilos. 9837 8§ BAVIERA. D. Juan Hernández.............................. 11621 2jf Por réditos devengados procedent…</t>
  </si>
  <si>
    <t>Fuentes oficiales y criterio de elaboración · 1812</t>
  </si>
  <si>
    <t>488 archivos · 2856 páginas · enlaces al facsímil oficial</t>
  </si>
  <si>
    <t>Archivo</t>
  </si>
  <si>
    <t>Páginas PDF</t>
  </si>
  <si>
    <t>Registros del índice</t>
  </si>
  <si>
    <t>Facsímil completo</t>
  </si>
  <si>
    <t>GMD-1812-1.pdf</t>
  </si>
  <si>
    <t>GMD-1812-2.pdf</t>
  </si>
  <si>
    <t>GEI-1812-1.pdf</t>
  </si>
  <si>
    <t>GMD-1812-3.pdf</t>
  </si>
  <si>
    <t>GMD-1812-4.pdf</t>
  </si>
  <si>
    <t>GEI-1812-2.pdf</t>
  </si>
  <si>
    <t>GMD-1812-5.pdf</t>
  </si>
  <si>
    <t>GMD-1812-6.pdf</t>
  </si>
  <si>
    <t>GMD-1812-7.pdf</t>
  </si>
  <si>
    <t>GEI-1812-3.pdf</t>
  </si>
  <si>
    <t>GMD-1812-8.pdf</t>
  </si>
  <si>
    <t>GMD-1812-9.pdf</t>
  </si>
  <si>
    <t>GEI-1812-4.pdf</t>
  </si>
  <si>
    <t>GMD-1812-10.pdf</t>
  </si>
  <si>
    <t>GMD-1812-11.pdf</t>
  </si>
  <si>
    <t>GEI-1812-5.pdf</t>
  </si>
  <si>
    <t>GMD-1812-12.pdf</t>
  </si>
  <si>
    <t>GMD-1812-13.pdf</t>
  </si>
  <si>
    <t>GMD-1812-14.pdf</t>
  </si>
  <si>
    <t>GEI-1812-6.pdf</t>
  </si>
  <si>
    <t>GMD-1812-15.pdf</t>
  </si>
  <si>
    <t>GMD-1812-16.pdf</t>
  </si>
  <si>
    <t>GEI-1812-7.pdf</t>
  </si>
  <si>
    <t>GEI-H-1812-7.pdf</t>
  </si>
  <si>
    <t>GMD-1812-17.pdf</t>
  </si>
  <si>
    <t>GMD-1812-18.pdf</t>
  </si>
  <si>
    <t>GEI-1812-8.pdf</t>
  </si>
  <si>
    <t>GMD-1812-19.pdf</t>
  </si>
  <si>
    <t>GMD-1812-20.pdf</t>
  </si>
  <si>
    <t>GMD-1812-21.pdf</t>
  </si>
  <si>
    <t>GEI-1812-9.pdf</t>
  </si>
  <si>
    <t>GEI-H-1812-9.pdf</t>
  </si>
  <si>
    <t>GMD-1812-22.pdf</t>
  </si>
  <si>
    <t>GMD-1812-23.pdf</t>
  </si>
  <si>
    <t>GEI-1812-10.pdf</t>
  </si>
  <si>
    <t>GEI-H-1812-10.pdf</t>
  </si>
  <si>
    <t>GMD-1812-24.pdf</t>
  </si>
  <si>
    <t>GMD-1812-25.pdf</t>
  </si>
  <si>
    <t>GEI-1812-11.pdf</t>
  </si>
  <si>
    <t>GEI-H-1812-11.pdf</t>
  </si>
  <si>
    <t>GMD-1812-26.pdf</t>
  </si>
  <si>
    <t>GMD-1812-27.pdf</t>
  </si>
  <si>
    <t>GMD-1812-28.pdf</t>
  </si>
  <si>
    <t>GRE-1812-12.pdf</t>
  </si>
  <si>
    <t>GMD-1812-29.pdf</t>
  </si>
  <si>
    <t>GMD-1812-30.pdf</t>
  </si>
  <si>
    <t>GRE-1812-13.pdf</t>
  </si>
  <si>
    <t>GMD-1812-31.pdf</t>
  </si>
  <si>
    <t>GMD-1812-32.pdf</t>
  </si>
  <si>
    <t>GRE-1812-14.pdf</t>
  </si>
  <si>
    <t>GMD-1812-33.pdf</t>
  </si>
  <si>
    <t>GMD-1812-34.pdf</t>
  </si>
  <si>
    <t>GMD-1812-35.pdf</t>
  </si>
  <si>
    <t>GRE-1812-15.pdf</t>
  </si>
  <si>
    <t>GMD-1812-36.pdf</t>
  </si>
  <si>
    <t>GMD-1812-37.pdf</t>
  </si>
  <si>
    <t>GRE-1812-16.pdf</t>
  </si>
  <si>
    <t>GMD-1812-38.pdf</t>
  </si>
  <si>
    <t>GMD-1812-39.pdf</t>
  </si>
  <si>
    <t>GRE-1812-17.pdf</t>
  </si>
  <si>
    <t>GMD-1812-40.pdf</t>
  </si>
  <si>
    <t>GMD-1812-41.pdf</t>
  </si>
  <si>
    <t>GRE-1812-31.pdf</t>
  </si>
  <si>
    <t>GMD-1812-42.pdf</t>
  </si>
  <si>
    <t>GRE-1812-18.pdf</t>
  </si>
  <si>
    <t>F00165-00168.pdf</t>
  </si>
  <si>
    <t>GMD-1812-43.pdf</t>
  </si>
  <si>
    <t>GMD-1812-44.pdf</t>
  </si>
  <si>
    <t>GRE-1812-19.pdf</t>
  </si>
  <si>
    <t>GMD-1812-45.pdf</t>
  </si>
  <si>
    <t>GMD-1812-46.pdf</t>
  </si>
  <si>
    <t>GMD-1812-47.pdf</t>
  </si>
  <si>
    <t>GRE-1812-20.pdf</t>
  </si>
  <si>
    <t>GMD-1812-48.pdf</t>
  </si>
  <si>
    <t>GMD-1812-49.pdf</t>
  </si>
  <si>
    <t>GRE-1812-21.pdf</t>
  </si>
  <si>
    <t>GMD-1812-50.pdf</t>
  </si>
  <si>
    <t>GMD-1812-51.pdf</t>
  </si>
  <si>
    <t>GRE-1812-22.pdf</t>
  </si>
  <si>
    <t>GMD-1812-52.pdf</t>
  </si>
  <si>
    <t>GMD-1812-53.pdf</t>
  </si>
  <si>
    <t>GRE-1812-23.pdf</t>
  </si>
  <si>
    <t>GRE-1812-24E.pdf</t>
  </si>
  <si>
    <t>GMD-1812-54.pdf</t>
  </si>
  <si>
    <t>GMD-1812-55.pdf</t>
  </si>
  <si>
    <t>GMD-1812-56.pdf</t>
  </si>
  <si>
    <t>GRE-1812-25.pdf</t>
  </si>
  <si>
    <t>GRE-F-1812-25.pdf</t>
  </si>
  <si>
    <t>GMD-1812-57.pdf</t>
  </si>
  <si>
    <t>GMD-1812-58.pdf</t>
  </si>
  <si>
    <t>GRE-1812-26.pdf</t>
  </si>
  <si>
    <t>GMD-1812-59.pdf</t>
  </si>
  <si>
    <t>GMD-1812-60.pdf</t>
  </si>
  <si>
    <t>GRE-1812-27.pdf</t>
  </si>
  <si>
    <t>GMD-1812-61.pdf</t>
  </si>
  <si>
    <t>GMD-1812-62.pdf</t>
  </si>
  <si>
    <t>GMD-1812-63.pdf</t>
  </si>
  <si>
    <t>GRE-1812-28.pdf</t>
  </si>
  <si>
    <t>GMD-1812-64.pdf</t>
  </si>
  <si>
    <t>GMD-1812-65.pdf</t>
  </si>
  <si>
    <t>GRE-1812-29.pdf</t>
  </si>
  <si>
    <t>GMD-1812-66.pdf</t>
  </si>
  <si>
    <t>GMD-1812-67.pdf</t>
  </si>
  <si>
    <t>GRE-1812-30.pdf</t>
  </si>
  <si>
    <t>GMD-1812-68.pdf</t>
  </si>
  <si>
    <t>GMD-1812-69.pdf</t>
  </si>
  <si>
    <t>GMD-1812-70.pdf</t>
  </si>
  <si>
    <t>GMD-1812-71.pdf</t>
  </si>
  <si>
    <t>GMD-1812-72.pdf</t>
  </si>
  <si>
    <t>GRE-1812-32.pdf</t>
  </si>
  <si>
    <t>GMD-1812-73.pdf</t>
  </si>
  <si>
    <t>GMD-1812-74.pdf</t>
  </si>
  <si>
    <t>GRE-1812-33.pdf</t>
  </si>
  <si>
    <t>GMD-1812-75.pdf</t>
  </si>
  <si>
    <t>GMD-1812-76.pdf</t>
  </si>
  <si>
    <t>GMD-1812-77.pdf</t>
  </si>
  <si>
    <t>GRE-1812-34.pdf</t>
  </si>
  <si>
    <t>GMD-1812-78.pdf</t>
  </si>
  <si>
    <t>GMD-1812-79.pdf</t>
  </si>
  <si>
    <t>GRE-1812-35.pdf</t>
  </si>
  <si>
    <t>GMD-1812-80.pdf</t>
  </si>
  <si>
    <t>GMD-1812-81.pdf</t>
  </si>
  <si>
    <t>GRE-1812-36.pdf</t>
  </si>
  <si>
    <t>GMD-1812-82.pdf</t>
  </si>
  <si>
    <t>GMD-1812-83.pdf</t>
  </si>
  <si>
    <t>GMD-1812-84.pdf</t>
  </si>
  <si>
    <t>GRE-1812-37.pdf</t>
  </si>
  <si>
    <t>GMD-1812-85.pdf</t>
  </si>
  <si>
    <t>GMD-1812-86.pdf</t>
  </si>
  <si>
    <t>GRE-1812-38.pdf</t>
  </si>
  <si>
    <t>Gaceta de Madrid n.º 87</t>
  </si>
  <si>
    <t>GMD-1812-87.pdf</t>
  </si>
  <si>
    <t>GMD-1812-88.pdf</t>
  </si>
  <si>
    <t>GRE-1812-39.pdf</t>
  </si>
  <si>
    <t>GMD-1812-89.pdf</t>
  </si>
  <si>
    <t>GMD-1812-90.pdf</t>
  </si>
  <si>
    <t>GMD-1812-91.pdf</t>
  </si>
  <si>
    <t>GRE-1812-40.pdf</t>
  </si>
  <si>
    <t>Gaceta de Madrid n.º 92</t>
  </si>
  <si>
    <t>GMD-1812-92.pdf</t>
  </si>
  <si>
    <t>GMD-1812-93.pdf</t>
  </si>
  <si>
    <t>GRE-1812-41.pdf</t>
  </si>
  <si>
    <t>GMD-1812-94.pdf</t>
  </si>
  <si>
    <t>GMD-1812-95.pdf</t>
  </si>
  <si>
    <t>GRE-1812-42.pdf</t>
  </si>
  <si>
    <t>GMD-1812-96.pdf</t>
  </si>
  <si>
    <t>GMD-1812-97.pdf</t>
  </si>
  <si>
    <t>GMD-1812-98.pdf</t>
  </si>
  <si>
    <t>GRE-1812-43.pdf</t>
  </si>
  <si>
    <t>GMD-1812-99.pdf</t>
  </si>
  <si>
    <t>GMD-1812-100.pdf</t>
  </si>
  <si>
    <t>GRE-1812-44.pdf</t>
  </si>
  <si>
    <t>GMD-1812-101.pdf</t>
  </si>
  <si>
    <t>Gazeta de la Regencia de las Españas n.º 45 (extraordinaria)</t>
  </si>
  <si>
    <t>GRE-1812-45E.pdf</t>
  </si>
  <si>
    <t>GMD-1812-102.pdf</t>
  </si>
  <si>
    <t>GRE-1812-46.pdf</t>
  </si>
  <si>
    <t>GMD-1812-103.pdf</t>
  </si>
  <si>
    <t>GMD-1812-104.pdf</t>
  </si>
  <si>
    <t>GMD-1812-105.pdf</t>
  </si>
  <si>
    <t>GRE-1812-47.pdf</t>
  </si>
  <si>
    <t>GMD-1812-106.pdf</t>
  </si>
  <si>
    <t>GMD-1812-107.pdf</t>
  </si>
  <si>
    <t>GRE-1812-48.pdf</t>
  </si>
  <si>
    <t>GMD-1812-108.pdf</t>
  </si>
  <si>
    <t>GMD-1812-109.pdf</t>
  </si>
  <si>
    <t>GRE-1812-49.pdf</t>
  </si>
  <si>
    <t>GMD-1812-110.pdf</t>
  </si>
  <si>
    <t>GMD-1812-111.pdf</t>
  </si>
  <si>
    <t>GMD-1812-112.pdf</t>
  </si>
  <si>
    <t>GRE-1812-50.pdf</t>
  </si>
  <si>
    <t>GMD-1812-113.pdf</t>
  </si>
  <si>
    <t>Gaceta de Madrid n.º 114</t>
  </si>
  <si>
    <t>GMD-1812-114.pdf</t>
  </si>
  <si>
    <t>GRE-1812-51.pdf</t>
  </si>
  <si>
    <t>GMD-1812-115.pdf</t>
  </si>
  <si>
    <t>Gaceta de Madrid n.º 116</t>
  </si>
  <si>
    <t>GMD-1812-116.pdf</t>
  </si>
  <si>
    <t>GRE-1812-52.pdf</t>
  </si>
  <si>
    <t>GRE-F-1812-52.pdf</t>
  </si>
  <si>
    <t>GMD-1812-117.pdf</t>
  </si>
  <si>
    <t>GMD-1812-118.pdf</t>
  </si>
  <si>
    <t>GMD-1812-119.pdf</t>
  </si>
  <si>
    <t>GRE-1812-53.pdf</t>
  </si>
  <si>
    <t>GMD-1812-120.pdf</t>
  </si>
  <si>
    <t>GMD-1812-121.pdf</t>
  </si>
  <si>
    <t>GRE-1812-54.pdf</t>
  </si>
  <si>
    <t>GMD-1812-122.pdf</t>
  </si>
  <si>
    <t>GMD-1812-123.pdf</t>
  </si>
  <si>
    <t>GRE-1812-55.pdf</t>
  </si>
  <si>
    <t>GMD-1812-124.pdf</t>
  </si>
  <si>
    <t>GMD-1812-125.pdf</t>
  </si>
  <si>
    <t>GMD-1812-126.pdf</t>
  </si>
  <si>
    <t>GRE-1812-56.pdf</t>
  </si>
  <si>
    <t>GMD-1812-127.pdf</t>
  </si>
  <si>
    <t>GMD-1812-128.pdf</t>
  </si>
  <si>
    <t>GRE-1812-57.pdf</t>
  </si>
  <si>
    <t>GMD-1812-129.pdf</t>
  </si>
  <si>
    <t>GMD-1812-130.pdf</t>
  </si>
  <si>
    <t>GRE-1812-58.pdf</t>
  </si>
  <si>
    <t>GMD-1812-131.pdf</t>
  </si>
  <si>
    <t>GMD-1812-132.pdf</t>
  </si>
  <si>
    <t>GMD-1812-133.pdf</t>
  </si>
  <si>
    <t>GRE-1812-59.pdf</t>
  </si>
  <si>
    <t>GMD-1812-134.pdf</t>
  </si>
  <si>
    <t>GMD-1812-135.pdf</t>
  </si>
  <si>
    <t>GRE-1812-60.pdf</t>
  </si>
  <si>
    <t>GMD-1812-136.pdf</t>
  </si>
  <si>
    <t>GMD-1812-137.pdf</t>
  </si>
  <si>
    <t>GRE-1812-61.pdf</t>
  </si>
  <si>
    <t>GMD-1812-138.pdf</t>
  </si>
  <si>
    <t>GMD-1812-139.pdf</t>
  </si>
  <si>
    <t>GMD-1812-140.pdf</t>
  </si>
  <si>
    <t>GRE-1812-62.pdf</t>
  </si>
  <si>
    <t>GMD-1812-141.pdf</t>
  </si>
  <si>
    <t>Gaceta de Madrid n.º 142</t>
  </si>
  <si>
    <t>GMD-1812-142.pdf</t>
  </si>
  <si>
    <t>GRE-1812-63.pdf</t>
  </si>
  <si>
    <t>GMD-1812-143.pdf</t>
  </si>
  <si>
    <t>Gaceta de Madrid n.º 144</t>
  </si>
  <si>
    <t>GMD-1812-144.pdf</t>
  </si>
  <si>
    <t>GRE-1812-64.pdf</t>
  </si>
  <si>
    <t>GMD-1812-145.pdf</t>
  </si>
  <si>
    <t>GMD-1812-146.pdf</t>
  </si>
  <si>
    <t>GMD-1812-147.pdf</t>
  </si>
  <si>
    <t>GRE-1812-65.pdf</t>
  </si>
  <si>
    <t>GMD-1812-148.pdf</t>
  </si>
  <si>
    <t>GMD-1812-149.pdf</t>
  </si>
  <si>
    <t>GRE-1812-66.pdf</t>
  </si>
  <si>
    <t>GMD-1812-150.pdf</t>
  </si>
  <si>
    <t>GMD-1812-151.pdf</t>
  </si>
  <si>
    <t>GRE-1812-67.pdf</t>
  </si>
  <si>
    <t>GMD-1812-152.pdf</t>
  </si>
  <si>
    <t>GMD-1812-153.pdf</t>
  </si>
  <si>
    <t>GMD-1812-154.pdf</t>
  </si>
  <si>
    <t>GRE-1812-68.pdf</t>
  </si>
  <si>
    <t>GMD-1812-155.pdf</t>
  </si>
  <si>
    <t>GMD-1812-156.pdf</t>
  </si>
  <si>
    <t>GRE-1812-69.pdf</t>
  </si>
  <si>
    <t>GMD-1812-157.pdf</t>
  </si>
  <si>
    <t>GMD-1812-158.pdf</t>
  </si>
  <si>
    <t>GRE-1812-70.pdf</t>
  </si>
  <si>
    <t>GRE-F-1812-70.pdf</t>
  </si>
  <si>
    <t>GMD-1812-159.pdf</t>
  </si>
  <si>
    <t>GMD-1812-160.pdf</t>
  </si>
  <si>
    <t>GMD-1812-161.pdf</t>
  </si>
  <si>
    <t>GRE-1812-71.pdf</t>
  </si>
  <si>
    <t>GMD-1812-162.pdf</t>
  </si>
  <si>
    <t>GMD-1812-163.pdf</t>
  </si>
  <si>
    <t>GRE-1812-72.pdf</t>
  </si>
  <si>
    <t>GMD-1812-164.pdf</t>
  </si>
  <si>
    <t>GMD-1812-165.pdf</t>
  </si>
  <si>
    <t>GRE-1812-73.pdf</t>
  </si>
  <si>
    <t>GMD-1812-166.pdf</t>
  </si>
  <si>
    <t>GMD-1812-167.pdf</t>
  </si>
  <si>
    <t>GMD-1812-168.pdf</t>
  </si>
  <si>
    <t>GRE-1812-74.pdf</t>
  </si>
  <si>
    <t>GMD-1812-169.pdf</t>
  </si>
  <si>
    <t>GMD-1812-170.pdf</t>
  </si>
  <si>
    <t>GRE-1812-75.pdf</t>
  </si>
  <si>
    <t>GMD-1812-171.pdf</t>
  </si>
  <si>
    <t>GMD-1812-172.pdf</t>
  </si>
  <si>
    <t>GRE-1812-76.pdf</t>
  </si>
  <si>
    <t>GMD-1812-173.pdf</t>
  </si>
  <si>
    <t>GMD-1812-174.pdf</t>
  </si>
  <si>
    <t>GMD-1812-175.pdf</t>
  </si>
  <si>
    <t>GRE-1812-77.pdf</t>
  </si>
  <si>
    <t>GMD-1812-176.pdf</t>
  </si>
  <si>
    <t>GMD-1812-177.pdf</t>
  </si>
  <si>
    <t>GRE-1812-78.pdf</t>
  </si>
  <si>
    <t>GMD-1812-178.pdf</t>
  </si>
  <si>
    <t>GMD-1812-179.pdf</t>
  </si>
  <si>
    <t>GRE-1812-79.pdf</t>
  </si>
  <si>
    <t>GMD-1812-180.pdf</t>
  </si>
  <si>
    <t>Gaceta de Madrid n.º 181</t>
  </si>
  <si>
    <t>GMD-1812-181.pdf</t>
  </si>
  <si>
    <t>GMD-1812-182.pdf</t>
  </si>
  <si>
    <t>GRE-1812-80.pdf</t>
  </si>
  <si>
    <t>GMD-1812-183.pdf</t>
  </si>
  <si>
    <t>GMD-1812-184.pdf</t>
  </si>
  <si>
    <t>GRE-1812-81.pdf</t>
  </si>
  <si>
    <t>GMD-1812-185.pdf</t>
  </si>
  <si>
    <t>GMD-1812-186.pdf</t>
  </si>
  <si>
    <t>GRE-1812-82.pdf</t>
  </si>
  <si>
    <t>GRE-F-1812-82.pdf</t>
  </si>
  <si>
    <t>GMD-1812-187.pdf</t>
  </si>
  <si>
    <t>GMD-1812-188.pdf</t>
  </si>
  <si>
    <t>GMD-1812-189.pdf</t>
  </si>
  <si>
    <t>GRE-1812-83.pdf</t>
  </si>
  <si>
    <t>GRE-F-1812-83.pdf</t>
  </si>
  <si>
    <t>GMD-1812-190.pdf</t>
  </si>
  <si>
    <t>Gaceta de Madrid n.º 191</t>
  </si>
  <si>
    <t>GMD-1812-191.pdf</t>
  </si>
  <si>
    <t>GRE-1812-84.pdf</t>
  </si>
  <si>
    <t>GRE-1812-85E.pdf</t>
  </si>
  <si>
    <t>GMD-1812-192.pdf</t>
  </si>
  <si>
    <t>GMD-1812-193.pdf</t>
  </si>
  <si>
    <t>GRE-1812-86.pdf</t>
  </si>
  <si>
    <t>Gaceta de Madrid n.º 194</t>
  </si>
  <si>
    <t>GMD-1812-194.pdf</t>
  </si>
  <si>
    <t>GRE-1812-87E.pdf</t>
  </si>
  <si>
    <t>GRE-F-1812-87E.pdf</t>
  </si>
  <si>
    <t>GMD-1812-195.pdf</t>
  </si>
  <si>
    <t>GMD-1812-196.pdf</t>
  </si>
  <si>
    <t>GRE-1812-88.pdf</t>
  </si>
  <si>
    <t>GMD-1812-197.pdf</t>
  </si>
  <si>
    <t>GMD-1812-198.pdf</t>
  </si>
  <si>
    <t>GRE-1812-89.pdf</t>
  </si>
  <si>
    <t>GMD-1812-199.pdf</t>
  </si>
  <si>
    <t>GMD-1812-200.pdf</t>
  </si>
  <si>
    <t>GRE-1812-90.pdf</t>
  </si>
  <si>
    <t>GMD-1812-201.pdf</t>
  </si>
  <si>
    <t>GMD-1812-202.pdf</t>
  </si>
  <si>
    <t>GMD-1812-203.pdf</t>
  </si>
  <si>
    <t>GRE-1812-91.pdf</t>
  </si>
  <si>
    <t>GMD-1812-204.pdf</t>
  </si>
  <si>
    <t>GMD-1812-205.pdf</t>
  </si>
  <si>
    <t>GRE-1812-92.pdf</t>
  </si>
  <si>
    <t>GMD-1812-206.pdf</t>
  </si>
  <si>
    <t>GMD-1812-207.pdf</t>
  </si>
  <si>
    <t>GRE-1812-93.pdf</t>
  </si>
  <si>
    <t>GMD-1812-208.pdf</t>
  </si>
  <si>
    <t>GMD-1812-209.pdf</t>
  </si>
  <si>
    <t>GMD-1812-210.pdf</t>
  </si>
  <si>
    <t>GRE-1812-94.pdf</t>
  </si>
  <si>
    <t>GMD-1812-211.pdf</t>
  </si>
  <si>
    <t>GMD-1812-212.pdf</t>
  </si>
  <si>
    <t>GRE-1812-95.pdf</t>
  </si>
  <si>
    <t>GMD-1812-213.pdf</t>
  </si>
  <si>
    <t>GRE-1812-96E.pdf</t>
  </si>
  <si>
    <t>GMD-1812-214.pdf</t>
  </si>
  <si>
    <t>GRE-1812-97.pdf</t>
  </si>
  <si>
    <t>GMD-1812-215.pdf</t>
  </si>
  <si>
    <t>GMD-1812-216.pdf</t>
  </si>
  <si>
    <t>GRE-1812-98E.pdf</t>
  </si>
  <si>
    <t>GMD-1812-217.pdf</t>
  </si>
  <si>
    <t>GRE-1812-99.pdf</t>
  </si>
  <si>
    <t>Gaceta de Madrid n.º 218</t>
  </si>
  <si>
    <t>GMD-1812-218.pdf</t>
  </si>
  <si>
    <t>GMD-1812-219.pdf</t>
  </si>
  <si>
    <t>GRE-1812-100.pdf</t>
  </si>
  <si>
    <t>Gaceta de Madrid n.º 220</t>
  </si>
  <si>
    <t>GMD-1812-220.pdf</t>
  </si>
  <si>
    <t>GRE-1812-101E.pdf</t>
  </si>
  <si>
    <t>GMD-1812-221.pdf</t>
  </si>
  <si>
    <t>GRE-1812-102.pdf</t>
  </si>
  <si>
    <t>Gaceta de Madrid n.º 222</t>
  </si>
  <si>
    <t>GMD-1812-222.pdf</t>
  </si>
  <si>
    <t>GMD-1812-223.pdf</t>
  </si>
  <si>
    <t>GRE-1812-103.pdf</t>
  </si>
  <si>
    <t>GRE-1812-104.pdf</t>
  </si>
  <si>
    <t>GRE-F-1812-104.pdf</t>
  </si>
  <si>
    <t>GRE-1812-105.pdf</t>
  </si>
  <si>
    <t>Gazeta de la Regencia de las Españas n.º 105 (suplemento)</t>
  </si>
  <si>
    <t>GRE-F-1812-105.pdf</t>
  </si>
  <si>
    <t>GMR-1812-1.pdf</t>
  </si>
  <si>
    <t>GRE-1812-106.pdf</t>
  </si>
  <si>
    <t>GRE-F-1812-106.pdf</t>
  </si>
  <si>
    <t>GMR-1812-2.pdf</t>
  </si>
  <si>
    <t>GRE-1812-107.pdf</t>
  </si>
  <si>
    <t>GRE-1812-108E.pdf</t>
  </si>
  <si>
    <t>GMR-1812-3.pdf</t>
  </si>
  <si>
    <t>GRE-1812-109.pdf</t>
  </si>
  <si>
    <t>GMR-1812-4.pdf</t>
  </si>
  <si>
    <t>GMR-1812-5.pdf</t>
  </si>
  <si>
    <t>GRE-1812-110.pdf</t>
  </si>
  <si>
    <t>GMR-1812-6.pdf</t>
  </si>
  <si>
    <t>GRE-1812-111.pdf</t>
  </si>
  <si>
    <t>GRE-1812-112E.pdf</t>
  </si>
  <si>
    <t>GRE-1812-113E.pdf</t>
  </si>
  <si>
    <t>GMR-1812-7.pdf</t>
  </si>
  <si>
    <t>GRE-1812-114.pdf</t>
  </si>
  <si>
    <t>Gazeta de la Regencia de las Españas n.º 115 (extraordinaria)</t>
  </si>
  <si>
    <t>GRE-1812-115E.pdf</t>
  </si>
  <si>
    <t>GRE-1812-116E.pdf</t>
  </si>
  <si>
    <t>GMR-1812-8.pdf</t>
  </si>
  <si>
    <t>GRE-1812-117.pdf</t>
  </si>
  <si>
    <t>GRE-F-1812-117.pdf</t>
  </si>
  <si>
    <t>GRE-1812-118E.pdf</t>
  </si>
  <si>
    <t>GMR-1812-9.pdf</t>
  </si>
  <si>
    <t>GRE-1812-119.pdf</t>
  </si>
  <si>
    <t>GMR-1812-10.pdf</t>
  </si>
  <si>
    <t>GRE-1812-120.pdf</t>
  </si>
  <si>
    <t>GMR-1812-11.pdf</t>
  </si>
  <si>
    <t>GRE-1812-121.pdf</t>
  </si>
  <si>
    <t>GRE-F-1812-121.pdf</t>
  </si>
  <si>
    <t>GMR-1812-12.pdf</t>
  </si>
  <si>
    <t>GRE-1812-122.pdf</t>
  </si>
  <si>
    <t>Gazeta de la Regencia de las Españas n.º 123 (extraordinaria)</t>
  </si>
  <si>
    <t>GRE-1812-123E.pdf</t>
  </si>
  <si>
    <t>GMR-1812-13.pdf</t>
  </si>
  <si>
    <t>GRE-1812-124.pdf</t>
  </si>
  <si>
    <t>GMR-1812-14.pdf</t>
  </si>
  <si>
    <t>GRE-1812-125.pdf</t>
  </si>
  <si>
    <t>GMR-1812-15.pdf</t>
  </si>
  <si>
    <t>GRE-1812-126.pdf</t>
  </si>
  <si>
    <t>GRE-F-1812-126.pdf</t>
  </si>
  <si>
    <t>GMR-1812-16.pdf</t>
  </si>
  <si>
    <t>GRE-1812-127.pdf</t>
  </si>
  <si>
    <t>GMR-1812-17.pdf</t>
  </si>
  <si>
    <t>GRE-1812-128.pdf</t>
  </si>
  <si>
    <t>GRE-1812-129E.pdf</t>
  </si>
  <si>
    <t>GMR-1812-18.pdf</t>
  </si>
  <si>
    <t>GRE-1812-130.pdf</t>
  </si>
  <si>
    <t>GMR-1812-19.pdf</t>
  </si>
  <si>
    <t>GRE-1812-131.pdf</t>
  </si>
  <si>
    <t>GMR-1812-20.pdf</t>
  </si>
  <si>
    <t>GRE-1812-132.pdf</t>
  </si>
  <si>
    <t>GMR-1812-21.pdf</t>
  </si>
  <si>
    <t>GRE-1812-133.pdf</t>
  </si>
  <si>
    <t>GMR-1812-22.pdf</t>
  </si>
  <si>
    <t>GRE-1812-134.pdf</t>
  </si>
  <si>
    <t>GMR-1812-23.pdf</t>
  </si>
  <si>
    <t>GRE-1812-135.pdf</t>
  </si>
  <si>
    <t>GMR-1812-24.pdf</t>
  </si>
  <si>
    <t>GRE-1812-136.pdf</t>
  </si>
  <si>
    <t>GMR-1812-25.pdf</t>
  </si>
  <si>
    <t>GRE-1812-137.pdf</t>
  </si>
  <si>
    <t>GMR-1812-26.pdf</t>
  </si>
  <si>
    <t>GRE-1812-138.pdf</t>
  </si>
  <si>
    <t>GMR-1812-27.pdf</t>
  </si>
  <si>
    <t>GRE-1812-139.pdf</t>
  </si>
  <si>
    <t>GMR-1812-28.pdf</t>
  </si>
  <si>
    <t>GRE-1812-140.pdf</t>
  </si>
  <si>
    <t>GMR-1812-29.pdf</t>
  </si>
  <si>
    <t>GRE-1812-141.pdf</t>
  </si>
  <si>
    <t>GMR-1812-30.pdf</t>
  </si>
  <si>
    <t>GRE-1812-142.pdf</t>
  </si>
  <si>
    <t>GMR-1812-31.pdf</t>
  </si>
  <si>
    <t>GRE-1812-143.pdf</t>
  </si>
  <si>
    <t>GMR-1812-32.pdf</t>
  </si>
  <si>
    <t>GRE-1812-144.pdf</t>
  </si>
  <si>
    <t>GMR-1812-33.pdf</t>
  </si>
  <si>
    <t>GRE-1812-145.pdf</t>
  </si>
  <si>
    <t>GRE-1812-146.pdf</t>
  </si>
  <si>
    <t>GRE-1812-147.pdf</t>
  </si>
  <si>
    <t>GMD-1812-224.pdf</t>
  </si>
  <si>
    <t>GMD-1812-225.pdf</t>
  </si>
  <si>
    <t>GRE-1812-148.pdf</t>
  </si>
  <si>
    <t>GRE-F-1812-148.pdf</t>
  </si>
  <si>
    <t>GMD-1812-226.pdf</t>
  </si>
  <si>
    <t>GMD-1812-227.pdf</t>
  </si>
  <si>
    <t>GRE-1812-149.pdf</t>
  </si>
  <si>
    <t>GRE-1812-150.pdf</t>
  </si>
  <si>
    <t>GRE-1812-151.pdf</t>
  </si>
  <si>
    <t>GRE-1812-152.pdf</t>
  </si>
  <si>
    <t>GMR-1812-34.pdf</t>
  </si>
  <si>
    <t>GMR-1812-35.pdf</t>
  </si>
  <si>
    <t>GRE-1812-153.pdf</t>
  </si>
  <si>
    <t>GRE-1812-154.pdf</t>
  </si>
  <si>
    <t>GMR-1812-36.pdf</t>
  </si>
  <si>
    <t>GRE-1812-155.pdf</t>
  </si>
  <si>
    <t>GMR-1812-37.pdf</t>
  </si>
  <si>
    <t>GRE-1812-156.pdf</t>
  </si>
  <si>
    <t>GRE-1812-157.pdf</t>
  </si>
  <si>
    <t>GMR-1812-38.pdf</t>
  </si>
  <si>
    <t>GRE-1812-158.pdf</t>
  </si>
  <si>
    <t>GMR-1812-39.pdf</t>
  </si>
  <si>
    <t>GRE-1812-159.pdf</t>
  </si>
  <si>
    <t>GRE-1812-160.pdf</t>
  </si>
  <si>
    <t>GMD-1812-228.pdf</t>
  </si>
  <si>
    <t>GRE-1812-161.pdf</t>
  </si>
  <si>
    <t>GMD-1812-229.pdf</t>
  </si>
  <si>
    <t>GMD-1812-230.pdf</t>
  </si>
  <si>
    <t>GMD-1812-231.pdf</t>
  </si>
  <si>
    <t>GRE-1812-162.pdf</t>
  </si>
  <si>
    <t>GMD-1812-232.pdf</t>
  </si>
  <si>
    <t>GMD-1812-233.pdf</t>
  </si>
  <si>
    <t>GRE-1812-163.pdf</t>
  </si>
  <si>
    <t>GMD-1812-234.pdf</t>
  </si>
  <si>
    <t>GMD-1812-235.pdf</t>
  </si>
  <si>
    <t>GRE-1812-164.pdf</t>
  </si>
  <si>
    <t>GMD-1812-236.pdf</t>
  </si>
  <si>
    <t>GMD-1812-237.pdf</t>
  </si>
  <si>
    <t>GMD-1812-238.pdf</t>
  </si>
  <si>
    <t>GRE-1812-165.pdf</t>
  </si>
  <si>
    <t>GMD-1812-239.pdf</t>
  </si>
  <si>
    <t>GMD-1812-240.pdf</t>
  </si>
  <si>
    <t>GRE-1812-166.pdf</t>
  </si>
  <si>
    <t>Gaceta de Madrid n.º 241</t>
  </si>
  <si>
    <t>GMD-1812-241.pdf</t>
  </si>
  <si>
    <t>GMD-1812-242.pdf</t>
  </si>
  <si>
    <t>GRE-1812-167.pdf</t>
  </si>
  <si>
    <t>GMD-1812-243.pdf</t>
  </si>
  <si>
    <t>GMD-1812-244.pdf</t>
  </si>
  <si>
    <t>GMD-1812-245.pdf</t>
  </si>
  <si>
    <t>GRE-1812-168.pdf</t>
  </si>
  <si>
    <t>GMD-1812-246.pdf</t>
  </si>
  <si>
    <t>GMD-1812-247.pdf</t>
  </si>
  <si>
    <t>GRE-1812-169.pdf</t>
  </si>
  <si>
    <t>GMD-1812-248.pdf</t>
  </si>
  <si>
    <t>GMD-1812-249.pdf</t>
  </si>
  <si>
    <t>GRE-1812-170.pdf</t>
  </si>
  <si>
    <t>GMD-1812-250.pdf</t>
  </si>
  <si>
    <t>GMD-1812-251.pdf</t>
  </si>
  <si>
    <t>GMD-1812-252.pdf</t>
  </si>
  <si>
    <t>GRE-1812-171.pdf</t>
  </si>
  <si>
    <t>GMD-1812-253.pdf</t>
  </si>
  <si>
    <t>GMD-1812-254.pdf</t>
  </si>
  <si>
    <t>GRE-1812-172.pdf</t>
  </si>
  <si>
    <t>Criterios, alcance y limitaciones</t>
  </si>
  <si>
    <t>Cobertura</t>
  </si>
  <si>
    <t>Todos los archivos localizados en la hemeroteca oficial para las fechas comprendidas entre el 1 de enero y el 31 de diciembre de 1812, incluidos suplementos y ediciones extraordinarias.</t>
  </si>
  <si>
    <t>Cabeceras</t>
  </si>
  <si>
    <t>Gaceta de Madrid (258 archivos); Gazeta de la Regencia de España e Indias (15 archivos); Gazeta de la Regencia de las Españas (176 archivos); Gazeta de Madrid bajo el Gobierno de la Regencia (39 archivos).</t>
  </si>
  <si>
    <t>Numeración</t>
  </si>
  <si>
    <t>Los reinicios de numeración y los suplementos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</si>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</sst>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2"/>
      <color rgb="FFFFFFFF"/>
      <name val="Calibri"/>
    </font>
    <font>
      <b/>
      <sz val="10"/>
      <color rgb="FF1F4E78"/>
      <name val="Calibri"/>
    </font>
    <font>
      <sz val="10"/>
      <name val="Calibri"/>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s>
  <borders count="2">
    <border>
      <left/>
      <right/>
      <top/>
      <bottom/>
      <diagonal/>
    </border>
    <border>
      <left style="thin">
        <color rgb="FFB4C6E7"/>
      </left>
      <right style="thin">
        <color rgb="FFB4C6E7"/>
      </right>
      <top style="thin">
        <color rgb="FFB4C6E7"/>
      </top>
      <bottom style="thin">
        <color rgb="FFB4C6E7"/>
      </bottom>
      <diagonal/>
    </border>
  </borders>
  <cellStyleXfs count="1">
    <xf numFmtId="0" fontId="0" fillId="0" borderId="0"/>
  </cellStyleXfs>
  <cellXfs count="14">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horizontal="center" vertical="top" wrapText="1"/>
    </xf>
    <xf numFmtId="164" fontId="6" fillId="0" borderId="0" xfId="0" applyNumberFormat="1" applyFont="1" applyAlignment="1">
      <alignment vertical="top" wrapText="1"/>
    </xf>
    <xf numFmtId="0" fontId="9" fillId="3" borderId="1" xfId="0"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0" fontId="8" fillId="6" borderId="0" xfId="0" applyFont="1" applyFill="1" applyAlignment="1">
      <alignment vertical="center"/>
    </xf>
    <xf numFmtId="0" fontId="10" fillId="0" borderId="1" xfId="0" applyFont="1" applyBorder="1" applyAlignment="1">
      <alignment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2" displayName="IndiceOnomasticoAnual1812" ref="A6:K8846" totalsRowShown="0">
  <autoFilter ref="A6:K8846"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2" displayName="FuentesGacetaAnual1812" ref="A4:F492" totalsRowShown="0">
  <autoFilter ref="A4:F492"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7" t="s">
        <v>0</v>
      </c>
      <c r="B1" s="7"/>
      <c r="C1" s="7"/>
      <c r="D1" s="7"/>
      <c r="E1" s="7"/>
      <c r="F1" s="7"/>
      <c r="G1" s="7"/>
      <c r="H1" s="7"/>
      <c r="I1" s="7"/>
      <c r="J1" s="7"/>
      <c r="K1" s="7"/>
    </row>
    <row r="2" spans="1:11" ht="22.05" customHeight="1">
      <c r="A2" s="8" t="s">
        <v>1</v>
      </c>
      <c r="B2" s="8"/>
      <c r="C2" s="8"/>
      <c r="D2" s="8"/>
      <c r="E2" s="8"/>
      <c r="F2" s="8"/>
      <c r="G2" s="8"/>
      <c r="H2" s="8"/>
      <c r="I2" s="8"/>
      <c r="J2" s="8"/>
      <c r="K2" s="8"/>
    </row>
    <row r="3" spans="1:11" ht="34.049999999999997" customHeight="1">
      <c r="A3" s="9" t="s">
        <v>2</v>
      </c>
      <c r="B3" s="9"/>
      <c r="C3" s="9"/>
      <c r="D3" s="9"/>
      <c r="E3" s="9"/>
      <c r="F3" s="9"/>
      <c r="G3" s="9"/>
      <c r="H3" s="9"/>
      <c r="I3" s="9"/>
      <c r="J3" s="9"/>
      <c r="K3" s="9"/>
    </row>
    <row r="4" spans="1:11" ht="22.05" customHeight="1">
      <c r="A4" s="10" t="s">
        <v>3</v>
      </c>
      <c r="B4" s="10"/>
      <c r="C4" s="10"/>
      <c r="D4" s="10"/>
      <c r="E4" s="10"/>
      <c r="F4" s="10"/>
      <c r="G4" s="10"/>
      <c r="H4" s="10"/>
      <c r="I4" s="10"/>
      <c r="J4" s="10"/>
      <c r="K4" s="10"/>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4">
        <v>-31956</v>
      </c>
      <c r="F7" s="3" t="s">
        <v>19</v>
      </c>
      <c r="G7" s="3" t="s">
        <v>20</v>
      </c>
      <c r="H7" s="2" t="s">
        <v>21</v>
      </c>
      <c r="I7" s="2" t="s">
        <v>22</v>
      </c>
      <c r="J7" s="3" t="str">
        <f>HYPERLINK("https://www.boe.es/gazeta/dias/1812/07/03/pdfs/GMD-1812-185.pdf#page=2","Abrir facsímil")</f>
        <v>Abrir facsímil</v>
      </c>
      <c r="K7" s="3" t="s">
        <v>23</v>
      </c>
    </row>
    <row r="8" spans="1:11" ht="42" customHeight="1">
      <c r="A8" s="2" t="s">
        <v>24</v>
      </c>
      <c r="B8" s="2" t="s">
        <v>25</v>
      </c>
      <c r="C8" s="2" t="s">
        <v>26</v>
      </c>
      <c r="D8" s="2" t="s">
        <v>27</v>
      </c>
      <c r="E8" s="4">
        <v>-32034</v>
      </c>
      <c r="F8" s="3" t="s">
        <v>28</v>
      </c>
      <c r="G8" s="3" t="s">
        <v>29</v>
      </c>
      <c r="H8" s="2" t="s">
        <v>30</v>
      </c>
      <c r="I8" s="2" t="s">
        <v>31</v>
      </c>
      <c r="J8" s="3" t="str">
        <f>HYPERLINK("https://www.boe.es/gazeta/dias/1812/04/16/pdfs/GMD-1812-107.pdf#page=8","Abrir facsímil")</f>
        <v>Abrir facsímil</v>
      </c>
      <c r="K8" s="3" t="s">
        <v>32</v>
      </c>
    </row>
    <row r="9" spans="1:11" ht="42" customHeight="1">
      <c r="A9" s="2" t="s">
        <v>33</v>
      </c>
      <c r="B9" s="2" t="s">
        <v>34</v>
      </c>
      <c r="C9" s="2" t="s">
        <v>17</v>
      </c>
      <c r="D9" s="2" t="s">
        <v>27</v>
      </c>
      <c r="E9" s="4">
        <v>-32041</v>
      </c>
      <c r="F9" s="3" t="s">
        <v>35</v>
      </c>
      <c r="G9" s="3" t="s">
        <v>36</v>
      </c>
      <c r="H9" s="2" t="s">
        <v>30</v>
      </c>
      <c r="I9" s="2" t="s">
        <v>37</v>
      </c>
      <c r="J9" s="3" t="str">
        <f>HYPERLINK("https://www.boe.es/gazeta/dias/1812/04/09/pdfs/GRE-1812-44.pdf#page=3","Abrir facsímil")</f>
        <v>Abrir facsímil</v>
      </c>
      <c r="K9" s="3" t="s">
        <v>32</v>
      </c>
    </row>
    <row r="10" spans="1:11" ht="42" customHeight="1">
      <c r="A10" s="2" t="s">
        <v>38</v>
      </c>
      <c r="B10" s="2" t="s">
        <v>39</v>
      </c>
      <c r="C10" s="2" t="s">
        <v>26</v>
      </c>
      <c r="D10" s="2" t="s">
        <v>27</v>
      </c>
      <c r="E10" s="4">
        <v>-31980</v>
      </c>
      <c r="F10" s="3" t="s">
        <v>40</v>
      </c>
      <c r="G10" s="3" t="s">
        <v>41</v>
      </c>
      <c r="H10" s="2" t="s">
        <v>30</v>
      </c>
      <c r="I10" s="2" t="s">
        <v>42</v>
      </c>
      <c r="J10" s="3" t="str">
        <f>HYPERLINK("https://www.boe.es/gazeta/dias/1812/06/09/pdfs/GRE-1812-71.pdf#page=6","Abrir facsímil")</f>
        <v>Abrir facsímil</v>
      </c>
      <c r="K10" s="3" t="s">
        <v>32</v>
      </c>
    </row>
    <row r="11" spans="1:11" ht="42" customHeight="1">
      <c r="A11" s="2" t="s">
        <v>43</v>
      </c>
      <c r="B11" s="2" t="s">
        <v>44</v>
      </c>
      <c r="C11" s="2" t="s">
        <v>26</v>
      </c>
      <c r="D11" s="2" t="s">
        <v>27</v>
      </c>
      <c r="E11" s="4">
        <v>-32034</v>
      </c>
      <c r="F11" s="3" t="s">
        <v>28</v>
      </c>
      <c r="G11" s="3" t="s">
        <v>45</v>
      </c>
      <c r="H11" s="2" t="s">
        <v>30</v>
      </c>
      <c r="I11" s="2" t="s">
        <v>46</v>
      </c>
      <c r="J11" s="3" t="str">
        <f>HYPERLINK("https://www.boe.es/gazeta/dias/1812/04/16/pdfs/GMD-1812-107.pdf#page=5","Abrir facsímil")</f>
        <v>Abrir facsímil</v>
      </c>
      <c r="K11" s="3" t="s">
        <v>32</v>
      </c>
    </row>
    <row r="12" spans="1:11" ht="42" customHeight="1">
      <c r="A12" s="2" t="s">
        <v>47</v>
      </c>
      <c r="B12" s="2" t="s">
        <v>48</v>
      </c>
      <c r="C12" s="2" t="s">
        <v>49</v>
      </c>
      <c r="D12" s="2" t="s">
        <v>27</v>
      </c>
      <c r="E12" s="4">
        <v>-32134</v>
      </c>
      <c r="F12" s="3" t="s">
        <v>50</v>
      </c>
      <c r="G12" s="3" t="s">
        <v>45</v>
      </c>
      <c r="H12" s="2" t="s">
        <v>30</v>
      </c>
      <c r="I12" s="2" t="s">
        <v>51</v>
      </c>
      <c r="J12" s="3" t="str">
        <f>HYPERLINK("https://www.boe.es/gazeta/dias/1812/01/07/pdfs/GEI-1812-3.pdf#page=4","Abrir facsímil")</f>
        <v>Abrir facsímil</v>
      </c>
      <c r="K12" s="3" t="s">
        <v>32</v>
      </c>
    </row>
    <row r="13" spans="1:11" ht="42" customHeight="1">
      <c r="A13" s="2" t="s">
        <v>52</v>
      </c>
      <c r="B13" s="2" t="s">
        <v>53</v>
      </c>
      <c r="C13" s="2" t="s">
        <v>26</v>
      </c>
      <c r="D13" s="2" t="s">
        <v>27</v>
      </c>
      <c r="E13" s="4">
        <v>-31976</v>
      </c>
      <c r="F13" s="3" t="s">
        <v>54</v>
      </c>
      <c r="G13" s="3" t="s">
        <v>55</v>
      </c>
      <c r="H13" s="2" t="s">
        <v>30</v>
      </c>
      <c r="I13" s="2" t="s">
        <v>56</v>
      </c>
      <c r="J13" s="3" t="str">
        <f>HYPERLINK("https://www.boe.es/gazeta/dias/1812/06/13/pdfs/GRE-1812-73.pdf#page=6","Abrir facsímil")</f>
        <v>Abrir facsímil</v>
      </c>
      <c r="K13" s="3" t="s">
        <v>32</v>
      </c>
    </row>
    <row r="14" spans="1:11" ht="42" customHeight="1">
      <c r="A14" s="2" t="s">
        <v>52</v>
      </c>
      <c r="B14" s="2" t="s">
        <v>53</v>
      </c>
      <c r="C14" s="2" t="s">
        <v>26</v>
      </c>
      <c r="D14" s="2" t="s">
        <v>27</v>
      </c>
      <c r="E14" s="4">
        <v>-31941</v>
      </c>
      <c r="F14" s="3" t="s">
        <v>57</v>
      </c>
      <c r="G14" s="3" t="s">
        <v>58</v>
      </c>
      <c r="H14" s="2" t="s">
        <v>30</v>
      </c>
      <c r="I14" s="2" t="s">
        <v>59</v>
      </c>
      <c r="J14" s="3" t="str">
        <f>HYPERLINK("https://www.boe.es/gazeta/dias/1812/07/18/pdfs/GMD-1812-200.pdf#page=4","Abrir facsímil")</f>
        <v>Abrir facsímil</v>
      </c>
      <c r="K14" s="3" t="s">
        <v>32</v>
      </c>
    </row>
    <row r="15" spans="1:11" ht="42" customHeight="1">
      <c r="A15" s="2" t="s">
        <v>60</v>
      </c>
      <c r="B15" s="2" t="s">
        <v>61</v>
      </c>
      <c r="C15" s="2" t="s">
        <v>17</v>
      </c>
      <c r="D15" s="2" t="s">
        <v>27</v>
      </c>
      <c r="E15" s="4">
        <v>-32109</v>
      </c>
      <c r="F15" s="3" t="s">
        <v>62</v>
      </c>
      <c r="G15" s="3" t="s">
        <v>63</v>
      </c>
      <c r="H15" s="2" t="s">
        <v>30</v>
      </c>
      <c r="I15" s="2" t="s">
        <v>64</v>
      </c>
      <c r="J15" s="3" t="str">
        <f>HYPERLINK("https://www.boe.es/gazeta/dias/1812/02/01/pdfs/GRE-1812-14.pdf#page=10","Abrir facsímil")</f>
        <v>Abrir facsímil</v>
      </c>
      <c r="K15" s="3" t="s">
        <v>32</v>
      </c>
    </row>
    <row r="16" spans="1:11" ht="42" customHeight="1">
      <c r="A16" s="2" t="s">
        <v>65</v>
      </c>
      <c r="B16" s="2" t="s">
        <v>66</v>
      </c>
      <c r="C16" s="2" t="s">
        <v>67</v>
      </c>
      <c r="D16" s="2" t="s">
        <v>27</v>
      </c>
      <c r="E16" s="4">
        <v>-32110</v>
      </c>
      <c r="F16" s="3" t="s">
        <v>68</v>
      </c>
      <c r="G16" s="3" t="s">
        <v>20</v>
      </c>
      <c r="H16" s="2" t="s">
        <v>30</v>
      </c>
      <c r="I16" s="2" t="s">
        <v>69</v>
      </c>
      <c r="J16" s="3" t="str">
        <f>HYPERLINK("https://www.boe.es/gazeta/dias/1812/01/31/pdfs/GMD-1812-31.pdf#page=4","Abrir facsímil")</f>
        <v>Abrir facsímil</v>
      </c>
      <c r="K16" s="3" t="s">
        <v>32</v>
      </c>
    </row>
    <row r="17" spans="1:11" ht="42" customHeight="1">
      <c r="A17" s="2" t="s">
        <v>70</v>
      </c>
      <c r="B17" s="2" t="s">
        <v>71</v>
      </c>
      <c r="C17" s="2" t="s">
        <v>26</v>
      </c>
      <c r="D17" s="2" t="s">
        <v>27</v>
      </c>
      <c r="E17" s="4">
        <v>-31910</v>
      </c>
      <c r="F17" s="3" t="s">
        <v>72</v>
      </c>
      <c r="G17" s="3" t="s">
        <v>73</v>
      </c>
      <c r="H17" s="2" t="s">
        <v>30</v>
      </c>
      <c r="I17" s="2" t="s">
        <v>74</v>
      </c>
      <c r="J17" s="3" t="str">
        <f>HYPERLINK("https://www.boe.es/gazeta/dias/1812/08/18/pdfs/GRE-1812-106.pdf#page=4","Abrir facsímil")</f>
        <v>Abrir facsímil</v>
      </c>
      <c r="K17" s="3" t="s">
        <v>32</v>
      </c>
    </row>
    <row r="18" spans="1:11" ht="42" customHeight="1">
      <c r="A18" s="2" t="s">
        <v>75</v>
      </c>
      <c r="B18" s="2" t="s">
        <v>76</v>
      </c>
      <c r="C18" s="2" t="s">
        <v>26</v>
      </c>
      <c r="D18" s="2" t="s">
        <v>27</v>
      </c>
      <c r="E18" s="4">
        <v>-32015</v>
      </c>
      <c r="F18" s="3" t="s">
        <v>77</v>
      </c>
      <c r="G18" s="3" t="s">
        <v>78</v>
      </c>
      <c r="H18" s="2" t="s">
        <v>21</v>
      </c>
      <c r="I18" s="2" t="s">
        <v>79</v>
      </c>
      <c r="J18" s="3" t="str">
        <f>HYPERLINK("https://www.boe.es/gazeta/dias/1812/05/05/pdfs/GRE-1812-56.pdf#page=8","Abrir facsímil")</f>
        <v>Abrir facsímil</v>
      </c>
      <c r="K18" s="3" t="s">
        <v>23</v>
      </c>
    </row>
    <row r="19" spans="1:11" ht="42" customHeight="1">
      <c r="A19" s="2" t="s">
        <v>80</v>
      </c>
      <c r="B19" s="2" t="s">
        <v>81</v>
      </c>
      <c r="C19" s="2" t="s">
        <v>82</v>
      </c>
      <c r="D19" s="2" t="s">
        <v>27</v>
      </c>
      <c r="E19" s="4">
        <v>-31969</v>
      </c>
      <c r="F19" s="3" t="s">
        <v>83</v>
      </c>
      <c r="G19" s="3" t="s">
        <v>84</v>
      </c>
      <c r="H19" s="2" t="s">
        <v>21</v>
      </c>
      <c r="I19" s="2" t="s">
        <v>85</v>
      </c>
      <c r="J19" s="3" t="str">
        <f>HYPERLINK("https://www.boe.es/gazeta/dias/1812/06/20/pdfs/GRE-1812-76.pdf#page=8","Abrir facsímil")</f>
        <v>Abrir facsímil</v>
      </c>
      <c r="K19" s="3" t="s">
        <v>23</v>
      </c>
    </row>
    <row r="20" spans="1:11" ht="42" customHeight="1">
      <c r="A20" s="2" t="s">
        <v>86</v>
      </c>
      <c r="B20" s="2" t="s">
        <v>87</v>
      </c>
      <c r="C20" s="2" t="s">
        <v>17</v>
      </c>
      <c r="D20" s="2" t="s">
        <v>18</v>
      </c>
      <c r="E20" s="4">
        <v>-32127</v>
      </c>
      <c r="F20" s="3" t="s">
        <v>88</v>
      </c>
      <c r="G20" s="3" t="s">
        <v>89</v>
      </c>
      <c r="H20" s="2" t="s">
        <v>21</v>
      </c>
      <c r="I20" s="2" t="s">
        <v>90</v>
      </c>
      <c r="J20" s="3" t="str">
        <f>HYPERLINK("https://www.boe.es/gazeta/dias/1812/01/14/pdfs/GEI-1812-6.pdf#page=8","Abrir facsímil")</f>
        <v>Abrir facsímil</v>
      </c>
      <c r="K20" s="3" t="s">
        <v>23</v>
      </c>
    </row>
    <row r="21" spans="1:11" ht="42" customHeight="1">
      <c r="A21" s="2" t="s">
        <v>91</v>
      </c>
      <c r="B21" s="2" t="s">
        <v>92</v>
      </c>
      <c r="C21" s="2" t="s">
        <v>26</v>
      </c>
      <c r="D21" s="2" t="s">
        <v>27</v>
      </c>
      <c r="E21" s="4">
        <v>-31964</v>
      </c>
      <c r="F21" s="3" t="s">
        <v>93</v>
      </c>
      <c r="G21" s="3" t="s">
        <v>94</v>
      </c>
      <c r="H21" s="2" t="s">
        <v>30</v>
      </c>
      <c r="I21" s="2" t="s">
        <v>95</v>
      </c>
      <c r="J21" s="3" t="str">
        <f>HYPERLINK("https://www.boe.es/gazeta/dias/1812/06/25/pdfs/GRE-1812-78.pdf#page=4","Abrir facsímil")</f>
        <v>Abrir facsímil</v>
      </c>
      <c r="K21" s="3" t="s">
        <v>32</v>
      </c>
    </row>
    <row r="22" spans="1:11" ht="42" customHeight="1">
      <c r="A22" s="2" t="s">
        <v>96</v>
      </c>
      <c r="B22" s="2" t="s">
        <v>96</v>
      </c>
      <c r="C22" s="2" t="s">
        <v>17</v>
      </c>
      <c r="D22" s="2" t="s">
        <v>18</v>
      </c>
      <c r="E22" s="4">
        <v>-31969</v>
      </c>
      <c r="F22" s="3" t="s">
        <v>83</v>
      </c>
      <c r="G22" s="3" t="s">
        <v>97</v>
      </c>
      <c r="H22" s="2" t="s">
        <v>21</v>
      </c>
      <c r="I22" s="2" t="s">
        <v>98</v>
      </c>
      <c r="J22" s="3" t="str">
        <f>HYPERLINK("https://www.boe.es/gazeta/dias/1812/06/20/pdfs/GRE-1812-76.pdf#page=5","Abrir facsímil")</f>
        <v>Abrir facsímil</v>
      </c>
      <c r="K22" s="3" t="s">
        <v>23</v>
      </c>
    </row>
    <row r="23" spans="1:11" ht="42" customHeight="1">
      <c r="A23" s="2" t="s">
        <v>99</v>
      </c>
      <c r="B23" s="2" t="s">
        <v>99</v>
      </c>
      <c r="C23" s="2" t="s">
        <v>17</v>
      </c>
      <c r="D23" s="2" t="s">
        <v>27</v>
      </c>
      <c r="E23" s="4">
        <v>-31995</v>
      </c>
      <c r="F23" s="3" t="s">
        <v>100</v>
      </c>
      <c r="G23" s="3" t="s">
        <v>101</v>
      </c>
      <c r="H23" s="2" t="s">
        <v>21</v>
      </c>
      <c r="I23" s="2" t="s">
        <v>102</v>
      </c>
      <c r="J23" s="3" t="str">
        <f>HYPERLINK("https://www.boe.es/gazeta/dias/1812/05/25/pdfs/GMD-1812-146.pdf#page=1","Abrir facsímil")</f>
        <v>Abrir facsímil</v>
      </c>
      <c r="K23" s="3" t="s">
        <v>23</v>
      </c>
    </row>
    <row r="24" spans="1:11" ht="42" customHeight="1">
      <c r="A24" s="2" t="s">
        <v>103</v>
      </c>
      <c r="B24" s="2" t="s">
        <v>104</v>
      </c>
      <c r="C24" s="2" t="s">
        <v>105</v>
      </c>
      <c r="D24" s="2" t="s">
        <v>27</v>
      </c>
      <c r="E24" s="4">
        <v>-32109</v>
      </c>
      <c r="F24" s="3" t="s">
        <v>62</v>
      </c>
      <c r="G24" s="3" t="s">
        <v>106</v>
      </c>
      <c r="H24" s="2" t="s">
        <v>21</v>
      </c>
      <c r="I24" s="2" t="s">
        <v>107</v>
      </c>
      <c r="J24" s="3" t="str">
        <f>HYPERLINK("https://www.boe.es/gazeta/dias/1812/02/01/pdfs/GRE-1812-14.pdf#page=11","Abrir facsímil")</f>
        <v>Abrir facsímil</v>
      </c>
      <c r="K24" s="3" t="s">
        <v>23</v>
      </c>
    </row>
    <row r="25" spans="1:11" ht="42" customHeight="1">
      <c r="A25" s="2" t="s">
        <v>108</v>
      </c>
      <c r="B25" s="2" t="s">
        <v>109</v>
      </c>
      <c r="C25" s="2" t="s">
        <v>17</v>
      </c>
      <c r="D25" s="2" t="s">
        <v>27</v>
      </c>
      <c r="E25" s="4">
        <v>-31875</v>
      </c>
      <c r="F25" s="3" t="s">
        <v>110</v>
      </c>
      <c r="G25" s="3" t="s">
        <v>111</v>
      </c>
      <c r="H25" s="2" t="s">
        <v>21</v>
      </c>
      <c r="I25" s="2" t="s">
        <v>112</v>
      </c>
      <c r="J25" s="3" t="str">
        <f>HYPERLINK("https://www.boe.es/gazeta/dias/1812/09/22/pdfs/GRE-1812-128.pdf#page=6","Abrir facsímil")</f>
        <v>Abrir facsímil</v>
      </c>
      <c r="K25" s="3" t="s">
        <v>23</v>
      </c>
    </row>
    <row r="26" spans="1:11" ht="42" customHeight="1">
      <c r="A26" s="2" t="s">
        <v>113</v>
      </c>
      <c r="B26" s="2" t="s">
        <v>114</v>
      </c>
      <c r="C26" s="2" t="s">
        <v>115</v>
      </c>
      <c r="D26" s="2" t="s">
        <v>27</v>
      </c>
      <c r="E26" s="4">
        <v>-31809</v>
      </c>
      <c r="F26" s="3" t="s">
        <v>116</v>
      </c>
      <c r="G26" s="3" t="s">
        <v>117</v>
      </c>
      <c r="H26" s="2" t="s">
        <v>21</v>
      </c>
      <c r="I26" s="2" t="s">
        <v>118</v>
      </c>
      <c r="J26" s="3" t="str">
        <f>HYPERLINK("https://www.boe.es/gazeta/dias/1812/11/27/pdfs/GMR-1812-38.pdf#page=8","Abrir facsímil")</f>
        <v>Abrir facsímil</v>
      </c>
      <c r="K26" s="3" t="s">
        <v>23</v>
      </c>
    </row>
    <row r="27" spans="1:11" ht="42" customHeight="1">
      <c r="A27" s="2" t="s">
        <v>119</v>
      </c>
      <c r="B27" s="2" t="s">
        <v>120</v>
      </c>
      <c r="C27" s="2" t="s">
        <v>26</v>
      </c>
      <c r="D27" s="2" t="s">
        <v>27</v>
      </c>
      <c r="E27" s="4">
        <v>-32113</v>
      </c>
      <c r="F27" s="3" t="s">
        <v>121</v>
      </c>
      <c r="G27" s="3" t="s">
        <v>122</v>
      </c>
      <c r="H27" s="2" t="s">
        <v>21</v>
      </c>
      <c r="I27" s="2" t="s">
        <v>123</v>
      </c>
      <c r="J27" s="3" t="str">
        <f>HYPERLINK("https://www.boe.es/gazeta/dias/1812/01/28/pdfs/GRE-1812-12.pdf#page=3","Abrir facsímil")</f>
        <v>Abrir facsímil</v>
      </c>
      <c r="K27" s="3" t="s">
        <v>23</v>
      </c>
    </row>
    <row r="28" spans="1:11" ht="42" customHeight="1">
      <c r="A28" s="2" t="s">
        <v>119</v>
      </c>
      <c r="B28" s="2" t="s">
        <v>120</v>
      </c>
      <c r="C28" s="2" t="s">
        <v>17</v>
      </c>
      <c r="D28" s="2" t="s">
        <v>27</v>
      </c>
      <c r="E28" s="4">
        <v>-31906</v>
      </c>
      <c r="F28" s="3" t="s">
        <v>124</v>
      </c>
      <c r="G28" s="3" t="s">
        <v>125</v>
      </c>
      <c r="H28" s="2" t="s">
        <v>21</v>
      </c>
      <c r="I28" s="2" t="s">
        <v>126</v>
      </c>
      <c r="J28" s="3" t="str">
        <f>HYPERLINK("https://www.boe.es/gazeta/dias/1812/08/22/pdfs/GRE-1812-109.pdf#page=7","Abrir facsímil")</f>
        <v>Abrir facsímil</v>
      </c>
      <c r="K28" s="3" t="s">
        <v>23</v>
      </c>
    </row>
    <row r="29" spans="1:11" ht="42" customHeight="1">
      <c r="A29" s="2" t="s">
        <v>127</v>
      </c>
      <c r="B29" s="2" t="s">
        <v>128</v>
      </c>
      <c r="C29" s="2" t="s">
        <v>26</v>
      </c>
      <c r="D29" s="2" t="s">
        <v>27</v>
      </c>
      <c r="E29" s="4">
        <v>-32045</v>
      </c>
      <c r="F29" s="3" t="s">
        <v>129</v>
      </c>
      <c r="G29" s="3" t="s">
        <v>130</v>
      </c>
      <c r="H29" s="2" t="s">
        <v>21</v>
      </c>
      <c r="I29" s="2" t="s">
        <v>131</v>
      </c>
      <c r="J29" s="3" t="str">
        <f>HYPERLINK("https://www.boe.es/gazeta/dias/1812/04/05/pdfs/GMD-1812-96.pdf#page=4","Abrir facsímil")</f>
        <v>Abrir facsímil</v>
      </c>
      <c r="K29" s="3" t="s">
        <v>23</v>
      </c>
    </row>
    <row r="30" spans="1:11" ht="42" customHeight="1">
      <c r="A30" s="2" t="s">
        <v>132</v>
      </c>
      <c r="B30" s="2" t="s">
        <v>133</v>
      </c>
      <c r="C30" s="2" t="s">
        <v>17</v>
      </c>
      <c r="D30" s="2" t="s">
        <v>134</v>
      </c>
      <c r="E30" s="4">
        <v>-31955</v>
      </c>
      <c r="F30" s="3" t="s">
        <v>135</v>
      </c>
      <c r="G30" s="3" t="s">
        <v>136</v>
      </c>
      <c r="H30" s="2" t="s">
        <v>21</v>
      </c>
      <c r="I30" s="2" t="s">
        <v>137</v>
      </c>
      <c r="J30" s="3" t="str">
        <f>HYPERLINK("https://www.boe.es/gazeta/dias/1812/07/04/pdfs/GRE-F-1812-82.pdf#page=8","Abrir facsímil")</f>
        <v>Abrir facsímil</v>
      </c>
      <c r="K30" s="3" t="s">
        <v>23</v>
      </c>
    </row>
    <row r="31" spans="1:11" ht="42" customHeight="1">
      <c r="A31" s="2" t="s">
        <v>138</v>
      </c>
      <c r="B31" s="2" t="s">
        <v>138</v>
      </c>
      <c r="C31" s="2" t="s">
        <v>17</v>
      </c>
      <c r="D31" s="2" t="s">
        <v>27</v>
      </c>
      <c r="E31" s="4">
        <v>-32133</v>
      </c>
      <c r="F31" s="3" t="s">
        <v>139</v>
      </c>
      <c r="G31" s="3" t="s">
        <v>140</v>
      </c>
      <c r="H31" s="2" t="s">
        <v>21</v>
      </c>
      <c r="I31" s="2" t="s">
        <v>141</v>
      </c>
      <c r="J31" s="3" t="str">
        <f>HYPERLINK("https://www.boe.es/gazeta/dias/1812/01/08/pdfs/GMD-1812-8.pdf#page=2","Abrir facsímil")</f>
        <v>Abrir facsímil</v>
      </c>
      <c r="K31" s="3" t="s">
        <v>23</v>
      </c>
    </row>
    <row r="32" spans="1:11" ht="42" customHeight="1">
      <c r="A32" s="2" t="s">
        <v>138</v>
      </c>
      <c r="B32" s="2" t="s">
        <v>138</v>
      </c>
      <c r="C32" s="2" t="s">
        <v>17</v>
      </c>
      <c r="D32" s="2" t="s">
        <v>18</v>
      </c>
      <c r="E32" s="4">
        <v>-32090</v>
      </c>
      <c r="F32" s="3" t="s">
        <v>142</v>
      </c>
      <c r="G32" s="3" t="s">
        <v>143</v>
      </c>
      <c r="H32" s="2" t="s">
        <v>21</v>
      </c>
      <c r="I32" s="2" t="s">
        <v>144</v>
      </c>
      <c r="J32" s="3" t="str">
        <f>HYPERLINK("https://www.boe.es/gazeta/dias/1812/02/20/pdfs/GRE-1812-22.pdf#page=6","Abrir facsímil")</f>
        <v>Abrir facsímil</v>
      </c>
      <c r="K32" s="3" t="s">
        <v>23</v>
      </c>
    </row>
    <row r="33" spans="1:11" ht="42" customHeight="1">
      <c r="A33" s="2" t="s">
        <v>138</v>
      </c>
      <c r="B33" s="2" t="s">
        <v>138</v>
      </c>
      <c r="C33" s="2" t="s">
        <v>17</v>
      </c>
      <c r="D33" s="2" t="s">
        <v>27</v>
      </c>
      <c r="E33" s="4">
        <v>-32078</v>
      </c>
      <c r="F33" s="3" t="s">
        <v>145</v>
      </c>
      <c r="G33" s="3" t="s">
        <v>146</v>
      </c>
      <c r="H33" s="2" t="s">
        <v>21</v>
      </c>
      <c r="I33" s="2" t="s">
        <v>147</v>
      </c>
      <c r="J33" s="3" t="str">
        <f>HYPERLINK("https://www.boe.es/gazeta/dias/1812/03/03/pdfs/GRE-1812-28.pdf#page=3","Abrir facsímil")</f>
        <v>Abrir facsímil</v>
      </c>
      <c r="K33" s="3" t="s">
        <v>23</v>
      </c>
    </row>
    <row r="34" spans="1:11" ht="42" customHeight="1">
      <c r="A34" s="2" t="s">
        <v>138</v>
      </c>
      <c r="B34" s="2" t="s">
        <v>138</v>
      </c>
      <c r="C34" s="2" t="s">
        <v>17</v>
      </c>
      <c r="D34" s="2" t="s">
        <v>18</v>
      </c>
      <c r="E34" s="4">
        <v>-32004</v>
      </c>
      <c r="F34" s="3" t="s">
        <v>148</v>
      </c>
      <c r="G34" s="3" t="s">
        <v>149</v>
      </c>
      <c r="H34" s="2" t="s">
        <v>21</v>
      </c>
      <c r="I34" s="2" t="s">
        <v>150</v>
      </c>
      <c r="J34" s="3" t="str">
        <f>HYPERLINK("https://www.boe.es/gazeta/dias/1812/05/16/pdfs/GRE-1812-61.pdf#page=3","Abrir facsímil")</f>
        <v>Abrir facsímil</v>
      </c>
      <c r="K34" s="3" t="s">
        <v>23</v>
      </c>
    </row>
    <row r="35" spans="1:11" ht="42" customHeight="1">
      <c r="A35" s="2" t="s">
        <v>151</v>
      </c>
      <c r="B35" s="2" t="s">
        <v>152</v>
      </c>
      <c r="C35" s="2" t="s">
        <v>17</v>
      </c>
      <c r="D35" s="2" t="s">
        <v>18</v>
      </c>
      <c r="E35" s="4">
        <v>-31962</v>
      </c>
      <c r="F35" s="3" t="s">
        <v>153</v>
      </c>
      <c r="G35" s="3" t="s">
        <v>154</v>
      </c>
      <c r="H35" s="2" t="s">
        <v>21</v>
      </c>
      <c r="I35" s="2" t="s">
        <v>155</v>
      </c>
      <c r="J35" s="3" t="str">
        <f>HYPERLINK("https://www.boe.es/gazeta/dias/1812/06/27/pdfs/GRE-1812-79.pdf#page=8","Abrir facsímil")</f>
        <v>Abrir facsímil</v>
      </c>
      <c r="K35" s="3" t="s">
        <v>23</v>
      </c>
    </row>
    <row r="36" spans="1:11" ht="42" customHeight="1">
      <c r="A36" s="2" t="s">
        <v>156</v>
      </c>
      <c r="B36" s="2" t="s">
        <v>157</v>
      </c>
      <c r="C36" s="2" t="s">
        <v>26</v>
      </c>
      <c r="D36" s="2" t="s">
        <v>27</v>
      </c>
      <c r="E36" s="4">
        <v>-31859</v>
      </c>
      <c r="F36" s="3" t="s">
        <v>158</v>
      </c>
      <c r="G36" s="3" t="s">
        <v>159</v>
      </c>
      <c r="H36" s="2" t="s">
        <v>21</v>
      </c>
      <c r="I36" s="2" t="s">
        <v>160</v>
      </c>
      <c r="J36" s="3" t="str">
        <f>HYPERLINK("https://www.boe.es/gazeta/dias/1812/10/08/pdfs/GMR-1812-24.pdf#page=9","Abrir facsímil")</f>
        <v>Abrir facsímil</v>
      </c>
      <c r="K36" s="3" t="s">
        <v>23</v>
      </c>
    </row>
    <row r="37" spans="1:11" ht="42" customHeight="1">
      <c r="A37" s="2" t="s">
        <v>161</v>
      </c>
      <c r="B37" s="2" t="s">
        <v>162</v>
      </c>
      <c r="C37" s="2" t="s">
        <v>26</v>
      </c>
      <c r="D37" s="2" t="s">
        <v>27</v>
      </c>
      <c r="E37" s="4">
        <v>-31980</v>
      </c>
      <c r="F37" s="3" t="s">
        <v>40</v>
      </c>
      <c r="G37" s="3" t="s">
        <v>41</v>
      </c>
      <c r="H37" s="2" t="s">
        <v>21</v>
      </c>
      <c r="I37" s="2" t="s">
        <v>163</v>
      </c>
      <c r="J37" s="3" t="str">
        <f>HYPERLINK("https://www.boe.es/gazeta/dias/1812/06/09/pdfs/GRE-1812-71.pdf#page=6","Abrir facsímil")</f>
        <v>Abrir facsímil</v>
      </c>
      <c r="K37" s="3" t="s">
        <v>23</v>
      </c>
    </row>
    <row r="38" spans="1:11" ht="42" customHeight="1">
      <c r="A38" s="2" t="s">
        <v>164</v>
      </c>
      <c r="B38" s="2" t="s">
        <v>165</v>
      </c>
      <c r="C38" s="2" t="s">
        <v>49</v>
      </c>
      <c r="D38" s="2" t="s">
        <v>18</v>
      </c>
      <c r="E38" s="4">
        <v>-32106</v>
      </c>
      <c r="F38" s="3" t="s">
        <v>166</v>
      </c>
      <c r="G38" s="3" t="s">
        <v>167</v>
      </c>
      <c r="H38" s="2" t="s">
        <v>21</v>
      </c>
      <c r="I38" s="2" t="s">
        <v>168</v>
      </c>
      <c r="J38" s="3" t="str">
        <f>HYPERLINK("https://www.boe.es/gazeta/dias/1812/02/04/pdfs/GRE-1812-15.pdf#page=5","Abrir facsímil")</f>
        <v>Abrir facsímil</v>
      </c>
      <c r="K38" s="3" t="s">
        <v>23</v>
      </c>
    </row>
    <row r="39" spans="1:11" ht="42" customHeight="1">
      <c r="A39" s="2" t="s">
        <v>169</v>
      </c>
      <c r="B39" s="2" t="s">
        <v>170</v>
      </c>
      <c r="C39" s="2" t="s">
        <v>26</v>
      </c>
      <c r="D39" s="2" t="s">
        <v>27</v>
      </c>
      <c r="E39" s="4">
        <v>-31963</v>
      </c>
      <c r="F39" s="3" t="s">
        <v>171</v>
      </c>
      <c r="G39" s="3" t="s">
        <v>172</v>
      </c>
      <c r="H39" s="2" t="s">
        <v>21</v>
      </c>
      <c r="I39" s="2" t="s">
        <v>173</v>
      </c>
      <c r="J39" s="3" t="str">
        <f>HYPERLINK("https://www.boe.es/gazeta/dias/1812/06/26/pdfs/GMD-1812-178.pdf#page=3","Abrir facsímil")</f>
        <v>Abrir facsímil</v>
      </c>
      <c r="K39" s="3" t="s">
        <v>23</v>
      </c>
    </row>
    <row r="40" spans="1:11" ht="42" customHeight="1">
      <c r="A40" s="2" t="s">
        <v>174</v>
      </c>
      <c r="B40" s="2" t="s">
        <v>175</v>
      </c>
      <c r="C40" s="2" t="s">
        <v>26</v>
      </c>
      <c r="D40" s="2" t="s">
        <v>27</v>
      </c>
      <c r="E40" s="4">
        <v>-32029</v>
      </c>
      <c r="F40" s="3" t="s">
        <v>176</v>
      </c>
      <c r="G40" s="3" t="s">
        <v>177</v>
      </c>
      <c r="H40" s="2" t="s">
        <v>21</v>
      </c>
      <c r="I40" s="2" t="s">
        <v>178</v>
      </c>
      <c r="J40" s="3" t="str">
        <f>HYPERLINK("https://www.boe.es/gazeta/dias/1812/04/21/pdfs/GRE-1812-50.pdf#page=8","Abrir facsímil")</f>
        <v>Abrir facsímil</v>
      </c>
      <c r="K40" s="3" t="s">
        <v>23</v>
      </c>
    </row>
    <row r="41" spans="1:11" ht="42" customHeight="1">
      <c r="A41" s="2" t="s">
        <v>179</v>
      </c>
      <c r="B41" s="2" t="s">
        <v>180</v>
      </c>
      <c r="C41" s="2" t="s">
        <v>67</v>
      </c>
      <c r="D41" s="2" t="s">
        <v>27</v>
      </c>
      <c r="E41" s="4">
        <v>-32095</v>
      </c>
      <c r="F41" s="3" t="s">
        <v>181</v>
      </c>
      <c r="G41" s="3" t="s">
        <v>182</v>
      </c>
      <c r="H41" s="2" t="s">
        <v>21</v>
      </c>
      <c r="I41" s="2" t="s">
        <v>183</v>
      </c>
      <c r="J41" s="3" t="str">
        <f>HYPERLINK("https://www.boe.es/gazeta/dias/1812/02/15/pdfs/GMD-1812-47.pdf#page=4","Abrir facsímil")</f>
        <v>Abrir facsímil</v>
      </c>
      <c r="K41" s="3" t="s">
        <v>23</v>
      </c>
    </row>
    <row r="42" spans="1:11" ht="42" customHeight="1">
      <c r="A42" s="2" t="s">
        <v>179</v>
      </c>
      <c r="B42" s="2" t="s">
        <v>180</v>
      </c>
      <c r="C42" s="2" t="s">
        <v>67</v>
      </c>
      <c r="D42" s="2" t="s">
        <v>27</v>
      </c>
      <c r="E42" s="4">
        <v>-32094</v>
      </c>
      <c r="F42" s="3" t="s">
        <v>181</v>
      </c>
      <c r="G42" s="3" t="s">
        <v>182</v>
      </c>
      <c r="H42" s="2" t="s">
        <v>21</v>
      </c>
      <c r="I42" s="2" t="s">
        <v>183</v>
      </c>
      <c r="J42" s="3" t="str">
        <f>HYPERLINK("https://www.boe.es/gazeta/dias/1812/02/16/pdfs/GMD-1812-47.pdf#page=4","Abrir facsímil")</f>
        <v>Abrir facsímil</v>
      </c>
      <c r="K42" s="3" t="s">
        <v>23</v>
      </c>
    </row>
    <row r="43" spans="1:11" ht="42" customHeight="1">
      <c r="A43" s="2" t="s">
        <v>184</v>
      </c>
      <c r="B43" s="2" t="s">
        <v>185</v>
      </c>
      <c r="C43" s="2" t="s">
        <v>186</v>
      </c>
      <c r="D43" s="2" t="s">
        <v>27</v>
      </c>
      <c r="E43" s="4">
        <v>-31940</v>
      </c>
      <c r="F43" s="3" t="s">
        <v>187</v>
      </c>
      <c r="G43" s="3" t="s">
        <v>45</v>
      </c>
      <c r="H43" s="2" t="s">
        <v>21</v>
      </c>
      <c r="I43" s="2" t="s">
        <v>188</v>
      </c>
      <c r="J43" s="3" t="str">
        <f>HYPERLINK("https://www.boe.es/gazeta/dias/1812/07/19/pdfs/GMD-1812-201.pdf#page=2","Abrir facsímil")</f>
        <v>Abrir facsímil</v>
      </c>
      <c r="K43" s="3" t="s">
        <v>23</v>
      </c>
    </row>
    <row r="44" spans="1:11" ht="42" customHeight="1">
      <c r="A44" s="2" t="s">
        <v>189</v>
      </c>
      <c r="B44" s="2" t="s">
        <v>189</v>
      </c>
      <c r="C44" s="2" t="s">
        <v>17</v>
      </c>
      <c r="D44" s="2" t="s">
        <v>27</v>
      </c>
      <c r="E44" s="4">
        <v>-32006</v>
      </c>
      <c r="F44" s="3" t="s">
        <v>190</v>
      </c>
      <c r="G44" s="3" t="s">
        <v>191</v>
      </c>
      <c r="H44" s="2" t="s">
        <v>21</v>
      </c>
      <c r="I44" s="2" t="s">
        <v>192</v>
      </c>
      <c r="J44" s="3" t="str">
        <f>HYPERLINK("https://www.boe.es/gazeta/dias/1812/05/14/pdfs/GRE-1812-60.pdf#page=4","Abrir facsímil")</f>
        <v>Abrir facsímil</v>
      </c>
      <c r="K44" s="3" t="s">
        <v>23</v>
      </c>
    </row>
    <row r="45" spans="1:11" ht="42" customHeight="1">
      <c r="A45" s="2" t="s">
        <v>193</v>
      </c>
      <c r="B45" s="2" t="s">
        <v>193</v>
      </c>
      <c r="C45" s="2" t="s">
        <v>17</v>
      </c>
      <c r="D45" s="2" t="s">
        <v>194</v>
      </c>
      <c r="E45" s="4">
        <v>-32038</v>
      </c>
      <c r="F45" s="3" t="s">
        <v>195</v>
      </c>
      <c r="G45" s="3" t="s">
        <v>196</v>
      </c>
      <c r="H45" s="2" t="s">
        <v>21</v>
      </c>
      <c r="I45" s="2" t="s">
        <v>197</v>
      </c>
      <c r="J45" s="3" t="str">
        <f>HYPERLINK("https://www.boe.es/gazeta/dias/1812/04/12/pdfs/GMD-1812-103.pdf#page=1","Abrir facsímil")</f>
        <v>Abrir facsímil</v>
      </c>
      <c r="K45" s="3" t="s">
        <v>23</v>
      </c>
    </row>
    <row r="46" spans="1:11" ht="42" customHeight="1">
      <c r="A46" s="2" t="s">
        <v>198</v>
      </c>
      <c r="B46" s="2" t="s">
        <v>198</v>
      </c>
      <c r="C46" s="2" t="s">
        <v>17</v>
      </c>
      <c r="D46" s="2" t="s">
        <v>18</v>
      </c>
      <c r="E46" s="4">
        <v>-32067</v>
      </c>
      <c r="F46" s="3" t="s">
        <v>199</v>
      </c>
      <c r="G46" s="3" t="s">
        <v>200</v>
      </c>
      <c r="H46" s="2" t="s">
        <v>21</v>
      </c>
      <c r="I46" s="2" t="s">
        <v>201</v>
      </c>
      <c r="J46" s="3" t="str">
        <f>HYPERLINK("https://www.boe.es/gazeta/dias/1812/03/14/pdfs/GRE-1812-33.pdf#page=3","Abrir facsímil")</f>
        <v>Abrir facsímil</v>
      </c>
      <c r="K46" s="3" t="s">
        <v>23</v>
      </c>
    </row>
    <row r="47" spans="1:11" ht="42" customHeight="1">
      <c r="A47" s="2" t="s">
        <v>198</v>
      </c>
      <c r="B47" s="2" t="s">
        <v>198</v>
      </c>
      <c r="C47" s="2" t="s">
        <v>17</v>
      </c>
      <c r="D47" s="2" t="s">
        <v>27</v>
      </c>
      <c r="E47" s="4">
        <v>-32015</v>
      </c>
      <c r="F47" s="3" t="s">
        <v>77</v>
      </c>
      <c r="G47" s="3" t="s">
        <v>202</v>
      </c>
      <c r="H47" s="2" t="s">
        <v>21</v>
      </c>
      <c r="I47" s="2" t="s">
        <v>203</v>
      </c>
      <c r="J47" s="3" t="str">
        <f>HYPERLINK("https://www.boe.es/gazeta/dias/1812/05/05/pdfs/GRE-1812-56.pdf#page=2","Abrir facsímil")</f>
        <v>Abrir facsímil</v>
      </c>
      <c r="K47" s="3" t="s">
        <v>23</v>
      </c>
    </row>
    <row r="48" spans="1:11" ht="42" customHeight="1">
      <c r="A48" s="2" t="s">
        <v>198</v>
      </c>
      <c r="B48" s="2" t="s">
        <v>198</v>
      </c>
      <c r="C48" s="2" t="s">
        <v>17</v>
      </c>
      <c r="D48" s="2" t="s">
        <v>27</v>
      </c>
      <c r="E48" s="4">
        <v>-32015</v>
      </c>
      <c r="F48" s="3" t="s">
        <v>77</v>
      </c>
      <c r="G48" s="3" t="s">
        <v>204</v>
      </c>
      <c r="H48" s="2" t="s">
        <v>21</v>
      </c>
      <c r="I48" s="2" t="s">
        <v>205</v>
      </c>
      <c r="J48" s="3" t="str">
        <f>HYPERLINK("https://www.boe.es/gazeta/dias/1812/05/05/pdfs/GRE-1812-56.pdf#page=3","Abrir facsímil")</f>
        <v>Abrir facsímil</v>
      </c>
      <c r="K48" s="3" t="s">
        <v>23</v>
      </c>
    </row>
    <row r="49" spans="1:11" ht="42" customHeight="1">
      <c r="A49" s="2" t="s">
        <v>198</v>
      </c>
      <c r="B49" s="2" t="s">
        <v>198</v>
      </c>
      <c r="C49" s="2" t="s">
        <v>17</v>
      </c>
      <c r="D49" s="2" t="s">
        <v>27</v>
      </c>
      <c r="E49" s="4">
        <v>-32006</v>
      </c>
      <c r="F49" s="3" t="s">
        <v>190</v>
      </c>
      <c r="G49" s="3" t="s">
        <v>191</v>
      </c>
      <c r="H49" s="2" t="s">
        <v>21</v>
      </c>
      <c r="I49" s="2" t="s">
        <v>206</v>
      </c>
      <c r="J49" s="3" t="str">
        <f>HYPERLINK("https://www.boe.es/gazeta/dias/1812/05/14/pdfs/GRE-1812-60.pdf#page=4","Abrir facsímil")</f>
        <v>Abrir facsímil</v>
      </c>
      <c r="K49" s="3" t="s">
        <v>23</v>
      </c>
    </row>
    <row r="50" spans="1:11" ht="42" customHeight="1">
      <c r="A50" s="2" t="s">
        <v>198</v>
      </c>
      <c r="B50" s="2" t="s">
        <v>198</v>
      </c>
      <c r="C50" s="2" t="s">
        <v>17</v>
      </c>
      <c r="D50" s="2" t="s">
        <v>27</v>
      </c>
      <c r="E50" s="4">
        <v>-31994</v>
      </c>
      <c r="F50" s="3" t="s">
        <v>207</v>
      </c>
      <c r="G50" s="3" t="s">
        <v>208</v>
      </c>
      <c r="H50" s="2" t="s">
        <v>21</v>
      </c>
      <c r="I50" s="2" t="s">
        <v>209</v>
      </c>
      <c r="J50" s="3" t="str">
        <f>HYPERLINK("https://www.boe.es/gazeta/dias/1812/05/26/pdfs/GRE-1812-65.pdf#page=2","Abrir facsímil")</f>
        <v>Abrir facsímil</v>
      </c>
      <c r="K50" s="3" t="s">
        <v>23</v>
      </c>
    </row>
    <row r="51" spans="1:11" ht="42" customHeight="1">
      <c r="A51" s="2" t="s">
        <v>198</v>
      </c>
      <c r="B51" s="2" t="s">
        <v>198</v>
      </c>
      <c r="C51" s="2" t="s">
        <v>17</v>
      </c>
      <c r="D51" s="2" t="s">
        <v>27</v>
      </c>
      <c r="E51" s="4">
        <v>-31952</v>
      </c>
      <c r="F51" s="3" t="s">
        <v>210</v>
      </c>
      <c r="G51" s="3" t="s">
        <v>211</v>
      </c>
      <c r="H51" s="2" t="s">
        <v>21</v>
      </c>
      <c r="I51" s="2" t="s">
        <v>212</v>
      </c>
      <c r="J51" s="3" t="str">
        <f>HYPERLINK("https://www.boe.es/gazeta/dias/1812/07/07/pdfs/GRE-1812-83.pdf#page=4","Abrir facsímil")</f>
        <v>Abrir facsímil</v>
      </c>
      <c r="K51" s="3" t="s">
        <v>23</v>
      </c>
    </row>
    <row r="52" spans="1:11" ht="42" customHeight="1">
      <c r="A52" s="2" t="s">
        <v>198</v>
      </c>
      <c r="B52" s="2" t="s">
        <v>198</v>
      </c>
      <c r="C52" s="2" t="s">
        <v>26</v>
      </c>
      <c r="D52" s="2" t="s">
        <v>27</v>
      </c>
      <c r="E52" s="4">
        <v>-31873</v>
      </c>
      <c r="F52" s="3" t="s">
        <v>213</v>
      </c>
      <c r="G52" s="3" t="s">
        <v>214</v>
      </c>
      <c r="H52" s="2" t="s">
        <v>21</v>
      </c>
      <c r="I52" s="2" t="s">
        <v>215</v>
      </c>
      <c r="J52" s="3" t="str">
        <f>HYPERLINK("https://www.boe.es/gazeta/dias/1812/09/24/pdfs/GMR-1812-18.pdf#page=6","Abrir facsímil")</f>
        <v>Abrir facsímil</v>
      </c>
      <c r="K52" s="3" t="s">
        <v>23</v>
      </c>
    </row>
    <row r="53" spans="1:11" ht="42" customHeight="1">
      <c r="A53" s="2" t="s">
        <v>198</v>
      </c>
      <c r="B53" s="2" t="s">
        <v>198</v>
      </c>
      <c r="C53" s="2" t="s">
        <v>26</v>
      </c>
      <c r="D53" s="2" t="s">
        <v>27</v>
      </c>
      <c r="E53" s="4">
        <v>-31861</v>
      </c>
      <c r="F53" s="3" t="s">
        <v>216</v>
      </c>
      <c r="G53" s="3" t="s">
        <v>217</v>
      </c>
      <c r="H53" s="2" t="s">
        <v>21</v>
      </c>
      <c r="I53" s="2" t="s">
        <v>218</v>
      </c>
      <c r="J53" s="3" t="str">
        <f>HYPERLINK("https://www.boe.es/gazeta/dias/1812/10/06/pdfs/GRE-1812-135.pdf#page=3","Abrir facsímil")</f>
        <v>Abrir facsímil</v>
      </c>
      <c r="K53" s="3" t="s">
        <v>23</v>
      </c>
    </row>
    <row r="54" spans="1:11" ht="42" customHeight="1">
      <c r="A54" s="2" t="s">
        <v>198</v>
      </c>
      <c r="B54" s="2" t="s">
        <v>198</v>
      </c>
      <c r="C54" s="2" t="s">
        <v>26</v>
      </c>
      <c r="D54" s="2" t="s">
        <v>27</v>
      </c>
      <c r="E54" s="4">
        <v>-31847</v>
      </c>
      <c r="F54" s="3" t="s">
        <v>219</v>
      </c>
      <c r="G54" s="3" t="s">
        <v>45</v>
      </c>
      <c r="H54" s="2" t="s">
        <v>21</v>
      </c>
      <c r="I54" s="2" t="s">
        <v>220</v>
      </c>
      <c r="J54" s="3" t="str">
        <f>HYPERLINK("https://www.boe.es/gazeta/dias/1812/10/20/pdfs/GRE-1812-141.pdf#page=6","Abrir facsímil")</f>
        <v>Abrir facsímil</v>
      </c>
      <c r="K54" s="3" t="s">
        <v>23</v>
      </c>
    </row>
    <row r="55" spans="1:11" ht="42" customHeight="1">
      <c r="A55" s="2" t="s">
        <v>198</v>
      </c>
      <c r="B55" s="2" t="s">
        <v>198</v>
      </c>
      <c r="C55" s="2" t="s">
        <v>17</v>
      </c>
      <c r="D55" s="2" t="s">
        <v>27</v>
      </c>
      <c r="E55" s="4">
        <v>-31803</v>
      </c>
      <c r="F55" s="3" t="s">
        <v>221</v>
      </c>
      <c r="G55" s="3" t="s">
        <v>222</v>
      </c>
      <c r="H55" s="2" t="s">
        <v>21</v>
      </c>
      <c r="I55" s="2" t="s">
        <v>223</v>
      </c>
      <c r="J55" s="3" t="str">
        <f>HYPERLINK("https://www.boe.es/gazeta/dias/1812/12/03/pdfs/GRE-1812-160.pdf#page=4","Abrir facsímil")</f>
        <v>Abrir facsímil</v>
      </c>
      <c r="K55" s="3" t="s">
        <v>23</v>
      </c>
    </row>
    <row r="56" spans="1:11" ht="42" customHeight="1">
      <c r="A56" s="2" t="s">
        <v>224</v>
      </c>
      <c r="B56" s="2" t="s">
        <v>224</v>
      </c>
      <c r="C56" s="2" t="s">
        <v>49</v>
      </c>
      <c r="D56" s="2" t="s">
        <v>27</v>
      </c>
      <c r="E56" s="4">
        <v>-32057</v>
      </c>
      <c r="F56" s="3" t="s">
        <v>225</v>
      </c>
      <c r="G56" s="3" t="s">
        <v>140</v>
      </c>
      <c r="H56" s="2" t="s">
        <v>21</v>
      </c>
      <c r="I56" s="2" t="s">
        <v>226</v>
      </c>
      <c r="J56" s="3" t="str">
        <f>HYPERLINK("https://www.boe.es/gazeta/dias/1812/03/24/pdfs/GMD-1812-84.pdf#page=2","Abrir facsímil")</f>
        <v>Abrir facsímil</v>
      </c>
      <c r="K56" s="3" t="s">
        <v>23</v>
      </c>
    </row>
    <row r="57" spans="1:11" ht="42" customHeight="1">
      <c r="A57" s="2" t="s">
        <v>227</v>
      </c>
      <c r="B57" s="2" t="s">
        <v>227</v>
      </c>
      <c r="C57" s="2" t="s">
        <v>115</v>
      </c>
      <c r="D57" s="2" t="s">
        <v>18</v>
      </c>
      <c r="E57" s="4">
        <v>-32101</v>
      </c>
      <c r="F57" s="3" t="s">
        <v>228</v>
      </c>
      <c r="G57" s="3" t="s">
        <v>58</v>
      </c>
      <c r="H57" s="2" t="s">
        <v>21</v>
      </c>
      <c r="I57" s="2" t="s">
        <v>229</v>
      </c>
      <c r="J57" s="3" t="str">
        <f>HYPERLINK("https://www.boe.es/gazeta/dias/1812/02/09/pdfs/GMD-1812-40.pdf#page=4","Abrir facsímil")</f>
        <v>Abrir facsímil</v>
      </c>
      <c r="K57" s="3" t="s">
        <v>23</v>
      </c>
    </row>
    <row r="58" spans="1:11" ht="42" customHeight="1">
      <c r="A58" s="2" t="s">
        <v>230</v>
      </c>
      <c r="B58" s="2" t="s">
        <v>231</v>
      </c>
      <c r="C58" s="2" t="s">
        <v>26</v>
      </c>
      <c r="D58" s="2" t="s">
        <v>27</v>
      </c>
      <c r="E58" s="4">
        <v>-32081</v>
      </c>
      <c r="F58" s="3" t="s">
        <v>232</v>
      </c>
      <c r="G58" s="3" t="s">
        <v>233</v>
      </c>
      <c r="H58" s="2" t="s">
        <v>21</v>
      </c>
      <c r="I58" s="2" t="s">
        <v>234</v>
      </c>
      <c r="J58" s="3" t="str">
        <f>HYPERLINK("https://www.boe.es/gazeta/dias/1812/02/29/pdfs/GRE-1812-27.pdf#page=8","Abrir facsímil")</f>
        <v>Abrir facsímil</v>
      </c>
      <c r="K58" s="3" t="s">
        <v>23</v>
      </c>
    </row>
    <row r="59" spans="1:11" ht="42" customHeight="1">
      <c r="A59" s="2" t="s">
        <v>235</v>
      </c>
      <c r="B59" s="2" t="s">
        <v>236</v>
      </c>
      <c r="C59" s="2" t="s">
        <v>17</v>
      </c>
      <c r="D59" s="2" t="s">
        <v>27</v>
      </c>
      <c r="E59" s="4">
        <v>-32067</v>
      </c>
      <c r="F59" s="3" t="s">
        <v>199</v>
      </c>
      <c r="G59" s="3" t="s">
        <v>237</v>
      </c>
      <c r="H59" s="2" t="s">
        <v>21</v>
      </c>
      <c r="I59" s="2" t="s">
        <v>238</v>
      </c>
      <c r="J59" s="3" t="str">
        <f>HYPERLINK("https://www.boe.es/gazeta/dias/1812/03/14/pdfs/GRE-1812-33.pdf#page=8","Abrir facsímil")</f>
        <v>Abrir facsímil</v>
      </c>
      <c r="K59" s="3" t="s">
        <v>23</v>
      </c>
    </row>
    <row r="60" spans="1:11" ht="42" customHeight="1">
      <c r="A60" s="2" t="s">
        <v>239</v>
      </c>
      <c r="B60" s="2" t="s">
        <v>240</v>
      </c>
      <c r="C60" s="2" t="s">
        <v>26</v>
      </c>
      <c r="D60" s="2" t="s">
        <v>27</v>
      </c>
      <c r="E60" s="4">
        <v>-31976</v>
      </c>
      <c r="F60" s="3" t="s">
        <v>54</v>
      </c>
      <c r="G60" s="3" t="s">
        <v>55</v>
      </c>
      <c r="H60" s="2" t="s">
        <v>21</v>
      </c>
      <c r="I60" s="2" t="s">
        <v>241</v>
      </c>
      <c r="J60" s="3" t="str">
        <f>HYPERLINK("https://www.boe.es/gazeta/dias/1812/06/13/pdfs/GRE-1812-73.pdf#page=6","Abrir facsímil")</f>
        <v>Abrir facsímil</v>
      </c>
      <c r="K60" s="3" t="s">
        <v>23</v>
      </c>
    </row>
    <row r="61" spans="1:11" ht="42" customHeight="1">
      <c r="A61" s="2" t="s">
        <v>242</v>
      </c>
      <c r="B61" s="2" t="s">
        <v>242</v>
      </c>
      <c r="C61" s="2" t="s">
        <v>17</v>
      </c>
      <c r="D61" s="2" t="s">
        <v>27</v>
      </c>
      <c r="E61" s="4">
        <v>-32010</v>
      </c>
      <c r="F61" s="3" t="s">
        <v>243</v>
      </c>
      <c r="G61" s="3" t="s">
        <v>45</v>
      </c>
      <c r="H61" s="2" t="s">
        <v>21</v>
      </c>
      <c r="I61" s="2" t="s">
        <v>244</v>
      </c>
      <c r="J61" s="3" t="str">
        <f>HYPERLINK("https://www.boe.es/gazeta/dias/1812/05/10/pdfs/GMD-1812-131.pdf#page=3","Abrir facsímil")</f>
        <v>Abrir facsímil</v>
      </c>
      <c r="K61" s="3" t="s">
        <v>23</v>
      </c>
    </row>
    <row r="62" spans="1:11" ht="42" customHeight="1">
      <c r="A62" s="2" t="s">
        <v>245</v>
      </c>
      <c r="B62" s="2" t="s">
        <v>246</v>
      </c>
      <c r="C62" s="2" t="s">
        <v>17</v>
      </c>
      <c r="D62" s="2" t="s">
        <v>27</v>
      </c>
      <c r="E62" s="4">
        <v>-32109</v>
      </c>
      <c r="F62" s="3" t="s">
        <v>62</v>
      </c>
      <c r="G62" s="3" t="s">
        <v>63</v>
      </c>
      <c r="H62" s="2" t="s">
        <v>21</v>
      </c>
      <c r="I62" s="2" t="s">
        <v>247</v>
      </c>
      <c r="J62" s="3" t="str">
        <f>HYPERLINK("https://www.boe.es/gazeta/dias/1812/02/01/pdfs/GRE-1812-14.pdf#page=10","Abrir facsímil")</f>
        <v>Abrir facsímil</v>
      </c>
      <c r="K62" s="3" t="s">
        <v>23</v>
      </c>
    </row>
    <row r="63" spans="1:11" ht="42" customHeight="1">
      <c r="A63" s="2" t="s">
        <v>248</v>
      </c>
      <c r="B63" s="2" t="s">
        <v>249</v>
      </c>
      <c r="C63" s="2" t="s">
        <v>26</v>
      </c>
      <c r="D63" s="2" t="s">
        <v>27</v>
      </c>
      <c r="E63" s="4">
        <v>-32088</v>
      </c>
      <c r="F63" s="3" t="s">
        <v>250</v>
      </c>
      <c r="G63" s="3" t="s">
        <v>251</v>
      </c>
      <c r="H63" s="2" t="s">
        <v>21</v>
      </c>
      <c r="I63" s="2" t="s">
        <v>252</v>
      </c>
      <c r="J63" s="3" t="str">
        <f>HYPERLINK("https://www.boe.es/gazeta/dias/1812/02/22/pdfs/GRE-1812-23.pdf#page=8","Abrir facsímil")</f>
        <v>Abrir facsímil</v>
      </c>
      <c r="K63" s="3" t="s">
        <v>23</v>
      </c>
    </row>
    <row r="64" spans="1:11" ht="42" customHeight="1">
      <c r="A64" s="2" t="s">
        <v>253</v>
      </c>
      <c r="B64" s="2" t="s">
        <v>253</v>
      </c>
      <c r="C64" s="2" t="s">
        <v>17</v>
      </c>
      <c r="D64" s="2" t="s">
        <v>18</v>
      </c>
      <c r="E64" s="4">
        <v>-31794</v>
      </c>
      <c r="F64" s="3" t="s">
        <v>254</v>
      </c>
      <c r="G64" s="3" t="s">
        <v>255</v>
      </c>
      <c r="H64" s="2" t="s">
        <v>21</v>
      </c>
      <c r="I64" s="2" t="s">
        <v>256</v>
      </c>
      <c r="J64" s="3" t="str">
        <f>HYPERLINK("https://www.boe.es/gazeta/dias/1812/12/12/pdfs/GMD-1812-235.pdf#page=1","Abrir facsímil")</f>
        <v>Abrir facsímil</v>
      </c>
      <c r="K64" s="3" t="s">
        <v>23</v>
      </c>
    </row>
    <row r="65" spans="1:11" ht="42" customHeight="1">
      <c r="A65" s="2" t="s">
        <v>257</v>
      </c>
      <c r="B65" s="2" t="s">
        <v>258</v>
      </c>
      <c r="C65" s="2" t="s">
        <v>26</v>
      </c>
      <c r="D65" s="2" t="s">
        <v>27</v>
      </c>
      <c r="E65" s="4">
        <v>-32065</v>
      </c>
      <c r="F65" s="3" t="s">
        <v>259</v>
      </c>
      <c r="G65" s="3" t="s">
        <v>20</v>
      </c>
      <c r="H65" s="2" t="s">
        <v>21</v>
      </c>
      <c r="I65" s="2" t="s">
        <v>260</v>
      </c>
      <c r="J65" s="3" t="str">
        <f>HYPERLINK("https://www.boe.es/gazeta/dias/1812/03/16/pdfs/GMD-1812-76.pdf#page=4","Abrir facsímil")</f>
        <v>Abrir facsímil</v>
      </c>
      <c r="K65" s="3" t="s">
        <v>23</v>
      </c>
    </row>
    <row r="66" spans="1:11" ht="42" customHeight="1">
      <c r="A66" s="2" t="s">
        <v>261</v>
      </c>
      <c r="B66" s="2" t="s">
        <v>262</v>
      </c>
      <c r="C66" s="2" t="s">
        <v>17</v>
      </c>
      <c r="D66" s="2" t="s">
        <v>27</v>
      </c>
      <c r="E66" s="4">
        <v>-31989</v>
      </c>
      <c r="F66" s="3" t="s">
        <v>263</v>
      </c>
      <c r="G66" s="3" t="s">
        <v>58</v>
      </c>
      <c r="H66" s="2" t="s">
        <v>21</v>
      </c>
      <c r="I66" s="2" t="s">
        <v>264</v>
      </c>
      <c r="J66" s="3" t="str">
        <f>HYPERLINK("https://www.boe.es/gazeta/dias/1812/05/31/pdfs/GMD-1812-152.pdf#page=4","Abrir facsímil")</f>
        <v>Abrir facsímil</v>
      </c>
      <c r="K66" s="3" t="s">
        <v>23</v>
      </c>
    </row>
    <row r="67" spans="1:11" ht="42" customHeight="1">
      <c r="A67" s="2" t="s">
        <v>265</v>
      </c>
      <c r="B67" s="2" t="s">
        <v>266</v>
      </c>
      <c r="C67" s="2" t="s">
        <v>105</v>
      </c>
      <c r="D67" s="2" t="s">
        <v>27</v>
      </c>
      <c r="E67" s="4">
        <v>-31833</v>
      </c>
      <c r="F67" s="3" t="s">
        <v>267</v>
      </c>
      <c r="G67" s="3" t="s">
        <v>268</v>
      </c>
      <c r="H67" s="2" t="s">
        <v>21</v>
      </c>
      <c r="I67" s="2" t="s">
        <v>269</v>
      </c>
      <c r="J67" s="3" t="str">
        <f>HYPERLINK("https://www.boe.es/gazeta/dias/1812/11/03/pdfs/GRE-1812-147.pdf#page=8","Abrir facsímil")</f>
        <v>Abrir facsímil</v>
      </c>
      <c r="K67" s="3" t="s">
        <v>23</v>
      </c>
    </row>
    <row r="68" spans="1:11" ht="42" customHeight="1">
      <c r="A68" s="2" t="s">
        <v>265</v>
      </c>
      <c r="B68" s="2" t="s">
        <v>266</v>
      </c>
      <c r="C68" s="2" t="s">
        <v>105</v>
      </c>
      <c r="D68" s="2" t="s">
        <v>27</v>
      </c>
      <c r="E68" s="4">
        <v>-31816</v>
      </c>
      <c r="F68" s="3" t="s">
        <v>270</v>
      </c>
      <c r="G68" s="3" t="s">
        <v>271</v>
      </c>
      <c r="H68" s="2" t="s">
        <v>21</v>
      </c>
      <c r="I68" s="2" t="s">
        <v>272</v>
      </c>
      <c r="J68" s="3" t="str">
        <f>HYPERLINK("https://www.boe.es/gazeta/dias/1812/11/20/pdfs/GMR-1812-36.pdf#page=6","Abrir facsímil")</f>
        <v>Abrir facsímil</v>
      </c>
      <c r="K68" s="3" t="s">
        <v>23</v>
      </c>
    </row>
    <row r="69" spans="1:11" ht="42" customHeight="1">
      <c r="A69" s="2" t="s">
        <v>273</v>
      </c>
      <c r="B69" s="2" t="s">
        <v>274</v>
      </c>
      <c r="C69" s="2" t="s">
        <v>186</v>
      </c>
      <c r="D69" s="2" t="s">
        <v>275</v>
      </c>
      <c r="E69" s="4">
        <v>-31900</v>
      </c>
      <c r="F69" s="3" t="s">
        <v>276</v>
      </c>
      <c r="G69" s="3" t="s">
        <v>277</v>
      </c>
      <c r="H69" s="2" t="s">
        <v>21</v>
      </c>
      <c r="I69" s="2" t="s">
        <v>278</v>
      </c>
      <c r="J69" s="3" t="str">
        <f>HYPERLINK("https://www.boe.es/gazeta/dias/1812/08/28/pdfs/GRE-1812-113E.pdf#page=8","Abrir facsímil")</f>
        <v>Abrir facsímil</v>
      </c>
      <c r="K69" s="3" t="s">
        <v>23</v>
      </c>
    </row>
    <row r="70" spans="1:11" ht="42" customHeight="1">
      <c r="A70" s="2" t="s">
        <v>279</v>
      </c>
      <c r="B70" s="2" t="s">
        <v>279</v>
      </c>
      <c r="C70" s="2" t="s">
        <v>26</v>
      </c>
      <c r="D70" s="2" t="s">
        <v>27</v>
      </c>
      <c r="E70" s="4">
        <v>-32062</v>
      </c>
      <c r="F70" s="3" t="s">
        <v>280</v>
      </c>
      <c r="G70" s="3" t="s">
        <v>20</v>
      </c>
      <c r="H70" s="2" t="s">
        <v>21</v>
      </c>
      <c r="I70" s="2" t="s">
        <v>281</v>
      </c>
      <c r="J70" s="3" t="str">
        <f>HYPERLINK("https://www.boe.es/gazeta/dias/1812/03/19/pdfs/GMD-1812-79.pdf#page=4","Abrir facsímil")</f>
        <v>Abrir facsímil</v>
      </c>
      <c r="K70" s="3" t="s">
        <v>23</v>
      </c>
    </row>
    <row r="71" spans="1:11" ht="42" customHeight="1">
      <c r="A71" s="2" t="s">
        <v>282</v>
      </c>
      <c r="B71" s="2" t="s">
        <v>283</v>
      </c>
      <c r="C71" s="2" t="s">
        <v>26</v>
      </c>
      <c r="D71" s="2" t="s">
        <v>27</v>
      </c>
      <c r="E71" s="4">
        <v>-32095</v>
      </c>
      <c r="F71" s="3" t="s">
        <v>284</v>
      </c>
      <c r="G71" s="3" t="s">
        <v>29</v>
      </c>
      <c r="H71" s="2" t="s">
        <v>21</v>
      </c>
      <c r="I71" s="2" t="s">
        <v>285</v>
      </c>
      <c r="J71" s="3" t="str">
        <f>HYPERLINK("https://www.boe.es/gazeta/dias/1812/02/15/pdfs/GRE-1812-20.pdf#page=8","Abrir facsímil")</f>
        <v>Abrir facsímil</v>
      </c>
      <c r="K71" s="3" t="s">
        <v>23</v>
      </c>
    </row>
    <row r="72" spans="1:11" ht="42" customHeight="1">
      <c r="A72" s="2" t="s">
        <v>286</v>
      </c>
      <c r="B72" s="2" t="s">
        <v>287</v>
      </c>
      <c r="C72" s="2" t="s">
        <v>17</v>
      </c>
      <c r="D72" s="2" t="s">
        <v>18</v>
      </c>
      <c r="E72" s="4">
        <v>-32139</v>
      </c>
      <c r="F72" s="3" t="s">
        <v>288</v>
      </c>
      <c r="G72" s="3" t="s">
        <v>20</v>
      </c>
      <c r="H72" s="2" t="s">
        <v>21</v>
      </c>
      <c r="I72" s="2" t="s">
        <v>289</v>
      </c>
      <c r="J72" s="3" t="str">
        <f>HYPERLINK("https://www.boe.es/gazeta/dias/1812/01/02/pdfs/GMD-1812-2.pdf#page=3","Abrir facsímil")</f>
        <v>Abrir facsímil</v>
      </c>
      <c r="K72" s="3" t="s">
        <v>23</v>
      </c>
    </row>
    <row r="73" spans="1:11" ht="42" customHeight="1">
      <c r="A73" s="2" t="s">
        <v>290</v>
      </c>
      <c r="B73" s="2" t="s">
        <v>290</v>
      </c>
      <c r="C73" s="2" t="s">
        <v>26</v>
      </c>
      <c r="D73" s="2" t="s">
        <v>27</v>
      </c>
      <c r="E73" s="4">
        <v>-32066</v>
      </c>
      <c r="F73" s="3" t="s">
        <v>291</v>
      </c>
      <c r="G73" s="3" t="s">
        <v>125</v>
      </c>
      <c r="H73" s="2" t="s">
        <v>21</v>
      </c>
      <c r="I73" s="2" t="s">
        <v>292</v>
      </c>
      <c r="J73" s="3" t="str">
        <f>HYPERLINK("https://www.boe.es/gazeta/dias/1812/03/15/pdfs/GMD-1812-75.pdf#page=4","Abrir facsímil")</f>
        <v>Abrir facsímil</v>
      </c>
      <c r="K73" s="3" t="s">
        <v>23</v>
      </c>
    </row>
    <row r="74" spans="1:11" ht="42" customHeight="1">
      <c r="A74" s="2" t="s">
        <v>293</v>
      </c>
      <c r="B74" s="2" t="s">
        <v>294</v>
      </c>
      <c r="C74" s="2" t="s">
        <v>26</v>
      </c>
      <c r="D74" s="2" t="s">
        <v>27</v>
      </c>
      <c r="E74" s="4">
        <v>-32015</v>
      </c>
      <c r="F74" s="3" t="s">
        <v>77</v>
      </c>
      <c r="G74" s="3" t="s">
        <v>78</v>
      </c>
      <c r="H74" s="2" t="s">
        <v>21</v>
      </c>
      <c r="I74" s="2" t="s">
        <v>295</v>
      </c>
      <c r="J74" s="3" t="str">
        <f>HYPERLINK("https://www.boe.es/gazeta/dias/1812/05/05/pdfs/GRE-1812-56.pdf#page=8","Abrir facsímil")</f>
        <v>Abrir facsímil</v>
      </c>
      <c r="K74" s="3" t="s">
        <v>23</v>
      </c>
    </row>
    <row r="75" spans="1:11" ht="42" customHeight="1">
      <c r="A75" s="2" t="s">
        <v>296</v>
      </c>
      <c r="B75" s="2" t="s">
        <v>296</v>
      </c>
      <c r="C75" s="2" t="s">
        <v>49</v>
      </c>
      <c r="D75" s="2" t="s">
        <v>27</v>
      </c>
      <c r="E75" s="4">
        <v>-32090</v>
      </c>
      <c r="F75" s="3" t="s">
        <v>142</v>
      </c>
      <c r="G75" s="3" t="s">
        <v>297</v>
      </c>
      <c r="H75" s="2" t="s">
        <v>21</v>
      </c>
      <c r="I75" s="2" t="s">
        <v>298</v>
      </c>
      <c r="J75" s="3" t="str">
        <f>HYPERLINK("https://www.boe.es/gazeta/dias/1812/02/20/pdfs/GRE-1812-22.pdf#page=4","Abrir facsímil")</f>
        <v>Abrir facsímil</v>
      </c>
      <c r="K75" s="3" t="s">
        <v>23</v>
      </c>
    </row>
    <row r="76" spans="1:11" ht="42" customHeight="1">
      <c r="A76" s="2" t="s">
        <v>299</v>
      </c>
      <c r="B76" s="2" t="s">
        <v>300</v>
      </c>
      <c r="C76" s="2" t="s">
        <v>26</v>
      </c>
      <c r="D76" s="2" t="s">
        <v>27</v>
      </c>
      <c r="E76" s="4">
        <v>-32075</v>
      </c>
      <c r="F76" s="3" t="s">
        <v>301</v>
      </c>
      <c r="G76" s="3" t="s">
        <v>20</v>
      </c>
      <c r="H76" s="2" t="s">
        <v>21</v>
      </c>
      <c r="I76" s="2" t="s">
        <v>302</v>
      </c>
      <c r="J76" s="3" t="str">
        <f>HYPERLINK("https://www.boe.es/gazeta/dias/1812/03/06/pdfs/GMD-1812-66.pdf#page=4","Abrir facsímil")</f>
        <v>Abrir facsímil</v>
      </c>
      <c r="K76" s="3" t="s">
        <v>23</v>
      </c>
    </row>
    <row r="77" spans="1:11" ht="42" customHeight="1">
      <c r="A77" s="2" t="s">
        <v>303</v>
      </c>
      <c r="B77" s="2" t="s">
        <v>304</v>
      </c>
      <c r="C77" s="2" t="s">
        <v>82</v>
      </c>
      <c r="D77" s="2" t="s">
        <v>27</v>
      </c>
      <c r="E77" s="4">
        <v>-31964</v>
      </c>
      <c r="F77" s="3" t="s">
        <v>305</v>
      </c>
      <c r="G77" s="3" t="s">
        <v>306</v>
      </c>
      <c r="H77" s="2" t="s">
        <v>21</v>
      </c>
      <c r="I77" s="2" t="s">
        <v>307</v>
      </c>
      <c r="J77" s="3" t="str">
        <f>HYPERLINK("https://www.boe.es/gazeta/dias/1812/06/25/pdfs/GMD-1812-177.pdf#page=3","Abrir facsímil")</f>
        <v>Abrir facsímil</v>
      </c>
      <c r="K77" s="3" t="s">
        <v>23</v>
      </c>
    </row>
    <row r="78" spans="1:11" ht="42" customHeight="1">
      <c r="A78" s="2" t="s">
        <v>308</v>
      </c>
      <c r="B78" s="2" t="s">
        <v>309</v>
      </c>
      <c r="C78" s="2" t="s">
        <v>26</v>
      </c>
      <c r="D78" s="2" t="s">
        <v>27</v>
      </c>
      <c r="E78" s="4">
        <v>-31833</v>
      </c>
      <c r="F78" s="3" t="s">
        <v>267</v>
      </c>
      <c r="G78" s="3" t="s">
        <v>268</v>
      </c>
      <c r="H78" s="2" t="s">
        <v>21</v>
      </c>
      <c r="I78" s="2" t="s">
        <v>310</v>
      </c>
      <c r="J78" s="3" t="str">
        <f>HYPERLINK("https://www.boe.es/gazeta/dias/1812/11/03/pdfs/GRE-1812-147.pdf#page=8","Abrir facsímil")</f>
        <v>Abrir facsímil</v>
      </c>
      <c r="K78" s="3" t="s">
        <v>23</v>
      </c>
    </row>
    <row r="79" spans="1:11" ht="42" customHeight="1">
      <c r="A79" s="2" t="s">
        <v>308</v>
      </c>
      <c r="B79" s="2" t="s">
        <v>309</v>
      </c>
      <c r="C79" s="2" t="s">
        <v>26</v>
      </c>
      <c r="D79" s="2" t="s">
        <v>27</v>
      </c>
      <c r="E79" s="4">
        <v>-31816</v>
      </c>
      <c r="F79" s="3" t="s">
        <v>270</v>
      </c>
      <c r="G79" s="3" t="s">
        <v>271</v>
      </c>
      <c r="H79" s="2" t="s">
        <v>21</v>
      </c>
      <c r="I79" s="2" t="s">
        <v>311</v>
      </c>
      <c r="J79" s="3" t="str">
        <f>HYPERLINK("https://www.boe.es/gazeta/dias/1812/11/20/pdfs/GMR-1812-36.pdf#page=6","Abrir facsímil")</f>
        <v>Abrir facsímil</v>
      </c>
      <c r="K79" s="3" t="s">
        <v>23</v>
      </c>
    </row>
    <row r="80" spans="1:11" ht="42" customHeight="1">
      <c r="A80" s="2" t="s">
        <v>312</v>
      </c>
      <c r="B80" s="2" t="s">
        <v>313</v>
      </c>
      <c r="C80" s="2" t="s">
        <v>26</v>
      </c>
      <c r="D80" s="2" t="s">
        <v>27</v>
      </c>
      <c r="E80" s="4">
        <v>-32034</v>
      </c>
      <c r="F80" s="3" t="s">
        <v>28</v>
      </c>
      <c r="G80" s="3" t="s">
        <v>45</v>
      </c>
      <c r="H80" s="2" t="s">
        <v>21</v>
      </c>
      <c r="I80" s="2" t="s">
        <v>314</v>
      </c>
      <c r="J80" s="3" t="str">
        <f>HYPERLINK("https://www.boe.es/gazeta/dias/1812/04/16/pdfs/GMD-1812-107.pdf#page=5","Abrir facsímil")</f>
        <v>Abrir facsímil</v>
      </c>
      <c r="K80" s="3" t="s">
        <v>23</v>
      </c>
    </row>
    <row r="81" spans="1:11" ht="42" customHeight="1">
      <c r="A81" s="2" t="s">
        <v>315</v>
      </c>
      <c r="B81" s="2" t="s">
        <v>316</v>
      </c>
      <c r="C81" s="2" t="s">
        <v>26</v>
      </c>
      <c r="D81" s="2" t="s">
        <v>27</v>
      </c>
      <c r="E81" s="4">
        <v>-32034</v>
      </c>
      <c r="F81" s="3" t="s">
        <v>28</v>
      </c>
      <c r="G81" s="3" t="s">
        <v>317</v>
      </c>
      <c r="H81" s="2" t="s">
        <v>21</v>
      </c>
      <c r="I81" s="2" t="s">
        <v>318</v>
      </c>
      <c r="J81" s="3" t="str">
        <f>HYPERLINK("https://www.boe.es/gazeta/dias/1812/04/16/pdfs/GMD-1812-107.pdf#page=6","Abrir facsímil")</f>
        <v>Abrir facsímil</v>
      </c>
      <c r="K81" s="3" t="s">
        <v>23</v>
      </c>
    </row>
    <row r="82" spans="1:11" ht="42" customHeight="1">
      <c r="A82" s="2" t="s">
        <v>319</v>
      </c>
      <c r="B82" s="2" t="s">
        <v>320</v>
      </c>
      <c r="C82" s="2" t="s">
        <v>105</v>
      </c>
      <c r="D82" s="2" t="s">
        <v>275</v>
      </c>
      <c r="E82" s="4">
        <v>-32034</v>
      </c>
      <c r="F82" s="3" t="s">
        <v>28</v>
      </c>
      <c r="G82" s="3" t="s">
        <v>20</v>
      </c>
      <c r="H82" s="2" t="s">
        <v>21</v>
      </c>
      <c r="I82" s="2" t="s">
        <v>321</v>
      </c>
      <c r="J82" s="3" t="str">
        <f>HYPERLINK("https://www.boe.es/gazeta/dias/1812/04/16/pdfs/GMD-1812-107.pdf#page=3","Abrir facsímil")</f>
        <v>Abrir facsímil</v>
      </c>
      <c r="K82" s="3" t="s">
        <v>23</v>
      </c>
    </row>
    <row r="83" spans="1:11" ht="42" customHeight="1">
      <c r="A83" s="2" t="s">
        <v>322</v>
      </c>
      <c r="B83" s="2" t="s">
        <v>323</v>
      </c>
      <c r="C83" s="2" t="s">
        <v>26</v>
      </c>
      <c r="D83" s="2" t="s">
        <v>27</v>
      </c>
      <c r="E83" s="4">
        <v>-31938</v>
      </c>
      <c r="F83" s="3" t="s">
        <v>324</v>
      </c>
      <c r="G83" s="3" t="s">
        <v>237</v>
      </c>
      <c r="H83" s="2" t="s">
        <v>21</v>
      </c>
      <c r="I83" s="2" t="s">
        <v>325</v>
      </c>
      <c r="J83" s="3" t="str">
        <f>HYPERLINK("https://www.boe.es/gazeta/dias/1812/07/21/pdfs/GMD-1812-203.pdf#page=2","Abrir facsímil")</f>
        <v>Abrir facsímil</v>
      </c>
      <c r="K83" s="3" t="s">
        <v>23</v>
      </c>
    </row>
    <row r="84" spans="1:11" ht="42" customHeight="1">
      <c r="A84" s="2" t="s">
        <v>326</v>
      </c>
      <c r="B84" s="2" t="s">
        <v>327</v>
      </c>
      <c r="C84" s="2" t="s">
        <v>186</v>
      </c>
      <c r="D84" s="2" t="s">
        <v>27</v>
      </c>
      <c r="E84" s="4">
        <v>-31829</v>
      </c>
      <c r="F84" s="3" t="s">
        <v>328</v>
      </c>
      <c r="G84" s="3" t="s">
        <v>20</v>
      </c>
      <c r="H84" s="2" t="s">
        <v>21</v>
      </c>
      <c r="I84" s="2" t="s">
        <v>329</v>
      </c>
      <c r="J84" s="3" t="str">
        <f>HYPERLINK("https://www.boe.es/gazeta/dias/1812/11/07/pdfs/GMD-1812-227.pdf#page=4","Abrir facsímil")</f>
        <v>Abrir facsímil</v>
      </c>
      <c r="K84" s="3" t="s">
        <v>23</v>
      </c>
    </row>
    <row r="85" spans="1:11" ht="42" customHeight="1">
      <c r="A85" s="2" t="s">
        <v>330</v>
      </c>
      <c r="B85" s="2" t="s">
        <v>331</v>
      </c>
      <c r="C85" s="2" t="s">
        <v>26</v>
      </c>
      <c r="D85" s="2" t="s">
        <v>27</v>
      </c>
      <c r="E85" s="4">
        <v>-31980</v>
      </c>
      <c r="F85" s="3" t="s">
        <v>40</v>
      </c>
      <c r="G85" s="3" t="s">
        <v>41</v>
      </c>
      <c r="H85" s="2" t="s">
        <v>21</v>
      </c>
      <c r="I85" s="2" t="s">
        <v>332</v>
      </c>
      <c r="J85" s="3" t="str">
        <f>HYPERLINK("https://www.boe.es/gazeta/dias/1812/06/09/pdfs/GRE-1812-71.pdf#page=6","Abrir facsímil")</f>
        <v>Abrir facsímil</v>
      </c>
      <c r="K85" s="3" t="s">
        <v>23</v>
      </c>
    </row>
    <row r="86" spans="1:11" ht="42" customHeight="1">
      <c r="A86" s="2" t="s">
        <v>333</v>
      </c>
      <c r="B86" s="2" t="s">
        <v>334</v>
      </c>
      <c r="C86" s="2" t="s">
        <v>105</v>
      </c>
      <c r="D86" s="2" t="s">
        <v>27</v>
      </c>
      <c r="E86" s="4">
        <v>-32125</v>
      </c>
      <c r="F86" s="3" t="s">
        <v>335</v>
      </c>
      <c r="G86" s="3" t="s">
        <v>336</v>
      </c>
      <c r="H86" s="2" t="s">
        <v>21</v>
      </c>
      <c r="I86" s="2" t="s">
        <v>337</v>
      </c>
      <c r="J86" s="3" t="str">
        <f>HYPERLINK("https://www.boe.es/gazeta/dias/1812/01/16/pdfs/GEI-1812-7.pdf#page=8","Abrir facsímil")</f>
        <v>Abrir facsímil</v>
      </c>
      <c r="K86" s="3" t="s">
        <v>23</v>
      </c>
    </row>
    <row r="87" spans="1:11" ht="42" customHeight="1">
      <c r="A87" s="2" t="s">
        <v>338</v>
      </c>
      <c r="B87" s="2" t="s">
        <v>339</v>
      </c>
      <c r="C87" s="2" t="s">
        <v>67</v>
      </c>
      <c r="D87" s="2" t="s">
        <v>27</v>
      </c>
      <c r="E87" s="4">
        <v>-32110</v>
      </c>
      <c r="F87" s="3" t="s">
        <v>68</v>
      </c>
      <c r="G87" s="3" t="s">
        <v>20</v>
      </c>
      <c r="H87" s="2" t="s">
        <v>21</v>
      </c>
      <c r="I87" s="2" t="s">
        <v>340</v>
      </c>
      <c r="J87" s="3" t="str">
        <f>HYPERLINK("https://www.boe.es/gazeta/dias/1812/01/31/pdfs/GMD-1812-31.pdf#page=3","Abrir facsímil")</f>
        <v>Abrir facsímil</v>
      </c>
      <c r="K87" s="3" t="s">
        <v>23</v>
      </c>
    </row>
    <row r="88" spans="1:11" ht="42" customHeight="1">
      <c r="A88" s="2" t="s">
        <v>338</v>
      </c>
      <c r="B88" s="2" t="s">
        <v>339</v>
      </c>
      <c r="C88" s="2" t="s">
        <v>82</v>
      </c>
      <c r="D88" s="2" t="s">
        <v>27</v>
      </c>
      <c r="E88" s="4">
        <v>-31964</v>
      </c>
      <c r="F88" s="3" t="s">
        <v>305</v>
      </c>
      <c r="G88" s="3" t="s">
        <v>306</v>
      </c>
      <c r="H88" s="2" t="s">
        <v>21</v>
      </c>
      <c r="I88" s="2" t="s">
        <v>341</v>
      </c>
      <c r="J88" s="3" t="str">
        <f>HYPERLINK("https://www.boe.es/gazeta/dias/1812/06/25/pdfs/GMD-1812-177.pdf#page=3","Abrir facsímil")</f>
        <v>Abrir facsímil</v>
      </c>
      <c r="K88" s="3" t="s">
        <v>23</v>
      </c>
    </row>
    <row r="89" spans="1:11" ht="42" customHeight="1">
      <c r="A89" s="2" t="s">
        <v>342</v>
      </c>
      <c r="B89" s="2" t="s">
        <v>343</v>
      </c>
      <c r="C89" s="2" t="s">
        <v>17</v>
      </c>
      <c r="D89" s="2" t="s">
        <v>27</v>
      </c>
      <c r="E89" s="4">
        <v>-32110</v>
      </c>
      <c r="F89" s="3" t="s">
        <v>68</v>
      </c>
      <c r="G89" s="3" t="s">
        <v>20</v>
      </c>
      <c r="H89" s="2" t="s">
        <v>21</v>
      </c>
      <c r="I89" s="2" t="s">
        <v>344</v>
      </c>
      <c r="J89" s="3" t="str">
        <f>HYPERLINK("https://www.boe.es/gazeta/dias/1812/01/31/pdfs/GMD-1812-31.pdf#page=3","Abrir facsímil")</f>
        <v>Abrir facsímil</v>
      </c>
      <c r="K89" s="3" t="s">
        <v>23</v>
      </c>
    </row>
    <row r="90" spans="1:11" ht="42" customHeight="1">
      <c r="A90" s="2" t="s">
        <v>345</v>
      </c>
      <c r="B90" s="2" t="s">
        <v>346</v>
      </c>
      <c r="C90" s="2" t="s">
        <v>26</v>
      </c>
      <c r="D90" s="2" t="s">
        <v>27</v>
      </c>
      <c r="E90" s="4">
        <v>-32110</v>
      </c>
      <c r="F90" s="3" t="s">
        <v>68</v>
      </c>
      <c r="G90" s="3" t="s">
        <v>20</v>
      </c>
      <c r="H90" s="2" t="s">
        <v>21</v>
      </c>
      <c r="I90" s="2" t="s">
        <v>347</v>
      </c>
      <c r="J90" s="3" t="str">
        <f>HYPERLINK("https://www.boe.es/gazeta/dias/1812/01/31/pdfs/GMD-1812-31.pdf#page=3","Abrir facsímil")</f>
        <v>Abrir facsímil</v>
      </c>
      <c r="K90" s="3" t="s">
        <v>23</v>
      </c>
    </row>
    <row r="91" spans="1:11" ht="42" customHeight="1">
      <c r="A91" s="2" t="s">
        <v>348</v>
      </c>
      <c r="B91" s="2" t="s">
        <v>349</v>
      </c>
      <c r="C91" s="2" t="s">
        <v>82</v>
      </c>
      <c r="D91" s="2" t="s">
        <v>27</v>
      </c>
      <c r="E91" s="4">
        <v>-31789</v>
      </c>
      <c r="F91" s="3" t="s">
        <v>350</v>
      </c>
      <c r="G91" s="3" t="s">
        <v>351</v>
      </c>
      <c r="H91" s="2" t="s">
        <v>21</v>
      </c>
      <c r="I91" s="2" t="s">
        <v>352</v>
      </c>
      <c r="J91" s="3" t="str">
        <f>HYPERLINK("https://www.boe.es/gazeta/dias/1812/12/17/pdfs/GRE-1812-166.pdf#page=6","Abrir facsímil")</f>
        <v>Abrir facsímil</v>
      </c>
      <c r="K91" s="3" t="s">
        <v>23</v>
      </c>
    </row>
    <row r="92" spans="1:11" ht="42" customHeight="1">
      <c r="A92" s="2" t="s">
        <v>353</v>
      </c>
      <c r="B92" s="2" t="s">
        <v>354</v>
      </c>
      <c r="C92" s="2" t="s">
        <v>17</v>
      </c>
      <c r="D92" s="2" t="s">
        <v>275</v>
      </c>
      <c r="E92" s="4">
        <v>-32137</v>
      </c>
      <c r="F92" s="3" t="s">
        <v>355</v>
      </c>
      <c r="G92" s="3" t="s">
        <v>117</v>
      </c>
      <c r="H92" s="2" t="s">
        <v>21</v>
      </c>
      <c r="I92" s="2" t="s">
        <v>356</v>
      </c>
      <c r="J92" s="3" t="str">
        <f>HYPERLINK("https://www.boe.es/gazeta/dias/1812/01/04/pdfs/GEI-1812-2.pdf#page=8","Abrir facsímil")</f>
        <v>Abrir facsímil</v>
      </c>
      <c r="K92" s="3" t="s">
        <v>23</v>
      </c>
    </row>
    <row r="93" spans="1:11" ht="42" customHeight="1">
      <c r="A93" s="2" t="s">
        <v>357</v>
      </c>
      <c r="B93" s="2" t="s">
        <v>358</v>
      </c>
      <c r="C93" s="2" t="s">
        <v>26</v>
      </c>
      <c r="D93" s="2" t="s">
        <v>27</v>
      </c>
      <c r="E93" s="4">
        <v>-32065</v>
      </c>
      <c r="F93" s="3" t="s">
        <v>259</v>
      </c>
      <c r="G93" s="3" t="s">
        <v>20</v>
      </c>
      <c r="H93" s="2" t="s">
        <v>21</v>
      </c>
      <c r="I93" s="2" t="s">
        <v>359</v>
      </c>
      <c r="J93" s="3" t="str">
        <f>HYPERLINK("https://www.boe.es/gazeta/dias/1812/03/16/pdfs/GMD-1812-76.pdf#page=4","Abrir facsímil")</f>
        <v>Abrir facsímil</v>
      </c>
      <c r="K93" s="3" t="s">
        <v>23</v>
      </c>
    </row>
    <row r="94" spans="1:11" ht="42" customHeight="1">
      <c r="A94" s="2" t="s">
        <v>360</v>
      </c>
      <c r="B94" s="2" t="s">
        <v>361</v>
      </c>
      <c r="C94" s="2" t="s">
        <v>26</v>
      </c>
      <c r="D94" s="2" t="s">
        <v>27</v>
      </c>
      <c r="E94" s="4">
        <v>-32109</v>
      </c>
      <c r="F94" s="3" t="s">
        <v>62</v>
      </c>
      <c r="G94" s="3" t="s">
        <v>106</v>
      </c>
      <c r="H94" s="2" t="s">
        <v>21</v>
      </c>
      <c r="I94" s="2" t="s">
        <v>362</v>
      </c>
      <c r="J94" s="3" t="str">
        <f>HYPERLINK("https://www.boe.es/gazeta/dias/1812/02/01/pdfs/GRE-1812-14.pdf#page=11","Abrir facsímil")</f>
        <v>Abrir facsímil</v>
      </c>
      <c r="K94" s="3" t="s">
        <v>23</v>
      </c>
    </row>
    <row r="95" spans="1:11" ht="42" customHeight="1">
      <c r="A95" s="2" t="s">
        <v>363</v>
      </c>
      <c r="B95" s="2" t="s">
        <v>364</v>
      </c>
      <c r="C95" s="2" t="s">
        <v>26</v>
      </c>
      <c r="D95" s="2" t="s">
        <v>27</v>
      </c>
      <c r="E95" s="4">
        <v>-32018</v>
      </c>
      <c r="F95" s="3" t="s">
        <v>365</v>
      </c>
      <c r="G95" s="3" t="s">
        <v>366</v>
      </c>
      <c r="H95" s="2" t="s">
        <v>21</v>
      </c>
      <c r="I95" s="2" t="s">
        <v>367</v>
      </c>
      <c r="J95" s="3" t="str">
        <f>HYPERLINK("https://www.boe.es/gazeta/dias/1812/05/02/pdfs/GRE-1812-55.pdf#page=3","Abrir facsímil")</f>
        <v>Abrir facsímil</v>
      </c>
      <c r="K95" s="3" t="s">
        <v>23</v>
      </c>
    </row>
    <row r="96" spans="1:11" ht="42" customHeight="1">
      <c r="A96" s="2" t="s">
        <v>368</v>
      </c>
      <c r="B96" s="2" t="s">
        <v>369</v>
      </c>
      <c r="C96" s="2" t="s">
        <v>26</v>
      </c>
      <c r="D96" s="2" t="s">
        <v>27</v>
      </c>
      <c r="E96" s="4">
        <v>-31938</v>
      </c>
      <c r="F96" s="3" t="s">
        <v>370</v>
      </c>
      <c r="G96" s="3" t="s">
        <v>371</v>
      </c>
      <c r="H96" s="2" t="s">
        <v>21</v>
      </c>
      <c r="I96" s="2" t="s">
        <v>372</v>
      </c>
      <c r="J96" s="3" t="str">
        <f>HYPERLINK("https://www.boe.es/gazeta/dias/1812/07/21/pdfs/GRE-1812-91.pdf#page=8","Abrir facsímil")</f>
        <v>Abrir facsímil</v>
      </c>
      <c r="K96" s="3" t="s">
        <v>23</v>
      </c>
    </row>
    <row r="97" spans="1:11" ht="42" customHeight="1">
      <c r="A97" s="2" t="s">
        <v>373</v>
      </c>
      <c r="B97" s="2" t="s">
        <v>374</v>
      </c>
      <c r="C97" s="2" t="s">
        <v>17</v>
      </c>
      <c r="D97" s="2" t="s">
        <v>27</v>
      </c>
      <c r="E97" s="4">
        <v>-31922</v>
      </c>
      <c r="F97" s="3" t="s">
        <v>375</v>
      </c>
      <c r="G97" s="3" t="s">
        <v>376</v>
      </c>
      <c r="H97" s="2" t="s">
        <v>21</v>
      </c>
      <c r="I97" s="2" t="s">
        <v>377</v>
      </c>
      <c r="J97" s="3" t="str">
        <f>HYPERLINK("https://www.boe.es/gazeta/dias/1812/08/06/pdfs/GRE-1812-100.pdf#page=7","Abrir facsímil")</f>
        <v>Abrir facsímil</v>
      </c>
      <c r="K97" s="3" t="s">
        <v>23</v>
      </c>
    </row>
    <row r="98" spans="1:11" ht="42" customHeight="1">
      <c r="A98" s="2" t="s">
        <v>378</v>
      </c>
      <c r="B98" s="2" t="s">
        <v>379</v>
      </c>
      <c r="C98" s="2" t="s">
        <v>26</v>
      </c>
      <c r="D98" s="2" t="s">
        <v>27</v>
      </c>
      <c r="E98" s="4">
        <v>-31941</v>
      </c>
      <c r="F98" s="3" t="s">
        <v>57</v>
      </c>
      <c r="G98" s="3" t="s">
        <v>125</v>
      </c>
      <c r="H98" s="2" t="s">
        <v>21</v>
      </c>
      <c r="I98" s="2" t="s">
        <v>380</v>
      </c>
      <c r="J98" s="3" t="str">
        <f>HYPERLINK("https://www.boe.es/gazeta/dias/1812/07/18/pdfs/GMD-1812-200.pdf#page=3","Abrir facsímil")</f>
        <v>Abrir facsímil</v>
      </c>
      <c r="K98" s="3" t="s">
        <v>23</v>
      </c>
    </row>
    <row r="99" spans="1:11" ht="42" customHeight="1">
      <c r="A99" s="2" t="s">
        <v>381</v>
      </c>
      <c r="B99" s="2" t="s">
        <v>381</v>
      </c>
      <c r="C99" s="2" t="s">
        <v>26</v>
      </c>
      <c r="D99" s="2" t="s">
        <v>194</v>
      </c>
      <c r="E99" s="4">
        <v>-32116</v>
      </c>
      <c r="F99" s="3" t="s">
        <v>382</v>
      </c>
      <c r="G99" s="3" t="s">
        <v>136</v>
      </c>
      <c r="H99" s="2" t="s">
        <v>21</v>
      </c>
      <c r="I99" s="2" t="s">
        <v>383</v>
      </c>
      <c r="J99" s="3" t="str">
        <f>HYPERLINK("https://www.boe.es/gazeta/dias/1812/01/25/pdfs/GMD-1812-25.pdf#page=4","Abrir facsímil")</f>
        <v>Abrir facsímil</v>
      </c>
      <c r="K99" s="3" t="s">
        <v>23</v>
      </c>
    </row>
    <row r="100" spans="1:11" ht="42" customHeight="1">
      <c r="A100" s="2" t="s">
        <v>381</v>
      </c>
      <c r="B100" s="2" t="s">
        <v>381</v>
      </c>
      <c r="C100" s="2" t="s">
        <v>17</v>
      </c>
      <c r="D100" s="2" t="s">
        <v>18</v>
      </c>
      <c r="E100" s="4">
        <v>-32063</v>
      </c>
      <c r="F100" s="3" t="s">
        <v>384</v>
      </c>
      <c r="G100" s="3" t="s">
        <v>20</v>
      </c>
      <c r="H100" s="2" t="s">
        <v>21</v>
      </c>
      <c r="I100" s="2" t="s">
        <v>385</v>
      </c>
      <c r="J100" s="3" t="str">
        <f>HYPERLINK("https://www.boe.es/gazeta/dias/1812/03/18/pdfs/GMD-1812-78.pdf#page=4","Abrir facsímil")</f>
        <v>Abrir facsímil</v>
      </c>
      <c r="K100" s="3" t="s">
        <v>23</v>
      </c>
    </row>
    <row r="101" spans="1:11" ht="42" customHeight="1">
      <c r="A101" s="2" t="s">
        <v>381</v>
      </c>
      <c r="B101" s="2" t="s">
        <v>381</v>
      </c>
      <c r="C101" s="2" t="s">
        <v>67</v>
      </c>
      <c r="D101" s="2" t="s">
        <v>194</v>
      </c>
      <c r="E101" s="4">
        <v>-32041</v>
      </c>
      <c r="F101" s="3" t="s">
        <v>35</v>
      </c>
      <c r="G101" s="3" t="s">
        <v>36</v>
      </c>
      <c r="H101" s="2" t="s">
        <v>21</v>
      </c>
      <c r="I101" s="2" t="s">
        <v>386</v>
      </c>
      <c r="J101" s="3" t="str">
        <f>HYPERLINK("https://www.boe.es/gazeta/dias/1812/04/09/pdfs/GRE-1812-44.pdf#page=3","Abrir facsímil")</f>
        <v>Abrir facsímil</v>
      </c>
      <c r="K101" s="3" t="s">
        <v>23</v>
      </c>
    </row>
    <row r="102" spans="1:11" ht="42" customHeight="1">
      <c r="A102" s="2" t="s">
        <v>381</v>
      </c>
      <c r="B102" s="2" t="s">
        <v>381</v>
      </c>
      <c r="C102" s="2" t="s">
        <v>17</v>
      </c>
      <c r="D102" s="2" t="s">
        <v>18</v>
      </c>
      <c r="E102" s="4">
        <v>-31966</v>
      </c>
      <c r="F102" s="3" t="s">
        <v>387</v>
      </c>
      <c r="G102" s="3" t="s">
        <v>388</v>
      </c>
      <c r="H102" s="2" t="s">
        <v>21</v>
      </c>
      <c r="I102" s="2" t="s">
        <v>389</v>
      </c>
      <c r="J102" s="3" t="str">
        <f>HYPERLINK("https://www.boe.es/gazeta/dias/1812/06/23/pdfs/GMD-1812-175.pdf#page=2","Abrir facsímil")</f>
        <v>Abrir facsímil</v>
      </c>
      <c r="K102" s="3" t="s">
        <v>23</v>
      </c>
    </row>
    <row r="103" spans="1:11" ht="42" customHeight="1">
      <c r="A103" s="2" t="s">
        <v>390</v>
      </c>
      <c r="B103" s="2" t="s">
        <v>391</v>
      </c>
      <c r="C103" s="2" t="s">
        <v>105</v>
      </c>
      <c r="D103" s="2" t="s">
        <v>27</v>
      </c>
      <c r="E103" s="4">
        <v>-32018</v>
      </c>
      <c r="F103" s="3" t="s">
        <v>365</v>
      </c>
      <c r="G103" s="3" t="s">
        <v>392</v>
      </c>
      <c r="H103" s="2" t="s">
        <v>21</v>
      </c>
      <c r="I103" s="2" t="s">
        <v>393</v>
      </c>
      <c r="J103" s="3" t="str">
        <f>HYPERLINK("https://www.boe.es/gazeta/dias/1812/05/02/pdfs/GRE-1812-55.pdf#page=2","Abrir facsímil")</f>
        <v>Abrir facsímil</v>
      </c>
      <c r="K103" s="3" t="s">
        <v>23</v>
      </c>
    </row>
    <row r="104" spans="1:11" ht="42" customHeight="1">
      <c r="A104" s="2" t="s">
        <v>394</v>
      </c>
      <c r="B104" s="2" t="s">
        <v>395</v>
      </c>
      <c r="C104" s="2" t="s">
        <v>26</v>
      </c>
      <c r="D104" s="2" t="s">
        <v>27</v>
      </c>
      <c r="E104" s="4">
        <v>-32034</v>
      </c>
      <c r="F104" s="3" t="s">
        <v>28</v>
      </c>
      <c r="G104" s="3" t="s">
        <v>130</v>
      </c>
      <c r="H104" s="2" t="s">
        <v>21</v>
      </c>
      <c r="I104" s="2" t="s">
        <v>396</v>
      </c>
      <c r="J104" s="3" t="str">
        <f>HYPERLINK("https://www.boe.es/gazeta/dias/1812/04/16/pdfs/GMD-1812-107.pdf#page=4","Abrir facsímil")</f>
        <v>Abrir facsímil</v>
      </c>
      <c r="K104" s="3" t="s">
        <v>23</v>
      </c>
    </row>
    <row r="105" spans="1:11" ht="42" customHeight="1">
      <c r="A105" s="2" t="s">
        <v>397</v>
      </c>
      <c r="B105" s="2" t="s">
        <v>398</v>
      </c>
      <c r="C105" s="2" t="s">
        <v>26</v>
      </c>
      <c r="D105" s="2" t="s">
        <v>27</v>
      </c>
      <c r="E105" s="4">
        <v>-32060</v>
      </c>
      <c r="F105" s="3" t="s">
        <v>399</v>
      </c>
      <c r="G105" s="3" t="s">
        <v>136</v>
      </c>
      <c r="H105" s="2" t="s">
        <v>21</v>
      </c>
      <c r="I105" s="2" t="s">
        <v>400</v>
      </c>
      <c r="J105" s="3" t="str">
        <f>HYPERLINK("https://www.boe.es/gazeta/dias/1812/03/21/pdfs/GMD-1812-81.pdf#page=4","Abrir facsímil")</f>
        <v>Abrir facsímil</v>
      </c>
      <c r="K105" s="3" t="s">
        <v>23</v>
      </c>
    </row>
    <row r="106" spans="1:11" ht="42" customHeight="1">
      <c r="A106" s="2" t="s">
        <v>401</v>
      </c>
      <c r="B106" s="2" t="s">
        <v>402</v>
      </c>
      <c r="C106" s="2" t="s">
        <v>17</v>
      </c>
      <c r="D106" s="2" t="s">
        <v>27</v>
      </c>
      <c r="E106" s="4">
        <v>-32064</v>
      </c>
      <c r="F106" s="3" t="s">
        <v>403</v>
      </c>
      <c r="G106" s="3" t="s">
        <v>404</v>
      </c>
      <c r="H106" s="2" t="s">
        <v>21</v>
      </c>
      <c r="I106" s="2" t="s">
        <v>405</v>
      </c>
      <c r="J106" s="3" t="str">
        <f>HYPERLINK("https://www.boe.es/gazeta/dias/1812/03/17/pdfs/GMD-1812-77.pdf#page=4","Abrir facsímil")</f>
        <v>Abrir facsímil</v>
      </c>
      <c r="K106" s="3" t="s">
        <v>23</v>
      </c>
    </row>
    <row r="107" spans="1:11" ht="42" customHeight="1">
      <c r="A107" s="2" t="s">
        <v>406</v>
      </c>
      <c r="B107" s="2" t="s">
        <v>407</v>
      </c>
      <c r="C107" s="2" t="s">
        <v>26</v>
      </c>
      <c r="D107" s="2" t="s">
        <v>27</v>
      </c>
      <c r="E107" s="4">
        <v>-31939</v>
      </c>
      <c r="F107" s="3" t="s">
        <v>408</v>
      </c>
      <c r="G107" s="3" t="s">
        <v>409</v>
      </c>
      <c r="H107" s="2" t="s">
        <v>21</v>
      </c>
      <c r="I107" s="2" t="s">
        <v>410</v>
      </c>
      <c r="J107" s="3" t="str">
        <f>HYPERLINK("https://www.boe.es/gazeta/dias/1812/07/20/pdfs/GMD-1812-202.pdf#page=3","Abrir facsímil")</f>
        <v>Abrir facsímil</v>
      </c>
      <c r="K107" s="3" t="s">
        <v>23</v>
      </c>
    </row>
    <row r="108" spans="1:11" ht="42" customHeight="1">
      <c r="A108" s="2" t="s">
        <v>411</v>
      </c>
      <c r="B108" s="2" t="s">
        <v>412</v>
      </c>
      <c r="C108" s="2" t="s">
        <v>17</v>
      </c>
      <c r="D108" s="2" t="s">
        <v>27</v>
      </c>
      <c r="E108" s="4">
        <v>-32067</v>
      </c>
      <c r="F108" s="3" t="s">
        <v>199</v>
      </c>
      <c r="G108" s="3" t="s">
        <v>237</v>
      </c>
      <c r="H108" s="2" t="s">
        <v>21</v>
      </c>
      <c r="I108" s="2" t="s">
        <v>413</v>
      </c>
      <c r="J108" s="3" t="str">
        <f>HYPERLINK("https://www.boe.es/gazeta/dias/1812/03/14/pdfs/GRE-1812-33.pdf#page=8","Abrir facsímil")</f>
        <v>Abrir facsímil</v>
      </c>
      <c r="K108" s="3" t="s">
        <v>23</v>
      </c>
    </row>
    <row r="109" spans="1:11" ht="42" customHeight="1">
      <c r="A109" s="2" t="s">
        <v>414</v>
      </c>
      <c r="B109" s="2" t="s">
        <v>415</v>
      </c>
      <c r="C109" s="2" t="s">
        <v>49</v>
      </c>
      <c r="D109" s="2" t="s">
        <v>18</v>
      </c>
      <c r="E109" s="4">
        <v>-31808</v>
      </c>
      <c r="F109" s="3" t="s">
        <v>416</v>
      </c>
      <c r="G109" s="3" t="s">
        <v>417</v>
      </c>
      <c r="H109" s="2" t="s">
        <v>30</v>
      </c>
      <c r="I109" s="2" t="s">
        <v>418</v>
      </c>
      <c r="J109" s="3" t="str">
        <f>HYPERLINK("https://www.boe.es/gazeta/dias/1812/11/28/pdfs/GRE-1812-158.pdf#page=7","Abrir facsímil")</f>
        <v>Abrir facsímil</v>
      </c>
      <c r="K109" s="3" t="s">
        <v>32</v>
      </c>
    </row>
    <row r="110" spans="1:11" ht="42" customHeight="1">
      <c r="A110" s="2" t="s">
        <v>419</v>
      </c>
      <c r="B110" s="2" t="s">
        <v>420</v>
      </c>
      <c r="C110" s="2" t="s">
        <v>26</v>
      </c>
      <c r="D110" s="2" t="s">
        <v>27</v>
      </c>
      <c r="E110" s="4">
        <v>-32032</v>
      </c>
      <c r="F110" s="3" t="s">
        <v>421</v>
      </c>
      <c r="G110" s="3" t="s">
        <v>106</v>
      </c>
      <c r="H110" s="2" t="s">
        <v>21</v>
      </c>
      <c r="I110" s="2" t="s">
        <v>422</v>
      </c>
      <c r="J110" s="3" t="str">
        <f>HYPERLINK("https://www.boe.es/gazeta/dias/1812/04/18/pdfs/GRE-1812-49.pdf#page=4","Abrir facsímil")</f>
        <v>Abrir facsímil</v>
      </c>
      <c r="K110" s="3" t="s">
        <v>23</v>
      </c>
    </row>
    <row r="111" spans="1:11" ht="42" customHeight="1">
      <c r="A111" s="2" t="s">
        <v>423</v>
      </c>
      <c r="B111" s="2" t="s">
        <v>423</v>
      </c>
      <c r="C111" s="2" t="s">
        <v>49</v>
      </c>
      <c r="D111" s="2" t="s">
        <v>27</v>
      </c>
      <c r="E111" s="4">
        <v>-31889</v>
      </c>
      <c r="F111" s="3" t="s">
        <v>424</v>
      </c>
      <c r="G111" s="3" t="s">
        <v>196</v>
      </c>
      <c r="H111" s="2" t="s">
        <v>21</v>
      </c>
      <c r="I111" s="2" t="s">
        <v>425</v>
      </c>
      <c r="J111" s="3" t="str">
        <f>HYPERLINK("https://www.boe.es/gazeta/dias/1812/09/08/pdfs/GRE-1812-121.pdf#page=1","Abrir facsímil")</f>
        <v>Abrir facsímil</v>
      </c>
      <c r="K111" s="3" t="s">
        <v>23</v>
      </c>
    </row>
    <row r="112" spans="1:11" ht="42" customHeight="1">
      <c r="A112" s="2" t="s">
        <v>426</v>
      </c>
      <c r="B112" s="2" t="s">
        <v>427</v>
      </c>
      <c r="C112" s="2" t="s">
        <v>26</v>
      </c>
      <c r="D112" s="2" t="s">
        <v>134</v>
      </c>
      <c r="E112" s="4">
        <v>-31955</v>
      </c>
      <c r="F112" s="3" t="s">
        <v>135</v>
      </c>
      <c r="G112" s="3" t="s">
        <v>58</v>
      </c>
      <c r="H112" s="2" t="s">
        <v>21</v>
      </c>
      <c r="I112" s="2" t="s">
        <v>428</v>
      </c>
      <c r="J112" s="3" t="str">
        <f>HYPERLINK("https://www.boe.es/gazeta/dias/1812/07/04/pdfs/GRE-F-1812-82.pdf#page=6","Abrir facsímil")</f>
        <v>Abrir facsímil</v>
      </c>
      <c r="K112" s="3" t="s">
        <v>23</v>
      </c>
    </row>
    <row r="113" spans="1:11" ht="42" customHeight="1">
      <c r="A113" s="2" t="s">
        <v>429</v>
      </c>
      <c r="B113" s="2" t="s">
        <v>430</v>
      </c>
      <c r="C113" s="2" t="s">
        <v>17</v>
      </c>
      <c r="D113" s="2" t="s">
        <v>27</v>
      </c>
      <c r="E113" s="4">
        <v>-31948</v>
      </c>
      <c r="F113" s="3" t="s">
        <v>431</v>
      </c>
      <c r="G113" s="3" t="s">
        <v>432</v>
      </c>
      <c r="H113" s="2" t="s">
        <v>21</v>
      </c>
      <c r="I113" s="2" t="s">
        <v>433</v>
      </c>
      <c r="J113" s="3" t="str">
        <f>HYPERLINK("https://www.boe.es/gazeta/dias/1812/07/11/pdfs/GRE-1812-86.pdf#page=5","Abrir facsímil")</f>
        <v>Abrir facsímil</v>
      </c>
      <c r="K113" s="3" t="s">
        <v>23</v>
      </c>
    </row>
    <row r="114" spans="1:11" ht="42" customHeight="1">
      <c r="A114" s="2" t="s">
        <v>434</v>
      </c>
      <c r="B114" s="2" t="s">
        <v>435</v>
      </c>
      <c r="C114" s="2" t="s">
        <v>26</v>
      </c>
      <c r="D114" s="2" t="s">
        <v>27</v>
      </c>
      <c r="E114" s="4">
        <v>-32034</v>
      </c>
      <c r="F114" s="3" t="s">
        <v>28</v>
      </c>
      <c r="G114" s="3" t="s">
        <v>29</v>
      </c>
      <c r="H114" s="2" t="s">
        <v>21</v>
      </c>
      <c r="I114" s="2" t="s">
        <v>436</v>
      </c>
      <c r="J114" s="3" t="str">
        <f>HYPERLINK("https://www.boe.es/gazeta/dias/1812/04/16/pdfs/GMD-1812-107.pdf#page=8","Abrir facsímil")</f>
        <v>Abrir facsímil</v>
      </c>
      <c r="K114" s="3" t="s">
        <v>23</v>
      </c>
    </row>
    <row r="115" spans="1:11" ht="42" customHeight="1">
      <c r="A115" s="2" t="s">
        <v>437</v>
      </c>
      <c r="B115" s="2" t="s">
        <v>437</v>
      </c>
      <c r="C115" s="2" t="s">
        <v>26</v>
      </c>
      <c r="D115" s="2" t="s">
        <v>27</v>
      </c>
      <c r="E115" s="4">
        <v>-31952</v>
      </c>
      <c r="F115" s="3" t="s">
        <v>210</v>
      </c>
      <c r="G115" s="3" t="s">
        <v>438</v>
      </c>
      <c r="H115" s="2" t="s">
        <v>21</v>
      </c>
      <c r="I115" s="2" t="s">
        <v>439</v>
      </c>
      <c r="J115" s="3" t="str">
        <f>HYPERLINK("https://www.boe.es/gazeta/dias/1812/07/07/pdfs/GRE-1812-83.pdf#page=5","Abrir facsímil")</f>
        <v>Abrir facsímil</v>
      </c>
      <c r="K115" s="3" t="s">
        <v>23</v>
      </c>
    </row>
    <row r="116" spans="1:11" ht="42" customHeight="1">
      <c r="A116" s="2" t="s">
        <v>440</v>
      </c>
      <c r="B116" s="2" t="s">
        <v>440</v>
      </c>
      <c r="C116" s="2" t="s">
        <v>186</v>
      </c>
      <c r="D116" s="2" t="s">
        <v>194</v>
      </c>
      <c r="E116" s="4">
        <v>-32132</v>
      </c>
      <c r="F116" s="3" t="s">
        <v>441</v>
      </c>
      <c r="G116" s="3" t="s">
        <v>125</v>
      </c>
      <c r="H116" s="2" t="s">
        <v>21</v>
      </c>
      <c r="I116" s="2" t="s">
        <v>442</v>
      </c>
      <c r="J116" s="3" t="str">
        <f>HYPERLINK("https://www.boe.es/gazeta/dias/1812/01/09/pdfs/GMD-1812-9.pdf#page=3","Abrir facsímil")</f>
        <v>Abrir facsímil</v>
      </c>
      <c r="K116" s="3" t="s">
        <v>23</v>
      </c>
    </row>
    <row r="117" spans="1:11" ht="42" customHeight="1">
      <c r="A117" s="2" t="s">
        <v>443</v>
      </c>
      <c r="B117" s="2" t="s">
        <v>444</v>
      </c>
      <c r="C117" s="2" t="s">
        <v>105</v>
      </c>
      <c r="D117" s="2" t="s">
        <v>27</v>
      </c>
      <c r="E117" s="4">
        <v>-32069</v>
      </c>
      <c r="F117" s="3" t="s">
        <v>445</v>
      </c>
      <c r="G117" s="3" t="s">
        <v>446</v>
      </c>
      <c r="H117" s="2" t="s">
        <v>21</v>
      </c>
      <c r="I117" s="2" t="s">
        <v>447</v>
      </c>
      <c r="J117" s="3" t="str">
        <f>HYPERLINK("https://www.boe.es/gazeta/dias/1812/03/12/pdfs/GRE-1812-32.pdf#page=8","Abrir facsímil")</f>
        <v>Abrir facsímil</v>
      </c>
      <c r="K117" s="3" t="s">
        <v>23</v>
      </c>
    </row>
    <row r="118" spans="1:11" ht="42" customHeight="1">
      <c r="A118" s="2" t="s">
        <v>448</v>
      </c>
      <c r="B118" s="2" t="s">
        <v>449</v>
      </c>
      <c r="C118" s="2" t="s">
        <v>26</v>
      </c>
      <c r="D118" s="2" t="s">
        <v>27</v>
      </c>
      <c r="E118" s="4">
        <v>-31913</v>
      </c>
      <c r="F118" s="3" t="s">
        <v>450</v>
      </c>
      <c r="G118" s="3" t="s">
        <v>451</v>
      </c>
      <c r="H118" s="2" t="s">
        <v>21</v>
      </c>
      <c r="I118" s="2" t="s">
        <v>452</v>
      </c>
      <c r="J118" s="3" t="str">
        <f>HYPERLINK("https://www.boe.es/gazeta/dias/1812/08/15/pdfs/GRE-1812-105.pdf#page=8","Abrir facsímil")</f>
        <v>Abrir facsímil</v>
      </c>
      <c r="K118" s="3" t="s">
        <v>23</v>
      </c>
    </row>
    <row r="119" spans="1:11" ht="42" customHeight="1">
      <c r="A119" s="2" t="s">
        <v>453</v>
      </c>
      <c r="B119" s="2" t="s">
        <v>453</v>
      </c>
      <c r="C119" s="2" t="s">
        <v>17</v>
      </c>
      <c r="D119" s="2" t="s">
        <v>18</v>
      </c>
      <c r="E119" s="4">
        <v>-31817</v>
      </c>
      <c r="F119" s="3" t="s">
        <v>454</v>
      </c>
      <c r="G119" s="3" t="s">
        <v>455</v>
      </c>
      <c r="H119" s="2" t="s">
        <v>21</v>
      </c>
      <c r="I119" s="2" t="s">
        <v>456</v>
      </c>
      <c r="J119" s="3" t="str">
        <f>HYPERLINK("https://www.boe.es/gazeta/dias/1812/11/19/pdfs/GRE-1812-154.pdf#page=2","Abrir facsímil")</f>
        <v>Abrir facsímil</v>
      </c>
      <c r="K119" s="3" t="s">
        <v>23</v>
      </c>
    </row>
    <row r="120" spans="1:11" ht="42" customHeight="1">
      <c r="A120" s="2" t="s">
        <v>457</v>
      </c>
      <c r="B120" s="2" t="s">
        <v>458</v>
      </c>
      <c r="C120" s="2" t="s">
        <v>17</v>
      </c>
      <c r="D120" s="2" t="s">
        <v>27</v>
      </c>
      <c r="E120" s="4">
        <v>-32055</v>
      </c>
      <c r="F120" s="3" t="s">
        <v>459</v>
      </c>
      <c r="G120" s="3" t="s">
        <v>20</v>
      </c>
      <c r="H120" s="2" t="s">
        <v>21</v>
      </c>
      <c r="I120" s="2" t="s">
        <v>460</v>
      </c>
      <c r="J120" s="3" t="str">
        <f>HYPERLINK("https://www.boe.es/gazeta/dias/1812/03/26/pdfs/GRE-1812-38.pdf#page=8","Abrir facsímil")</f>
        <v>Abrir facsímil</v>
      </c>
      <c r="K120" s="3" t="s">
        <v>23</v>
      </c>
    </row>
    <row r="121" spans="1:11" ht="42" customHeight="1">
      <c r="A121" s="2" t="s">
        <v>461</v>
      </c>
      <c r="B121" s="2" t="s">
        <v>462</v>
      </c>
      <c r="C121" s="2" t="s">
        <v>105</v>
      </c>
      <c r="D121" s="2" t="s">
        <v>27</v>
      </c>
      <c r="E121" s="4">
        <v>-31938</v>
      </c>
      <c r="F121" s="3" t="s">
        <v>370</v>
      </c>
      <c r="G121" s="3" t="s">
        <v>371</v>
      </c>
      <c r="H121" s="2" t="s">
        <v>21</v>
      </c>
      <c r="I121" s="2" t="s">
        <v>463</v>
      </c>
      <c r="J121" s="3" t="str">
        <f>HYPERLINK("https://www.boe.es/gazeta/dias/1812/07/21/pdfs/GRE-1812-91.pdf#page=8","Abrir facsímil")</f>
        <v>Abrir facsímil</v>
      </c>
      <c r="K121" s="3" t="s">
        <v>23</v>
      </c>
    </row>
    <row r="122" spans="1:11" ht="42" customHeight="1">
      <c r="A122" s="2" t="s">
        <v>464</v>
      </c>
      <c r="B122" s="2" t="s">
        <v>465</v>
      </c>
      <c r="C122" s="2" t="s">
        <v>26</v>
      </c>
      <c r="D122" s="2" t="s">
        <v>27</v>
      </c>
      <c r="E122" s="4">
        <v>-32081</v>
      </c>
      <c r="F122" s="3" t="s">
        <v>232</v>
      </c>
      <c r="G122" s="3" t="s">
        <v>233</v>
      </c>
      <c r="H122" s="2" t="s">
        <v>21</v>
      </c>
      <c r="I122" s="2" t="s">
        <v>466</v>
      </c>
      <c r="J122" s="3" t="str">
        <f>HYPERLINK("https://www.boe.es/gazeta/dias/1812/02/29/pdfs/GRE-1812-27.pdf#page=8","Abrir facsímil")</f>
        <v>Abrir facsímil</v>
      </c>
      <c r="K122" s="3" t="s">
        <v>23</v>
      </c>
    </row>
    <row r="123" spans="1:11" ht="42" customHeight="1">
      <c r="A123" s="2" t="s">
        <v>467</v>
      </c>
      <c r="B123" s="2" t="s">
        <v>468</v>
      </c>
      <c r="C123" s="2" t="s">
        <v>26</v>
      </c>
      <c r="D123" s="2" t="s">
        <v>27</v>
      </c>
      <c r="E123" s="4">
        <v>-31940</v>
      </c>
      <c r="F123" s="3" t="s">
        <v>187</v>
      </c>
      <c r="G123" s="3" t="s">
        <v>404</v>
      </c>
      <c r="H123" s="2" t="s">
        <v>21</v>
      </c>
      <c r="I123" s="2" t="s">
        <v>469</v>
      </c>
      <c r="J123" s="3" t="str">
        <f>HYPERLINK("https://www.boe.es/gazeta/dias/1812/07/19/pdfs/GMD-1812-201.pdf#page=4","Abrir facsímil")</f>
        <v>Abrir facsímil</v>
      </c>
      <c r="K123" s="3" t="s">
        <v>23</v>
      </c>
    </row>
    <row r="124" spans="1:11" ht="42" customHeight="1">
      <c r="A124" s="2" t="s">
        <v>470</v>
      </c>
      <c r="B124" s="2" t="s">
        <v>471</v>
      </c>
      <c r="C124" s="2" t="s">
        <v>26</v>
      </c>
      <c r="D124" s="2" t="s">
        <v>275</v>
      </c>
      <c r="E124" s="4">
        <v>-32109</v>
      </c>
      <c r="F124" s="3" t="s">
        <v>62</v>
      </c>
      <c r="G124" s="3" t="s">
        <v>472</v>
      </c>
      <c r="H124" s="2" t="s">
        <v>21</v>
      </c>
      <c r="I124" s="2" t="s">
        <v>473</v>
      </c>
      <c r="J124" s="3" t="str">
        <f>HYPERLINK("https://www.boe.es/gazeta/dias/1812/02/01/pdfs/GRE-1812-14.pdf#page=12","Abrir facsímil")</f>
        <v>Abrir facsímil</v>
      </c>
      <c r="K124" s="3" t="s">
        <v>23</v>
      </c>
    </row>
    <row r="125" spans="1:11" ht="42" customHeight="1">
      <c r="A125" s="2" t="s">
        <v>474</v>
      </c>
      <c r="B125" s="2" t="s">
        <v>475</v>
      </c>
      <c r="C125" s="2" t="s">
        <v>67</v>
      </c>
      <c r="D125" s="2" t="s">
        <v>27</v>
      </c>
      <c r="E125" s="4">
        <v>-32019</v>
      </c>
      <c r="F125" s="3" t="s">
        <v>476</v>
      </c>
      <c r="G125" s="3" t="s">
        <v>404</v>
      </c>
      <c r="H125" s="2" t="s">
        <v>21</v>
      </c>
      <c r="I125" s="2" t="s">
        <v>477</v>
      </c>
      <c r="J125" s="3" t="str">
        <f>HYPERLINK("https://www.boe.es/gazeta/dias/1812/05/01/pdfs/GMD-1812-122.pdf#page=3","Abrir facsímil")</f>
        <v>Abrir facsímil</v>
      </c>
      <c r="K125" s="3" t="s">
        <v>23</v>
      </c>
    </row>
    <row r="126" spans="1:11" ht="42" customHeight="1">
      <c r="A126" s="2" t="s">
        <v>478</v>
      </c>
      <c r="B126" s="2" t="s">
        <v>479</v>
      </c>
      <c r="C126" s="2" t="s">
        <v>26</v>
      </c>
      <c r="D126" s="2" t="s">
        <v>27</v>
      </c>
      <c r="E126" s="4">
        <v>-32114</v>
      </c>
      <c r="F126" s="3" t="s">
        <v>480</v>
      </c>
      <c r="G126" s="3" t="s">
        <v>481</v>
      </c>
      <c r="H126" s="2" t="s">
        <v>21</v>
      </c>
      <c r="I126" s="2" t="s">
        <v>482</v>
      </c>
      <c r="J126" s="3" t="str">
        <f>HYPERLINK("https://www.boe.es/gazeta/dias/1812/01/27/pdfs/GMD-1812-27.pdf#page=4","Abrir facsímil")</f>
        <v>Abrir facsímil</v>
      </c>
      <c r="K126" s="3" t="s">
        <v>23</v>
      </c>
    </row>
    <row r="127" spans="1:11" ht="42" customHeight="1">
      <c r="A127" s="2" t="s">
        <v>483</v>
      </c>
      <c r="B127" s="2" t="s">
        <v>483</v>
      </c>
      <c r="C127" s="2" t="s">
        <v>26</v>
      </c>
      <c r="D127" s="2" t="s">
        <v>27</v>
      </c>
      <c r="E127" s="4">
        <v>-32132</v>
      </c>
      <c r="F127" s="3" t="s">
        <v>484</v>
      </c>
      <c r="G127" s="3" t="s">
        <v>485</v>
      </c>
      <c r="H127" s="2" t="s">
        <v>21</v>
      </c>
      <c r="I127" s="2" t="s">
        <v>486</v>
      </c>
      <c r="J127" s="3" t="str">
        <f>HYPERLINK("https://www.boe.es/gazeta/dias/1812/01/09/pdfs/GEI-1812-4.pdf#page=8","Abrir facsímil")</f>
        <v>Abrir facsímil</v>
      </c>
      <c r="K127" s="3" t="s">
        <v>23</v>
      </c>
    </row>
    <row r="128" spans="1:11" ht="42" customHeight="1">
      <c r="A128" s="2" t="s">
        <v>487</v>
      </c>
      <c r="B128" s="2" t="s">
        <v>488</v>
      </c>
      <c r="C128" s="2" t="s">
        <v>26</v>
      </c>
      <c r="D128" s="2" t="s">
        <v>27</v>
      </c>
      <c r="E128" s="4">
        <v>-32109</v>
      </c>
      <c r="F128" s="3" t="s">
        <v>62</v>
      </c>
      <c r="G128" s="3" t="s">
        <v>63</v>
      </c>
      <c r="H128" s="2" t="s">
        <v>21</v>
      </c>
      <c r="I128" s="2" t="s">
        <v>489</v>
      </c>
      <c r="J128" s="3" t="str">
        <f>HYPERLINK("https://www.boe.es/gazeta/dias/1812/02/01/pdfs/GRE-1812-14.pdf#page=10","Abrir facsímil")</f>
        <v>Abrir facsímil</v>
      </c>
      <c r="K128" s="3" t="s">
        <v>23</v>
      </c>
    </row>
    <row r="129" spans="1:11" ht="42" customHeight="1">
      <c r="A129" s="2" t="s">
        <v>490</v>
      </c>
      <c r="B129" s="2" t="s">
        <v>491</v>
      </c>
      <c r="C129" s="2" t="s">
        <v>26</v>
      </c>
      <c r="D129" s="2" t="s">
        <v>27</v>
      </c>
      <c r="E129" s="4">
        <v>-32100</v>
      </c>
      <c r="F129" s="3" t="s">
        <v>492</v>
      </c>
      <c r="G129" s="3" t="s">
        <v>493</v>
      </c>
      <c r="H129" s="2" t="s">
        <v>21</v>
      </c>
      <c r="I129" s="2" t="s">
        <v>494</v>
      </c>
      <c r="J129" s="3" t="str">
        <f>HYPERLINK("https://www.boe.es/gazeta/dias/1812/02/10/pdfs/GRE-1812-31.pdf#page=8","Abrir facsímil")</f>
        <v>Abrir facsímil</v>
      </c>
      <c r="K129" s="3" t="s">
        <v>23</v>
      </c>
    </row>
    <row r="130" spans="1:11" ht="42" customHeight="1">
      <c r="A130" s="2" t="s">
        <v>490</v>
      </c>
      <c r="B130" s="2" t="s">
        <v>491</v>
      </c>
      <c r="C130" s="2" t="s">
        <v>26</v>
      </c>
      <c r="D130" s="2" t="s">
        <v>27</v>
      </c>
      <c r="E130" s="4">
        <v>-32071</v>
      </c>
      <c r="F130" s="3" t="s">
        <v>492</v>
      </c>
      <c r="G130" s="3" t="s">
        <v>493</v>
      </c>
      <c r="H130" s="2" t="s">
        <v>21</v>
      </c>
      <c r="I130" s="2" t="s">
        <v>494</v>
      </c>
      <c r="J130" s="3" t="str">
        <f>HYPERLINK("https://www.boe.es/gazeta/dias/1812/03/10/pdfs/GRE-1812-31.pdf#page=8","Abrir facsímil")</f>
        <v>Abrir facsímil</v>
      </c>
      <c r="K130" s="3" t="s">
        <v>23</v>
      </c>
    </row>
    <row r="131" spans="1:11" ht="42" customHeight="1">
      <c r="A131" s="2" t="s">
        <v>495</v>
      </c>
      <c r="B131" s="2" t="s">
        <v>496</v>
      </c>
      <c r="C131" s="2" t="s">
        <v>26</v>
      </c>
      <c r="D131" s="2" t="s">
        <v>27</v>
      </c>
      <c r="E131" s="4">
        <v>-31938</v>
      </c>
      <c r="F131" s="3" t="s">
        <v>324</v>
      </c>
      <c r="G131" s="3" t="s">
        <v>497</v>
      </c>
      <c r="H131" s="2" t="s">
        <v>21</v>
      </c>
      <c r="I131" s="2" t="s">
        <v>498</v>
      </c>
      <c r="J131" s="3" t="str">
        <f>HYPERLINK("https://www.boe.es/gazeta/dias/1812/07/21/pdfs/GMD-1812-203.pdf#page=3","Abrir facsímil")</f>
        <v>Abrir facsímil</v>
      </c>
      <c r="K131" s="3" t="s">
        <v>23</v>
      </c>
    </row>
    <row r="132" spans="1:11" ht="42" customHeight="1">
      <c r="A132" s="2" t="s">
        <v>499</v>
      </c>
      <c r="B132" s="2" t="s">
        <v>500</v>
      </c>
      <c r="C132" s="2" t="s">
        <v>17</v>
      </c>
      <c r="D132" s="2" t="s">
        <v>18</v>
      </c>
      <c r="E132" s="4">
        <v>-31966</v>
      </c>
      <c r="F132" s="3" t="s">
        <v>387</v>
      </c>
      <c r="G132" s="3" t="s">
        <v>388</v>
      </c>
      <c r="H132" s="2" t="s">
        <v>21</v>
      </c>
      <c r="I132" s="2" t="s">
        <v>501</v>
      </c>
      <c r="J132" s="3" t="str">
        <f>HYPERLINK("https://www.boe.es/gazeta/dias/1812/06/23/pdfs/GMD-1812-175.pdf#page=2","Abrir facsímil")</f>
        <v>Abrir facsímil</v>
      </c>
      <c r="K132" s="3" t="s">
        <v>23</v>
      </c>
    </row>
    <row r="133" spans="1:11" ht="42" customHeight="1">
      <c r="A133" s="2" t="s">
        <v>502</v>
      </c>
      <c r="B133" s="2" t="s">
        <v>503</v>
      </c>
      <c r="C133" s="2" t="s">
        <v>26</v>
      </c>
      <c r="D133" s="2" t="s">
        <v>27</v>
      </c>
      <c r="E133" s="4">
        <v>-31938</v>
      </c>
      <c r="F133" s="3" t="s">
        <v>324</v>
      </c>
      <c r="G133" s="3" t="s">
        <v>497</v>
      </c>
      <c r="H133" s="2" t="s">
        <v>21</v>
      </c>
      <c r="I133" s="2" t="s">
        <v>504</v>
      </c>
      <c r="J133" s="3" t="str">
        <f>HYPERLINK("https://www.boe.es/gazeta/dias/1812/07/21/pdfs/GMD-1812-203.pdf#page=3","Abrir facsímil")</f>
        <v>Abrir facsímil</v>
      </c>
      <c r="K133" s="3" t="s">
        <v>23</v>
      </c>
    </row>
    <row r="134" spans="1:11" ht="42" customHeight="1">
      <c r="A134" s="2" t="s">
        <v>505</v>
      </c>
      <c r="B134" s="2" t="s">
        <v>505</v>
      </c>
      <c r="C134" s="2" t="s">
        <v>17</v>
      </c>
      <c r="D134" s="2" t="s">
        <v>27</v>
      </c>
      <c r="E134" s="4">
        <v>-32109</v>
      </c>
      <c r="F134" s="3" t="s">
        <v>62</v>
      </c>
      <c r="G134" s="3" t="s">
        <v>506</v>
      </c>
      <c r="H134" s="2" t="s">
        <v>21</v>
      </c>
      <c r="I134" s="2" t="s">
        <v>507</v>
      </c>
      <c r="J134" s="3" t="str">
        <f>HYPERLINK("https://www.boe.es/gazeta/dias/1812/02/01/pdfs/GRE-1812-14.pdf#page=2","Abrir facsímil")</f>
        <v>Abrir facsímil</v>
      </c>
      <c r="K134" s="3" t="s">
        <v>23</v>
      </c>
    </row>
    <row r="135" spans="1:11" ht="42" customHeight="1">
      <c r="A135" s="2" t="s">
        <v>508</v>
      </c>
      <c r="B135" s="2" t="s">
        <v>508</v>
      </c>
      <c r="C135" s="2" t="s">
        <v>17</v>
      </c>
      <c r="D135" s="2" t="s">
        <v>18</v>
      </c>
      <c r="E135" s="4">
        <v>-31934</v>
      </c>
      <c r="F135" s="3" t="s">
        <v>509</v>
      </c>
      <c r="G135" s="3" t="s">
        <v>510</v>
      </c>
      <c r="H135" s="2" t="s">
        <v>21</v>
      </c>
      <c r="I135" s="2" t="s">
        <v>511</v>
      </c>
      <c r="J135" s="3" t="str">
        <f>HYPERLINK("https://www.boe.es/gazeta/dias/1812/07/25/pdfs/GRE-1812-93.pdf#page=5","Abrir facsímil")</f>
        <v>Abrir facsímil</v>
      </c>
      <c r="K135" s="3" t="s">
        <v>23</v>
      </c>
    </row>
    <row r="136" spans="1:11" ht="42" customHeight="1">
      <c r="A136" s="2" t="s">
        <v>512</v>
      </c>
      <c r="B136" s="2" t="s">
        <v>513</v>
      </c>
      <c r="C136" s="2" t="s">
        <v>26</v>
      </c>
      <c r="D136" s="2" t="s">
        <v>134</v>
      </c>
      <c r="E136" s="4">
        <v>-31955</v>
      </c>
      <c r="F136" s="3" t="s">
        <v>135</v>
      </c>
      <c r="G136" s="3" t="s">
        <v>514</v>
      </c>
      <c r="H136" s="2" t="s">
        <v>21</v>
      </c>
      <c r="I136" s="2" t="s">
        <v>515</v>
      </c>
      <c r="J136" s="3" t="str">
        <f>HYPERLINK("https://www.boe.es/gazeta/dias/1812/07/04/pdfs/GRE-F-1812-82.pdf#page=7","Abrir facsímil")</f>
        <v>Abrir facsímil</v>
      </c>
      <c r="K136" s="3" t="s">
        <v>23</v>
      </c>
    </row>
    <row r="137" spans="1:11" ht="42" customHeight="1">
      <c r="A137" s="2" t="s">
        <v>516</v>
      </c>
      <c r="B137" s="2" t="s">
        <v>517</v>
      </c>
      <c r="C137" s="2" t="s">
        <v>26</v>
      </c>
      <c r="D137" s="2" t="s">
        <v>27</v>
      </c>
      <c r="E137" s="4">
        <v>-32139</v>
      </c>
      <c r="F137" s="3" t="s">
        <v>518</v>
      </c>
      <c r="G137" s="3" t="s">
        <v>125</v>
      </c>
      <c r="H137" s="2" t="s">
        <v>21</v>
      </c>
      <c r="I137" s="2" t="s">
        <v>519</v>
      </c>
      <c r="J137" s="3" t="str">
        <f>HYPERLINK("https://www.boe.es/gazeta/dias/1812/01/02/pdfs/GEI-1812-1.pdf#page=8","Abrir facsímil")</f>
        <v>Abrir facsímil</v>
      </c>
      <c r="K137" s="3" t="s">
        <v>23</v>
      </c>
    </row>
    <row r="138" spans="1:11" ht="42" customHeight="1">
      <c r="A138" s="2" t="s">
        <v>520</v>
      </c>
      <c r="B138" s="2" t="s">
        <v>521</v>
      </c>
      <c r="C138" s="2" t="s">
        <v>17</v>
      </c>
      <c r="D138" s="2" t="s">
        <v>275</v>
      </c>
      <c r="E138" s="4">
        <v>-32120</v>
      </c>
      <c r="F138" s="3" t="s">
        <v>522</v>
      </c>
      <c r="G138" s="3" t="s">
        <v>523</v>
      </c>
      <c r="H138" s="2" t="s">
        <v>21</v>
      </c>
      <c r="I138" s="2" t="s">
        <v>524</v>
      </c>
      <c r="J138" s="3" t="str">
        <f>HYPERLINK("https://www.boe.es/gazeta/dias/1812/01/21/pdfs/GMD-1812-21.pdf#page=4","Abrir facsímil")</f>
        <v>Abrir facsímil</v>
      </c>
      <c r="K138" s="3" t="s">
        <v>23</v>
      </c>
    </row>
    <row r="139" spans="1:11" ht="42" customHeight="1">
      <c r="A139" s="2" t="s">
        <v>525</v>
      </c>
      <c r="B139" s="2" t="s">
        <v>526</v>
      </c>
      <c r="C139" s="2" t="s">
        <v>26</v>
      </c>
      <c r="D139" s="2" t="s">
        <v>27</v>
      </c>
      <c r="E139" s="4">
        <v>-31978</v>
      </c>
      <c r="F139" s="3" t="s">
        <v>527</v>
      </c>
      <c r="G139" s="3" t="s">
        <v>58</v>
      </c>
      <c r="H139" s="2" t="s">
        <v>21</v>
      </c>
      <c r="I139" s="2" t="s">
        <v>528</v>
      </c>
      <c r="J139" s="3" t="str">
        <f>HYPERLINK("https://www.boe.es/gazeta/dias/1812/06/11/pdfs/GMD-1812-163.pdf#page=2","Abrir facsímil")</f>
        <v>Abrir facsímil</v>
      </c>
      <c r="K139" s="3" t="s">
        <v>23</v>
      </c>
    </row>
    <row r="140" spans="1:11" ht="42" customHeight="1">
      <c r="A140" s="2" t="s">
        <v>529</v>
      </c>
      <c r="B140" s="2" t="s">
        <v>530</v>
      </c>
      <c r="C140" s="2" t="s">
        <v>17</v>
      </c>
      <c r="D140" s="2" t="s">
        <v>27</v>
      </c>
      <c r="E140" s="4">
        <v>-32032</v>
      </c>
      <c r="F140" s="3" t="s">
        <v>531</v>
      </c>
      <c r="G140" s="3" t="s">
        <v>532</v>
      </c>
      <c r="H140" s="2" t="s">
        <v>21</v>
      </c>
      <c r="I140" s="2" t="s">
        <v>533</v>
      </c>
      <c r="J140" s="3" t="str">
        <f>HYPERLINK("https://www.boe.es/gazeta/dias/1812/04/18/pdfs/GMD-1812-109.pdf#page=4","Abrir facsímil")</f>
        <v>Abrir facsímil</v>
      </c>
      <c r="K140" s="3" t="s">
        <v>23</v>
      </c>
    </row>
    <row r="141" spans="1:11" ht="42" customHeight="1">
      <c r="A141" s="2" t="s">
        <v>534</v>
      </c>
      <c r="B141" s="2" t="s">
        <v>534</v>
      </c>
      <c r="C141" s="2" t="s">
        <v>26</v>
      </c>
      <c r="D141" s="2" t="s">
        <v>27</v>
      </c>
      <c r="E141" s="4">
        <v>-32034</v>
      </c>
      <c r="F141" s="3" t="s">
        <v>28</v>
      </c>
      <c r="G141" s="3" t="s">
        <v>130</v>
      </c>
      <c r="H141" s="2" t="s">
        <v>21</v>
      </c>
      <c r="I141" s="2" t="s">
        <v>535</v>
      </c>
      <c r="J141" s="3" t="str">
        <f>HYPERLINK("https://www.boe.es/gazeta/dias/1812/04/16/pdfs/GMD-1812-107.pdf#page=4","Abrir facsímil")</f>
        <v>Abrir facsímil</v>
      </c>
      <c r="K141" s="3" t="s">
        <v>23</v>
      </c>
    </row>
    <row r="142" spans="1:11" ht="42" customHeight="1">
      <c r="A142" s="2" t="s">
        <v>536</v>
      </c>
      <c r="B142" s="2" t="s">
        <v>537</v>
      </c>
      <c r="C142" s="2" t="s">
        <v>26</v>
      </c>
      <c r="D142" s="2" t="s">
        <v>27</v>
      </c>
      <c r="E142" s="4">
        <v>-32004</v>
      </c>
      <c r="F142" s="3" t="s">
        <v>148</v>
      </c>
      <c r="G142" s="3" t="s">
        <v>149</v>
      </c>
      <c r="H142" s="2" t="s">
        <v>21</v>
      </c>
      <c r="I142" s="2" t="s">
        <v>538</v>
      </c>
      <c r="J142" s="3" t="str">
        <f>HYPERLINK("https://www.boe.es/gazeta/dias/1812/05/16/pdfs/GRE-1812-61.pdf#page=3","Abrir facsímil")</f>
        <v>Abrir facsímil</v>
      </c>
      <c r="K142" s="3" t="s">
        <v>23</v>
      </c>
    </row>
    <row r="143" spans="1:11" ht="42" customHeight="1">
      <c r="A143" s="2" t="s">
        <v>539</v>
      </c>
      <c r="B143" s="2" t="s">
        <v>540</v>
      </c>
      <c r="C143" s="2" t="s">
        <v>17</v>
      </c>
      <c r="D143" s="2" t="s">
        <v>18</v>
      </c>
      <c r="E143" s="4">
        <v>-31822</v>
      </c>
      <c r="F143" s="3" t="s">
        <v>541</v>
      </c>
      <c r="G143" s="3" t="s">
        <v>542</v>
      </c>
      <c r="H143" s="2" t="s">
        <v>21</v>
      </c>
      <c r="I143" s="2" t="s">
        <v>543</v>
      </c>
      <c r="J143" s="3" t="str">
        <f>HYPERLINK("https://www.boe.es/gazeta/dias/1812/11/14/pdfs/GRE-1812-152.pdf#page=7","Abrir facsímil")</f>
        <v>Abrir facsímil</v>
      </c>
      <c r="K143" s="3" t="s">
        <v>23</v>
      </c>
    </row>
    <row r="144" spans="1:11" ht="42" customHeight="1">
      <c r="A144" s="2" t="s">
        <v>544</v>
      </c>
      <c r="B144" s="2" t="s">
        <v>545</v>
      </c>
      <c r="C144" s="2" t="s">
        <v>26</v>
      </c>
      <c r="D144" s="2" t="s">
        <v>27</v>
      </c>
      <c r="E144" s="4">
        <v>-32034</v>
      </c>
      <c r="F144" s="3" t="s">
        <v>28</v>
      </c>
      <c r="G144" s="3" t="s">
        <v>317</v>
      </c>
      <c r="H144" s="2" t="s">
        <v>21</v>
      </c>
      <c r="I144" s="2" t="s">
        <v>546</v>
      </c>
      <c r="J144" s="3" t="str">
        <f>HYPERLINK("https://www.boe.es/gazeta/dias/1812/04/16/pdfs/GMD-1812-107.pdf#page=6","Abrir facsímil")</f>
        <v>Abrir facsímil</v>
      </c>
      <c r="K144" s="3" t="s">
        <v>23</v>
      </c>
    </row>
    <row r="145" spans="1:11" ht="42" customHeight="1">
      <c r="A145" s="2" t="s">
        <v>547</v>
      </c>
      <c r="B145" s="2" t="s">
        <v>548</v>
      </c>
      <c r="C145" s="2" t="s">
        <v>549</v>
      </c>
      <c r="D145" s="2" t="s">
        <v>27</v>
      </c>
      <c r="E145" s="4">
        <v>-32100</v>
      </c>
      <c r="F145" s="3" t="s">
        <v>492</v>
      </c>
      <c r="G145" s="3" t="s">
        <v>493</v>
      </c>
      <c r="H145" s="2" t="s">
        <v>21</v>
      </c>
      <c r="I145" s="2" t="s">
        <v>550</v>
      </c>
      <c r="J145" s="3" t="str">
        <f>HYPERLINK("https://www.boe.es/gazeta/dias/1812/02/10/pdfs/GRE-1812-31.pdf#page=8","Abrir facsímil")</f>
        <v>Abrir facsímil</v>
      </c>
      <c r="K145" s="3" t="s">
        <v>23</v>
      </c>
    </row>
    <row r="146" spans="1:11" ht="42" customHeight="1">
      <c r="A146" s="2" t="s">
        <v>547</v>
      </c>
      <c r="B146" s="2" t="s">
        <v>548</v>
      </c>
      <c r="C146" s="2" t="s">
        <v>549</v>
      </c>
      <c r="D146" s="2" t="s">
        <v>27</v>
      </c>
      <c r="E146" s="4">
        <v>-32071</v>
      </c>
      <c r="F146" s="3" t="s">
        <v>492</v>
      </c>
      <c r="G146" s="3" t="s">
        <v>493</v>
      </c>
      <c r="H146" s="2" t="s">
        <v>21</v>
      </c>
      <c r="I146" s="2" t="s">
        <v>550</v>
      </c>
      <c r="J146" s="3" t="str">
        <f>HYPERLINK("https://www.boe.es/gazeta/dias/1812/03/10/pdfs/GRE-1812-31.pdf#page=8","Abrir facsímil")</f>
        <v>Abrir facsímil</v>
      </c>
      <c r="K146" s="3" t="s">
        <v>23</v>
      </c>
    </row>
    <row r="147" spans="1:11" ht="42" customHeight="1">
      <c r="A147" s="2" t="s">
        <v>551</v>
      </c>
      <c r="B147" s="2" t="s">
        <v>552</v>
      </c>
      <c r="C147" s="2" t="s">
        <v>26</v>
      </c>
      <c r="D147" s="2" t="s">
        <v>27</v>
      </c>
      <c r="E147" s="4">
        <v>-32111</v>
      </c>
      <c r="F147" s="3" t="s">
        <v>553</v>
      </c>
      <c r="G147" s="3" t="s">
        <v>514</v>
      </c>
      <c r="H147" s="2" t="s">
        <v>21</v>
      </c>
      <c r="I147" s="2" t="s">
        <v>554</v>
      </c>
      <c r="J147" s="3" t="str">
        <f>HYPERLINK("https://www.boe.es/gazeta/dias/1812/01/30/pdfs/GRE-1812-13.pdf#page=3","Abrir facsímil")</f>
        <v>Abrir facsímil</v>
      </c>
      <c r="K147" s="3" t="s">
        <v>23</v>
      </c>
    </row>
    <row r="148" spans="1:11" ht="42" customHeight="1">
      <c r="A148" s="2" t="s">
        <v>555</v>
      </c>
      <c r="B148" s="2" t="s">
        <v>556</v>
      </c>
      <c r="C148" s="2" t="s">
        <v>67</v>
      </c>
      <c r="D148" s="2" t="s">
        <v>27</v>
      </c>
      <c r="E148" s="4">
        <v>-32039</v>
      </c>
      <c r="F148" s="3" t="s">
        <v>557</v>
      </c>
      <c r="G148" s="3" t="s">
        <v>20</v>
      </c>
      <c r="H148" s="2" t="s">
        <v>21</v>
      </c>
      <c r="I148" s="2" t="s">
        <v>558</v>
      </c>
      <c r="J148" s="3" t="str">
        <f>HYPERLINK("https://www.boe.es/gazeta/dias/1812/04/11/pdfs/GMD-1812-102.pdf#page=4","Abrir facsímil")</f>
        <v>Abrir facsímil</v>
      </c>
      <c r="K148" s="3" t="s">
        <v>23</v>
      </c>
    </row>
    <row r="149" spans="1:11" ht="42" customHeight="1">
      <c r="A149" s="2" t="s">
        <v>559</v>
      </c>
      <c r="B149" s="2" t="s">
        <v>560</v>
      </c>
      <c r="C149" s="2" t="s">
        <v>26</v>
      </c>
      <c r="D149" s="2" t="s">
        <v>27</v>
      </c>
      <c r="E149" s="4">
        <v>-32067</v>
      </c>
      <c r="F149" s="3" t="s">
        <v>199</v>
      </c>
      <c r="G149" s="3" t="s">
        <v>140</v>
      </c>
      <c r="H149" s="2" t="s">
        <v>21</v>
      </c>
      <c r="I149" s="2" t="s">
        <v>561</v>
      </c>
      <c r="J149" s="3" t="str">
        <f>HYPERLINK("https://www.boe.es/gazeta/dias/1812/03/14/pdfs/GRE-1812-33.pdf#page=2","Abrir facsímil")</f>
        <v>Abrir facsímil</v>
      </c>
      <c r="K149" s="3" t="s">
        <v>23</v>
      </c>
    </row>
    <row r="150" spans="1:11" ht="42" customHeight="1">
      <c r="A150" s="2" t="s">
        <v>562</v>
      </c>
      <c r="B150" s="2" t="s">
        <v>563</v>
      </c>
      <c r="C150" s="2" t="s">
        <v>26</v>
      </c>
      <c r="D150" s="2" t="s">
        <v>27</v>
      </c>
      <c r="E150" s="4">
        <v>-31938</v>
      </c>
      <c r="F150" s="3" t="s">
        <v>324</v>
      </c>
      <c r="G150" s="3" t="s">
        <v>497</v>
      </c>
      <c r="H150" s="2" t="s">
        <v>21</v>
      </c>
      <c r="I150" s="2" t="s">
        <v>564</v>
      </c>
      <c r="J150" s="3" t="str">
        <f>HYPERLINK("https://www.boe.es/gazeta/dias/1812/07/21/pdfs/GMD-1812-203.pdf#page=3","Abrir facsímil")</f>
        <v>Abrir facsímil</v>
      </c>
      <c r="K150" s="3" t="s">
        <v>23</v>
      </c>
    </row>
    <row r="151" spans="1:11" ht="42" customHeight="1">
      <c r="A151" s="2" t="s">
        <v>565</v>
      </c>
      <c r="B151" s="2" t="s">
        <v>566</v>
      </c>
      <c r="C151" s="2" t="s">
        <v>26</v>
      </c>
      <c r="D151" s="2" t="s">
        <v>27</v>
      </c>
      <c r="E151" s="4">
        <v>-31964</v>
      </c>
      <c r="F151" s="3" t="s">
        <v>305</v>
      </c>
      <c r="G151" s="3" t="s">
        <v>58</v>
      </c>
      <c r="H151" s="2" t="s">
        <v>21</v>
      </c>
      <c r="I151" s="2" t="s">
        <v>567</v>
      </c>
      <c r="J151" s="3" t="str">
        <f>HYPERLINK("https://www.boe.es/gazeta/dias/1812/06/25/pdfs/GMD-1812-177.pdf#page=2","Abrir facsímil")</f>
        <v>Abrir facsímil</v>
      </c>
      <c r="K151" s="3" t="s">
        <v>23</v>
      </c>
    </row>
    <row r="152" spans="1:11" ht="42" customHeight="1">
      <c r="A152" s="2" t="s">
        <v>568</v>
      </c>
      <c r="B152" s="2" t="s">
        <v>568</v>
      </c>
      <c r="C152" s="2" t="s">
        <v>49</v>
      </c>
      <c r="D152" s="2" t="s">
        <v>27</v>
      </c>
      <c r="E152" s="4">
        <v>-32069</v>
      </c>
      <c r="F152" s="3" t="s">
        <v>569</v>
      </c>
      <c r="G152" s="3" t="s">
        <v>217</v>
      </c>
      <c r="H152" s="2" t="s">
        <v>21</v>
      </c>
      <c r="I152" s="2" t="s">
        <v>570</v>
      </c>
      <c r="J152" s="3" t="str">
        <f>HYPERLINK("https://www.boe.es/gazeta/dias/1812/03/12/pdfs/GMD-1812-72.pdf#page=1","Abrir facsímil")</f>
        <v>Abrir facsímil</v>
      </c>
      <c r="K152" s="3" t="s">
        <v>23</v>
      </c>
    </row>
    <row r="153" spans="1:11" ht="42" customHeight="1">
      <c r="A153" s="2" t="s">
        <v>571</v>
      </c>
      <c r="B153" s="2" t="s">
        <v>572</v>
      </c>
      <c r="C153" s="2" t="s">
        <v>17</v>
      </c>
      <c r="D153" s="2" t="s">
        <v>573</v>
      </c>
      <c r="E153" s="4">
        <v>-31900</v>
      </c>
      <c r="F153" s="3" t="s">
        <v>276</v>
      </c>
      <c r="G153" s="3" t="s">
        <v>277</v>
      </c>
      <c r="H153" s="2" t="s">
        <v>21</v>
      </c>
      <c r="I153" s="2" t="s">
        <v>574</v>
      </c>
      <c r="J153" s="3" t="str">
        <f>HYPERLINK("https://www.boe.es/gazeta/dias/1812/08/28/pdfs/GRE-1812-113E.pdf#page=8","Abrir facsímil")</f>
        <v>Abrir facsímil</v>
      </c>
      <c r="K153" s="3" t="s">
        <v>23</v>
      </c>
    </row>
    <row r="154" spans="1:11" ht="42" customHeight="1">
      <c r="A154" s="2" t="s">
        <v>575</v>
      </c>
      <c r="B154" s="2" t="s">
        <v>576</v>
      </c>
      <c r="C154" s="2" t="s">
        <v>26</v>
      </c>
      <c r="D154" s="2" t="s">
        <v>27</v>
      </c>
      <c r="E154" s="4">
        <v>-32034</v>
      </c>
      <c r="F154" s="3" t="s">
        <v>28</v>
      </c>
      <c r="G154" s="3" t="s">
        <v>45</v>
      </c>
      <c r="H154" s="2" t="s">
        <v>21</v>
      </c>
      <c r="I154" s="2" t="s">
        <v>577</v>
      </c>
      <c r="J154" s="3" t="str">
        <f>HYPERLINK("https://www.boe.es/gazeta/dias/1812/04/16/pdfs/GMD-1812-107.pdf#page=5","Abrir facsímil")</f>
        <v>Abrir facsímil</v>
      </c>
      <c r="K154" s="3" t="s">
        <v>23</v>
      </c>
    </row>
    <row r="155" spans="1:11" ht="42" customHeight="1">
      <c r="A155" s="2" t="s">
        <v>578</v>
      </c>
      <c r="B155" s="2" t="s">
        <v>579</v>
      </c>
      <c r="C155" s="2" t="s">
        <v>26</v>
      </c>
      <c r="D155" s="2" t="s">
        <v>27</v>
      </c>
      <c r="E155" s="4">
        <v>-32125</v>
      </c>
      <c r="F155" s="3" t="s">
        <v>335</v>
      </c>
      <c r="G155" s="3" t="s">
        <v>336</v>
      </c>
      <c r="H155" s="2" t="s">
        <v>21</v>
      </c>
      <c r="I155" s="2" t="s">
        <v>580</v>
      </c>
      <c r="J155" s="3" t="str">
        <f>HYPERLINK("https://www.boe.es/gazeta/dias/1812/01/16/pdfs/GEI-1812-7.pdf#page=8","Abrir facsímil")</f>
        <v>Abrir facsímil</v>
      </c>
      <c r="K155" s="3" t="s">
        <v>23</v>
      </c>
    </row>
    <row r="156" spans="1:11" ht="42" customHeight="1">
      <c r="A156" s="2" t="s">
        <v>581</v>
      </c>
      <c r="B156" s="2" t="s">
        <v>581</v>
      </c>
      <c r="C156" s="2" t="s">
        <v>186</v>
      </c>
      <c r="D156" s="2" t="s">
        <v>194</v>
      </c>
      <c r="E156" s="4">
        <v>-32132</v>
      </c>
      <c r="F156" s="3" t="s">
        <v>441</v>
      </c>
      <c r="G156" s="3" t="s">
        <v>125</v>
      </c>
      <c r="H156" s="2" t="s">
        <v>21</v>
      </c>
      <c r="I156" s="2" t="s">
        <v>582</v>
      </c>
      <c r="J156" s="3" t="str">
        <f>HYPERLINK("https://www.boe.es/gazeta/dias/1812/01/09/pdfs/GMD-1812-9.pdf#page=3","Abrir facsímil")</f>
        <v>Abrir facsímil</v>
      </c>
      <c r="K156" s="3" t="s">
        <v>23</v>
      </c>
    </row>
    <row r="157" spans="1:11" ht="42" customHeight="1">
      <c r="A157" s="2" t="s">
        <v>583</v>
      </c>
      <c r="B157" s="2" t="s">
        <v>583</v>
      </c>
      <c r="C157" s="2" t="s">
        <v>26</v>
      </c>
      <c r="D157" s="2" t="s">
        <v>27</v>
      </c>
      <c r="E157" s="4">
        <v>-32125</v>
      </c>
      <c r="F157" s="3" t="s">
        <v>335</v>
      </c>
      <c r="G157" s="3" t="s">
        <v>336</v>
      </c>
      <c r="H157" s="2" t="s">
        <v>21</v>
      </c>
      <c r="I157" s="2" t="s">
        <v>584</v>
      </c>
      <c r="J157" s="3" t="str">
        <f>HYPERLINK("https://www.boe.es/gazeta/dias/1812/01/16/pdfs/GEI-1812-7.pdf#page=8","Abrir facsímil")</f>
        <v>Abrir facsímil</v>
      </c>
      <c r="K157" s="3" t="s">
        <v>23</v>
      </c>
    </row>
    <row r="158" spans="1:11" ht="42" customHeight="1">
      <c r="A158" s="2" t="s">
        <v>583</v>
      </c>
      <c r="B158" s="2" t="s">
        <v>583</v>
      </c>
      <c r="C158" s="2" t="s">
        <v>17</v>
      </c>
      <c r="D158" s="2" t="s">
        <v>27</v>
      </c>
      <c r="E158" s="4">
        <v>-32003</v>
      </c>
      <c r="F158" s="3" t="s">
        <v>585</v>
      </c>
      <c r="G158" s="3" t="s">
        <v>404</v>
      </c>
      <c r="H158" s="2" t="s">
        <v>21</v>
      </c>
      <c r="I158" s="2" t="s">
        <v>586</v>
      </c>
      <c r="J158" s="3" t="str">
        <f>HYPERLINK("https://www.boe.es/gazeta/dias/1812/05/17/pdfs/GMD-1812-138.pdf#page=2","Abrir facsímil")</f>
        <v>Abrir facsímil</v>
      </c>
      <c r="K158" s="3" t="s">
        <v>23</v>
      </c>
    </row>
    <row r="159" spans="1:11" ht="42" customHeight="1">
      <c r="A159" s="2" t="s">
        <v>583</v>
      </c>
      <c r="B159" s="2" t="s">
        <v>583</v>
      </c>
      <c r="C159" s="2" t="s">
        <v>186</v>
      </c>
      <c r="D159" s="2" t="s">
        <v>194</v>
      </c>
      <c r="E159" s="4">
        <v>-31971</v>
      </c>
      <c r="F159" s="3" t="s">
        <v>587</v>
      </c>
      <c r="G159" s="3" t="s">
        <v>588</v>
      </c>
      <c r="H159" s="2" t="s">
        <v>21</v>
      </c>
      <c r="I159" s="2" t="s">
        <v>589</v>
      </c>
      <c r="J159" s="3" t="str">
        <f>HYPERLINK("https://www.boe.es/gazeta/dias/1812/06/18/pdfs/GMD-1812-170.pdf#page=4","Abrir facsímil")</f>
        <v>Abrir facsímil</v>
      </c>
      <c r="K159" s="3" t="s">
        <v>23</v>
      </c>
    </row>
    <row r="160" spans="1:11" ht="42" customHeight="1">
      <c r="A160" s="2" t="s">
        <v>583</v>
      </c>
      <c r="B160" s="2" t="s">
        <v>583</v>
      </c>
      <c r="C160" s="2" t="s">
        <v>105</v>
      </c>
      <c r="D160" s="2" t="s">
        <v>27</v>
      </c>
      <c r="E160" s="4">
        <v>-31901</v>
      </c>
      <c r="F160" s="3" t="s">
        <v>590</v>
      </c>
      <c r="G160" s="3" t="s">
        <v>591</v>
      </c>
      <c r="H160" s="2" t="s">
        <v>21</v>
      </c>
      <c r="I160" s="2" t="s">
        <v>592</v>
      </c>
      <c r="J160" s="3" t="str">
        <f>HYPERLINK("https://www.boe.es/gazeta/dias/1812/08/27/pdfs/GMR-1812-6.pdf#page=1","Abrir facsímil")</f>
        <v>Abrir facsímil</v>
      </c>
      <c r="K160" s="3" t="s">
        <v>23</v>
      </c>
    </row>
    <row r="161" spans="1:11" ht="42" customHeight="1">
      <c r="A161" s="2" t="s">
        <v>583</v>
      </c>
      <c r="B161" s="2" t="s">
        <v>583</v>
      </c>
      <c r="C161" s="2" t="s">
        <v>82</v>
      </c>
      <c r="D161" s="2" t="s">
        <v>194</v>
      </c>
      <c r="E161" s="4">
        <v>-31800</v>
      </c>
      <c r="F161" s="3" t="s">
        <v>593</v>
      </c>
      <c r="G161" s="3" t="s">
        <v>594</v>
      </c>
      <c r="H161" s="2" t="s">
        <v>21</v>
      </c>
      <c r="I161" s="2" t="s">
        <v>595</v>
      </c>
      <c r="J161" s="3" t="str">
        <f>HYPERLINK("https://www.boe.es/gazeta/dias/1812/12/06/pdfs/GMD-1812-229.pdf#page=3","Abrir facsímil")</f>
        <v>Abrir facsímil</v>
      </c>
      <c r="K161" s="3" t="s">
        <v>23</v>
      </c>
    </row>
    <row r="162" spans="1:11" ht="42" customHeight="1">
      <c r="A162" s="2" t="s">
        <v>596</v>
      </c>
      <c r="B162" s="2" t="s">
        <v>597</v>
      </c>
      <c r="C162" s="2" t="s">
        <v>115</v>
      </c>
      <c r="D162" s="2" t="s">
        <v>27</v>
      </c>
      <c r="E162" s="4">
        <v>-31957</v>
      </c>
      <c r="F162" s="3" t="s">
        <v>598</v>
      </c>
      <c r="G162" s="3" t="s">
        <v>599</v>
      </c>
      <c r="H162" s="2" t="s">
        <v>21</v>
      </c>
      <c r="I162" s="2" t="s">
        <v>600</v>
      </c>
      <c r="J162" s="3" t="str">
        <f>HYPERLINK("https://www.boe.es/gazeta/dias/1812/07/02/pdfs/GMD-1812-184.pdf#page=2","Abrir facsímil")</f>
        <v>Abrir facsímil</v>
      </c>
      <c r="K162" s="3" t="s">
        <v>23</v>
      </c>
    </row>
    <row r="163" spans="1:11" ht="42" customHeight="1">
      <c r="A163" s="2" t="s">
        <v>601</v>
      </c>
      <c r="B163" s="2" t="s">
        <v>602</v>
      </c>
      <c r="C163" s="2" t="s">
        <v>26</v>
      </c>
      <c r="D163" s="2" t="s">
        <v>27</v>
      </c>
      <c r="E163" s="4">
        <v>-31936</v>
      </c>
      <c r="F163" s="3" t="s">
        <v>603</v>
      </c>
      <c r="G163" s="3" t="s">
        <v>36</v>
      </c>
      <c r="H163" s="2" t="s">
        <v>21</v>
      </c>
      <c r="I163" s="2" t="s">
        <v>604</v>
      </c>
      <c r="J163" s="3" t="str">
        <f>HYPERLINK("https://www.boe.es/gazeta/dias/1812/07/23/pdfs/GMD-1812-205.pdf#page=3","Abrir facsímil")</f>
        <v>Abrir facsímil</v>
      </c>
      <c r="K163" s="3" t="s">
        <v>23</v>
      </c>
    </row>
    <row r="164" spans="1:11" ht="42" customHeight="1">
      <c r="A164" s="2" t="s">
        <v>605</v>
      </c>
      <c r="B164" s="2" t="s">
        <v>606</v>
      </c>
      <c r="C164" s="2" t="s">
        <v>26</v>
      </c>
      <c r="D164" s="2" t="s">
        <v>27</v>
      </c>
      <c r="E164" s="4">
        <v>-31938</v>
      </c>
      <c r="F164" s="3" t="s">
        <v>324</v>
      </c>
      <c r="G164" s="3" t="s">
        <v>497</v>
      </c>
      <c r="H164" s="2" t="s">
        <v>21</v>
      </c>
      <c r="I164" s="2" t="s">
        <v>607</v>
      </c>
      <c r="J164" s="3" t="str">
        <f>HYPERLINK("https://www.boe.es/gazeta/dias/1812/07/21/pdfs/GMD-1812-203.pdf#page=3","Abrir facsímil")</f>
        <v>Abrir facsímil</v>
      </c>
      <c r="K164" s="3" t="s">
        <v>23</v>
      </c>
    </row>
    <row r="165" spans="1:11" ht="42" customHeight="1">
      <c r="A165" s="2" t="s">
        <v>608</v>
      </c>
      <c r="B165" s="2" t="s">
        <v>608</v>
      </c>
      <c r="C165" s="2" t="s">
        <v>26</v>
      </c>
      <c r="D165" s="2" t="s">
        <v>27</v>
      </c>
      <c r="E165" s="4">
        <v>-31885</v>
      </c>
      <c r="F165" s="3" t="s">
        <v>609</v>
      </c>
      <c r="G165" s="3" t="s">
        <v>610</v>
      </c>
      <c r="H165" s="2" t="s">
        <v>21</v>
      </c>
      <c r="I165" s="2" t="s">
        <v>611</v>
      </c>
      <c r="J165" s="3" t="str">
        <f>HYPERLINK("https://www.boe.es/gazeta/dias/1812/09/12/pdfs/GRE-1812-124.pdf#page=2","Abrir facsímil")</f>
        <v>Abrir facsímil</v>
      </c>
      <c r="K165" s="3" t="s">
        <v>23</v>
      </c>
    </row>
    <row r="166" spans="1:11" ht="42" customHeight="1">
      <c r="A166" s="2" t="s">
        <v>612</v>
      </c>
      <c r="B166" s="2" t="s">
        <v>613</v>
      </c>
      <c r="C166" s="2" t="s">
        <v>26</v>
      </c>
      <c r="D166" s="2" t="s">
        <v>27</v>
      </c>
      <c r="E166" s="4">
        <v>-31936</v>
      </c>
      <c r="F166" s="3" t="s">
        <v>614</v>
      </c>
      <c r="G166" s="3" t="s">
        <v>615</v>
      </c>
      <c r="H166" s="2" t="s">
        <v>21</v>
      </c>
      <c r="I166" s="2" t="s">
        <v>616</v>
      </c>
      <c r="J166" s="3" t="str">
        <f>HYPERLINK("https://www.boe.es/gazeta/dias/1812/07/23/pdfs/GRE-1812-92.pdf#page=8","Abrir facsímil")</f>
        <v>Abrir facsímil</v>
      </c>
      <c r="K166" s="3" t="s">
        <v>23</v>
      </c>
    </row>
    <row r="167" spans="1:11" ht="42" customHeight="1">
      <c r="A167" s="2" t="s">
        <v>617</v>
      </c>
      <c r="B167" s="2" t="s">
        <v>618</v>
      </c>
      <c r="C167" s="2" t="s">
        <v>26</v>
      </c>
      <c r="D167" s="2" t="s">
        <v>27</v>
      </c>
      <c r="E167" s="4">
        <v>-32002</v>
      </c>
      <c r="F167" s="3" t="s">
        <v>619</v>
      </c>
      <c r="G167" s="3" t="s">
        <v>620</v>
      </c>
      <c r="H167" s="2" t="s">
        <v>21</v>
      </c>
      <c r="I167" s="2" t="s">
        <v>621</v>
      </c>
      <c r="J167" s="3" t="str">
        <f>HYPERLINK("https://www.boe.es/gazeta/dias/1812/05/18/pdfs/GMD-1812-139.pdf#page=2","Abrir facsímil")</f>
        <v>Abrir facsímil</v>
      </c>
      <c r="K167" s="3" t="s">
        <v>23</v>
      </c>
    </row>
    <row r="168" spans="1:11" ht="42" customHeight="1">
      <c r="A168" s="2" t="s">
        <v>617</v>
      </c>
      <c r="B168" s="2" t="s">
        <v>618</v>
      </c>
      <c r="C168" s="2" t="s">
        <v>26</v>
      </c>
      <c r="D168" s="2" t="s">
        <v>27</v>
      </c>
      <c r="E168" s="4">
        <v>-31922</v>
      </c>
      <c r="F168" s="3" t="s">
        <v>622</v>
      </c>
      <c r="G168" s="3" t="s">
        <v>623</v>
      </c>
      <c r="H168" s="2" t="s">
        <v>21</v>
      </c>
      <c r="I168" s="2" t="s">
        <v>624</v>
      </c>
      <c r="J168" s="3" t="str">
        <f>HYPERLINK("https://www.boe.es/gazeta/dias/1812/08/06/pdfs/GMD-1812-219.pdf#page=1","Abrir facsímil")</f>
        <v>Abrir facsímil</v>
      </c>
      <c r="K168" s="3" t="s">
        <v>23</v>
      </c>
    </row>
    <row r="169" spans="1:11" ht="42" customHeight="1">
      <c r="A169" s="2" t="s">
        <v>625</v>
      </c>
      <c r="B169" s="2" t="s">
        <v>625</v>
      </c>
      <c r="C169" s="2" t="s">
        <v>17</v>
      </c>
      <c r="D169" s="2" t="s">
        <v>18</v>
      </c>
      <c r="E169" s="4">
        <v>-31903</v>
      </c>
      <c r="F169" s="3" t="s">
        <v>626</v>
      </c>
      <c r="G169" s="3" t="s">
        <v>20</v>
      </c>
      <c r="H169" s="2" t="s">
        <v>21</v>
      </c>
      <c r="I169" s="2" t="s">
        <v>627</v>
      </c>
      <c r="J169" s="3" t="str">
        <f>HYPERLINK("https://www.boe.es/gazeta/dias/1812/08/25/pdfs/GMR-1812-5.pdf#page=4","Abrir facsímil")</f>
        <v>Abrir facsímil</v>
      </c>
      <c r="K169" s="3" t="s">
        <v>23</v>
      </c>
    </row>
    <row r="170" spans="1:11" ht="42" customHeight="1">
      <c r="A170" s="2" t="s">
        <v>628</v>
      </c>
      <c r="B170" s="2" t="s">
        <v>628</v>
      </c>
      <c r="C170" s="2" t="s">
        <v>26</v>
      </c>
      <c r="D170" s="2" t="s">
        <v>27</v>
      </c>
      <c r="E170" s="4">
        <v>-31990</v>
      </c>
      <c r="F170" s="3" t="s">
        <v>629</v>
      </c>
      <c r="G170" s="3" t="s">
        <v>101</v>
      </c>
      <c r="H170" s="2" t="s">
        <v>21</v>
      </c>
      <c r="I170" s="2" t="s">
        <v>630</v>
      </c>
      <c r="J170" s="3" t="str">
        <f>HYPERLINK("https://www.boe.es/gazeta/dias/1812/05/30/pdfs/GMD-1812-151.pdf#page=1","Abrir facsímil")</f>
        <v>Abrir facsímil</v>
      </c>
      <c r="K170" s="3" t="s">
        <v>23</v>
      </c>
    </row>
    <row r="171" spans="1:11" ht="42" customHeight="1">
      <c r="A171" s="2" t="s">
        <v>631</v>
      </c>
      <c r="B171" s="2" t="s">
        <v>631</v>
      </c>
      <c r="C171" s="2" t="s">
        <v>105</v>
      </c>
      <c r="D171" s="2" t="s">
        <v>27</v>
      </c>
      <c r="E171" s="4">
        <v>-31801</v>
      </c>
      <c r="F171" s="3" t="s">
        <v>632</v>
      </c>
      <c r="G171" s="3" t="s">
        <v>237</v>
      </c>
      <c r="H171" s="2" t="s">
        <v>21</v>
      </c>
      <c r="I171" s="2" t="s">
        <v>633</v>
      </c>
      <c r="J171" s="3" t="str">
        <f>HYPERLINK("https://www.boe.es/gazeta/dias/1812/12/05/pdfs/GMD-1812-228.pdf#page=2","Abrir facsímil")</f>
        <v>Abrir facsímil</v>
      </c>
      <c r="K171" s="3" t="s">
        <v>23</v>
      </c>
    </row>
    <row r="172" spans="1:11" ht="42" customHeight="1">
      <c r="A172" s="2" t="s">
        <v>634</v>
      </c>
      <c r="B172" s="2" t="s">
        <v>635</v>
      </c>
      <c r="C172" s="2" t="s">
        <v>17</v>
      </c>
      <c r="D172" s="2" t="s">
        <v>27</v>
      </c>
      <c r="E172" s="4">
        <v>-31875</v>
      </c>
      <c r="F172" s="3" t="s">
        <v>110</v>
      </c>
      <c r="G172" s="3" t="s">
        <v>636</v>
      </c>
      <c r="H172" s="2" t="s">
        <v>21</v>
      </c>
      <c r="I172" s="2" t="s">
        <v>637</v>
      </c>
      <c r="J172" s="3" t="str">
        <f>HYPERLINK("https://www.boe.es/gazeta/dias/1812/09/22/pdfs/GRE-1812-128.pdf#page=7","Abrir facsímil")</f>
        <v>Abrir facsímil</v>
      </c>
      <c r="K172" s="3" t="s">
        <v>23</v>
      </c>
    </row>
    <row r="173" spans="1:11" ht="42" customHeight="1">
      <c r="A173" s="2" t="s">
        <v>638</v>
      </c>
      <c r="B173" s="2" t="s">
        <v>638</v>
      </c>
      <c r="C173" s="2" t="s">
        <v>17</v>
      </c>
      <c r="D173" s="2" t="s">
        <v>275</v>
      </c>
      <c r="E173" s="4">
        <v>-32077</v>
      </c>
      <c r="F173" s="3" t="s">
        <v>639</v>
      </c>
      <c r="G173" s="3" t="s">
        <v>36</v>
      </c>
      <c r="H173" s="2" t="s">
        <v>21</v>
      </c>
      <c r="I173" s="2" t="s">
        <v>640</v>
      </c>
      <c r="J173" s="3" t="str">
        <f>HYPERLINK("https://www.boe.es/gazeta/dias/1812/03/04/pdfs/GMD-1812-64.pdf#page=3","Abrir facsímil")</f>
        <v>Abrir facsímil</v>
      </c>
      <c r="K173" s="3" t="s">
        <v>23</v>
      </c>
    </row>
    <row r="174" spans="1:11" ht="42" customHeight="1">
      <c r="A174" s="2" t="s">
        <v>641</v>
      </c>
      <c r="B174" s="2" t="s">
        <v>642</v>
      </c>
      <c r="C174" s="2" t="s">
        <v>26</v>
      </c>
      <c r="D174" s="2" t="s">
        <v>27</v>
      </c>
      <c r="E174" s="4">
        <v>-31962</v>
      </c>
      <c r="F174" s="3" t="s">
        <v>643</v>
      </c>
      <c r="G174" s="3" t="s">
        <v>644</v>
      </c>
      <c r="H174" s="2" t="s">
        <v>21</v>
      </c>
      <c r="I174" s="2" t="s">
        <v>645</v>
      </c>
      <c r="J174" s="3" t="str">
        <f>HYPERLINK("https://www.boe.es/gazeta/dias/1812/06/27/pdfs/GMD-1812-179.pdf#page=2","Abrir facsímil")</f>
        <v>Abrir facsímil</v>
      </c>
      <c r="K174" s="3" t="s">
        <v>23</v>
      </c>
    </row>
    <row r="175" spans="1:11" ht="42" customHeight="1">
      <c r="A175" s="2" t="s">
        <v>646</v>
      </c>
      <c r="B175" s="2" t="s">
        <v>646</v>
      </c>
      <c r="C175" s="2" t="s">
        <v>105</v>
      </c>
      <c r="D175" s="2" t="s">
        <v>194</v>
      </c>
      <c r="E175" s="4">
        <v>-31936</v>
      </c>
      <c r="F175" s="3" t="s">
        <v>614</v>
      </c>
      <c r="G175" s="3" t="s">
        <v>514</v>
      </c>
      <c r="H175" s="2" t="s">
        <v>21</v>
      </c>
      <c r="I175" s="2" t="s">
        <v>647</v>
      </c>
      <c r="J175" s="3" t="str">
        <f>HYPERLINK("https://www.boe.es/gazeta/dias/1812/07/23/pdfs/GRE-1812-92.pdf#page=3","Abrir facsímil")</f>
        <v>Abrir facsímil</v>
      </c>
      <c r="K175" s="3" t="s">
        <v>23</v>
      </c>
    </row>
    <row r="176" spans="1:11" ht="42" customHeight="1">
      <c r="A176" s="2" t="s">
        <v>648</v>
      </c>
      <c r="B176" s="2" t="s">
        <v>648</v>
      </c>
      <c r="C176" s="2" t="s">
        <v>105</v>
      </c>
      <c r="D176" s="2" t="s">
        <v>27</v>
      </c>
      <c r="E176" s="4">
        <v>-31796</v>
      </c>
      <c r="F176" s="3" t="s">
        <v>649</v>
      </c>
      <c r="G176" s="3" t="s">
        <v>45</v>
      </c>
      <c r="H176" s="2" t="s">
        <v>21</v>
      </c>
      <c r="I176" s="2" t="s">
        <v>650</v>
      </c>
      <c r="J176" s="3" t="str">
        <f>HYPERLINK("https://www.boe.es/gazeta/dias/1812/12/10/pdfs/GMD-1812-233.pdf#page=2","Abrir facsímil")</f>
        <v>Abrir facsímil</v>
      </c>
      <c r="K176" s="3" t="s">
        <v>23</v>
      </c>
    </row>
    <row r="177" spans="1:11" ht="42" customHeight="1">
      <c r="A177" s="2" t="s">
        <v>651</v>
      </c>
      <c r="B177" s="2" t="s">
        <v>651</v>
      </c>
      <c r="C177" s="2" t="s">
        <v>17</v>
      </c>
      <c r="D177" s="2" t="s">
        <v>18</v>
      </c>
      <c r="E177" s="4">
        <v>-32063</v>
      </c>
      <c r="F177" s="3" t="s">
        <v>384</v>
      </c>
      <c r="G177" s="3" t="s">
        <v>366</v>
      </c>
      <c r="H177" s="2" t="s">
        <v>21</v>
      </c>
      <c r="I177" s="2" t="s">
        <v>652</v>
      </c>
      <c r="J177" s="3" t="str">
        <f>HYPERLINK("https://www.boe.es/gazeta/dias/1812/03/18/pdfs/GMD-1812-78.pdf#page=2","Abrir facsímil")</f>
        <v>Abrir facsímil</v>
      </c>
      <c r="K177" s="3" t="s">
        <v>23</v>
      </c>
    </row>
    <row r="178" spans="1:11" ht="42" customHeight="1">
      <c r="A178" s="2" t="s">
        <v>653</v>
      </c>
      <c r="B178" s="2" t="s">
        <v>653</v>
      </c>
      <c r="C178" s="2" t="s">
        <v>17</v>
      </c>
      <c r="D178" s="2" t="s">
        <v>18</v>
      </c>
      <c r="E178" s="4">
        <v>-31873</v>
      </c>
      <c r="F178" s="3" t="s">
        <v>654</v>
      </c>
      <c r="G178" s="3" t="s">
        <v>655</v>
      </c>
      <c r="H178" s="2" t="s">
        <v>21</v>
      </c>
      <c r="I178" s="2" t="s">
        <v>656</v>
      </c>
      <c r="J178" s="3" t="str">
        <f>HYPERLINK("https://www.boe.es/gazeta/dias/1812/09/24/pdfs/GRE-1812-130.pdf#page=1","Abrir facsímil")</f>
        <v>Abrir facsímil</v>
      </c>
      <c r="K178" s="3" t="s">
        <v>23</v>
      </c>
    </row>
    <row r="179" spans="1:11" ht="42" customHeight="1">
      <c r="A179" s="2" t="s">
        <v>657</v>
      </c>
      <c r="B179" s="2" t="s">
        <v>657</v>
      </c>
      <c r="C179" s="2" t="s">
        <v>17</v>
      </c>
      <c r="D179" s="2" t="s">
        <v>18</v>
      </c>
      <c r="E179" s="4">
        <v>-31800</v>
      </c>
      <c r="F179" s="3" t="s">
        <v>593</v>
      </c>
      <c r="G179" s="3" t="s">
        <v>594</v>
      </c>
      <c r="H179" s="2" t="s">
        <v>21</v>
      </c>
      <c r="I179" s="2" t="s">
        <v>658</v>
      </c>
      <c r="J179" s="3" t="str">
        <f>HYPERLINK("https://www.boe.es/gazeta/dias/1812/12/06/pdfs/GMD-1812-229.pdf#page=3","Abrir facsímil")</f>
        <v>Abrir facsímil</v>
      </c>
      <c r="K179" s="3" t="s">
        <v>23</v>
      </c>
    </row>
    <row r="180" spans="1:11" ht="42" customHeight="1">
      <c r="A180" s="2" t="s">
        <v>659</v>
      </c>
      <c r="B180" s="2" t="s">
        <v>659</v>
      </c>
      <c r="C180" s="2" t="s">
        <v>105</v>
      </c>
      <c r="D180" s="2" t="s">
        <v>27</v>
      </c>
      <c r="E180" s="4">
        <v>-31775</v>
      </c>
      <c r="F180" s="3" t="s">
        <v>660</v>
      </c>
      <c r="G180" s="3" t="s">
        <v>36</v>
      </c>
      <c r="H180" s="2" t="s">
        <v>21</v>
      </c>
      <c r="I180" s="2" t="s">
        <v>661</v>
      </c>
      <c r="J180" s="3" t="str">
        <f>HYPERLINK("https://www.boe.es/gazeta/dias/1812/12/31/pdfs/GRE-1812-172.pdf#page=3","Abrir facsímil")</f>
        <v>Abrir facsímil</v>
      </c>
      <c r="K180" s="3" t="s">
        <v>23</v>
      </c>
    </row>
    <row r="181" spans="1:11" ht="42" customHeight="1">
      <c r="A181" s="2" t="s">
        <v>662</v>
      </c>
      <c r="B181" s="2" t="s">
        <v>662</v>
      </c>
      <c r="C181" s="2" t="s">
        <v>17</v>
      </c>
      <c r="D181" s="2" t="s">
        <v>18</v>
      </c>
      <c r="E181" s="4">
        <v>-31991</v>
      </c>
      <c r="F181" s="3" t="s">
        <v>663</v>
      </c>
      <c r="G181" s="3" t="s">
        <v>404</v>
      </c>
      <c r="H181" s="2" t="s">
        <v>21</v>
      </c>
      <c r="I181" s="2" t="s">
        <v>664</v>
      </c>
      <c r="J181" s="3" t="str">
        <f>HYPERLINK("https://www.boe.es/gazeta/dias/1812/05/29/pdfs/GMD-1812-150.pdf#page=4","Abrir facsímil")</f>
        <v>Abrir facsímil</v>
      </c>
      <c r="K181" s="3" t="s">
        <v>23</v>
      </c>
    </row>
    <row r="182" spans="1:11" ht="42" customHeight="1">
      <c r="A182" s="2" t="s">
        <v>665</v>
      </c>
      <c r="B182" s="2" t="s">
        <v>666</v>
      </c>
      <c r="C182" s="2" t="s">
        <v>26</v>
      </c>
      <c r="D182" s="2" t="s">
        <v>194</v>
      </c>
      <c r="E182" s="4">
        <v>-31966</v>
      </c>
      <c r="F182" s="3" t="s">
        <v>387</v>
      </c>
      <c r="G182" s="3" t="s">
        <v>667</v>
      </c>
      <c r="H182" s="2" t="s">
        <v>21</v>
      </c>
      <c r="I182" s="2" t="s">
        <v>668</v>
      </c>
      <c r="J182" s="3" t="str">
        <f>HYPERLINK("https://www.boe.es/gazeta/dias/1812/06/23/pdfs/GMD-1812-175.pdf#page=1","Abrir facsímil")</f>
        <v>Abrir facsímil</v>
      </c>
      <c r="K182" s="3" t="s">
        <v>23</v>
      </c>
    </row>
    <row r="183" spans="1:11" ht="42" customHeight="1">
      <c r="A183" s="2" t="s">
        <v>669</v>
      </c>
      <c r="B183" s="2" t="s">
        <v>670</v>
      </c>
      <c r="C183" s="2" t="s">
        <v>26</v>
      </c>
      <c r="D183" s="2" t="s">
        <v>27</v>
      </c>
      <c r="E183" s="4">
        <v>-32057</v>
      </c>
      <c r="F183" s="3" t="s">
        <v>225</v>
      </c>
      <c r="G183" s="3" t="s">
        <v>671</v>
      </c>
      <c r="H183" s="2" t="s">
        <v>21</v>
      </c>
      <c r="I183" s="2" t="s">
        <v>672</v>
      </c>
      <c r="J183" s="3" t="str">
        <f>HYPERLINK("https://www.boe.es/gazeta/dias/1812/03/24/pdfs/GMD-1812-84.pdf#page=1","Abrir facsímil")</f>
        <v>Abrir facsímil</v>
      </c>
      <c r="K183" s="3" t="s">
        <v>23</v>
      </c>
    </row>
    <row r="184" spans="1:11" ht="42" customHeight="1">
      <c r="A184" s="2" t="s">
        <v>673</v>
      </c>
      <c r="B184" s="2" t="s">
        <v>673</v>
      </c>
      <c r="C184" s="2" t="s">
        <v>17</v>
      </c>
      <c r="D184" s="2" t="s">
        <v>18</v>
      </c>
      <c r="E184" s="4">
        <v>-32125</v>
      </c>
      <c r="F184" s="3" t="s">
        <v>335</v>
      </c>
      <c r="G184" s="3" t="s">
        <v>674</v>
      </c>
      <c r="H184" s="2" t="s">
        <v>21</v>
      </c>
      <c r="I184" s="2" t="s">
        <v>675</v>
      </c>
      <c r="J184" s="3" t="str">
        <f>HYPERLINK("https://www.boe.es/gazeta/dias/1812/01/16/pdfs/GEI-1812-7.pdf#page=6","Abrir facsímil")</f>
        <v>Abrir facsímil</v>
      </c>
      <c r="K184" s="3" t="s">
        <v>23</v>
      </c>
    </row>
    <row r="185" spans="1:11" ht="42" customHeight="1">
      <c r="A185" s="2" t="s">
        <v>673</v>
      </c>
      <c r="B185" s="2" t="s">
        <v>673</v>
      </c>
      <c r="C185" s="2" t="s">
        <v>26</v>
      </c>
      <c r="D185" s="2" t="s">
        <v>275</v>
      </c>
      <c r="E185" s="4">
        <v>-32063</v>
      </c>
      <c r="F185" s="3" t="s">
        <v>384</v>
      </c>
      <c r="G185" s="3" t="s">
        <v>20</v>
      </c>
      <c r="H185" s="2" t="s">
        <v>21</v>
      </c>
      <c r="I185" s="2" t="s">
        <v>676</v>
      </c>
      <c r="J185" s="3" t="str">
        <f>HYPERLINK("https://www.boe.es/gazeta/dias/1812/03/18/pdfs/GMD-1812-78.pdf#page=4","Abrir facsímil")</f>
        <v>Abrir facsímil</v>
      </c>
      <c r="K185" s="3" t="s">
        <v>23</v>
      </c>
    </row>
    <row r="186" spans="1:11" ht="42" customHeight="1">
      <c r="A186" s="2" t="s">
        <v>673</v>
      </c>
      <c r="B186" s="2" t="s">
        <v>673</v>
      </c>
      <c r="C186" s="2" t="s">
        <v>105</v>
      </c>
      <c r="D186" s="2" t="s">
        <v>275</v>
      </c>
      <c r="E186" s="4">
        <v>-32057</v>
      </c>
      <c r="F186" s="3" t="s">
        <v>677</v>
      </c>
      <c r="G186" s="3" t="s">
        <v>678</v>
      </c>
      <c r="H186" s="2" t="s">
        <v>21</v>
      </c>
      <c r="I186" s="2" t="s">
        <v>679</v>
      </c>
      <c r="J186" s="3" t="str">
        <f>HYPERLINK("https://www.boe.es/gazeta/dias/1812/03/24/pdfs/GRE-1812-37.pdf#page=6","Abrir facsímil")</f>
        <v>Abrir facsímil</v>
      </c>
      <c r="K186" s="3" t="s">
        <v>23</v>
      </c>
    </row>
    <row r="187" spans="1:11" ht="42" customHeight="1">
      <c r="A187" s="2" t="s">
        <v>673</v>
      </c>
      <c r="B187" s="2" t="s">
        <v>673</v>
      </c>
      <c r="C187" s="2" t="s">
        <v>17</v>
      </c>
      <c r="D187" s="2" t="s">
        <v>18</v>
      </c>
      <c r="E187" s="4">
        <v>-32055</v>
      </c>
      <c r="F187" s="3" t="s">
        <v>459</v>
      </c>
      <c r="G187" s="3" t="s">
        <v>680</v>
      </c>
      <c r="H187" s="2" t="s">
        <v>21</v>
      </c>
      <c r="I187" s="2" t="s">
        <v>681</v>
      </c>
      <c r="J187" s="3" t="str">
        <f>HYPERLINK("https://www.boe.es/gazeta/dias/1812/03/26/pdfs/GRE-1812-38.pdf#page=3","Abrir facsímil")</f>
        <v>Abrir facsímil</v>
      </c>
      <c r="K187" s="3" t="s">
        <v>23</v>
      </c>
    </row>
    <row r="188" spans="1:11" ht="42" customHeight="1">
      <c r="A188" s="2" t="s">
        <v>673</v>
      </c>
      <c r="B188" s="2" t="s">
        <v>673</v>
      </c>
      <c r="C188" s="2" t="s">
        <v>49</v>
      </c>
      <c r="D188" s="2" t="s">
        <v>27</v>
      </c>
      <c r="E188" s="4">
        <v>-32040</v>
      </c>
      <c r="F188" s="3" t="s">
        <v>682</v>
      </c>
      <c r="G188" s="3" t="s">
        <v>683</v>
      </c>
      <c r="H188" s="2" t="s">
        <v>21</v>
      </c>
      <c r="I188" s="2" t="s">
        <v>684</v>
      </c>
      <c r="J188" s="3" t="str">
        <f>HYPERLINK("https://www.boe.es/gazeta/dias/1812/04/10/pdfs/GMD-1812-101.pdf#page=1","Abrir facsímil")</f>
        <v>Abrir facsímil</v>
      </c>
      <c r="K188" s="3" t="s">
        <v>23</v>
      </c>
    </row>
    <row r="189" spans="1:11" ht="42" customHeight="1">
      <c r="A189" s="2" t="s">
        <v>673</v>
      </c>
      <c r="B189" s="2" t="s">
        <v>673</v>
      </c>
      <c r="C189" s="2" t="s">
        <v>105</v>
      </c>
      <c r="D189" s="2" t="s">
        <v>27</v>
      </c>
      <c r="E189" s="4">
        <v>-32018</v>
      </c>
      <c r="F189" s="3" t="s">
        <v>365</v>
      </c>
      <c r="G189" s="3" t="s">
        <v>392</v>
      </c>
      <c r="H189" s="2" t="s">
        <v>21</v>
      </c>
      <c r="I189" s="2" t="s">
        <v>685</v>
      </c>
      <c r="J189" s="3" t="str">
        <f>HYPERLINK("https://www.boe.es/gazeta/dias/1812/05/02/pdfs/GRE-1812-55.pdf#page=2","Abrir facsímil")</f>
        <v>Abrir facsímil</v>
      </c>
      <c r="K189" s="3" t="s">
        <v>23</v>
      </c>
    </row>
    <row r="190" spans="1:11" ht="42" customHeight="1">
      <c r="A190" s="2" t="s">
        <v>673</v>
      </c>
      <c r="B190" s="2" t="s">
        <v>673</v>
      </c>
      <c r="C190" s="2" t="s">
        <v>105</v>
      </c>
      <c r="D190" s="2" t="s">
        <v>27</v>
      </c>
      <c r="E190" s="4">
        <v>-31971</v>
      </c>
      <c r="F190" s="3" t="s">
        <v>686</v>
      </c>
      <c r="G190" s="3" t="s">
        <v>196</v>
      </c>
      <c r="H190" s="2" t="s">
        <v>21</v>
      </c>
      <c r="I190" s="2" t="s">
        <v>687</v>
      </c>
      <c r="J190" s="3" t="str">
        <f>HYPERLINK("https://www.boe.es/gazeta/dias/1812/06/18/pdfs/GRE-1812-75.pdf#page=1","Abrir facsímil")</f>
        <v>Abrir facsímil</v>
      </c>
      <c r="K190" s="3" t="s">
        <v>23</v>
      </c>
    </row>
    <row r="191" spans="1:11" ht="42" customHeight="1">
      <c r="A191" s="2" t="s">
        <v>673</v>
      </c>
      <c r="B191" s="2" t="s">
        <v>673</v>
      </c>
      <c r="C191" s="2" t="s">
        <v>17</v>
      </c>
      <c r="D191" s="2" t="s">
        <v>18</v>
      </c>
      <c r="E191" s="4">
        <v>-31971</v>
      </c>
      <c r="F191" s="3" t="s">
        <v>686</v>
      </c>
      <c r="G191" s="3" t="s">
        <v>688</v>
      </c>
      <c r="H191" s="2" t="s">
        <v>21</v>
      </c>
      <c r="I191" s="2" t="s">
        <v>689</v>
      </c>
      <c r="J191" s="3" t="str">
        <f>HYPERLINK("https://www.boe.es/gazeta/dias/1812/06/18/pdfs/GRE-1812-75.pdf#page=4","Abrir facsímil")</f>
        <v>Abrir facsímil</v>
      </c>
      <c r="K191" s="3" t="s">
        <v>23</v>
      </c>
    </row>
    <row r="192" spans="1:11" ht="42" customHeight="1">
      <c r="A192" s="2" t="s">
        <v>673</v>
      </c>
      <c r="B192" s="2" t="s">
        <v>673</v>
      </c>
      <c r="C192" s="2" t="s">
        <v>17</v>
      </c>
      <c r="D192" s="2" t="s">
        <v>27</v>
      </c>
      <c r="E192" s="4">
        <v>-31962</v>
      </c>
      <c r="F192" s="3" t="s">
        <v>153</v>
      </c>
      <c r="G192" s="3" t="s">
        <v>690</v>
      </c>
      <c r="H192" s="2" t="s">
        <v>21</v>
      </c>
      <c r="I192" s="2" t="s">
        <v>691</v>
      </c>
      <c r="J192" s="3" t="str">
        <f>HYPERLINK("https://www.boe.es/gazeta/dias/1812/06/27/pdfs/GRE-1812-79.pdf#page=2","Abrir facsímil")</f>
        <v>Abrir facsímil</v>
      </c>
      <c r="K192" s="3" t="s">
        <v>23</v>
      </c>
    </row>
    <row r="193" spans="1:11" ht="42" customHeight="1">
      <c r="A193" s="2" t="s">
        <v>673</v>
      </c>
      <c r="B193" s="2" t="s">
        <v>673</v>
      </c>
      <c r="C193" s="2" t="s">
        <v>105</v>
      </c>
      <c r="D193" s="2" t="s">
        <v>27</v>
      </c>
      <c r="E193" s="4">
        <v>-31954</v>
      </c>
      <c r="F193" s="3" t="s">
        <v>692</v>
      </c>
      <c r="G193" s="3" t="s">
        <v>214</v>
      </c>
      <c r="H193" s="2" t="s">
        <v>21</v>
      </c>
      <c r="I193" s="2" t="s">
        <v>693</v>
      </c>
      <c r="J193" s="3" t="str">
        <f>HYPERLINK("https://www.boe.es/gazeta/dias/1812/07/05/pdfs/GMD-1812-187.pdf#page=1","Abrir facsímil")</f>
        <v>Abrir facsímil</v>
      </c>
      <c r="K193" s="3" t="s">
        <v>23</v>
      </c>
    </row>
    <row r="194" spans="1:11" ht="42" customHeight="1">
      <c r="A194" s="2" t="s">
        <v>673</v>
      </c>
      <c r="B194" s="2" t="s">
        <v>673</v>
      </c>
      <c r="C194" s="2" t="s">
        <v>105</v>
      </c>
      <c r="D194" s="2" t="s">
        <v>27</v>
      </c>
      <c r="E194" s="4">
        <v>-31952</v>
      </c>
      <c r="F194" s="3" t="s">
        <v>694</v>
      </c>
      <c r="G194" s="3" t="s">
        <v>217</v>
      </c>
      <c r="H194" s="2" t="s">
        <v>21</v>
      </c>
      <c r="I194" s="2" t="s">
        <v>695</v>
      </c>
      <c r="J194" s="3" t="str">
        <f>HYPERLINK("https://www.boe.es/gazeta/dias/1812/07/07/pdfs/GMD-1812-189.pdf#page=1","Abrir facsímil")</f>
        <v>Abrir facsímil</v>
      </c>
      <c r="K194" s="3" t="s">
        <v>23</v>
      </c>
    </row>
    <row r="195" spans="1:11" ht="42" customHeight="1">
      <c r="A195" s="2" t="s">
        <v>673</v>
      </c>
      <c r="B195" s="2" t="s">
        <v>673</v>
      </c>
      <c r="C195" s="2" t="s">
        <v>105</v>
      </c>
      <c r="D195" s="2" t="s">
        <v>27</v>
      </c>
      <c r="E195" s="4">
        <v>-31934</v>
      </c>
      <c r="F195" s="3" t="s">
        <v>509</v>
      </c>
      <c r="G195" s="3" t="s">
        <v>696</v>
      </c>
      <c r="H195" s="2" t="s">
        <v>21</v>
      </c>
      <c r="I195" s="2" t="s">
        <v>697</v>
      </c>
      <c r="J195" s="3" t="str">
        <f>HYPERLINK("https://www.boe.es/gazeta/dias/1812/07/25/pdfs/GRE-1812-93.pdf#page=2","Abrir facsímil")</f>
        <v>Abrir facsímil</v>
      </c>
      <c r="K195" s="3" t="s">
        <v>23</v>
      </c>
    </row>
    <row r="196" spans="1:11" ht="42" customHeight="1">
      <c r="A196" s="2" t="s">
        <v>673</v>
      </c>
      <c r="B196" s="2" t="s">
        <v>673</v>
      </c>
      <c r="C196" s="2" t="s">
        <v>17</v>
      </c>
      <c r="D196" s="2" t="s">
        <v>18</v>
      </c>
      <c r="E196" s="4">
        <v>-31901</v>
      </c>
      <c r="F196" s="3" t="s">
        <v>590</v>
      </c>
      <c r="G196" s="3" t="s">
        <v>591</v>
      </c>
      <c r="H196" s="2" t="s">
        <v>21</v>
      </c>
      <c r="I196" s="2" t="s">
        <v>698</v>
      </c>
      <c r="J196" s="3" t="str">
        <f>HYPERLINK("https://www.boe.es/gazeta/dias/1812/08/27/pdfs/GMR-1812-6.pdf#page=1","Abrir facsímil")</f>
        <v>Abrir facsímil</v>
      </c>
      <c r="K196" s="3" t="s">
        <v>23</v>
      </c>
    </row>
    <row r="197" spans="1:11" ht="42" customHeight="1">
      <c r="A197" s="2" t="s">
        <v>673</v>
      </c>
      <c r="B197" s="2" t="s">
        <v>673</v>
      </c>
      <c r="C197" s="2" t="s">
        <v>17</v>
      </c>
      <c r="D197" s="2" t="s">
        <v>18</v>
      </c>
      <c r="E197" s="4">
        <v>-31889</v>
      </c>
      <c r="F197" s="3" t="s">
        <v>699</v>
      </c>
      <c r="G197" s="3" t="s">
        <v>58</v>
      </c>
      <c r="H197" s="2" t="s">
        <v>21</v>
      </c>
      <c r="I197" s="2" t="s">
        <v>700</v>
      </c>
      <c r="J197" s="3" t="str">
        <f>HYPERLINK("https://www.boe.es/gazeta/dias/1812/09/08/pdfs/GMR-1812-11.pdf#page=5","Abrir facsímil")</f>
        <v>Abrir facsímil</v>
      </c>
      <c r="K197" s="3" t="s">
        <v>23</v>
      </c>
    </row>
    <row r="198" spans="1:11" ht="42" customHeight="1">
      <c r="A198" s="2" t="s">
        <v>673</v>
      </c>
      <c r="B198" s="2" t="s">
        <v>673</v>
      </c>
      <c r="C198" s="2" t="s">
        <v>105</v>
      </c>
      <c r="D198" s="2" t="s">
        <v>27</v>
      </c>
      <c r="E198" s="4">
        <v>-31887</v>
      </c>
      <c r="F198" s="3" t="s">
        <v>701</v>
      </c>
      <c r="G198" s="3" t="s">
        <v>214</v>
      </c>
      <c r="H198" s="2" t="s">
        <v>21</v>
      </c>
      <c r="I198" s="2" t="s">
        <v>702</v>
      </c>
      <c r="J198" s="3" t="str">
        <f>HYPERLINK("https://www.boe.es/gazeta/dias/1812/09/10/pdfs/GMR-1812-12.pdf#page=3","Abrir facsímil")</f>
        <v>Abrir facsímil</v>
      </c>
      <c r="K198" s="3" t="s">
        <v>23</v>
      </c>
    </row>
    <row r="199" spans="1:11" ht="42" customHeight="1">
      <c r="A199" s="2" t="s">
        <v>673</v>
      </c>
      <c r="B199" s="2" t="s">
        <v>673</v>
      </c>
      <c r="C199" s="2" t="s">
        <v>105</v>
      </c>
      <c r="D199" s="2" t="s">
        <v>27</v>
      </c>
      <c r="E199" s="4">
        <v>-31887</v>
      </c>
      <c r="F199" s="3" t="s">
        <v>703</v>
      </c>
      <c r="G199" s="3" t="s">
        <v>36</v>
      </c>
      <c r="H199" s="2" t="s">
        <v>21</v>
      </c>
      <c r="I199" s="2" t="s">
        <v>704</v>
      </c>
      <c r="J199" s="3" t="str">
        <f>HYPERLINK("https://www.boe.es/gazeta/dias/1812/09/10/pdfs/GRE-1812-122.pdf#page=3","Abrir facsímil")</f>
        <v>Abrir facsímil</v>
      </c>
      <c r="K199" s="3" t="s">
        <v>23</v>
      </c>
    </row>
    <row r="200" spans="1:11" ht="42" customHeight="1">
      <c r="A200" s="2" t="s">
        <v>673</v>
      </c>
      <c r="B200" s="2" t="s">
        <v>673</v>
      </c>
      <c r="C200" s="2" t="s">
        <v>17</v>
      </c>
      <c r="D200" s="2" t="s">
        <v>18</v>
      </c>
      <c r="E200" s="4">
        <v>-31880</v>
      </c>
      <c r="F200" s="3" t="s">
        <v>705</v>
      </c>
      <c r="G200" s="3" t="s">
        <v>706</v>
      </c>
      <c r="H200" s="2" t="s">
        <v>21</v>
      </c>
      <c r="I200" s="2" t="s">
        <v>707</v>
      </c>
      <c r="J200" s="3" t="str">
        <f>HYPERLINK("https://www.boe.es/gazeta/dias/1812/09/17/pdfs/GMR-1812-15.pdf#page=1","Abrir facsímil")</f>
        <v>Abrir facsímil</v>
      </c>
      <c r="K200" s="3" t="s">
        <v>23</v>
      </c>
    </row>
    <row r="201" spans="1:11" ht="42" customHeight="1">
      <c r="A201" s="2" t="s">
        <v>673</v>
      </c>
      <c r="B201" s="2" t="s">
        <v>673</v>
      </c>
      <c r="C201" s="2" t="s">
        <v>105</v>
      </c>
      <c r="D201" s="2" t="s">
        <v>27</v>
      </c>
      <c r="E201" s="4">
        <v>-31875</v>
      </c>
      <c r="F201" s="3" t="s">
        <v>708</v>
      </c>
      <c r="G201" s="3" t="s">
        <v>36</v>
      </c>
      <c r="H201" s="2" t="s">
        <v>21</v>
      </c>
      <c r="I201" s="2" t="s">
        <v>709</v>
      </c>
      <c r="J201" s="3" t="str">
        <f>HYPERLINK("https://www.boe.es/gazeta/dias/1812/09/22/pdfs/GMR-1812-17.pdf#page=3","Abrir facsímil")</f>
        <v>Abrir facsímil</v>
      </c>
      <c r="K201" s="3" t="s">
        <v>23</v>
      </c>
    </row>
    <row r="202" spans="1:11" ht="42" customHeight="1">
      <c r="A202" s="2" t="s">
        <v>673</v>
      </c>
      <c r="B202" s="2" t="s">
        <v>673</v>
      </c>
      <c r="C202" s="2" t="s">
        <v>17</v>
      </c>
      <c r="D202" s="2" t="s">
        <v>27</v>
      </c>
      <c r="E202" s="4">
        <v>-31873</v>
      </c>
      <c r="F202" s="3" t="s">
        <v>213</v>
      </c>
      <c r="G202" s="3" t="s">
        <v>599</v>
      </c>
      <c r="H202" s="2" t="s">
        <v>21</v>
      </c>
      <c r="I202" s="2" t="s">
        <v>710</v>
      </c>
      <c r="J202" s="3" t="str">
        <f>HYPERLINK("https://www.boe.es/gazeta/dias/1812/09/24/pdfs/GMR-1812-18.pdf#page=2","Abrir facsímil")</f>
        <v>Abrir facsímil</v>
      </c>
      <c r="K202" s="3" t="s">
        <v>23</v>
      </c>
    </row>
    <row r="203" spans="1:11" ht="42" customHeight="1">
      <c r="A203" s="2" t="s">
        <v>673</v>
      </c>
      <c r="B203" s="2" t="s">
        <v>673</v>
      </c>
      <c r="C203" s="2" t="s">
        <v>17</v>
      </c>
      <c r="D203" s="2" t="s">
        <v>18</v>
      </c>
      <c r="E203" s="4">
        <v>-31868</v>
      </c>
      <c r="F203" s="3" t="s">
        <v>711</v>
      </c>
      <c r="G203" s="3" t="s">
        <v>712</v>
      </c>
      <c r="H203" s="2" t="s">
        <v>21</v>
      </c>
      <c r="I203" s="2" t="s">
        <v>713</v>
      </c>
      <c r="J203" s="3" t="str">
        <f>HYPERLINK("https://www.boe.es/gazeta/dias/1812/09/29/pdfs/GRE-1812-132.pdf#page=2","Abrir facsímil")</f>
        <v>Abrir facsímil</v>
      </c>
      <c r="K203" s="3" t="s">
        <v>23</v>
      </c>
    </row>
    <row r="204" spans="1:11" ht="42" customHeight="1">
      <c r="A204" s="2" t="s">
        <v>673</v>
      </c>
      <c r="B204" s="2" t="s">
        <v>673</v>
      </c>
      <c r="C204" s="2" t="s">
        <v>105</v>
      </c>
      <c r="D204" s="2" t="s">
        <v>275</v>
      </c>
      <c r="E204" s="4">
        <v>-31859</v>
      </c>
      <c r="F204" s="3" t="s">
        <v>158</v>
      </c>
      <c r="G204" s="3" t="s">
        <v>404</v>
      </c>
      <c r="H204" s="2" t="s">
        <v>21</v>
      </c>
      <c r="I204" s="2" t="s">
        <v>714</v>
      </c>
      <c r="J204" s="3" t="str">
        <f>HYPERLINK("https://www.boe.es/gazeta/dias/1812/10/08/pdfs/GMR-1812-24.pdf#page=1","Abrir facsímil")</f>
        <v>Abrir facsímil</v>
      </c>
      <c r="K204" s="3" t="s">
        <v>23</v>
      </c>
    </row>
    <row r="205" spans="1:11" ht="42" customHeight="1">
      <c r="A205" s="2" t="s">
        <v>673</v>
      </c>
      <c r="B205" s="2" t="s">
        <v>673</v>
      </c>
      <c r="C205" s="2" t="s">
        <v>105</v>
      </c>
      <c r="D205" s="2" t="s">
        <v>194</v>
      </c>
      <c r="E205" s="4">
        <v>-31859</v>
      </c>
      <c r="F205" s="3" t="s">
        <v>158</v>
      </c>
      <c r="G205" s="3" t="s">
        <v>715</v>
      </c>
      <c r="H205" s="2" t="s">
        <v>21</v>
      </c>
      <c r="I205" s="2" t="s">
        <v>716</v>
      </c>
      <c r="J205" s="3" t="str">
        <f>HYPERLINK("https://www.boe.es/gazeta/dias/1812/10/08/pdfs/GMR-1812-24.pdf#page=4","Abrir facsímil")</f>
        <v>Abrir facsímil</v>
      </c>
      <c r="K205" s="3" t="s">
        <v>23</v>
      </c>
    </row>
    <row r="206" spans="1:11" ht="42" customHeight="1">
      <c r="A206" s="2" t="s">
        <v>673</v>
      </c>
      <c r="B206" s="2" t="s">
        <v>673</v>
      </c>
      <c r="C206" s="2" t="s">
        <v>105</v>
      </c>
      <c r="D206" s="2" t="s">
        <v>27</v>
      </c>
      <c r="E206" s="4">
        <v>-31854</v>
      </c>
      <c r="F206" s="3" t="s">
        <v>717</v>
      </c>
      <c r="G206" s="3" t="s">
        <v>683</v>
      </c>
      <c r="H206" s="2" t="s">
        <v>21</v>
      </c>
      <c r="I206" s="2" t="s">
        <v>718</v>
      </c>
      <c r="J206" s="3" t="str">
        <f>HYPERLINK("https://www.boe.es/gazeta/dias/1812/10/13/pdfs/GRE-1812-138.pdf#page=3","Abrir facsímil")</f>
        <v>Abrir facsímil</v>
      </c>
      <c r="K206" s="3" t="s">
        <v>23</v>
      </c>
    </row>
    <row r="207" spans="1:11" ht="42" customHeight="1">
      <c r="A207" s="2" t="s">
        <v>673</v>
      </c>
      <c r="B207" s="2" t="s">
        <v>673</v>
      </c>
      <c r="C207" s="2" t="s">
        <v>17</v>
      </c>
      <c r="D207" s="2" t="s">
        <v>27</v>
      </c>
      <c r="E207" s="4">
        <v>-31850</v>
      </c>
      <c r="F207" s="3" t="s">
        <v>719</v>
      </c>
      <c r="G207" s="3" t="s">
        <v>196</v>
      </c>
      <c r="H207" s="2" t="s">
        <v>21</v>
      </c>
      <c r="I207" s="2" t="s">
        <v>720</v>
      </c>
      <c r="J207" s="3" t="str">
        <f>HYPERLINK("https://www.boe.es/gazeta/dias/1812/10/17/pdfs/GMR-1812-28.pdf#page=1","Abrir facsímil")</f>
        <v>Abrir facsímil</v>
      </c>
      <c r="K207" s="3" t="s">
        <v>23</v>
      </c>
    </row>
    <row r="208" spans="1:11" ht="42" customHeight="1">
      <c r="A208" s="2" t="s">
        <v>673</v>
      </c>
      <c r="B208" s="2" t="s">
        <v>673</v>
      </c>
      <c r="C208" s="2" t="s">
        <v>17</v>
      </c>
      <c r="D208" s="2" t="s">
        <v>18</v>
      </c>
      <c r="E208" s="4">
        <v>-31850</v>
      </c>
      <c r="F208" s="3" t="s">
        <v>719</v>
      </c>
      <c r="G208" s="3" t="s">
        <v>721</v>
      </c>
      <c r="H208" s="2" t="s">
        <v>21</v>
      </c>
      <c r="I208" s="2" t="s">
        <v>722</v>
      </c>
      <c r="J208" s="3" t="str">
        <f>HYPERLINK("https://www.boe.es/gazeta/dias/1812/10/17/pdfs/GMR-1812-28.pdf#page=2","Abrir facsímil")</f>
        <v>Abrir facsímil</v>
      </c>
      <c r="K208" s="3" t="s">
        <v>23</v>
      </c>
    </row>
    <row r="209" spans="1:11" ht="42" customHeight="1">
      <c r="A209" s="2" t="s">
        <v>673</v>
      </c>
      <c r="B209" s="2" t="s">
        <v>673</v>
      </c>
      <c r="C209" s="2" t="s">
        <v>105</v>
      </c>
      <c r="D209" s="2" t="s">
        <v>27</v>
      </c>
      <c r="E209" s="4">
        <v>-31845</v>
      </c>
      <c r="F209" s="3" t="s">
        <v>723</v>
      </c>
      <c r="G209" s="3" t="s">
        <v>125</v>
      </c>
      <c r="H209" s="2" t="s">
        <v>21</v>
      </c>
      <c r="I209" s="2" t="s">
        <v>724</v>
      </c>
      <c r="J209" s="3" t="str">
        <f>HYPERLINK("https://www.boe.es/gazeta/dias/1812/10/22/pdfs/GMR-1812-30.pdf#page=2","Abrir facsímil")</f>
        <v>Abrir facsímil</v>
      </c>
      <c r="K209" s="3" t="s">
        <v>23</v>
      </c>
    </row>
    <row r="210" spans="1:11" ht="42" customHeight="1">
      <c r="A210" s="2" t="s">
        <v>725</v>
      </c>
      <c r="B210" s="2" t="s">
        <v>725</v>
      </c>
      <c r="C210" s="2" t="s">
        <v>186</v>
      </c>
      <c r="D210" s="2" t="s">
        <v>27</v>
      </c>
      <c r="E210" s="4">
        <v>-31845</v>
      </c>
      <c r="F210" s="3" t="s">
        <v>726</v>
      </c>
      <c r="G210" s="3" t="s">
        <v>727</v>
      </c>
      <c r="H210" s="2" t="s">
        <v>21</v>
      </c>
      <c r="I210" s="2" t="s">
        <v>728</v>
      </c>
      <c r="J210" s="3" t="str">
        <f>HYPERLINK("https://www.boe.es/gazeta/dias/1812/10/22/pdfs/GRE-1812-142.pdf#page=1","Abrir facsímil")</f>
        <v>Abrir facsímil</v>
      </c>
      <c r="K210" s="3" t="s">
        <v>23</v>
      </c>
    </row>
    <row r="211" spans="1:11" ht="42" customHeight="1">
      <c r="A211" s="2" t="s">
        <v>673</v>
      </c>
      <c r="B211" s="2" t="s">
        <v>673</v>
      </c>
      <c r="C211" s="2" t="s">
        <v>17</v>
      </c>
      <c r="D211" s="2" t="s">
        <v>27</v>
      </c>
      <c r="E211" s="4">
        <v>-31836</v>
      </c>
      <c r="F211" s="3" t="s">
        <v>729</v>
      </c>
      <c r="G211" s="3" t="s">
        <v>730</v>
      </c>
      <c r="H211" s="2" t="s">
        <v>21</v>
      </c>
      <c r="I211" s="2" t="s">
        <v>731</v>
      </c>
      <c r="J211" s="3" t="str">
        <f>HYPERLINK("https://www.boe.es/gazeta/dias/1812/10/31/pdfs/GRE-1812-146.pdf#page=1","Abrir facsímil")</f>
        <v>Abrir facsímil</v>
      </c>
      <c r="K211" s="3" t="s">
        <v>23</v>
      </c>
    </row>
    <row r="212" spans="1:11" ht="42" customHeight="1">
      <c r="A212" s="2" t="s">
        <v>673</v>
      </c>
      <c r="B212" s="2" t="s">
        <v>673</v>
      </c>
      <c r="C212" s="2" t="s">
        <v>105</v>
      </c>
      <c r="D212" s="2" t="s">
        <v>194</v>
      </c>
      <c r="E212" s="4">
        <v>-31832</v>
      </c>
      <c r="F212" s="3" t="s">
        <v>732</v>
      </c>
      <c r="G212" s="3" t="s">
        <v>196</v>
      </c>
      <c r="H212" s="2" t="s">
        <v>21</v>
      </c>
      <c r="I212" s="2" t="s">
        <v>733</v>
      </c>
      <c r="J212" s="3" t="str">
        <f>HYPERLINK("https://www.boe.es/gazeta/dias/1812/11/04/pdfs/GMD-1812-224.pdf#page=1","Abrir facsímil")</f>
        <v>Abrir facsímil</v>
      </c>
      <c r="K212" s="3" t="s">
        <v>23</v>
      </c>
    </row>
    <row r="213" spans="1:11" ht="42" customHeight="1">
      <c r="A213" s="2" t="s">
        <v>673</v>
      </c>
      <c r="B213" s="2" t="s">
        <v>673</v>
      </c>
      <c r="C213" s="2" t="s">
        <v>105</v>
      </c>
      <c r="D213" s="2" t="s">
        <v>27</v>
      </c>
      <c r="E213" s="4">
        <v>-31817</v>
      </c>
      <c r="F213" s="3" t="s">
        <v>454</v>
      </c>
      <c r="G213" s="3" t="s">
        <v>734</v>
      </c>
      <c r="H213" s="2" t="s">
        <v>21</v>
      </c>
      <c r="I213" s="2" t="s">
        <v>735</v>
      </c>
      <c r="J213" s="3" t="str">
        <f>HYPERLINK("https://www.boe.es/gazeta/dias/1812/11/19/pdfs/GRE-1812-154.pdf#page=1","Abrir facsímil")</f>
        <v>Abrir facsímil</v>
      </c>
      <c r="K213" s="3" t="s">
        <v>23</v>
      </c>
    </row>
    <row r="214" spans="1:11" ht="42" customHeight="1">
      <c r="A214" s="2" t="s">
        <v>673</v>
      </c>
      <c r="B214" s="2" t="s">
        <v>673</v>
      </c>
      <c r="C214" s="2" t="s">
        <v>17</v>
      </c>
      <c r="D214" s="2" t="s">
        <v>18</v>
      </c>
      <c r="E214" s="4">
        <v>-31799</v>
      </c>
      <c r="F214" s="3" t="s">
        <v>736</v>
      </c>
      <c r="G214" s="3" t="s">
        <v>233</v>
      </c>
      <c r="H214" s="2" t="s">
        <v>21</v>
      </c>
      <c r="I214" s="2" t="s">
        <v>737</v>
      </c>
      <c r="J214" s="3" t="str">
        <f>HYPERLINK("https://www.boe.es/gazeta/dias/1812/12/07/pdfs/GMD-1812-230.pdf#page=2","Abrir facsímil")</f>
        <v>Abrir facsímil</v>
      </c>
      <c r="K214" s="3" t="s">
        <v>23</v>
      </c>
    </row>
    <row r="215" spans="1:11" ht="42" customHeight="1">
      <c r="A215" s="2" t="s">
        <v>673</v>
      </c>
      <c r="B215" s="2" t="s">
        <v>673</v>
      </c>
      <c r="C215" s="2" t="s">
        <v>26</v>
      </c>
      <c r="D215" s="2" t="s">
        <v>194</v>
      </c>
      <c r="E215" s="4">
        <v>-31797</v>
      </c>
      <c r="F215" s="3" t="s">
        <v>738</v>
      </c>
      <c r="G215" s="3" t="s">
        <v>739</v>
      </c>
      <c r="H215" s="2" t="s">
        <v>21</v>
      </c>
      <c r="I215" s="2" t="s">
        <v>740</v>
      </c>
      <c r="J215" s="3" t="str">
        <f>HYPERLINK("https://www.boe.es/gazeta/dias/1812/12/09/pdfs/GMD-1812-232.pdf#page=2","Abrir facsímil")</f>
        <v>Abrir facsímil</v>
      </c>
      <c r="K215" s="3" t="s">
        <v>23</v>
      </c>
    </row>
    <row r="216" spans="1:11" ht="42" customHeight="1">
      <c r="A216" s="2" t="s">
        <v>673</v>
      </c>
      <c r="B216" s="2" t="s">
        <v>673</v>
      </c>
      <c r="C216" s="2" t="s">
        <v>17</v>
      </c>
      <c r="D216" s="2" t="s">
        <v>194</v>
      </c>
      <c r="E216" s="4">
        <v>-31796</v>
      </c>
      <c r="F216" s="3" t="s">
        <v>741</v>
      </c>
      <c r="G216" s="3" t="s">
        <v>742</v>
      </c>
      <c r="H216" s="2" t="s">
        <v>21</v>
      </c>
      <c r="I216" s="2" t="s">
        <v>743</v>
      </c>
      <c r="J216" s="3" t="str">
        <f>HYPERLINK("https://www.boe.es/gazeta/dias/1812/12/10/pdfs/GRE-1812-163.pdf#page=2","Abrir facsímil")</f>
        <v>Abrir facsímil</v>
      </c>
      <c r="K216" s="3" t="s">
        <v>23</v>
      </c>
    </row>
    <row r="217" spans="1:11" ht="42" customHeight="1">
      <c r="A217" s="2" t="s">
        <v>673</v>
      </c>
      <c r="B217" s="2" t="s">
        <v>673</v>
      </c>
      <c r="C217" s="2" t="s">
        <v>105</v>
      </c>
      <c r="D217" s="2" t="s">
        <v>27</v>
      </c>
      <c r="E217" s="4">
        <v>-31792</v>
      </c>
      <c r="F217" s="3" t="s">
        <v>744</v>
      </c>
      <c r="G217" s="3" t="s">
        <v>140</v>
      </c>
      <c r="H217" s="2" t="s">
        <v>21</v>
      </c>
      <c r="I217" s="2" t="s">
        <v>745</v>
      </c>
      <c r="J217" s="3" t="str">
        <f>HYPERLINK("https://www.boe.es/gazeta/dias/1812/12/14/pdfs/GMD-1812-237.pdf#page=2","Abrir facsímil")</f>
        <v>Abrir facsímil</v>
      </c>
      <c r="K217" s="3" t="s">
        <v>23</v>
      </c>
    </row>
    <row r="218" spans="1:11" ht="42" customHeight="1">
      <c r="A218" s="2" t="s">
        <v>746</v>
      </c>
      <c r="B218" s="2" t="s">
        <v>746</v>
      </c>
      <c r="C218" s="2" t="s">
        <v>26</v>
      </c>
      <c r="D218" s="2" t="s">
        <v>27</v>
      </c>
      <c r="E218" s="4">
        <v>-32115</v>
      </c>
      <c r="F218" s="3" t="s">
        <v>747</v>
      </c>
      <c r="G218" s="3" t="s">
        <v>20</v>
      </c>
      <c r="H218" s="2" t="s">
        <v>21</v>
      </c>
      <c r="I218" s="2" t="s">
        <v>748</v>
      </c>
      <c r="J218" s="3" t="str">
        <f>HYPERLINK("https://www.boe.es/gazeta/dias/1812/01/26/pdfs/GMD-1812-26.pdf#page=4","Abrir facsímil")</f>
        <v>Abrir facsímil</v>
      </c>
      <c r="K218" s="3" t="s">
        <v>23</v>
      </c>
    </row>
    <row r="219" spans="1:11" ht="42" customHeight="1">
      <c r="A219" s="2" t="s">
        <v>749</v>
      </c>
      <c r="B219" s="2" t="s">
        <v>749</v>
      </c>
      <c r="C219" s="2" t="s">
        <v>17</v>
      </c>
      <c r="D219" s="2" t="s">
        <v>275</v>
      </c>
      <c r="E219" s="4">
        <v>-31885</v>
      </c>
      <c r="F219" s="3" t="s">
        <v>750</v>
      </c>
      <c r="G219" s="3" t="s">
        <v>214</v>
      </c>
      <c r="H219" s="2" t="s">
        <v>21</v>
      </c>
      <c r="I219" s="2" t="s">
        <v>751</v>
      </c>
      <c r="J219" s="3" t="str">
        <f>HYPERLINK("https://www.boe.es/gazeta/dias/1812/09/12/pdfs/GMR-1812-13.pdf#page=5","Abrir facsímil")</f>
        <v>Abrir facsímil</v>
      </c>
      <c r="K219" s="3" t="s">
        <v>23</v>
      </c>
    </row>
    <row r="220" spans="1:11" ht="42" customHeight="1">
      <c r="A220" s="2" t="s">
        <v>752</v>
      </c>
      <c r="B220" s="2" t="s">
        <v>752</v>
      </c>
      <c r="C220" s="2" t="s">
        <v>115</v>
      </c>
      <c r="D220" s="2" t="s">
        <v>27</v>
      </c>
      <c r="E220" s="4">
        <v>-32104</v>
      </c>
      <c r="F220" s="3" t="s">
        <v>753</v>
      </c>
      <c r="G220" s="3" t="s">
        <v>20</v>
      </c>
      <c r="H220" s="2" t="s">
        <v>21</v>
      </c>
      <c r="I220" s="2" t="s">
        <v>754</v>
      </c>
      <c r="J220" s="3" t="str">
        <f>HYPERLINK("https://www.boe.es/gazeta/dias/1812/02/06/pdfs/GMD-1812-37.pdf#page=1","Abrir facsímil")</f>
        <v>Abrir facsímil</v>
      </c>
      <c r="K220" s="3" t="s">
        <v>23</v>
      </c>
    </row>
    <row r="221" spans="1:11" ht="42" customHeight="1">
      <c r="A221" s="2" t="s">
        <v>755</v>
      </c>
      <c r="B221" s="2" t="s">
        <v>756</v>
      </c>
      <c r="C221" s="2" t="s">
        <v>17</v>
      </c>
      <c r="D221" s="2" t="s">
        <v>18</v>
      </c>
      <c r="E221" s="4">
        <v>-32018</v>
      </c>
      <c r="F221" s="3" t="s">
        <v>365</v>
      </c>
      <c r="G221" s="3" t="s">
        <v>392</v>
      </c>
      <c r="H221" s="2" t="s">
        <v>21</v>
      </c>
      <c r="I221" s="2" t="s">
        <v>757</v>
      </c>
      <c r="J221" s="3" t="str">
        <f>HYPERLINK("https://www.boe.es/gazeta/dias/1812/05/02/pdfs/GRE-1812-55.pdf#page=2","Abrir facsímil")</f>
        <v>Abrir facsímil</v>
      </c>
      <c r="K221" s="3" t="s">
        <v>23</v>
      </c>
    </row>
    <row r="222" spans="1:11" ht="42" customHeight="1">
      <c r="A222" s="2" t="s">
        <v>758</v>
      </c>
      <c r="B222" s="2" t="s">
        <v>759</v>
      </c>
      <c r="C222" s="2" t="s">
        <v>26</v>
      </c>
      <c r="D222" s="2" t="s">
        <v>27</v>
      </c>
      <c r="E222" s="4">
        <v>-32127</v>
      </c>
      <c r="F222" s="3" t="s">
        <v>88</v>
      </c>
      <c r="G222" s="3" t="s">
        <v>89</v>
      </c>
      <c r="H222" s="2" t="s">
        <v>21</v>
      </c>
      <c r="I222" s="2" t="s">
        <v>760</v>
      </c>
      <c r="J222" s="3" t="str">
        <f>HYPERLINK("https://www.boe.es/gazeta/dias/1812/01/14/pdfs/GEI-1812-6.pdf#page=8","Abrir facsímil")</f>
        <v>Abrir facsímil</v>
      </c>
      <c r="K222" s="3" t="s">
        <v>23</v>
      </c>
    </row>
    <row r="223" spans="1:11" ht="42" customHeight="1">
      <c r="A223" s="2" t="s">
        <v>761</v>
      </c>
      <c r="B223" s="2" t="s">
        <v>761</v>
      </c>
      <c r="C223" s="2" t="s">
        <v>26</v>
      </c>
      <c r="D223" s="2" t="s">
        <v>27</v>
      </c>
      <c r="E223" s="4">
        <v>-32063</v>
      </c>
      <c r="F223" s="3" t="s">
        <v>384</v>
      </c>
      <c r="G223" s="3" t="s">
        <v>20</v>
      </c>
      <c r="H223" s="2" t="s">
        <v>21</v>
      </c>
      <c r="I223" s="2" t="s">
        <v>762</v>
      </c>
      <c r="J223" s="3" t="str">
        <f>HYPERLINK("https://www.boe.es/gazeta/dias/1812/03/18/pdfs/GMD-1812-78.pdf#page=4","Abrir facsímil")</f>
        <v>Abrir facsímil</v>
      </c>
      <c r="K223" s="3" t="s">
        <v>23</v>
      </c>
    </row>
    <row r="224" spans="1:11" ht="42" customHeight="1">
      <c r="A224" s="2" t="s">
        <v>763</v>
      </c>
      <c r="B224" s="2" t="s">
        <v>764</v>
      </c>
      <c r="C224" s="2" t="s">
        <v>549</v>
      </c>
      <c r="D224" s="2" t="s">
        <v>27</v>
      </c>
      <c r="E224" s="4">
        <v>-31913</v>
      </c>
      <c r="F224" s="3" t="s">
        <v>450</v>
      </c>
      <c r="G224" s="3" t="s">
        <v>451</v>
      </c>
      <c r="H224" s="2" t="s">
        <v>21</v>
      </c>
      <c r="I224" s="2" t="s">
        <v>765</v>
      </c>
      <c r="J224" s="3" t="str">
        <f>HYPERLINK("https://www.boe.es/gazeta/dias/1812/08/15/pdfs/GRE-1812-105.pdf#page=8","Abrir facsímil")</f>
        <v>Abrir facsímil</v>
      </c>
      <c r="K224" s="3" t="s">
        <v>23</v>
      </c>
    </row>
    <row r="225" spans="1:11" ht="42" customHeight="1">
      <c r="A225" s="2" t="s">
        <v>766</v>
      </c>
      <c r="B225" s="2" t="s">
        <v>767</v>
      </c>
      <c r="C225" s="2" t="s">
        <v>26</v>
      </c>
      <c r="D225" s="2" t="s">
        <v>27</v>
      </c>
      <c r="E225" s="4">
        <v>-32132</v>
      </c>
      <c r="F225" s="3" t="s">
        <v>484</v>
      </c>
      <c r="G225" s="3" t="s">
        <v>485</v>
      </c>
      <c r="H225" s="2" t="s">
        <v>21</v>
      </c>
      <c r="I225" s="2" t="s">
        <v>768</v>
      </c>
      <c r="J225" s="3" t="str">
        <f>HYPERLINK("https://www.boe.es/gazeta/dias/1812/01/09/pdfs/GEI-1812-4.pdf#page=8","Abrir facsímil")</f>
        <v>Abrir facsímil</v>
      </c>
      <c r="K225" s="3" t="s">
        <v>23</v>
      </c>
    </row>
    <row r="226" spans="1:11" ht="42" customHeight="1">
      <c r="A226" s="2" t="s">
        <v>769</v>
      </c>
      <c r="B226" s="2" t="s">
        <v>770</v>
      </c>
      <c r="C226" s="2" t="s">
        <v>49</v>
      </c>
      <c r="D226" s="2" t="s">
        <v>27</v>
      </c>
      <c r="E226" s="4">
        <v>-32033</v>
      </c>
      <c r="F226" s="3" t="s">
        <v>771</v>
      </c>
      <c r="G226" s="3" t="s">
        <v>130</v>
      </c>
      <c r="H226" s="2" t="s">
        <v>21</v>
      </c>
      <c r="I226" s="2" t="s">
        <v>772</v>
      </c>
      <c r="J226" s="3" t="str">
        <f>HYPERLINK("https://www.boe.es/gazeta/dias/1812/04/17/pdfs/GMD-1812-108.pdf#page=4","Abrir facsímil")</f>
        <v>Abrir facsímil</v>
      </c>
      <c r="K226" s="3" t="s">
        <v>23</v>
      </c>
    </row>
    <row r="227" spans="1:11" ht="42" customHeight="1">
      <c r="A227" s="2" t="s">
        <v>773</v>
      </c>
      <c r="B227" s="2" t="s">
        <v>774</v>
      </c>
      <c r="C227" s="2" t="s">
        <v>26</v>
      </c>
      <c r="D227" s="2" t="s">
        <v>27</v>
      </c>
      <c r="E227" s="4">
        <v>-31938</v>
      </c>
      <c r="F227" s="3" t="s">
        <v>324</v>
      </c>
      <c r="G227" s="3" t="s">
        <v>237</v>
      </c>
      <c r="H227" s="2" t="s">
        <v>21</v>
      </c>
      <c r="I227" s="2" t="s">
        <v>775</v>
      </c>
      <c r="J227" s="3" t="str">
        <f>HYPERLINK("https://www.boe.es/gazeta/dias/1812/07/21/pdfs/GMD-1812-203.pdf#page=2","Abrir facsímil")</f>
        <v>Abrir facsímil</v>
      </c>
      <c r="K227" s="3" t="s">
        <v>23</v>
      </c>
    </row>
    <row r="228" spans="1:11" ht="42" customHeight="1">
      <c r="A228" s="2" t="s">
        <v>776</v>
      </c>
      <c r="B228" s="2" t="s">
        <v>776</v>
      </c>
      <c r="C228" s="2" t="s">
        <v>26</v>
      </c>
      <c r="D228" s="2" t="s">
        <v>27</v>
      </c>
      <c r="E228" s="4">
        <v>-32132</v>
      </c>
      <c r="F228" s="3" t="s">
        <v>484</v>
      </c>
      <c r="G228" s="3" t="s">
        <v>777</v>
      </c>
      <c r="H228" s="2" t="s">
        <v>21</v>
      </c>
      <c r="I228" s="2" t="s">
        <v>778</v>
      </c>
      <c r="J228" s="3" t="str">
        <f>HYPERLINK("https://www.boe.es/gazeta/dias/1812/01/09/pdfs/GEI-1812-4.pdf#page=2","Abrir facsímil")</f>
        <v>Abrir facsímil</v>
      </c>
      <c r="K228" s="3" t="s">
        <v>23</v>
      </c>
    </row>
    <row r="229" spans="1:11" ht="42" customHeight="1">
      <c r="A229" s="2" t="s">
        <v>779</v>
      </c>
      <c r="B229" s="2" t="s">
        <v>780</v>
      </c>
      <c r="C229" s="2" t="s">
        <v>26</v>
      </c>
      <c r="D229" s="2" t="s">
        <v>27</v>
      </c>
      <c r="E229" s="4">
        <v>-32036</v>
      </c>
      <c r="F229" s="3" t="s">
        <v>781</v>
      </c>
      <c r="G229" s="3" t="s">
        <v>782</v>
      </c>
      <c r="H229" s="2" t="s">
        <v>21</v>
      </c>
      <c r="I229" s="2" t="s">
        <v>783</v>
      </c>
      <c r="J229" s="3" t="str">
        <f>HYPERLINK("https://www.boe.es/gazeta/dias/1812/04/14/pdfs/GRE-1812-47.pdf#page=8","Abrir facsímil")</f>
        <v>Abrir facsímil</v>
      </c>
      <c r="K229" s="3" t="s">
        <v>23</v>
      </c>
    </row>
    <row r="230" spans="1:11" ht="42" customHeight="1">
      <c r="A230" s="2" t="s">
        <v>784</v>
      </c>
      <c r="B230" s="2" t="s">
        <v>784</v>
      </c>
      <c r="C230" s="2" t="s">
        <v>17</v>
      </c>
      <c r="D230" s="2" t="s">
        <v>573</v>
      </c>
      <c r="E230" s="4">
        <v>-31921</v>
      </c>
      <c r="F230" s="3" t="s">
        <v>785</v>
      </c>
      <c r="G230" s="3" t="s">
        <v>45</v>
      </c>
      <c r="H230" s="2" t="s">
        <v>21</v>
      </c>
      <c r="I230" s="2" t="s">
        <v>786</v>
      </c>
      <c r="J230" s="3" t="str">
        <f>HYPERLINK("https://www.boe.es/gazeta/dias/1812/08/07/pdfs/GRE-1812-101E.pdf#page=2","Abrir facsímil")</f>
        <v>Abrir facsímil</v>
      </c>
      <c r="K230" s="3" t="s">
        <v>23</v>
      </c>
    </row>
    <row r="231" spans="1:11" ht="42" customHeight="1">
      <c r="A231" s="2" t="s">
        <v>787</v>
      </c>
      <c r="B231" s="2" t="s">
        <v>788</v>
      </c>
      <c r="C231" s="2" t="s">
        <v>26</v>
      </c>
      <c r="D231" s="2" t="s">
        <v>27</v>
      </c>
      <c r="E231" s="4">
        <v>-31955</v>
      </c>
      <c r="F231" s="3" t="s">
        <v>789</v>
      </c>
      <c r="G231" s="3" t="s">
        <v>237</v>
      </c>
      <c r="H231" s="2" t="s">
        <v>21</v>
      </c>
      <c r="I231" s="2" t="s">
        <v>790</v>
      </c>
      <c r="J231" s="3" t="str">
        <f>HYPERLINK("https://www.boe.es/gazeta/dias/1812/07/04/pdfs/GRE-1812-82.pdf#page=8","Abrir facsímil")</f>
        <v>Abrir facsímil</v>
      </c>
      <c r="K231" s="3" t="s">
        <v>23</v>
      </c>
    </row>
    <row r="232" spans="1:11" ht="42" customHeight="1">
      <c r="A232" s="2" t="s">
        <v>791</v>
      </c>
      <c r="B232" s="2" t="s">
        <v>792</v>
      </c>
      <c r="C232" s="2" t="s">
        <v>17</v>
      </c>
      <c r="D232" s="2" t="s">
        <v>27</v>
      </c>
      <c r="E232" s="4">
        <v>-31894</v>
      </c>
      <c r="F232" s="3" t="s">
        <v>793</v>
      </c>
      <c r="G232" s="3" t="s">
        <v>794</v>
      </c>
      <c r="H232" s="2" t="s">
        <v>21</v>
      </c>
      <c r="I232" s="2" t="s">
        <v>795</v>
      </c>
      <c r="J232" s="3" t="str">
        <f>HYPERLINK("https://www.boe.es/gazeta/dias/1812/09/03/pdfs/GRE-1812-119.pdf#page=7","Abrir facsímil")</f>
        <v>Abrir facsímil</v>
      </c>
      <c r="K232" s="3" t="s">
        <v>23</v>
      </c>
    </row>
    <row r="233" spans="1:11" ht="42" customHeight="1">
      <c r="A233" s="2" t="s">
        <v>796</v>
      </c>
      <c r="B233" s="2" t="s">
        <v>797</v>
      </c>
      <c r="C233" s="2" t="s">
        <v>17</v>
      </c>
      <c r="D233" s="2" t="s">
        <v>27</v>
      </c>
      <c r="E233" s="4">
        <v>-32061</v>
      </c>
      <c r="F233" s="3" t="s">
        <v>798</v>
      </c>
      <c r="G233" s="3" t="s">
        <v>36</v>
      </c>
      <c r="H233" s="2" t="s">
        <v>21</v>
      </c>
      <c r="I233" s="2" t="s">
        <v>799</v>
      </c>
      <c r="J233" s="3" t="str">
        <f>HYPERLINK("https://www.boe.es/gazeta/dias/1812/03/20/pdfs/GMD-1812-80.pdf#page=3","Abrir facsímil")</f>
        <v>Abrir facsímil</v>
      </c>
      <c r="K233" s="3" t="s">
        <v>23</v>
      </c>
    </row>
    <row r="234" spans="1:11" ht="42" customHeight="1">
      <c r="A234" s="2" t="s">
        <v>800</v>
      </c>
      <c r="B234" s="2" t="s">
        <v>800</v>
      </c>
      <c r="C234" s="2" t="s">
        <v>105</v>
      </c>
      <c r="D234" s="2" t="s">
        <v>27</v>
      </c>
      <c r="E234" s="4">
        <v>-32137</v>
      </c>
      <c r="F234" s="3" t="s">
        <v>355</v>
      </c>
      <c r="G234" s="3" t="s">
        <v>801</v>
      </c>
      <c r="H234" s="2" t="s">
        <v>21</v>
      </c>
      <c r="I234" s="2" t="s">
        <v>802</v>
      </c>
      <c r="J234" s="3" t="str">
        <f>HYPERLINK("https://www.boe.es/gazeta/dias/1812/01/04/pdfs/GEI-1812-2.pdf#page=7","Abrir facsímil")</f>
        <v>Abrir facsímil</v>
      </c>
      <c r="K234" s="3" t="s">
        <v>23</v>
      </c>
    </row>
    <row r="235" spans="1:11" ht="42" customHeight="1">
      <c r="A235" s="2" t="s">
        <v>800</v>
      </c>
      <c r="B235" s="2" t="s">
        <v>800</v>
      </c>
      <c r="C235" s="2" t="s">
        <v>186</v>
      </c>
      <c r="D235" s="2" t="s">
        <v>275</v>
      </c>
      <c r="E235" s="4">
        <v>-32027</v>
      </c>
      <c r="F235" s="3" t="s">
        <v>803</v>
      </c>
      <c r="G235" s="3" t="s">
        <v>804</v>
      </c>
      <c r="H235" s="2" t="s">
        <v>21</v>
      </c>
      <c r="I235" s="2" t="s">
        <v>805</v>
      </c>
      <c r="J235" s="3" t="str">
        <f>HYPERLINK("https://www.boe.es/gazeta/dias/1812/04/23/pdfs/GRE-1812-51.pdf#page=8","Abrir facsímil")</f>
        <v>Abrir facsímil</v>
      </c>
      <c r="K235" s="3" t="s">
        <v>23</v>
      </c>
    </row>
    <row r="236" spans="1:11" ht="42" customHeight="1">
      <c r="A236" s="2" t="s">
        <v>800</v>
      </c>
      <c r="B236" s="2" t="s">
        <v>800</v>
      </c>
      <c r="C236" s="2" t="s">
        <v>105</v>
      </c>
      <c r="D236" s="2" t="s">
        <v>275</v>
      </c>
      <c r="E236" s="4">
        <v>-31999</v>
      </c>
      <c r="F236" s="3" t="s">
        <v>806</v>
      </c>
      <c r="G236" s="3" t="s">
        <v>807</v>
      </c>
      <c r="H236" s="2" t="s">
        <v>21</v>
      </c>
      <c r="I236" s="2" t="s">
        <v>808</v>
      </c>
      <c r="J236" s="3" t="str">
        <f>HYPERLINK("https://www.boe.es/gazeta/dias/1812/05/21/pdfs/GRE-1812-63.pdf#page=8","Abrir facsímil")</f>
        <v>Abrir facsímil</v>
      </c>
      <c r="K236" s="3" t="s">
        <v>23</v>
      </c>
    </row>
    <row r="237" spans="1:11" ht="42" customHeight="1">
      <c r="A237" s="2" t="s">
        <v>800</v>
      </c>
      <c r="B237" s="2" t="s">
        <v>800</v>
      </c>
      <c r="C237" s="2" t="s">
        <v>186</v>
      </c>
      <c r="D237" s="2" t="s">
        <v>275</v>
      </c>
      <c r="E237" s="4">
        <v>-31983</v>
      </c>
      <c r="F237" s="3" t="s">
        <v>809</v>
      </c>
      <c r="G237" s="3" t="s">
        <v>237</v>
      </c>
      <c r="H237" s="2" t="s">
        <v>21</v>
      </c>
      <c r="I237" s="2" t="s">
        <v>810</v>
      </c>
      <c r="J237" s="3" t="str">
        <f>HYPERLINK("https://www.boe.es/gazeta/dias/1812/06/06/pdfs/GRE-1812-70.pdf#page=8","Abrir facsímil")</f>
        <v>Abrir facsímil</v>
      </c>
      <c r="K237" s="3" t="s">
        <v>23</v>
      </c>
    </row>
    <row r="238" spans="1:11" ht="42" customHeight="1">
      <c r="A238" s="2" t="s">
        <v>811</v>
      </c>
      <c r="B238" s="2" t="s">
        <v>812</v>
      </c>
      <c r="C238" s="2" t="s">
        <v>26</v>
      </c>
      <c r="D238" s="2" t="s">
        <v>27</v>
      </c>
      <c r="E238" s="4">
        <v>-32137</v>
      </c>
      <c r="F238" s="3" t="s">
        <v>355</v>
      </c>
      <c r="G238" s="3" t="s">
        <v>117</v>
      </c>
      <c r="H238" s="2" t="s">
        <v>21</v>
      </c>
      <c r="I238" s="2" t="s">
        <v>813</v>
      </c>
      <c r="J238" s="3" t="str">
        <f>HYPERLINK("https://www.boe.es/gazeta/dias/1812/01/04/pdfs/GEI-1812-2.pdf#page=8","Abrir facsímil")</f>
        <v>Abrir facsímil</v>
      </c>
      <c r="K238" s="3" t="s">
        <v>23</v>
      </c>
    </row>
    <row r="239" spans="1:11" ht="42" customHeight="1">
      <c r="A239" s="2" t="s">
        <v>814</v>
      </c>
      <c r="B239" s="2" t="s">
        <v>815</v>
      </c>
      <c r="C239" s="2" t="s">
        <v>26</v>
      </c>
      <c r="D239" s="2" t="s">
        <v>27</v>
      </c>
      <c r="E239" s="4">
        <v>-32074</v>
      </c>
      <c r="F239" s="3" t="s">
        <v>816</v>
      </c>
      <c r="G239" s="3" t="s">
        <v>777</v>
      </c>
      <c r="H239" s="2" t="s">
        <v>21</v>
      </c>
      <c r="I239" s="2" t="s">
        <v>817</v>
      </c>
      <c r="J239" s="3" t="str">
        <f>HYPERLINK("https://www.boe.es/gazeta/dias/1812/03/07/pdfs/GRE-1812-30.pdf#page=8","Abrir facsímil")</f>
        <v>Abrir facsímil</v>
      </c>
      <c r="K239" s="3" t="s">
        <v>23</v>
      </c>
    </row>
    <row r="240" spans="1:11" ht="42" customHeight="1">
      <c r="A240" s="2" t="s">
        <v>818</v>
      </c>
      <c r="B240" s="2" t="s">
        <v>818</v>
      </c>
      <c r="C240" s="2" t="s">
        <v>17</v>
      </c>
      <c r="D240" s="2" t="s">
        <v>27</v>
      </c>
      <c r="E240" s="4">
        <v>-31936</v>
      </c>
      <c r="F240" s="3" t="s">
        <v>603</v>
      </c>
      <c r="G240" s="3" t="s">
        <v>36</v>
      </c>
      <c r="H240" s="2" t="s">
        <v>21</v>
      </c>
      <c r="I240" s="2" t="s">
        <v>819</v>
      </c>
      <c r="J240" s="3" t="str">
        <f>HYPERLINK("https://www.boe.es/gazeta/dias/1812/07/23/pdfs/GMD-1812-205.pdf#page=3","Abrir facsímil")</f>
        <v>Abrir facsímil</v>
      </c>
      <c r="K240" s="3" t="s">
        <v>23</v>
      </c>
    </row>
    <row r="241" spans="1:11" ht="42" customHeight="1">
      <c r="A241" s="2" t="s">
        <v>818</v>
      </c>
      <c r="B241" s="2" t="s">
        <v>818</v>
      </c>
      <c r="C241" s="2" t="s">
        <v>26</v>
      </c>
      <c r="D241" s="2" t="s">
        <v>27</v>
      </c>
      <c r="E241" s="4">
        <v>-31822</v>
      </c>
      <c r="F241" s="3" t="s">
        <v>541</v>
      </c>
      <c r="G241" s="3" t="s">
        <v>214</v>
      </c>
      <c r="H241" s="2" t="s">
        <v>21</v>
      </c>
      <c r="I241" s="2" t="s">
        <v>820</v>
      </c>
      <c r="J241" s="3" t="str">
        <f>HYPERLINK("https://www.boe.es/gazeta/dias/1812/11/14/pdfs/GRE-1812-152.pdf#page=3","Abrir facsímil")</f>
        <v>Abrir facsímil</v>
      </c>
      <c r="K241" s="3" t="s">
        <v>23</v>
      </c>
    </row>
    <row r="242" spans="1:11" ht="42" customHeight="1">
      <c r="A242" s="2" t="s">
        <v>821</v>
      </c>
      <c r="B242" s="2" t="s">
        <v>821</v>
      </c>
      <c r="C242" s="2" t="s">
        <v>105</v>
      </c>
      <c r="D242" s="2" t="s">
        <v>27</v>
      </c>
      <c r="E242" s="4">
        <v>-32140</v>
      </c>
      <c r="F242" s="3" t="s">
        <v>822</v>
      </c>
      <c r="G242" s="3" t="s">
        <v>106</v>
      </c>
      <c r="H242" s="2" t="s">
        <v>21</v>
      </c>
      <c r="I242" s="2" t="s">
        <v>823</v>
      </c>
      <c r="J242" s="3" t="str">
        <f>HYPERLINK("https://www.boe.es/gazeta/dias/1812/01/01/pdfs/GMD-1812-1.pdf#page=4","Abrir facsímil")</f>
        <v>Abrir facsímil</v>
      </c>
      <c r="K242" s="3" t="s">
        <v>23</v>
      </c>
    </row>
    <row r="243" spans="1:11" ht="42" customHeight="1">
      <c r="A243" s="2" t="s">
        <v>824</v>
      </c>
      <c r="B243" s="2" t="s">
        <v>825</v>
      </c>
      <c r="C243" s="2" t="s">
        <v>26</v>
      </c>
      <c r="D243" s="2" t="s">
        <v>275</v>
      </c>
      <c r="E243" s="4">
        <v>-31964</v>
      </c>
      <c r="F243" s="3" t="s">
        <v>305</v>
      </c>
      <c r="G243" s="3" t="s">
        <v>58</v>
      </c>
      <c r="H243" s="2" t="s">
        <v>21</v>
      </c>
      <c r="I243" s="2" t="s">
        <v>826</v>
      </c>
      <c r="J243" s="3" t="str">
        <f>HYPERLINK("https://www.boe.es/gazeta/dias/1812/06/25/pdfs/GMD-1812-177.pdf#page=2","Abrir facsímil")</f>
        <v>Abrir facsímil</v>
      </c>
      <c r="K243" s="3" t="s">
        <v>23</v>
      </c>
    </row>
    <row r="244" spans="1:11" ht="42" customHeight="1">
      <c r="A244" s="2" t="s">
        <v>827</v>
      </c>
      <c r="B244" s="2" t="s">
        <v>828</v>
      </c>
      <c r="C244" s="2" t="s">
        <v>115</v>
      </c>
      <c r="D244" s="2" t="s">
        <v>27</v>
      </c>
      <c r="E244" s="4">
        <v>-32062</v>
      </c>
      <c r="F244" s="3" t="s">
        <v>280</v>
      </c>
      <c r="G244" s="3" t="s">
        <v>20</v>
      </c>
      <c r="H244" s="2" t="s">
        <v>21</v>
      </c>
      <c r="I244" s="2" t="s">
        <v>829</v>
      </c>
      <c r="J244" s="3" t="str">
        <f>HYPERLINK("https://www.boe.es/gazeta/dias/1812/03/19/pdfs/GMD-1812-79.pdf#page=4","Abrir facsímil")</f>
        <v>Abrir facsímil</v>
      </c>
      <c r="K244" s="3" t="s">
        <v>23</v>
      </c>
    </row>
    <row r="245" spans="1:11" ht="42" customHeight="1">
      <c r="A245" s="2" t="s">
        <v>830</v>
      </c>
      <c r="B245" s="2" t="s">
        <v>831</v>
      </c>
      <c r="C245" s="2" t="s">
        <v>17</v>
      </c>
      <c r="D245" s="2" t="s">
        <v>27</v>
      </c>
      <c r="E245" s="4">
        <v>-32061</v>
      </c>
      <c r="F245" s="3" t="s">
        <v>798</v>
      </c>
      <c r="G245" s="3" t="s">
        <v>36</v>
      </c>
      <c r="H245" s="2" t="s">
        <v>21</v>
      </c>
      <c r="I245" s="2" t="s">
        <v>832</v>
      </c>
      <c r="J245" s="3" t="str">
        <f>HYPERLINK("https://www.boe.es/gazeta/dias/1812/03/20/pdfs/GMD-1812-80.pdf#page=3","Abrir facsímil")</f>
        <v>Abrir facsímil</v>
      </c>
      <c r="K245" s="3" t="s">
        <v>23</v>
      </c>
    </row>
    <row r="246" spans="1:11" ht="42" customHeight="1">
      <c r="A246" s="2" t="s">
        <v>833</v>
      </c>
      <c r="B246" s="2" t="s">
        <v>834</v>
      </c>
      <c r="C246" s="2" t="s">
        <v>17</v>
      </c>
      <c r="D246" s="2" t="s">
        <v>27</v>
      </c>
      <c r="E246" s="4">
        <v>-31908</v>
      </c>
      <c r="F246" s="3" t="s">
        <v>835</v>
      </c>
      <c r="G246" s="3" t="s">
        <v>836</v>
      </c>
      <c r="H246" s="2" t="s">
        <v>21</v>
      </c>
      <c r="I246" s="2" t="s">
        <v>837</v>
      </c>
      <c r="J246" s="3" t="str">
        <f>HYPERLINK("https://www.boe.es/gazeta/dias/1812/08/20/pdfs/GRE-1812-107.pdf#page=4","Abrir facsímil")</f>
        <v>Abrir facsímil</v>
      </c>
      <c r="K246" s="3" t="s">
        <v>23</v>
      </c>
    </row>
    <row r="247" spans="1:11" ht="42" customHeight="1">
      <c r="A247" s="2" t="s">
        <v>838</v>
      </c>
      <c r="B247" s="2" t="s">
        <v>839</v>
      </c>
      <c r="C247" s="2" t="s">
        <v>26</v>
      </c>
      <c r="D247" s="2" t="s">
        <v>27</v>
      </c>
      <c r="E247" s="4">
        <v>-32019</v>
      </c>
      <c r="F247" s="3" t="s">
        <v>476</v>
      </c>
      <c r="G247" s="3" t="s">
        <v>404</v>
      </c>
      <c r="H247" s="2" t="s">
        <v>21</v>
      </c>
      <c r="I247" s="2" t="s">
        <v>840</v>
      </c>
      <c r="J247" s="3" t="str">
        <f>HYPERLINK("https://www.boe.es/gazeta/dias/1812/05/01/pdfs/GMD-1812-122.pdf#page=3","Abrir facsímil")</f>
        <v>Abrir facsímil</v>
      </c>
      <c r="K247" s="3" t="s">
        <v>23</v>
      </c>
    </row>
    <row r="248" spans="1:11" ht="42" customHeight="1">
      <c r="A248" s="2" t="s">
        <v>841</v>
      </c>
      <c r="B248" s="2" t="s">
        <v>842</v>
      </c>
      <c r="C248" s="2" t="s">
        <v>17</v>
      </c>
      <c r="D248" s="2" t="s">
        <v>134</v>
      </c>
      <c r="E248" s="4">
        <v>-31955</v>
      </c>
      <c r="F248" s="3" t="s">
        <v>135</v>
      </c>
      <c r="G248" s="3" t="s">
        <v>136</v>
      </c>
      <c r="H248" s="2" t="s">
        <v>21</v>
      </c>
      <c r="I248" s="2" t="s">
        <v>843</v>
      </c>
      <c r="J248" s="3" t="str">
        <f>HYPERLINK("https://www.boe.es/gazeta/dias/1812/07/04/pdfs/GRE-F-1812-82.pdf#page=8","Abrir facsímil")</f>
        <v>Abrir facsímil</v>
      </c>
      <c r="K248" s="3" t="s">
        <v>23</v>
      </c>
    </row>
    <row r="249" spans="1:11" ht="42" customHeight="1">
      <c r="A249" s="2" t="s">
        <v>844</v>
      </c>
      <c r="B249" s="2" t="s">
        <v>844</v>
      </c>
      <c r="C249" s="2" t="s">
        <v>105</v>
      </c>
      <c r="D249" s="2" t="s">
        <v>27</v>
      </c>
      <c r="E249" s="4">
        <v>-31866</v>
      </c>
      <c r="F249" s="3" t="s">
        <v>845</v>
      </c>
      <c r="G249" s="3" t="s">
        <v>846</v>
      </c>
      <c r="H249" s="2" t="s">
        <v>21</v>
      </c>
      <c r="I249" s="2" t="s">
        <v>847</v>
      </c>
      <c r="J249" s="3" t="str">
        <f>HYPERLINK("https://www.boe.es/gazeta/dias/1812/10/01/pdfs/GRE-1812-133.pdf#page=1","Abrir facsímil")</f>
        <v>Abrir facsímil</v>
      </c>
      <c r="K249" s="3" t="s">
        <v>23</v>
      </c>
    </row>
    <row r="250" spans="1:11" ht="42" customHeight="1">
      <c r="A250" s="2" t="s">
        <v>848</v>
      </c>
      <c r="B250" s="2" t="s">
        <v>848</v>
      </c>
      <c r="C250" s="2" t="s">
        <v>17</v>
      </c>
      <c r="D250" s="2" t="s">
        <v>18</v>
      </c>
      <c r="E250" s="4">
        <v>-32013</v>
      </c>
      <c r="F250" s="3" t="s">
        <v>849</v>
      </c>
      <c r="G250" s="3" t="s">
        <v>850</v>
      </c>
      <c r="H250" s="2" t="s">
        <v>21</v>
      </c>
      <c r="I250" s="2" t="s">
        <v>851</v>
      </c>
      <c r="J250" s="3" t="str">
        <f>HYPERLINK("https://www.boe.es/gazeta/dias/1812/05/07/pdfs/GRE-1812-57.pdf#page=2","Abrir facsímil")</f>
        <v>Abrir facsímil</v>
      </c>
      <c r="K250" s="3" t="s">
        <v>23</v>
      </c>
    </row>
    <row r="251" spans="1:11" ht="42" customHeight="1">
      <c r="A251" s="2" t="s">
        <v>848</v>
      </c>
      <c r="B251" s="2" t="s">
        <v>848</v>
      </c>
      <c r="C251" s="2" t="s">
        <v>17</v>
      </c>
      <c r="D251" s="2" t="s">
        <v>573</v>
      </c>
      <c r="E251" s="4">
        <v>-31921</v>
      </c>
      <c r="F251" s="3" t="s">
        <v>785</v>
      </c>
      <c r="G251" s="3" t="s">
        <v>45</v>
      </c>
      <c r="H251" s="2" t="s">
        <v>21</v>
      </c>
      <c r="I251" s="2" t="s">
        <v>852</v>
      </c>
      <c r="J251" s="3" t="str">
        <f>HYPERLINK("https://www.boe.es/gazeta/dias/1812/08/07/pdfs/GRE-1812-101E.pdf#page=2","Abrir facsímil")</f>
        <v>Abrir facsímil</v>
      </c>
      <c r="K251" s="3" t="s">
        <v>23</v>
      </c>
    </row>
    <row r="252" spans="1:11" ht="42" customHeight="1">
      <c r="A252" s="2" t="s">
        <v>848</v>
      </c>
      <c r="B252" s="2" t="s">
        <v>848</v>
      </c>
      <c r="C252" s="2" t="s">
        <v>17</v>
      </c>
      <c r="D252" s="2" t="s">
        <v>573</v>
      </c>
      <c r="E252" s="4">
        <v>-31921</v>
      </c>
      <c r="F252" s="3" t="s">
        <v>785</v>
      </c>
      <c r="G252" s="3" t="s">
        <v>853</v>
      </c>
      <c r="H252" s="2" t="s">
        <v>21</v>
      </c>
      <c r="I252" s="2" t="s">
        <v>854</v>
      </c>
      <c r="J252" s="3" t="str">
        <f>HYPERLINK("https://www.boe.es/gazeta/dias/1812/08/07/pdfs/GRE-1812-101E.pdf#page=3","Abrir facsímil")</f>
        <v>Abrir facsímil</v>
      </c>
      <c r="K252" s="3" t="s">
        <v>23</v>
      </c>
    </row>
    <row r="253" spans="1:11" ht="42" customHeight="1">
      <c r="A253" s="2" t="s">
        <v>848</v>
      </c>
      <c r="B253" s="2" t="s">
        <v>848</v>
      </c>
      <c r="C253" s="2" t="s">
        <v>17</v>
      </c>
      <c r="D253" s="2" t="s">
        <v>18</v>
      </c>
      <c r="E253" s="4">
        <v>-31905</v>
      </c>
      <c r="F253" s="3" t="s">
        <v>855</v>
      </c>
      <c r="G253" s="3" t="s">
        <v>777</v>
      </c>
      <c r="H253" s="2" t="s">
        <v>21</v>
      </c>
      <c r="I253" s="2" t="s">
        <v>856</v>
      </c>
      <c r="J253" s="3" t="str">
        <f>HYPERLINK("https://www.boe.es/gazeta/dias/1812/08/23/pdfs/GMR-1812-4.pdf#page=2","Abrir facsímil")</f>
        <v>Abrir facsímil</v>
      </c>
      <c r="K253" s="3" t="s">
        <v>23</v>
      </c>
    </row>
    <row r="254" spans="1:11" ht="42" customHeight="1">
      <c r="A254" s="2" t="s">
        <v>848</v>
      </c>
      <c r="B254" s="2" t="s">
        <v>848</v>
      </c>
      <c r="C254" s="2" t="s">
        <v>17</v>
      </c>
      <c r="D254" s="2" t="s">
        <v>27</v>
      </c>
      <c r="E254" s="4">
        <v>-31905</v>
      </c>
      <c r="F254" s="3" t="s">
        <v>855</v>
      </c>
      <c r="G254" s="3" t="s">
        <v>857</v>
      </c>
      <c r="H254" s="2" t="s">
        <v>21</v>
      </c>
      <c r="I254" s="2" t="s">
        <v>858</v>
      </c>
      <c r="J254" s="3" t="str">
        <f>HYPERLINK("https://www.boe.es/gazeta/dias/1812/08/23/pdfs/GMR-1812-4.pdf#page=3","Abrir facsímil")</f>
        <v>Abrir facsímil</v>
      </c>
      <c r="K254" s="3" t="s">
        <v>23</v>
      </c>
    </row>
    <row r="255" spans="1:11" ht="42" customHeight="1">
      <c r="A255" s="2" t="s">
        <v>859</v>
      </c>
      <c r="B255" s="2" t="s">
        <v>859</v>
      </c>
      <c r="C255" s="2" t="s">
        <v>17</v>
      </c>
      <c r="D255" s="2" t="s">
        <v>18</v>
      </c>
      <c r="E255" s="4">
        <v>-31782</v>
      </c>
      <c r="F255" s="3" t="s">
        <v>860</v>
      </c>
      <c r="G255" s="3" t="s">
        <v>140</v>
      </c>
      <c r="H255" s="2" t="s">
        <v>21</v>
      </c>
      <c r="I255" s="2" t="s">
        <v>861</v>
      </c>
      <c r="J255" s="3" t="str">
        <f>HYPERLINK("https://www.boe.es/gazeta/dias/1812/12/24/pdfs/GRE-1812-169.pdf#page=2","Abrir facsímil")</f>
        <v>Abrir facsímil</v>
      </c>
      <c r="K255" s="3" t="s">
        <v>23</v>
      </c>
    </row>
    <row r="256" spans="1:11" ht="42" customHeight="1">
      <c r="A256" s="2" t="s">
        <v>862</v>
      </c>
      <c r="B256" s="2" t="s">
        <v>863</v>
      </c>
      <c r="C256" s="2" t="s">
        <v>17</v>
      </c>
      <c r="D256" s="2" t="s">
        <v>27</v>
      </c>
      <c r="E256" s="4">
        <v>-32050</v>
      </c>
      <c r="F256" s="3" t="s">
        <v>864</v>
      </c>
      <c r="G256" s="3" t="s">
        <v>29</v>
      </c>
      <c r="H256" s="2" t="s">
        <v>21</v>
      </c>
      <c r="I256" s="2" t="s">
        <v>865</v>
      </c>
      <c r="J256" s="3" t="str">
        <f>HYPERLINK("https://www.boe.es/gazeta/dias/1812/03/31/pdfs/GRE-1812-40.pdf#page=8","Abrir facsímil")</f>
        <v>Abrir facsímil</v>
      </c>
      <c r="K256" s="3" t="s">
        <v>23</v>
      </c>
    </row>
    <row r="257" spans="1:11" ht="42" customHeight="1">
      <c r="A257" s="2" t="s">
        <v>866</v>
      </c>
      <c r="B257" s="2" t="s">
        <v>867</v>
      </c>
      <c r="C257" s="2" t="s">
        <v>67</v>
      </c>
      <c r="D257" s="2" t="s">
        <v>27</v>
      </c>
      <c r="E257" s="4">
        <v>-31962</v>
      </c>
      <c r="F257" s="3" t="s">
        <v>643</v>
      </c>
      <c r="G257" s="3" t="s">
        <v>644</v>
      </c>
      <c r="H257" s="2" t="s">
        <v>21</v>
      </c>
      <c r="I257" s="2" t="s">
        <v>868</v>
      </c>
      <c r="J257" s="3" t="str">
        <f>HYPERLINK("https://www.boe.es/gazeta/dias/1812/06/27/pdfs/GMD-1812-179.pdf#page=2","Abrir facsímil")</f>
        <v>Abrir facsímil</v>
      </c>
      <c r="K257" s="3" t="s">
        <v>23</v>
      </c>
    </row>
    <row r="258" spans="1:11" ht="42" customHeight="1">
      <c r="A258" s="2" t="s">
        <v>869</v>
      </c>
      <c r="B258" s="2" t="s">
        <v>870</v>
      </c>
      <c r="C258" s="2" t="s">
        <v>26</v>
      </c>
      <c r="D258" s="2" t="s">
        <v>27</v>
      </c>
      <c r="E258" s="4">
        <v>-32034</v>
      </c>
      <c r="F258" s="3" t="s">
        <v>28</v>
      </c>
      <c r="G258" s="3" t="s">
        <v>317</v>
      </c>
      <c r="H258" s="2" t="s">
        <v>21</v>
      </c>
      <c r="I258" s="2" t="s">
        <v>871</v>
      </c>
      <c r="J258" s="3" t="str">
        <f>HYPERLINK("https://www.boe.es/gazeta/dias/1812/04/16/pdfs/GMD-1812-107.pdf#page=6","Abrir facsímil")</f>
        <v>Abrir facsímil</v>
      </c>
      <c r="K258" s="3" t="s">
        <v>23</v>
      </c>
    </row>
    <row r="259" spans="1:11" ht="42" customHeight="1">
      <c r="A259" s="2" t="s">
        <v>872</v>
      </c>
      <c r="B259" s="2" t="s">
        <v>872</v>
      </c>
      <c r="C259" s="2" t="s">
        <v>17</v>
      </c>
      <c r="D259" s="2" t="s">
        <v>27</v>
      </c>
      <c r="E259" s="4">
        <v>-31789</v>
      </c>
      <c r="F259" s="3" t="s">
        <v>873</v>
      </c>
      <c r="G259" s="3" t="s">
        <v>874</v>
      </c>
      <c r="H259" s="2" t="s">
        <v>21</v>
      </c>
      <c r="I259" s="2" t="s">
        <v>875</v>
      </c>
      <c r="J259" s="3" t="str">
        <f>HYPERLINK("https://www.boe.es/gazeta/dias/1812/12/17/pdfs/GMD-1812-240.pdf#page=4","Abrir facsímil")</f>
        <v>Abrir facsímil</v>
      </c>
      <c r="K259" s="3" t="s">
        <v>23</v>
      </c>
    </row>
    <row r="260" spans="1:11" ht="42" customHeight="1">
      <c r="A260" s="2" t="s">
        <v>876</v>
      </c>
      <c r="B260" s="2" t="s">
        <v>877</v>
      </c>
      <c r="C260" s="2" t="s">
        <v>26</v>
      </c>
      <c r="D260" s="2" t="s">
        <v>27</v>
      </c>
      <c r="E260" s="4">
        <v>-32000</v>
      </c>
      <c r="F260" s="3" t="s">
        <v>878</v>
      </c>
      <c r="G260" s="3" t="s">
        <v>214</v>
      </c>
      <c r="H260" s="2" t="s">
        <v>21</v>
      </c>
      <c r="I260" s="2" t="s">
        <v>879</v>
      </c>
      <c r="J260" s="3" t="str">
        <f>HYPERLINK("https://www.boe.es/gazeta/dias/1812/05/20/pdfs/GMD-1812-141.pdf#page=2","Abrir facsímil")</f>
        <v>Abrir facsímil</v>
      </c>
      <c r="K260" s="3" t="s">
        <v>23</v>
      </c>
    </row>
    <row r="261" spans="1:11" ht="42" customHeight="1">
      <c r="A261" s="2" t="s">
        <v>880</v>
      </c>
      <c r="B261" s="2" t="s">
        <v>881</v>
      </c>
      <c r="C261" s="2" t="s">
        <v>186</v>
      </c>
      <c r="D261" s="2" t="s">
        <v>275</v>
      </c>
      <c r="E261" s="4">
        <v>-32036</v>
      </c>
      <c r="F261" s="3" t="s">
        <v>781</v>
      </c>
      <c r="G261" s="3" t="s">
        <v>782</v>
      </c>
      <c r="H261" s="2" t="s">
        <v>21</v>
      </c>
      <c r="I261" s="2" t="s">
        <v>882</v>
      </c>
      <c r="J261" s="3" t="str">
        <f>HYPERLINK("https://www.boe.es/gazeta/dias/1812/04/14/pdfs/GRE-1812-47.pdf#page=8","Abrir facsímil")</f>
        <v>Abrir facsímil</v>
      </c>
      <c r="K261" s="3" t="s">
        <v>23</v>
      </c>
    </row>
    <row r="262" spans="1:11" ht="42" customHeight="1">
      <c r="A262" s="2" t="s">
        <v>883</v>
      </c>
      <c r="B262" s="2" t="s">
        <v>884</v>
      </c>
      <c r="C262" s="2" t="s">
        <v>26</v>
      </c>
      <c r="D262" s="2" t="s">
        <v>27</v>
      </c>
      <c r="E262" s="4">
        <v>-32109</v>
      </c>
      <c r="F262" s="3" t="s">
        <v>62</v>
      </c>
      <c r="G262" s="3" t="s">
        <v>63</v>
      </c>
      <c r="H262" s="2" t="s">
        <v>21</v>
      </c>
      <c r="I262" s="2" t="s">
        <v>885</v>
      </c>
      <c r="J262" s="3" t="str">
        <f>HYPERLINK("https://www.boe.es/gazeta/dias/1812/02/01/pdfs/GRE-1812-14.pdf#page=10","Abrir facsímil")</f>
        <v>Abrir facsímil</v>
      </c>
      <c r="K262" s="3" t="s">
        <v>23</v>
      </c>
    </row>
    <row r="263" spans="1:11" ht="42" customHeight="1">
      <c r="A263" s="2" t="s">
        <v>883</v>
      </c>
      <c r="B263" s="2" t="s">
        <v>884</v>
      </c>
      <c r="C263" s="2" t="s">
        <v>17</v>
      </c>
      <c r="D263" s="2" t="s">
        <v>18</v>
      </c>
      <c r="E263" s="4">
        <v>-31822</v>
      </c>
      <c r="F263" s="3" t="s">
        <v>541</v>
      </c>
      <c r="G263" s="3" t="s">
        <v>214</v>
      </c>
      <c r="H263" s="2" t="s">
        <v>21</v>
      </c>
      <c r="I263" s="2" t="s">
        <v>886</v>
      </c>
      <c r="J263" s="3" t="str">
        <f>HYPERLINK("https://www.boe.es/gazeta/dias/1812/11/14/pdfs/GRE-1812-152.pdf#page=3","Abrir facsímil")</f>
        <v>Abrir facsímil</v>
      </c>
      <c r="K263" s="3" t="s">
        <v>23</v>
      </c>
    </row>
    <row r="264" spans="1:11" ht="42" customHeight="1">
      <c r="A264" s="2" t="s">
        <v>887</v>
      </c>
      <c r="B264" s="2" t="s">
        <v>888</v>
      </c>
      <c r="C264" s="2" t="s">
        <v>549</v>
      </c>
      <c r="D264" s="2" t="s">
        <v>27</v>
      </c>
      <c r="E264" s="4">
        <v>-32125</v>
      </c>
      <c r="F264" s="3" t="s">
        <v>335</v>
      </c>
      <c r="G264" s="3" t="s">
        <v>336</v>
      </c>
      <c r="H264" s="2" t="s">
        <v>21</v>
      </c>
      <c r="I264" s="2" t="s">
        <v>889</v>
      </c>
      <c r="J264" s="3" t="str">
        <f>HYPERLINK("https://www.boe.es/gazeta/dias/1812/01/16/pdfs/GEI-1812-7.pdf#page=8","Abrir facsímil")</f>
        <v>Abrir facsímil</v>
      </c>
      <c r="K264" s="3" t="s">
        <v>23</v>
      </c>
    </row>
    <row r="265" spans="1:11" ht="42" customHeight="1">
      <c r="A265" s="2" t="s">
        <v>890</v>
      </c>
      <c r="B265" s="2" t="s">
        <v>891</v>
      </c>
      <c r="C265" s="2" t="s">
        <v>26</v>
      </c>
      <c r="D265" s="2" t="s">
        <v>27</v>
      </c>
      <c r="E265" s="4">
        <v>-32034</v>
      </c>
      <c r="F265" s="3" t="s">
        <v>28</v>
      </c>
      <c r="G265" s="3" t="s">
        <v>29</v>
      </c>
      <c r="H265" s="2" t="s">
        <v>21</v>
      </c>
      <c r="I265" s="2" t="s">
        <v>892</v>
      </c>
      <c r="J265" s="3" t="str">
        <f>HYPERLINK("https://www.boe.es/gazeta/dias/1812/04/16/pdfs/GMD-1812-107.pdf#page=8","Abrir facsímil")</f>
        <v>Abrir facsímil</v>
      </c>
      <c r="K265" s="3" t="s">
        <v>23</v>
      </c>
    </row>
    <row r="266" spans="1:11" ht="42" customHeight="1">
      <c r="A266" s="2" t="s">
        <v>893</v>
      </c>
      <c r="B266" s="2" t="s">
        <v>894</v>
      </c>
      <c r="C266" s="2" t="s">
        <v>105</v>
      </c>
      <c r="D266" s="2" t="s">
        <v>275</v>
      </c>
      <c r="E266" s="4">
        <v>-31805</v>
      </c>
      <c r="F266" s="3" t="s">
        <v>895</v>
      </c>
      <c r="G266" s="3" t="s">
        <v>896</v>
      </c>
      <c r="H266" s="2" t="s">
        <v>21</v>
      </c>
      <c r="I266" s="2" t="s">
        <v>897</v>
      </c>
      <c r="J266" s="3" t="str">
        <f>HYPERLINK("https://www.boe.es/gazeta/dias/1812/12/01/pdfs/GMR-1812-39.pdf#page=15","Abrir facsímil")</f>
        <v>Abrir facsímil</v>
      </c>
      <c r="K266" s="3" t="s">
        <v>23</v>
      </c>
    </row>
    <row r="267" spans="1:11" ht="42" customHeight="1">
      <c r="A267" s="2" t="s">
        <v>898</v>
      </c>
      <c r="B267" s="2" t="s">
        <v>899</v>
      </c>
      <c r="C267" s="2" t="s">
        <v>26</v>
      </c>
      <c r="D267" s="2" t="s">
        <v>27</v>
      </c>
      <c r="E267" s="4">
        <v>-31940</v>
      </c>
      <c r="F267" s="3" t="s">
        <v>187</v>
      </c>
      <c r="G267" s="3" t="s">
        <v>45</v>
      </c>
      <c r="H267" s="2" t="s">
        <v>21</v>
      </c>
      <c r="I267" s="2" t="s">
        <v>900</v>
      </c>
      <c r="J267" s="3" t="str">
        <f>HYPERLINK("https://www.boe.es/gazeta/dias/1812/07/19/pdfs/GMD-1812-201.pdf#page=2","Abrir facsímil")</f>
        <v>Abrir facsímil</v>
      </c>
      <c r="K267" s="3" t="s">
        <v>23</v>
      </c>
    </row>
    <row r="268" spans="1:11" ht="42" customHeight="1">
      <c r="A268" s="2" t="s">
        <v>901</v>
      </c>
      <c r="B268" s="2" t="s">
        <v>902</v>
      </c>
      <c r="C268" s="2" t="s">
        <v>26</v>
      </c>
      <c r="D268" s="2" t="s">
        <v>27</v>
      </c>
      <c r="E268" s="4">
        <v>-32036</v>
      </c>
      <c r="F268" s="3" t="s">
        <v>781</v>
      </c>
      <c r="G268" s="3" t="s">
        <v>782</v>
      </c>
      <c r="H268" s="2" t="s">
        <v>21</v>
      </c>
      <c r="I268" s="2" t="s">
        <v>903</v>
      </c>
      <c r="J268" s="3" t="str">
        <f>HYPERLINK("https://www.boe.es/gazeta/dias/1812/04/14/pdfs/GRE-1812-47.pdf#page=8","Abrir facsímil")</f>
        <v>Abrir facsímil</v>
      </c>
      <c r="K268" s="3" t="s">
        <v>23</v>
      </c>
    </row>
    <row r="269" spans="1:11" ht="42" customHeight="1">
      <c r="A269" s="2" t="s">
        <v>904</v>
      </c>
      <c r="B269" s="2" t="s">
        <v>904</v>
      </c>
      <c r="C269" s="2" t="s">
        <v>26</v>
      </c>
      <c r="D269" s="2" t="s">
        <v>275</v>
      </c>
      <c r="E269" s="4">
        <v>-31791</v>
      </c>
      <c r="F269" s="3" t="s">
        <v>905</v>
      </c>
      <c r="G269" s="3" t="s">
        <v>906</v>
      </c>
      <c r="H269" s="2" t="s">
        <v>21</v>
      </c>
      <c r="I269" s="2" t="s">
        <v>907</v>
      </c>
      <c r="J269" s="3" t="str">
        <f>HYPERLINK("https://www.boe.es/gazeta/dias/1812/12/15/pdfs/GRE-1812-165.pdf#page=4","Abrir facsímil")</f>
        <v>Abrir facsímil</v>
      </c>
      <c r="K269" s="3" t="s">
        <v>23</v>
      </c>
    </row>
    <row r="270" spans="1:11" ht="42" customHeight="1">
      <c r="A270" s="2" t="s">
        <v>908</v>
      </c>
      <c r="B270" s="2" t="s">
        <v>909</v>
      </c>
      <c r="C270" s="2" t="s">
        <v>26</v>
      </c>
      <c r="D270" s="2" t="s">
        <v>27</v>
      </c>
      <c r="E270" s="4">
        <v>-32053</v>
      </c>
      <c r="F270" s="3" t="s">
        <v>910</v>
      </c>
      <c r="G270" s="3" t="s">
        <v>911</v>
      </c>
      <c r="H270" s="2" t="s">
        <v>21</v>
      </c>
      <c r="I270" s="2" t="s">
        <v>912</v>
      </c>
      <c r="J270" s="3" t="str">
        <f>HYPERLINK("https://www.boe.es/gazeta/dias/1812/03/28/pdfs/GRE-1812-39.pdf#page=8","Abrir facsímil")</f>
        <v>Abrir facsímil</v>
      </c>
      <c r="K270" s="3" t="s">
        <v>23</v>
      </c>
    </row>
    <row r="271" spans="1:11" ht="42" customHeight="1">
      <c r="A271" s="2" t="s">
        <v>913</v>
      </c>
      <c r="B271" s="2" t="s">
        <v>914</v>
      </c>
      <c r="C271" s="2" t="s">
        <v>26</v>
      </c>
      <c r="D271" s="2" t="s">
        <v>27</v>
      </c>
      <c r="E271" s="4">
        <v>-32081</v>
      </c>
      <c r="F271" s="3" t="s">
        <v>232</v>
      </c>
      <c r="G271" s="3" t="s">
        <v>233</v>
      </c>
      <c r="H271" s="2" t="s">
        <v>21</v>
      </c>
      <c r="I271" s="2" t="s">
        <v>915</v>
      </c>
      <c r="J271" s="3" t="str">
        <f>HYPERLINK("https://www.boe.es/gazeta/dias/1812/02/29/pdfs/GRE-1812-27.pdf#page=8","Abrir facsímil")</f>
        <v>Abrir facsímil</v>
      </c>
      <c r="K271" s="3" t="s">
        <v>23</v>
      </c>
    </row>
    <row r="272" spans="1:11" ht="42" customHeight="1">
      <c r="A272" s="2" t="s">
        <v>916</v>
      </c>
      <c r="B272" s="2" t="s">
        <v>917</v>
      </c>
      <c r="C272" s="2" t="s">
        <v>105</v>
      </c>
      <c r="D272" s="2" t="s">
        <v>27</v>
      </c>
      <c r="E272" s="4">
        <v>-32132</v>
      </c>
      <c r="F272" s="3" t="s">
        <v>484</v>
      </c>
      <c r="G272" s="3" t="s">
        <v>485</v>
      </c>
      <c r="H272" s="2" t="s">
        <v>21</v>
      </c>
      <c r="I272" s="2" t="s">
        <v>918</v>
      </c>
      <c r="J272" s="3" t="str">
        <f>HYPERLINK("https://www.boe.es/gazeta/dias/1812/01/09/pdfs/GEI-1812-4.pdf#page=8","Abrir facsímil")</f>
        <v>Abrir facsímil</v>
      </c>
      <c r="K272" s="3" t="s">
        <v>23</v>
      </c>
    </row>
    <row r="273" spans="1:11" ht="42" customHeight="1">
      <c r="A273" s="2" t="s">
        <v>919</v>
      </c>
      <c r="B273" s="2" t="s">
        <v>920</v>
      </c>
      <c r="C273" s="2" t="s">
        <v>115</v>
      </c>
      <c r="D273" s="2" t="s">
        <v>18</v>
      </c>
      <c r="E273" s="4">
        <v>-32062</v>
      </c>
      <c r="F273" s="3" t="s">
        <v>280</v>
      </c>
      <c r="G273" s="3" t="s">
        <v>20</v>
      </c>
      <c r="H273" s="2" t="s">
        <v>21</v>
      </c>
      <c r="I273" s="2" t="s">
        <v>921</v>
      </c>
      <c r="J273" s="3" t="str">
        <f>HYPERLINK("https://www.boe.es/gazeta/dias/1812/03/19/pdfs/GMD-1812-79.pdf#page=4","Abrir facsímil")</f>
        <v>Abrir facsímil</v>
      </c>
      <c r="K273" s="3" t="s">
        <v>23</v>
      </c>
    </row>
    <row r="274" spans="1:11" ht="42" customHeight="1">
      <c r="A274" s="2" t="s">
        <v>922</v>
      </c>
      <c r="B274" s="2" t="s">
        <v>923</v>
      </c>
      <c r="C274" s="2" t="s">
        <v>26</v>
      </c>
      <c r="D274" s="2" t="s">
        <v>573</v>
      </c>
      <c r="E274" s="4">
        <v>-31900</v>
      </c>
      <c r="F274" s="3" t="s">
        <v>276</v>
      </c>
      <c r="G274" s="3" t="s">
        <v>277</v>
      </c>
      <c r="H274" s="2" t="s">
        <v>21</v>
      </c>
      <c r="I274" s="2" t="s">
        <v>924</v>
      </c>
      <c r="J274" s="3" t="str">
        <f>HYPERLINK("https://www.boe.es/gazeta/dias/1812/08/28/pdfs/GRE-1812-113E.pdf#page=8","Abrir facsímil")</f>
        <v>Abrir facsímil</v>
      </c>
      <c r="K274" s="3" t="s">
        <v>23</v>
      </c>
    </row>
    <row r="275" spans="1:11" ht="42" customHeight="1">
      <c r="A275" s="2" t="s">
        <v>925</v>
      </c>
      <c r="B275" s="2" t="s">
        <v>926</v>
      </c>
      <c r="C275" s="2" t="s">
        <v>17</v>
      </c>
      <c r="D275" s="2" t="s">
        <v>27</v>
      </c>
      <c r="E275" s="4">
        <v>-32130</v>
      </c>
      <c r="F275" s="3" t="s">
        <v>927</v>
      </c>
      <c r="G275" s="3" t="s">
        <v>130</v>
      </c>
      <c r="H275" s="2" t="s">
        <v>21</v>
      </c>
      <c r="I275" s="2" t="s">
        <v>928</v>
      </c>
      <c r="J275" s="3" t="str">
        <f>HYPERLINK("https://www.boe.es/gazeta/dias/1812/01/11/pdfs/GMD-1812-11.pdf#page=4","Abrir facsímil")</f>
        <v>Abrir facsímil</v>
      </c>
      <c r="K275" s="3" t="s">
        <v>23</v>
      </c>
    </row>
    <row r="276" spans="1:11" ht="42" customHeight="1">
      <c r="A276" s="2" t="s">
        <v>929</v>
      </c>
      <c r="B276" s="2" t="s">
        <v>930</v>
      </c>
      <c r="C276" s="2" t="s">
        <v>26</v>
      </c>
      <c r="D276" s="2" t="s">
        <v>27</v>
      </c>
      <c r="E276" s="4">
        <v>-31969</v>
      </c>
      <c r="F276" s="3" t="s">
        <v>83</v>
      </c>
      <c r="G276" s="3" t="s">
        <v>84</v>
      </c>
      <c r="H276" s="2" t="s">
        <v>21</v>
      </c>
      <c r="I276" s="2" t="s">
        <v>931</v>
      </c>
      <c r="J276" s="3" t="str">
        <f>HYPERLINK("https://www.boe.es/gazeta/dias/1812/06/20/pdfs/GRE-1812-76.pdf#page=8","Abrir facsímil")</f>
        <v>Abrir facsímil</v>
      </c>
      <c r="K276" s="3" t="s">
        <v>23</v>
      </c>
    </row>
    <row r="277" spans="1:11" ht="42" customHeight="1">
      <c r="A277" s="2" t="s">
        <v>932</v>
      </c>
      <c r="B277" s="2" t="s">
        <v>933</v>
      </c>
      <c r="C277" s="2" t="s">
        <v>26</v>
      </c>
      <c r="D277" s="2" t="s">
        <v>27</v>
      </c>
      <c r="E277" s="4">
        <v>-32125</v>
      </c>
      <c r="F277" s="3" t="s">
        <v>335</v>
      </c>
      <c r="G277" s="3" t="s">
        <v>336</v>
      </c>
      <c r="H277" s="2" t="s">
        <v>21</v>
      </c>
      <c r="I277" s="2" t="s">
        <v>934</v>
      </c>
      <c r="J277" s="3" t="str">
        <f>HYPERLINK("https://www.boe.es/gazeta/dias/1812/01/16/pdfs/GEI-1812-7.pdf#page=8","Abrir facsímil")</f>
        <v>Abrir facsímil</v>
      </c>
      <c r="K277" s="3" t="s">
        <v>23</v>
      </c>
    </row>
    <row r="278" spans="1:11" ht="42" customHeight="1">
      <c r="A278" s="2" t="s">
        <v>935</v>
      </c>
      <c r="B278" s="2" t="s">
        <v>936</v>
      </c>
      <c r="C278" s="2" t="s">
        <v>17</v>
      </c>
      <c r="D278" s="2" t="s">
        <v>27</v>
      </c>
      <c r="E278" s="4">
        <v>-31922</v>
      </c>
      <c r="F278" s="3" t="s">
        <v>375</v>
      </c>
      <c r="G278" s="3" t="s">
        <v>376</v>
      </c>
      <c r="H278" s="2" t="s">
        <v>21</v>
      </c>
      <c r="I278" s="2" t="s">
        <v>937</v>
      </c>
      <c r="J278" s="3" t="str">
        <f>HYPERLINK("https://www.boe.es/gazeta/dias/1812/08/06/pdfs/GRE-1812-100.pdf#page=7","Abrir facsímil")</f>
        <v>Abrir facsímil</v>
      </c>
      <c r="K278" s="3" t="s">
        <v>23</v>
      </c>
    </row>
    <row r="279" spans="1:11" ht="42" customHeight="1">
      <c r="A279" s="2" t="s">
        <v>938</v>
      </c>
      <c r="B279" s="2" t="s">
        <v>939</v>
      </c>
      <c r="C279" s="2" t="s">
        <v>26</v>
      </c>
      <c r="D279" s="2" t="s">
        <v>27</v>
      </c>
      <c r="E279" s="4">
        <v>-32137</v>
      </c>
      <c r="F279" s="3" t="s">
        <v>355</v>
      </c>
      <c r="G279" s="3" t="s">
        <v>117</v>
      </c>
      <c r="H279" s="2" t="s">
        <v>21</v>
      </c>
      <c r="I279" s="2" t="s">
        <v>940</v>
      </c>
      <c r="J279" s="3" t="str">
        <f>HYPERLINK("https://www.boe.es/gazeta/dias/1812/01/04/pdfs/GEI-1812-2.pdf#page=8","Abrir facsímil")</f>
        <v>Abrir facsímil</v>
      </c>
      <c r="K279" s="3" t="s">
        <v>23</v>
      </c>
    </row>
    <row r="280" spans="1:11" ht="42" customHeight="1">
      <c r="A280" s="2" t="s">
        <v>941</v>
      </c>
      <c r="B280" s="2" t="s">
        <v>942</v>
      </c>
      <c r="C280" s="2" t="s">
        <v>115</v>
      </c>
      <c r="D280" s="2" t="s">
        <v>275</v>
      </c>
      <c r="E280" s="4">
        <v>-32019</v>
      </c>
      <c r="F280" s="3" t="s">
        <v>476</v>
      </c>
      <c r="G280" s="3" t="s">
        <v>404</v>
      </c>
      <c r="H280" s="2" t="s">
        <v>21</v>
      </c>
      <c r="I280" s="2" t="s">
        <v>943</v>
      </c>
      <c r="J280" s="3" t="str">
        <f>HYPERLINK("https://www.boe.es/gazeta/dias/1812/05/01/pdfs/GMD-1812-122.pdf#page=3","Abrir facsímil")</f>
        <v>Abrir facsímil</v>
      </c>
      <c r="K280" s="3" t="s">
        <v>23</v>
      </c>
    </row>
    <row r="281" spans="1:11" ht="42" customHeight="1">
      <c r="A281" s="2" t="s">
        <v>944</v>
      </c>
      <c r="B281" s="2" t="s">
        <v>945</v>
      </c>
      <c r="C281" s="2" t="s">
        <v>17</v>
      </c>
      <c r="D281" s="2" t="s">
        <v>27</v>
      </c>
      <c r="E281" s="4">
        <v>-31917</v>
      </c>
      <c r="F281" s="3" t="s">
        <v>946</v>
      </c>
      <c r="G281" s="3" t="s">
        <v>947</v>
      </c>
      <c r="H281" s="2" t="s">
        <v>21</v>
      </c>
      <c r="I281" s="2" t="s">
        <v>948</v>
      </c>
      <c r="J281" s="3" t="str">
        <f>HYPERLINK("https://www.boe.es/gazeta/dias/1812/08/11/pdfs/GRE-1812-103.pdf#page=8","Abrir facsímil")</f>
        <v>Abrir facsímil</v>
      </c>
      <c r="K281" s="3" t="s">
        <v>23</v>
      </c>
    </row>
    <row r="282" spans="1:11" ht="42" customHeight="1">
      <c r="A282" s="2" t="s">
        <v>949</v>
      </c>
      <c r="B282" s="2" t="s">
        <v>950</v>
      </c>
      <c r="C282" s="2" t="s">
        <v>26</v>
      </c>
      <c r="D282" s="2" t="s">
        <v>27</v>
      </c>
      <c r="E282" s="4">
        <v>-32111</v>
      </c>
      <c r="F282" s="3" t="s">
        <v>951</v>
      </c>
      <c r="G282" s="3" t="s">
        <v>45</v>
      </c>
      <c r="H282" s="2" t="s">
        <v>21</v>
      </c>
      <c r="I282" s="2" t="s">
        <v>952</v>
      </c>
      <c r="J282" s="3" t="str">
        <f>HYPERLINK("https://www.boe.es/gazeta/dias/1812/01/30/pdfs/GMD-1812-30.pdf#page=4","Abrir facsímil")</f>
        <v>Abrir facsímil</v>
      </c>
      <c r="K282" s="3" t="s">
        <v>23</v>
      </c>
    </row>
    <row r="283" spans="1:11" ht="42" customHeight="1">
      <c r="A283" s="2" t="s">
        <v>953</v>
      </c>
      <c r="B283" s="2" t="s">
        <v>954</v>
      </c>
      <c r="C283" s="2" t="s">
        <v>26</v>
      </c>
      <c r="D283" s="2" t="s">
        <v>27</v>
      </c>
      <c r="E283" s="4">
        <v>-32139</v>
      </c>
      <c r="F283" s="3" t="s">
        <v>518</v>
      </c>
      <c r="G283" s="3" t="s">
        <v>125</v>
      </c>
      <c r="H283" s="2" t="s">
        <v>21</v>
      </c>
      <c r="I283" s="2" t="s">
        <v>955</v>
      </c>
      <c r="J283" s="3" t="str">
        <f>HYPERLINK("https://www.boe.es/gazeta/dias/1812/01/02/pdfs/GEI-1812-1.pdf#page=8","Abrir facsímil")</f>
        <v>Abrir facsímil</v>
      </c>
      <c r="K283" s="3" t="s">
        <v>23</v>
      </c>
    </row>
    <row r="284" spans="1:11" ht="42" customHeight="1">
      <c r="A284" s="2" t="s">
        <v>956</v>
      </c>
      <c r="B284" s="2" t="s">
        <v>957</v>
      </c>
      <c r="C284" s="2" t="s">
        <v>17</v>
      </c>
      <c r="D284" s="2" t="s">
        <v>27</v>
      </c>
      <c r="E284" s="4">
        <v>-32067</v>
      </c>
      <c r="F284" s="3" t="s">
        <v>199</v>
      </c>
      <c r="G284" s="3" t="s">
        <v>317</v>
      </c>
      <c r="H284" s="2" t="s">
        <v>21</v>
      </c>
      <c r="I284" s="2" t="s">
        <v>958</v>
      </c>
      <c r="J284" s="3" t="str">
        <f>HYPERLINK("https://www.boe.es/gazeta/dias/1812/03/14/pdfs/GRE-1812-33.pdf#page=6","Abrir facsímil")</f>
        <v>Abrir facsímil</v>
      </c>
      <c r="K284" s="3" t="s">
        <v>23</v>
      </c>
    </row>
    <row r="285" spans="1:11" ht="42" customHeight="1">
      <c r="A285" s="2" t="s">
        <v>959</v>
      </c>
      <c r="B285" s="2" t="s">
        <v>959</v>
      </c>
      <c r="C285" s="2" t="s">
        <v>17</v>
      </c>
      <c r="D285" s="2" t="s">
        <v>27</v>
      </c>
      <c r="E285" s="4">
        <v>-31777</v>
      </c>
      <c r="F285" s="3" t="s">
        <v>960</v>
      </c>
      <c r="G285" s="3" t="s">
        <v>172</v>
      </c>
      <c r="H285" s="2" t="s">
        <v>21</v>
      </c>
      <c r="I285" s="2" t="s">
        <v>961</v>
      </c>
      <c r="J285" s="3" t="str">
        <f>HYPERLINK("https://www.boe.es/gazeta/dias/1812/12/29/pdfs/GMD-1812-252.pdf#page=4","Abrir facsímil")</f>
        <v>Abrir facsímil</v>
      </c>
      <c r="K285" s="3" t="s">
        <v>23</v>
      </c>
    </row>
    <row r="286" spans="1:11" ht="42" customHeight="1">
      <c r="A286" s="2" t="s">
        <v>962</v>
      </c>
      <c r="B286" s="2" t="s">
        <v>963</v>
      </c>
      <c r="C286" s="2" t="s">
        <v>82</v>
      </c>
      <c r="D286" s="2" t="s">
        <v>27</v>
      </c>
      <c r="E286" s="4">
        <v>-32118</v>
      </c>
      <c r="F286" s="3" t="s">
        <v>964</v>
      </c>
      <c r="G286" s="3" t="s">
        <v>965</v>
      </c>
      <c r="H286" s="2" t="s">
        <v>21</v>
      </c>
      <c r="I286" s="2" t="s">
        <v>966</v>
      </c>
      <c r="J286" s="3" t="str">
        <f>HYPERLINK("https://www.boe.es/gazeta/dias/1812/01/23/pdfs/GEI-H-1812-10.pdf#page=4","Abrir facsímil")</f>
        <v>Abrir facsímil</v>
      </c>
      <c r="K286" s="3" t="s">
        <v>23</v>
      </c>
    </row>
    <row r="287" spans="1:11" ht="42" customHeight="1">
      <c r="A287" s="2" t="s">
        <v>967</v>
      </c>
      <c r="B287" s="2" t="s">
        <v>968</v>
      </c>
      <c r="C287" s="2" t="s">
        <v>26</v>
      </c>
      <c r="D287" s="2" t="s">
        <v>27</v>
      </c>
      <c r="E287" s="4">
        <v>-32100</v>
      </c>
      <c r="F287" s="3" t="s">
        <v>492</v>
      </c>
      <c r="G287" s="3" t="s">
        <v>493</v>
      </c>
      <c r="H287" s="2" t="s">
        <v>21</v>
      </c>
      <c r="I287" s="2" t="s">
        <v>969</v>
      </c>
      <c r="J287" s="3" t="str">
        <f>HYPERLINK("https://www.boe.es/gazeta/dias/1812/02/10/pdfs/GRE-1812-31.pdf#page=8","Abrir facsímil")</f>
        <v>Abrir facsímil</v>
      </c>
      <c r="K287" s="3" t="s">
        <v>23</v>
      </c>
    </row>
    <row r="288" spans="1:11" ht="42" customHeight="1">
      <c r="A288" s="2" t="s">
        <v>967</v>
      </c>
      <c r="B288" s="2" t="s">
        <v>968</v>
      </c>
      <c r="C288" s="2" t="s">
        <v>26</v>
      </c>
      <c r="D288" s="2" t="s">
        <v>27</v>
      </c>
      <c r="E288" s="4">
        <v>-32071</v>
      </c>
      <c r="F288" s="3" t="s">
        <v>492</v>
      </c>
      <c r="G288" s="3" t="s">
        <v>493</v>
      </c>
      <c r="H288" s="2" t="s">
        <v>21</v>
      </c>
      <c r="I288" s="2" t="s">
        <v>969</v>
      </c>
      <c r="J288" s="3" t="str">
        <f>HYPERLINK("https://www.boe.es/gazeta/dias/1812/03/10/pdfs/GRE-1812-31.pdf#page=8","Abrir facsímil")</f>
        <v>Abrir facsímil</v>
      </c>
      <c r="K288" s="3" t="s">
        <v>23</v>
      </c>
    </row>
    <row r="289" spans="1:11" ht="42" customHeight="1">
      <c r="A289" s="2" t="s">
        <v>970</v>
      </c>
      <c r="B289" s="2" t="s">
        <v>971</v>
      </c>
      <c r="C289" s="2" t="s">
        <v>26</v>
      </c>
      <c r="D289" s="2" t="s">
        <v>27</v>
      </c>
      <c r="E289" s="4">
        <v>-32100</v>
      </c>
      <c r="F289" s="3" t="s">
        <v>492</v>
      </c>
      <c r="G289" s="3" t="s">
        <v>493</v>
      </c>
      <c r="H289" s="2" t="s">
        <v>21</v>
      </c>
      <c r="I289" s="2" t="s">
        <v>972</v>
      </c>
      <c r="J289" s="3" t="str">
        <f>HYPERLINK("https://www.boe.es/gazeta/dias/1812/02/10/pdfs/GRE-1812-31.pdf#page=8","Abrir facsímil")</f>
        <v>Abrir facsímil</v>
      </c>
      <c r="K289" s="3" t="s">
        <v>23</v>
      </c>
    </row>
    <row r="290" spans="1:11" ht="42" customHeight="1">
      <c r="A290" s="2" t="s">
        <v>970</v>
      </c>
      <c r="B290" s="2" t="s">
        <v>971</v>
      </c>
      <c r="C290" s="2" t="s">
        <v>26</v>
      </c>
      <c r="D290" s="2" t="s">
        <v>27</v>
      </c>
      <c r="E290" s="4">
        <v>-32071</v>
      </c>
      <c r="F290" s="3" t="s">
        <v>492</v>
      </c>
      <c r="G290" s="3" t="s">
        <v>493</v>
      </c>
      <c r="H290" s="2" t="s">
        <v>21</v>
      </c>
      <c r="I290" s="2" t="s">
        <v>972</v>
      </c>
      <c r="J290" s="3" t="str">
        <f>HYPERLINK("https://www.boe.es/gazeta/dias/1812/03/10/pdfs/GRE-1812-31.pdf#page=8","Abrir facsímil")</f>
        <v>Abrir facsímil</v>
      </c>
      <c r="K290" s="3" t="s">
        <v>23</v>
      </c>
    </row>
    <row r="291" spans="1:11" ht="42" customHeight="1">
      <c r="A291" s="2" t="s">
        <v>973</v>
      </c>
      <c r="B291" s="2" t="s">
        <v>974</v>
      </c>
      <c r="C291" s="2" t="s">
        <v>105</v>
      </c>
      <c r="D291" s="2" t="s">
        <v>27</v>
      </c>
      <c r="E291" s="4">
        <v>-32100</v>
      </c>
      <c r="F291" s="3" t="s">
        <v>492</v>
      </c>
      <c r="G291" s="3" t="s">
        <v>493</v>
      </c>
      <c r="H291" s="2" t="s">
        <v>21</v>
      </c>
      <c r="I291" s="2" t="s">
        <v>975</v>
      </c>
      <c r="J291" s="3" t="str">
        <f>HYPERLINK("https://www.boe.es/gazeta/dias/1812/02/10/pdfs/GRE-1812-31.pdf#page=8","Abrir facsímil")</f>
        <v>Abrir facsímil</v>
      </c>
      <c r="K291" s="3" t="s">
        <v>23</v>
      </c>
    </row>
    <row r="292" spans="1:11" ht="42" customHeight="1">
      <c r="A292" s="2" t="s">
        <v>973</v>
      </c>
      <c r="B292" s="2" t="s">
        <v>974</v>
      </c>
      <c r="C292" s="2" t="s">
        <v>105</v>
      </c>
      <c r="D292" s="2" t="s">
        <v>27</v>
      </c>
      <c r="E292" s="4">
        <v>-32071</v>
      </c>
      <c r="F292" s="3" t="s">
        <v>492</v>
      </c>
      <c r="G292" s="3" t="s">
        <v>493</v>
      </c>
      <c r="H292" s="2" t="s">
        <v>21</v>
      </c>
      <c r="I292" s="2" t="s">
        <v>975</v>
      </c>
      <c r="J292" s="3" t="str">
        <f>HYPERLINK("https://www.boe.es/gazeta/dias/1812/03/10/pdfs/GRE-1812-31.pdf#page=8","Abrir facsímil")</f>
        <v>Abrir facsímil</v>
      </c>
      <c r="K292" s="3" t="s">
        <v>23</v>
      </c>
    </row>
    <row r="293" spans="1:11" ht="42" customHeight="1">
      <c r="A293" s="2" t="s">
        <v>976</v>
      </c>
      <c r="B293" s="2" t="s">
        <v>977</v>
      </c>
      <c r="C293" s="2" t="s">
        <v>26</v>
      </c>
      <c r="D293" s="2" t="s">
        <v>134</v>
      </c>
      <c r="E293" s="4">
        <v>-31955</v>
      </c>
      <c r="F293" s="3" t="s">
        <v>135</v>
      </c>
      <c r="G293" s="3" t="s">
        <v>58</v>
      </c>
      <c r="H293" s="2" t="s">
        <v>21</v>
      </c>
      <c r="I293" s="2" t="s">
        <v>978</v>
      </c>
      <c r="J293" s="3" t="str">
        <f>HYPERLINK("https://www.boe.es/gazeta/dias/1812/07/04/pdfs/GRE-F-1812-82.pdf#page=6","Abrir facsímil")</f>
        <v>Abrir facsímil</v>
      </c>
      <c r="K293" s="3" t="s">
        <v>23</v>
      </c>
    </row>
    <row r="294" spans="1:11" ht="42" customHeight="1">
      <c r="A294" s="2" t="s">
        <v>979</v>
      </c>
      <c r="B294" s="2" t="s">
        <v>980</v>
      </c>
      <c r="C294" s="2" t="s">
        <v>17</v>
      </c>
      <c r="D294" s="2" t="s">
        <v>275</v>
      </c>
      <c r="E294" s="4">
        <v>-31941</v>
      </c>
      <c r="F294" s="3" t="s">
        <v>57</v>
      </c>
      <c r="G294" s="3" t="s">
        <v>125</v>
      </c>
      <c r="H294" s="2" t="s">
        <v>21</v>
      </c>
      <c r="I294" s="2" t="s">
        <v>981</v>
      </c>
      <c r="J294" s="3" t="str">
        <f>HYPERLINK("https://www.boe.es/gazeta/dias/1812/07/18/pdfs/GMD-1812-200.pdf#page=3","Abrir facsímil")</f>
        <v>Abrir facsímil</v>
      </c>
      <c r="K294" s="3" t="s">
        <v>23</v>
      </c>
    </row>
    <row r="295" spans="1:11" ht="42" customHeight="1">
      <c r="A295" s="2" t="s">
        <v>982</v>
      </c>
      <c r="B295" s="2" t="s">
        <v>982</v>
      </c>
      <c r="C295" s="2" t="s">
        <v>26</v>
      </c>
      <c r="D295" s="2" t="s">
        <v>27</v>
      </c>
      <c r="E295" s="4">
        <v>-32114</v>
      </c>
      <c r="F295" s="3" t="s">
        <v>480</v>
      </c>
      <c r="G295" s="3" t="s">
        <v>237</v>
      </c>
      <c r="H295" s="2" t="s">
        <v>21</v>
      </c>
      <c r="I295" s="2" t="s">
        <v>983</v>
      </c>
      <c r="J295" s="3" t="str">
        <f>HYPERLINK("https://www.boe.es/gazeta/dias/1812/01/27/pdfs/GMD-1812-27.pdf#page=3","Abrir facsímil")</f>
        <v>Abrir facsímil</v>
      </c>
      <c r="K295" s="3" t="s">
        <v>23</v>
      </c>
    </row>
    <row r="296" spans="1:11" ht="42" customHeight="1">
      <c r="A296" s="2" t="s">
        <v>984</v>
      </c>
      <c r="B296" s="2" t="s">
        <v>985</v>
      </c>
      <c r="C296" s="2" t="s">
        <v>17</v>
      </c>
      <c r="D296" s="2" t="s">
        <v>27</v>
      </c>
      <c r="E296" s="4">
        <v>-31922</v>
      </c>
      <c r="F296" s="3" t="s">
        <v>375</v>
      </c>
      <c r="G296" s="3" t="s">
        <v>986</v>
      </c>
      <c r="H296" s="2" t="s">
        <v>21</v>
      </c>
      <c r="I296" s="2" t="s">
        <v>987</v>
      </c>
      <c r="J296" s="3" t="str">
        <f>HYPERLINK("https://www.boe.es/gazeta/dias/1812/08/06/pdfs/GRE-1812-100.pdf#page=8","Abrir facsímil")</f>
        <v>Abrir facsímil</v>
      </c>
      <c r="K296" s="3" t="s">
        <v>23</v>
      </c>
    </row>
    <row r="297" spans="1:11" ht="42" customHeight="1">
      <c r="A297" s="2" t="s">
        <v>988</v>
      </c>
      <c r="B297" s="2" t="s">
        <v>988</v>
      </c>
      <c r="C297" s="2" t="s">
        <v>26</v>
      </c>
      <c r="D297" s="2" t="s">
        <v>27</v>
      </c>
      <c r="E297" s="4">
        <v>-32081</v>
      </c>
      <c r="F297" s="3" t="s">
        <v>989</v>
      </c>
      <c r="G297" s="3" t="s">
        <v>683</v>
      </c>
      <c r="H297" s="2" t="s">
        <v>21</v>
      </c>
      <c r="I297" s="2" t="s">
        <v>990</v>
      </c>
      <c r="J297" s="3" t="str">
        <f>HYPERLINK("https://www.boe.es/gazeta/dias/1812/02/29/pdfs/GMD-1812-60.pdf#page=4","Abrir facsímil")</f>
        <v>Abrir facsímil</v>
      </c>
      <c r="K297" s="3" t="s">
        <v>23</v>
      </c>
    </row>
    <row r="298" spans="1:11" ht="42" customHeight="1">
      <c r="A298" s="2" t="s">
        <v>991</v>
      </c>
      <c r="B298" s="2" t="s">
        <v>992</v>
      </c>
      <c r="C298" s="2" t="s">
        <v>26</v>
      </c>
      <c r="D298" s="2" t="s">
        <v>27</v>
      </c>
      <c r="E298" s="4">
        <v>-32116</v>
      </c>
      <c r="F298" s="3" t="s">
        <v>993</v>
      </c>
      <c r="G298" s="3" t="s">
        <v>994</v>
      </c>
      <c r="H298" s="2" t="s">
        <v>21</v>
      </c>
      <c r="I298" s="2" t="s">
        <v>995</v>
      </c>
      <c r="J298" s="3" t="str">
        <f>HYPERLINK("https://www.boe.es/gazeta/dias/1812/01/25/pdfs/GEI-1812-11.pdf#page=4","Abrir facsímil")</f>
        <v>Abrir facsímil</v>
      </c>
      <c r="K298" s="3" t="s">
        <v>23</v>
      </c>
    </row>
    <row r="299" spans="1:11" ht="42" customHeight="1">
      <c r="A299" s="2" t="s">
        <v>991</v>
      </c>
      <c r="B299" s="2" t="s">
        <v>992</v>
      </c>
      <c r="C299" s="2" t="s">
        <v>17</v>
      </c>
      <c r="D299" s="2" t="s">
        <v>27</v>
      </c>
      <c r="E299" s="4">
        <v>-32104</v>
      </c>
      <c r="F299" s="3" t="s">
        <v>996</v>
      </c>
      <c r="G299" s="3" t="s">
        <v>20</v>
      </c>
      <c r="H299" s="2" t="s">
        <v>21</v>
      </c>
      <c r="I299" s="2" t="s">
        <v>997</v>
      </c>
      <c r="J299" s="3" t="str">
        <f>HYPERLINK("https://www.boe.es/gazeta/dias/1812/02/06/pdfs/GRE-1812-16.pdf#page=4","Abrir facsímil")</f>
        <v>Abrir facsímil</v>
      </c>
      <c r="K299" s="3" t="s">
        <v>23</v>
      </c>
    </row>
    <row r="300" spans="1:11" ht="42" customHeight="1">
      <c r="A300" s="2" t="s">
        <v>998</v>
      </c>
      <c r="B300" s="2" t="s">
        <v>999</v>
      </c>
      <c r="C300" s="2" t="s">
        <v>17</v>
      </c>
      <c r="D300" s="2" t="s">
        <v>18</v>
      </c>
      <c r="E300" s="4">
        <v>-31857</v>
      </c>
      <c r="F300" s="3" t="s">
        <v>1000</v>
      </c>
      <c r="G300" s="3" t="s">
        <v>1001</v>
      </c>
      <c r="H300" s="2" t="s">
        <v>21</v>
      </c>
      <c r="I300" s="2" t="s">
        <v>1002</v>
      </c>
      <c r="J300" s="3" t="str">
        <f>HYPERLINK("https://www.boe.es/gazeta/dias/1812/10/10/pdfs/GRE-1812-137.pdf#page=7","Abrir facsímil")</f>
        <v>Abrir facsímil</v>
      </c>
      <c r="K300" s="3" t="s">
        <v>23</v>
      </c>
    </row>
    <row r="301" spans="1:11" ht="42" customHeight="1">
      <c r="A301" s="2" t="s">
        <v>1003</v>
      </c>
      <c r="B301" s="2" t="s">
        <v>1004</v>
      </c>
      <c r="C301" s="2" t="s">
        <v>115</v>
      </c>
      <c r="D301" s="2" t="s">
        <v>27</v>
      </c>
      <c r="E301" s="4">
        <v>-31963</v>
      </c>
      <c r="F301" s="3" t="s">
        <v>171</v>
      </c>
      <c r="G301" s="3" t="s">
        <v>172</v>
      </c>
      <c r="H301" s="2" t="s">
        <v>21</v>
      </c>
      <c r="I301" s="2" t="s">
        <v>1005</v>
      </c>
      <c r="J301" s="3" t="str">
        <f>HYPERLINK("https://www.boe.es/gazeta/dias/1812/06/26/pdfs/GMD-1812-178.pdf#page=3","Abrir facsímil")</f>
        <v>Abrir facsímil</v>
      </c>
      <c r="K301" s="3" t="s">
        <v>23</v>
      </c>
    </row>
    <row r="302" spans="1:11" ht="42" customHeight="1">
      <c r="A302" s="2" t="s">
        <v>1006</v>
      </c>
      <c r="B302" s="2" t="s">
        <v>1007</v>
      </c>
      <c r="C302" s="2" t="s">
        <v>26</v>
      </c>
      <c r="D302" s="2" t="s">
        <v>27</v>
      </c>
      <c r="E302" s="4">
        <v>-32034</v>
      </c>
      <c r="F302" s="3" t="s">
        <v>1008</v>
      </c>
      <c r="G302" s="3" t="s">
        <v>1009</v>
      </c>
      <c r="H302" s="2" t="s">
        <v>21</v>
      </c>
      <c r="I302" s="2" t="s">
        <v>1010</v>
      </c>
      <c r="J302" s="3" t="str">
        <f>HYPERLINK("https://www.boe.es/gazeta/dias/1812/04/16/pdfs/GRE-1812-48.pdf#page=8","Abrir facsímil")</f>
        <v>Abrir facsímil</v>
      </c>
      <c r="K302" s="3" t="s">
        <v>23</v>
      </c>
    </row>
    <row r="303" spans="1:11" ht="42" customHeight="1">
      <c r="A303" s="2" t="s">
        <v>1011</v>
      </c>
      <c r="B303" s="2" t="s">
        <v>1012</v>
      </c>
      <c r="C303" s="2" t="s">
        <v>26</v>
      </c>
      <c r="D303" s="2" t="s">
        <v>27</v>
      </c>
      <c r="E303" s="4">
        <v>-32046</v>
      </c>
      <c r="F303" s="3" t="s">
        <v>1013</v>
      </c>
      <c r="G303" s="3" t="s">
        <v>1014</v>
      </c>
      <c r="H303" s="2" t="s">
        <v>21</v>
      </c>
      <c r="I303" s="2" t="s">
        <v>1015</v>
      </c>
      <c r="J303" s="3" t="str">
        <f>HYPERLINK("https://www.boe.es/gazeta/dias/1812/04/04/pdfs/GRE-1812-42.pdf#page=4","Abrir facsímil")</f>
        <v>Abrir facsímil</v>
      </c>
      <c r="K303" s="3" t="s">
        <v>23</v>
      </c>
    </row>
    <row r="304" spans="1:11" ht="42" customHeight="1">
      <c r="A304" s="2" t="s">
        <v>1016</v>
      </c>
      <c r="B304" s="2" t="s">
        <v>1017</v>
      </c>
      <c r="C304" s="2" t="s">
        <v>17</v>
      </c>
      <c r="D304" s="2" t="s">
        <v>18</v>
      </c>
      <c r="E304" s="4">
        <v>-32109</v>
      </c>
      <c r="F304" s="3" t="s">
        <v>62</v>
      </c>
      <c r="G304" s="3" t="s">
        <v>63</v>
      </c>
      <c r="H304" s="2" t="s">
        <v>21</v>
      </c>
      <c r="I304" s="2" t="s">
        <v>1018</v>
      </c>
      <c r="J304" s="3" t="str">
        <f>HYPERLINK("https://www.boe.es/gazeta/dias/1812/02/01/pdfs/GRE-1812-14.pdf#page=10","Abrir facsímil")</f>
        <v>Abrir facsímil</v>
      </c>
      <c r="K304" s="3" t="s">
        <v>23</v>
      </c>
    </row>
    <row r="305" spans="1:11" ht="42" customHeight="1">
      <c r="A305" s="2" t="s">
        <v>1019</v>
      </c>
      <c r="B305" s="2" t="s">
        <v>1020</v>
      </c>
      <c r="C305" s="2" t="s">
        <v>26</v>
      </c>
      <c r="D305" s="2" t="s">
        <v>27</v>
      </c>
      <c r="E305" s="4">
        <v>-32100</v>
      </c>
      <c r="F305" s="3" t="s">
        <v>492</v>
      </c>
      <c r="G305" s="3" t="s">
        <v>493</v>
      </c>
      <c r="H305" s="2" t="s">
        <v>21</v>
      </c>
      <c r="I305" s="2" t="s">
        <v>1021</v>
      </c>
      <c r="J305" s="3" t="str">
        <f>HYPERLINK("https://www.boe.es/gazeta/dias/1812/02/10/pdfs/GRE-1812-31.pdf#page=8","Abrir facsímil")</f>
        <v>Abrir facsímil</v>
      </c>
      <c r="K305" s="3" t="s">
        <v>23</v>
      </c>
    </row>
    <row r="306" spans="1:11" ht="42" customHeight="1">
      <c r="A306" s="2" t="s">
        <v>1019</v>
      </c>
      <c r="B306" s="2" t="s">
        <v>1020</v>
      </c>
      <c r="C306" s="2" t="s">
        <v>26</v>
      </c>
      <c r="D306" s="2" t="s">
        <v>27</v>
      </c>
      <c r="E306" s="4">
        <v>-32071</v>
      </c>
      <c r="F306" s="3" t="s">
        <v>492</v>
      </c>
      <c r="G306" s="3" t="s">
        <v>493</v>
      </c>
      <c r="H306" s="2" t="s">
        <v>21</v>
      </c>
      <c r="I306" s="2" t="s">
        <v>1021</v>
      </c>
      <c r="J306" s="3" t="str">
        <f>HYPERLINK("https://www.boe.es/gazeta/dias/1812/03/10/pdfs/GRE-1812-31.pdf#page=8","Abrir facsímil")</f>
        <v>Abrir facsímil</v>
      </c>
      <c r="K306" s="3" t="s">
        <v>23</v>
      </c>
    </row>
    <row r="307" spans="1:11" ht="42" customHeight="1">
      <c r="A307" s="2" t="s">
        <v>1022</v>
      </c>
      <c r="B307" s="2" t="s">
        <v>1023</v>
      </c>
      <c r="C307" s="2" t="s">
        <v>17</v>
      </c>
      <c r="D307" s="2" t="s">
        <v>27</v>
      </c>
      <c r="E307" s="4">
        <v>-31950</v>
      </c>
      <c r="F307" s="3" t="s">
        <v>1024</v>
      </c>
      <c r="G307" s="3" t="s">
        <v>1025</v>
      </c>
      <c r="H307" s="2" t="s">
        <v>21</v>
      </c>
      <c r="I307" s="2" t="s">
        <v>1026</v>
      </c>
      <c r="J307" s="3" t="str">
        <f>HYPERLINK("https://www.boe.es/gazeta/dias/1812/07/09/pdfs/GRE-1812-84.pdf#page=7","Abrir facsímil")</f>
        <v>Abrir facsímil</v>
      </c>
      <c r="K307" s="3" t="s">
        <v>23</v>
      </c>
    </row>
    <row r="308" spans="1:11" ht="42" customHeight="1">
      <c r="A308" s="2" t="s">
        <v>1027</v>
      </c>
      <c r="B308" s="2" t="s">
        <v>1028</v>
      </c>
      <c r="C308" s="2" t="s">
        <v>17</v>
      </c>
      <c r="D308" s="2" t="s">
        <v>27</v>
      </c>
      <c r="E308" s="4">
        <v>-31936</v>
      </c>
      <c r="F308" s="3" t="s">
        <v>614</v>
      </c>
      <c r="G308" s="3" t="s">
        <v>615</v>
      </c>
      <c r="H308" s="2" t="s">
        <v>21</v>
      </c>
      <c r="I308" s="2" t="s">
        <v>1029</v>
      </c>
      <c r="J308" s="3" t="str">
        <f>HYPERLINK("https://www.boe.es/gazeta/dias/1812/07/23/pdfs/GRE-1812-92.pdf#page=8","Abrir facsímil")</f>
        <v>Abrir facsímil</v>
      </c>
      <c r="K308" s="3" t="s">
        <v>23</v>
      </c>
    </row>
    <row r="309" spans="1:11" ht="42" customHeight="1">
      <c r="A309" s="2" t="s">
        <v>1030</v>
      </c>
      <c r="B309" s="2" t="s">
        <v>1030</v>
      </c>
      <c r="C309" s="2" t="s">
        <v>105</v>
      </c>
      <c r="D309" s="2" t="s">
        <v>27</v>
      </c>
      <c r="E309" s="4">
        <v>-32044</v>
      </c>
      <c r="F309" s="3" t="s">
        <v>1031</v>
      </c>
      <c r="G309" s="3" t="s">
        <v>125</v>
      </c>
      <c r="H309" s="2" t="s">
        <v>21</v>
      </c>
      <c r="I309" s="2" t="s">
        <v>1032</v>
      </c>
      <c r="J309" s="3" t="str">
        <f>HYPERLINK("https://www.boe.es/gazeta/dias/1812/04/06/pdfs/GMD-1812-97.pdf#page=2","Abrir facsímil")</f>
        <v>Abrir facsímil</v>
      </c>
      <c r="K309" s="3" t="s">
        <v>23</v>
      </c>
    </row>
    <row r="310" spans="1:11" ht="42" customHeight="1">
      <c r="A310" s="2" t="s">
        <v>1033</v>
      </c>
      <c r="B310" s="2" t="s">
        <v>1034</v>
      </c>
      <c r="C310" s="2" t="s">
        <v>186</v>
      </c>
      <c r="D310" s="2" t="s">
        <v>275</v>
      </c>
      <c r="E310" s="4">
        <v>-31959</v>
      </c>
      <c r="F310" s="3" t="s">
        <v>1035</v>
      </c>
      <c r="G310" s="3" t="s">
        <v>514</v>
      </c>
      <c r="H310" s="2" t="s">
        <v>30</v>
      </c>
      <c r="I310" s="2" t="s">
        <v>1036</v>
      </c>
      <c r="J310" s="3" t="str">
        <f>HYPERLINK("https://www.boe.es/gazeta/dias/1812/06/30/pdfs/GRE-1812-80.pdf#page=8","Abrir facsímil")</f>
        <v>Abrir facsímil</v>
      </c>
      <c r="K310" s="3" t="s">
        <v>32</v>
      </c>
    </row>
    <row r="311" spans="1:11" ht="42" customHeight="1">
      <c r="A311" s="2" t="s">
        <v>1037</v>
      </c>
      <c r="B311" s="2" t="s">
        <v>1038</v>
      </c>
      <c r="C311" s="2" t="s">
        <v>26</v>
      </c>
      <c r="D311" s="2" t="s">
        <v>27</v>
      </c>
      <c r="E311" s="4">
        <v>-31940</v>
      </c>
      <c r="F311" s="3" t="s">
        <v>187</v>
      </c>
      <c r="G311" s="3" t="s">
        <v>404</v>
      </c>
      <c r="H311" s="2" t="s">
        <v>21</v>
      </c>
      <c r="I311" s="2" t="s">
        <v>1039</v>
      </c>
      <c r="J311" s="3" t="str">
        <f>HYPERLINK("https://www.boe.es/gazeta/dias/1812/07/19/pdfs/GMD-1812-201.pdf#page=3","Abrir facsímil")</f>
        <v>Abrir facsímil</v>
      </c>
      <c r="K311" s="3" t="s">
        <v>23</v>
      </c>
    </row>
    <row r="312" spans="1:11" ht="42" customHeight="1">
      <c r="A312" s="2" t="s">
        <v>1040</v>
      </c>
      <c r="B312" s="2" t="s">
        <v>1040</v>
      </c>
      <c r="C312" s="2" t="s">
        <v>67</v>
      </c>
      <c r="D312" s="2" t="s">
        <v>27</v>
      </c>
      <c r="E312" s="4">
        <v>-32095</v>
      </c>
      <c r="F312" s="3" t="s">
        <v>181</v>
      </c>
      <c r="G312" s="3" t="s">
        <v>182</v>
      </c>
      <c r="H312" s="2" t="s">
        <v>21</v>
      </c>
      <c r="I312" s="2" t="s">
        <v>1041</v>
      </c>
      <c r="J312" s="3" t="str">
        <f>HYPERLINK("https://www.boe.es/gazeta/dias/1812/02/15/pdfs/GMD-1812-47.pdf#page=4","Abrir facsímil")</f>
        <v>Abrir facsímil</v>
      </c>
      <c r="K312" s="3" t="s">
        <v>23</v>
      </c>
    </row>
    <row r="313" spans="1:11" ht="42" customHeight="1">
      <c r="A313" s="2" t="s">
        <v>1040</v>
      </c>
      <c r="B313" s="2" t="s">
        <v>1040</v>
      </c>
      <c r="C313" s="2" t="s">
        <v>67</v>
      </c>
      <c r="D313" s="2" t="s">
        <v>27</v>
      </c>
      <c r="E313" s="4">
        <v>-32094</v>
      </c>
      <c r="F313" s="3" t="s">
        <v>181</v>
      </c>
      <c r="G313" s="3" t="s">
        <v>182</v>
      </c>
      <c r="H313" s="2" t="s">
        <v>21</v>
      </c>
      <c r="I313" s="2" t="s">
        <v>1041</v>
      </c>
      <c r="J313" s="3" t="str">
        <f>HYPERLINK("https://www.boe.es/gazeta/dias/1812/02/16/pdfs/GMD-1812-47.pdf#page=4","Abrir facsímil")</f>
        <v>Abrir facsímil</v>
      </c>
      <c r="K313" s="3" t="s">
        <v>23</v>
      </c>
    </row>
    <row r="314" spans="1:11" ht="42" customHeight="1">
      <c r="A314" s="2" t="s">
        <v>1042</v>
      </c>
      <c r="B314" s="2" t="s">
        <v>1043</v>
      </c>
      <c r="C314" s="2" t="s">
        <v>26</v>
      </c>
      <c r="D314" s="2" t="s">
        <v>27</v>
      </c>
      <c r="E314" s="4">
        <v>-32018</v>
      </c>
      <c r="F314" s="3" t="s">
        <v>365</v>
      </c>
      <c r="G314" s="3" t="s">
        <v>366</v>
      </c>
      <c r="H314" s="2" t="s">
        <v>21</v>
      </c>
      <c r="I314" s="2" t="s">
        <v>1044</v>
      </c>
      <c r="J314" s="3" t="str">
        <f>HYPERLINK("https://www.boe.es/gazeta/dias/1812/05/02/pdfs/GRE-1812-55.pdf#page=3","Abrir facsímil")</f>
        <v>Abrir facsímil</v>
      </c>
      <c r="K314" s="3" t="s">
        <v>23</v>
      </c>
    </row>
    <row r="315" spans="1:11" ht="42" customHeight="1">
      <c r="A315" s="2" t="s">
        <v>1045</v>
      </c>
      <c r="B315" s="2" t="s">
        <v>1046</v>
      </c>
      <c r="C315" s="2" t="s">
        <v>17</v>
      </c>
      <c r="D315" s="2" t="s">
        <v>18</v>
      </c>
      <c r="E315" s="4">
        <v>-31857</v>
      </c>
      <c r="F315" s="3" t="s">
        <v>1000</v>
      </c>
      <c r="G315" s="3" t="s">
        <v>1001</v>
      </c>
      <c r="H315" s="2" t="s">
        <v>21</v>
      </c>
      <c r="I315" s="2" t="s">
        <v>1047</v>
      </c>
      <c r="J315" s="3" t="str">
        <f>HYPERLINK("https://www.boe.es/gazeta/dias/1812/10/10/pdfs/GRE-1812-137.pdf#page=7","Abrir facsímil")</f>
        <v>Abrir facsímil</v>
      </c>
      <c r="K315" s="3" t="s">
        <v>23</v>
      </c>
    </row>
    <row r="316" spans="1:11" ht="42" customHeight="1">
      <c r="A316" s="2" t="s">
        <v>1048</v>
      </c>
      <c r="B316" s="2" t="s">
        <v>1049</v>
      </c>
      <c r="C316" s="2" t="s">
        <v>26</v>
      </c>
      <c r="D316" s="2" t="s">
        <v>27</v>
      </c>
      <c r="E316" s="4">
        <v>-32125</v>
      </c>
      <c r="F316" s="3" t="s">
        <v>335</v>
      </c>
      <c r="G316" s="3" t="s">
        <v>336</v>
      </c>
      <c r="H316" s="2" t="s">
        <v>21</v>
      </c>
      <c r="I316" s="2" t="s">
        <v>1050</v>
      </c>
      <c r="J316" s="3" t="str">
        <f>HYPERLINK("https://www.boe.es/gazeta/dias/1812/01/16/pdfs/GEI-1812-7.pdf#page=8","Abrir facsímil")</f>
        <v>Abrir facsímil</v>
      </c>
      <c r="K316" s="3" t="s">
        <v>23</v>
      </c>
    </row>
    <row r="317" spans="1:11" ht="42" customHeight="1">
      <c r="A317" s="2" t="s">
        <v>1051</v>
      </c>
      <c r="B317" s="2" t="s">
        <v>1051</v>
      </c>
      <c r="C317" s="2" t="s">
        <v>17</v>
      </c>
      <c r="D317" s="2" t="s">
        <v>573</v>
      </c>
      <c r="E317" s="4">
        <v>-31921</v>
      </c>
      <c r="F317" s="3" t="s">
        <v>785</v>
      </c>
      <c r="G317" s="3" t="s">
        <v>45</v>
      </c>
      <c r="H317" s="2" t="s">
        <v>21</v>
      </c>
      <c r="I317" s="2" t="s">
        <v>1052</v>
      </c>
      <c r="J317" s="3" t="str">
        <f>HYPERLINK("https://www.boe.es/gazeta/dias/1812/08/07/pdfs/GRE-1812-101E.pdf#page=2","Abrir facsímil")</f>
        <v>Abrir facsímil</v>
      </c>
      <c r="K317" s="3" t="s">
        <v>23</v>
      </c>
    </row>
    <row r="318" spans="1:11" ht="42" customHeight="1">
      <c r="A318" s="2" t="s">
        <v>1053</v>
      </c>
      <c r="B318" s="2" t="s">
        <v>1054</v>
      </c>
      <c r="C318" s="2" t="s">
        <v>26</v>
      </c>
      <c r="D318" s="2" t="s">
        <v>27</v>
      </c>
      <c r="E318" s="4">
        <v>-32125</v>
      </c>
      <c r="F318" s="3" t="s">
        <v>335</v>
      </c>
      <c r="G318" s="3" t="s">
        <v>336</v>
      </c>
      <c r="H318" s="2" t="s">
        <v>21</v>
      </c>
      <c r="I318" s="2" t="s">
        <v>1055</v>
      </c>
      <c r="J318" s="3" t="str">
        <f>HYPERLINK("https://www.boe.es/gazeta/dias/1812/01/16/pdfs/GEI-1812-7.pdf#page=8","Abrir facsímil")</f>
        <v>Abrir facsímil</v>
      </c>
      <c r="K318" s="3" t="s">
        <v>23</v>
      </c>
    </row>
    <row r="319" spans="1:11" ht="42" customHeight="1">
      <c r="A319" s="2" t="s">
        <v>1056</v>
      </c>
      <c r="B319" s="2" t="s">
        <v>1057</v>
      </c>
      <c r="C319" s="2" t="s">
        <v>17</v>
      </c>
      <c r="D319" s="2" t="s">
        <v>18</v>
      </c>
      <c r="E319" s="4">
        <v>-32127</v>
      </c>
      <c r="F319" s="3" t="s">
        <v>88</v>
      </c>
      <c r="G319" s="3" t="s">
        <v>89</v>
      </c>
      <c r="H319" s="2" t="s">
        <v>21</v>
      </c>
      <c r="I319" s="2" t="s">
        <v>1058</v>
      </c>
      <c r="J319" s="3" t="str">
        <f>HYPERLINK("https://www.boe.es/gazeta/dias/1812/01/14/pdfs/GEI-1812-6.pdf#page=8","Abrir facsímil")</f>
        <v>Abrir facsímil</v>
      </c>
      <c r="K319" s="3" t="s">
        <v>23</v>
      </c>
    </row>
    <row r="320" spans="1:11" ht="42" customHeight="1">
      <c r="A320" s="2" t="s">
        <v>1059</v>
      </c>
      <c r="B320" s="2" t="s">
        <v>1060</v>
      </c>
      <c r="C320" s="2" t="s">
        <v>26</v>
      </c>
      <c r="D320" s="2" t="s">
        <v>27</v>
      </c>
      <c r="E320" s="4">
        <v>-32018</v>
      </c>
      <c r="F320" s="3" t="s">
        <v>365</v>
      </c>
      <c r="G320" s="3" t="s">
        <v>366</v>
      </c>
      <c r="H320" s="2" t="s">
        <v>21</v>
      </c>
      <c r="I320" s="2" t="s">
        <v>1061</v>
      </c>
      <c r="J320" s="3" t="str">
        <f>HYPERLINK("https://www.boe.es/gazeta/dias/1812/05/02/pdfs/GRE-1812-55.pdf#page=3","Abrir facsímil")</f>
        <v>Abrir facsímil</v>
      </c>
      <c r="K320" s="3" t="s">
        <v>23</v>
      </c>
    </row>
    <row r="321" spans="1:11" ht="42" customHeight="1">
      <c r="A321" s="2" t="s">
        <v>1062</v>
      </c>
      <c r="B321" s="2" t="s">
        <v>1063</v>
      </c>
      <c r="C321" s="2" t="s">
        <v>17</v>
      </c>
      <c r="D321" s="2" t="s">
        <v>27</v>
      </c>
      <c r="E321" s="4">
        <v>-32067</v>
      </c>
      <c r="F321" s="3" t="s">
        <v>199</v>
      </c>
      <c r="G321" s="3" t="s">
        <v>237</v>
      </c>
      <c r="H321" s="2" t="s">
        <v>21</v>
      </c>
      <c r="I321" s="2" t="s">
        <v>1064</v>
      </c>
      <c r="J321" s="3" t="str">
        <f>HYPERLINK("https://www.boe.es/gazeta/dias/1812/03/14/pdfs/GRE-1812-33.pdf#page=8","Abrir facsímil")</f>
        <v>Abrir facsímil</v>
      </c>
      <c r="K321" s="3" t="s">
        <v>23</v>
      </c>
    </row>
    <row r="322" spans="1:11" ht="42" customHeight="1">
      <c r="A322" s="2" t="s">
        <v>1065</v>
      </c>
      <c r="B322" s="2" t="s">
        <v>1065</v>
      </c>
      <c r="C322" s="2" t="s">
        <v>17</v>
      </c>
      <c r="D322" s="2" t="s">
        <v>27</v>
      </c>
      <c r="E322" s="4">
        <v>-31934</v>
      </c>
      <c r="F322" s="3" t="s">
        <v>509</v>
      </c>
      <c r="G322" s="3" t="s">
        <v>696</v>
      </c>
      <c r="H322" s="2" t="s">
        <v>21</v>
      </c>
      <c r="I322" s="2" t="s">
        <v>1066</v>
      </c>
      <c r="J322" s="3" t="str">
        <f>HYPERLINK("https://www.boe.es/gazeta/dias/1812/07/25/pdfs/GRE-1812-93.pdf#page=2","Abrir facsímil")</f>
        <v>Abrir facsímil</v>
      </c>
      <c r="K322" s="3" t="s">
        <v>23</v>
      </c>
    </row>
    <row r="323" spans="1:11" ht="42" customHeight="1">
      <c r="A323" s="2" t="s">
        <v>1065</v>
      </c>
      <c r="B323" s="2" t="s">
        <v>1065</v>
      </c>
      <c r="C323" s="2" t="s">
        <v>26</v>
      </c>
      <c r="D323" s="2" t="s">
        <v>275</v>
      </c>
      <c r="E323" s="4">
        <v>-31829</v>
      </c>
      <c r="F323" s="3" t="s">
        <v>328</v>
      </c>
      <c r="G323" s="3" t="s">
        <v>594</v>
      </c>
      <c r="H323" s="2" t="s">
        <v>21</v>
      </c>
      <c r="I323" s="2" t="s">
        <v>1067</v>
      </c>
      <c r="J323" s="3" t="str">
        <f>HYPERLINK("https://www.boe.es/gazeta/dias/1812/11/07/pdfs/GMD-1812-227.pdf#page=1","Abrir facsímil")</f>
        <v>Abrir facsímil</v>
      </c>
      <c r="K323" s="3" t="s">
        <v>23</v>
      </c>
    </row>
    <row r="324" spans="1:11" ht="42" customHeight="1">
      <c r="A324" s="2" t="s">
        <v>1068</v>
      </c>
      <c r="B324" s="2" t="s">
        <v>1068</v>
      </c>
      <c r="C324" s="2" t="s">
        <v>17</v>
      </c>
      <c r="D324" s="2" t="s">
        <v>18</v>
      </c>
      <c r="E324" s="4">
        <v>-32063</v>
      </c>
      <c r="F324" s="3" t="s">
        <v>384</v>
      </c>
      <c r="G324" s="3" t="s">
        <v>20</v>
      </c>
      <c r="H324" s="2" t="s">
        <v>21</v>
      </c>
      <c r="I324" s="2" t="s">
        <v>1069</v>
      </c>
      <c r="J324" s="3" t="str">
        <f>HYPERLINK("https://www.boe.es/gazeta/dias/1812/03/18/pdfs/GMD-1812-78.pdf#page=4","Abrir facsímil")</f>
        <v>Abrir facsímil</v>
      </c>
      <c r="K324" s="3" t="s">
        <v>23</v>
      </c>
    </row>
    <row r="325" spans="1:11" ht="42" customHeight="1">
      <c r="A325" s="2" t="s">
        <v>1068</v>
      </c>
      <c r="B325" s="2" t="s">
        <v>1068</v>
      </c>
      <c r="C325" s="2" t="s">
        <v>26</v>
      </c>
      <c r="D325" s="2" t="s">
        <v>27</v>
      </c>
      <c r="E325" s="4">
        <v>-32034</v>
      </c>
      <c r="F325" s="3" t="s">
        <v>28</v>
      </c>
      <c r="G325" s="3" t="s">
        <v>45</v>
      </c>
      <c r="H325" s="2" t="s">
        <v>21</v>
      </c>
      <c r="I325" s="2" t="s">
        <v>1070</v>
      </c>
      <c r="J325" s="3" t="str">
        <f>HYPERLINK("https://www.boe.es/gazeta/dias/1812/04/16/pdfs/GMD-1812-107.pdf#page=5","Abrir facsímil")</f>
        <v>Abrir facsímil</v>
      </c>
      <c r="K325" s="3" t="s">
        <v>23</v>
      </c>
    </row>
    <row r="326" spans="1:11" ht="42" customHeight="1">
      <c r="A326" s="2" t="s">
        <v>1071</v>
      </c>
      <c r="B326" s="2" t="s">
        <v>1072</v>
      </c>
      <c r="C326" s="2" t="s">
        <v>26</v>
      </c>
      <c r="D326" s="2" t="s">
        <v>275</v>
      </c>
      <c r="E326" s="4">
        <v>-31964</v>
      </c>
      <c r="F326" s="3" t="s">
        <v>305</v>
      </c>
      <c r="G326" s="3" t="s">
        <v>58</v>
      </c>
      <c r="H326" s="2" t="s">
        <v>21</v>
      </c>
      <c r="I326" s="2" t="s">
        <v>1073</v>
      </c>
      <c r="J326" s="3" t="str">
        <f>HYPERLINK("https://www.boe.es/gazeta/dias/1812/06/25/pdfs/GMD-1812-177.pdf#page=2","Abrir facsímil")</f>
        <v>Abrir facsímil</v>
      </c>
      <c r="K326" s="3" t="s">
        <v>23</v>
      </c>
    </row>
    <row r="327" spans="1:11" ht="42" customHeight="1">
      <c r="A327" s="2" t="s">
        <v>1074</v>
      </c>
      <c r="B327" s="2" t="s">
        <v>1074</v>
      </c>
      <c r="C327" s="2" t="s">
        <v>26</v>
      </c>
      <c r="D327" s="2" t="s">
        <v>27</v>
      </c>
      <c r="E327" s="4">
        <v>-32058</v>
      </c>
      <c r="F327" s="3" t="s">
        <v>1075</v>
      </c>
      <c r="G327" s="3" t="s">
        <v>1076</v>
      </c>
      <c r="H327" s="2" t="s">
        <v>21</v>
      </c>
      <c r="I327" s="2" t="s">
        <v>1077</v>
      </c>
      <c r="J327" s="3" t="str">
        <f>HYPERLINK("https://www.boe.es/gazeta/dias/1812/03/23/pdfs/GMD-1812-83.pdf#page=2","Abrir facsímil")</f>
        <v>Abrir facsímil</v>
      </c>
      <c r="K327" s="3" t="s">
        <v>23</v>
      </c>
    </row>
    <row r="328" spans="1:11" ht="42" customHeight="1">
      <c r="A328" s="2" t="s">
        <v>1078</v>
      </c>
      <c r="B328" s="2" t="s">
        <v>1079</v>
      </c>
      <c r="C328" s="2" t="s">
        <v>186</v>
      </c>
      <c r="D328" s="2" t="s">
        <v>275</v>
      </c>
      <c r="E328" s="4">
        <v>-31861</v>
      </c>
      <c r="F328" s="3" t="s">
        <v>1080</v>
      </c>
      <c r="G328" s="3" t="s">
        <v>1081</v>
      </c>
      <c r="H328" s="2" t="s">
        <v>21</v>
      </c>
      <c r="I328" s="2" t="s">
        <v>1082</v>
      </c>
      <c r="J328" s="3" t="str">
        <f>HYPERLINK("https://www.boe.es/gazeta/dias/1812/10/06/pdfs/GMR-1812-23.pdf#page=16","Abrir facsímil")</f>
        <v>Abrir facsímil</v>
      </c>
      <c r="K328" s="3" t="s">
        <v>23</v>
      </c>
    </row>
    <row r="329" spans="1:11" ht="42" customHeight="1">
      <c r="A329" s="2" t="s">
        <v>1083</v>
      </c>
      <c r="B329" s="2" t="s">
        <v>1084</v>
      </c>
      <c r="C329" s="2" t="s">
        <v>26</v>
      </c>
      <c r="D329" s="2" t="s">
        <v>27</v>
      </c>
      <c r="E329" s="4">
        <v>-31939</v>
      </c>
      <c r="F329" s="3" t="s">
        <v>408</v>
      </c>
      <c r="G329" s="3" t="s">
        <v>20</v>
      </c>
      <c r="H329" s="2" t="s">
        <v>21</v>
      </c>
      <c r="I329" s="2" t="s">
        <v>1085</v>
      </c>
      <c r="J329" s="3" t="str">
        <f>HYPERLINK("https://www.boe.es/gazeta/dias/1812/07/20/pdfs/GMD-1812-202.pdf#page=4","Abrir facsímil")</f>
        <v>Abrir facsímil</v>
      </c>
      <c r="K329" s="3" t="s">
        <v>23</v>
      </c>
    </row>
    <row r="330" spans="1:11" ht="42" customHeight="1">
      <c r="A330" s="2" t="s">
        <v>1086</v>
      </c>
      <c r="B330" s="2" t="s">
        <v>1087</v>
      </c>
      <c r="C330" s="2" t="s">
        <v>26</v>
      </c>
      <c r="D330" s="2" t="s">
        <v>27</v>
      </c>
      <c r="E330" s="4">
        <v>-31939</v>
      </c>
      <c r="F330" s="3" t="s">
        <v>408</v>
      </c>
      <c r="G330" s="3" t="s">
        <v>20</v>
      </c>
      <c r="H330" s="2" t="s">
        <v>21</v>
      </c>
      <c r="I330" s="2" t="s">
        <v>1088</v>
      </c>
      <c r="J330" s="3" t="str">
        <f>HYPERLINK("https://www.boe.es/gazeta/dias/1812/07/20/pdfs/GMD-1812-202.pdf#page=4","Abrir facsímil")</f>
        <v>Abrir facsímil</v>
      </c>
      <c r="K330" s="3" t="s">
        <v>23</v>
      </c>
    </row>
    <row r="331" spans="1:11" ht="42" customHeight="1">
      <c r="A331" s="2" t="s">
        <v>1089</v>
      </c>
      <c r="B331" s="2" t="s">
        <v>1089</v>
      </c>
      <c r="C331" s="2" t="s">
        <v>17</v>
      </c>
      <c r="D331" s="2" t="s">
        <v>27</v>
      </c>
      <c r="E331" s="4">
        <v>-32012</v>
      </c>
      <c r="F331" s="3" t="s">
        <v>1090</v>
      </c>
      <c r="G331" s="3" t="s">
        <v>336</v>
      </c>
      <c r="H331" s="2" t="s">
        <v>21</v>
      </c>
      <c r="I331" s="2" t="s">
        <v>1091</v>
      </c>
      <c r="J331" s="3" t="str">
        <f>HYPERLINK("https://www.boe.es/gazeta/dias/1812/05/08/pdfs/GMD-1812-129.pdf#page=2","Abrir facsímil")</f>
        <v>Abrir facsímil</v>
      </c>
      <c r="K331" s="3" t="s">
        <v>23</v>
      </c>
    </row>
    <row r="332" spans="1:11" ht="42" customHeight="1">
      <c r="A332" s="2" t="s">
        <v>1092</v>
      </c>
      <c r="B332" s="2" t="s">
        <v>1093</v>
      </c>
      <c r="C332" s="2" t="s">
        <v>26</v>
      </c>
      <c r="D332" s="2" t="s">
        <v>27</v>
      </c>
      <c r="E332" s="4">
        <v>-31988</v>
      </c>
      <c r="F332" s="3" t="s">
        <v>1094</v>
      </c>
      <c r="G332" s="3" t="s">
        <v>1095</v>
      </c>
      <c r="H332" s="2" t="s">
        <v>21</v>
      </c>
      <c r="I332" s="2" t="s">
        <v>1096</v>
      </c>
      <c r="J332" s="3" t="str">
        <f>HYPERLINK("https://www.boe.es/gazeta/dias/1812/06/01/pdfs/GMD-1812-153.pdf#page=2","Abrir facsímil")</f>
        <v>Abrir facsímil</v>
      </c>
      <c r="K332" s="3" t="s">
        <v>23</v>
      </c>
    </row>
    <row r="333" spans="1:11" ht="42" customHeight="1">
      <c r="A333" s="2" t="s">
        <v>1097</v>
      </c>
      <c r="B333" s="2" t="s">
        <v>1098</v>
      </c>
      <c r="C333" s="2" t="s">
        <v>26</v>
      </c>
      <c r="D333" s="2" t="s">
        <v>27</v>
      </c>
      <c r="E333" s="4">
        <v>-32095</v>
      </c>
      <c r="F333" s="3" t="s">
        <v>1099</v>
      </c>
      <c r="G333" s="3" t="s">
        <v>438</v>
      </c>
      <c r="H333" s="2" t="s">
        <v>21</v>
      </c>
      <c r="I333" s="2" t="s">
        <v>1100</v>
      </c>
      <c r="J333" s="3" t="str">
        <f>HYPERLINK("https://www.boe.es/gazeta/dias/1812/02/15/pdfs/GMD-1812-46.pdf#page=4","Abrir facsímil")</f>
        <v>Abrir facsímil</v>
      </c>
      <c r="K333" s="3" t="s">
        <v>23</v>
      </c>
    </row>
    <row r="334" spans="1:11" ht="42" customHeight="1">
      <c r="A334" s="2" t="s">
        <v>1101</v>
      </c>
      <c r="B334" s="2" t="s">
        <v>1102</v>
      </c>
      <c r="C334" s="2" t="s">
        <v>17</v>
      </c>
      <c r="D334" s="2" t="s">
        <v>18</v>
      </c>
      <c r="E334" s="4">
        <v>-31816</v>
      </c>
      <c r="F334" s="3" t="s">
        <v>270</v>
      </c>
      <c r="G334" s="3" t="s">
        <v>271</v>
      </c>
      <c r="H334" s="2" t="s">
        <v>21</v>
      </c>
      <c r="I334" s="2" t="s">
        <v>1103</v>
      </c>
      <c r="J334" s="3" t="str">
        <f>HYPERLINK("https://www.boe.es/gazeta/dias/1812/11/20/pdfs/GMR-1812-36.pdf#page=6","Abrir facsímil")</f>
        <v>Abrir facsímil</v>
      </c>
      <c r="K334" s="3" t="s">
        <v>23</v>
      </c>
    </row>
    <row r="335" spans="1:11" ht="42" customHeight="1">
      <c r="A335" s="2" t="s">
        <v>1104</v>
      </c>
      <c r="B335" s="2" t="s">
        <v>1105</v>
      </c>
      <c r="C335" s="2" t="s">
        <v>17</v>
      </c>
      <c r="D335" s="2" t="s">
        <v>275</v>
      </c>
      <c r="E335" s="4">
        <v>-31955</v>
      </c>
      <c r="F335" s="3" t="s">
        <v>135</v>
      </c>
      <c r="G335" s="3" t="s">
        <v>58</v>
      </c>
      <c r="H335" s="2" t="s">
        <v>21</v>
      </c>
      <c r="I335" s="2" t="s">
        <v>1106</v>
      </c>
      <c r="J335" s="3" t="str">
        <f>HYPERLINK("https://www.boe.es/gazeta/dias/1812/07/04/pdfs/GRE-F-1812-82.pdf#page=6","Abrir facsímil")</f>
        <v>Abrir facsímil</v>
      </c>
      <c r="K335" s="3" t="s">
        <v>23</v>
      </c>
    </row>
    <row r="336" spans="1:11" ht="42" customHeight="1">
      <c r="A336" s="2" t="s">
        <v>1107</v>
      </c>
      <c r="B336" s="2" t="s">
        <v>1108</v>
      </c>
      <c r="C336" s="2" t="s">
        <v>26</v>
      </c>
      <c r="D336" s="2" t="s">
        <v>27</v>
      </c>
      <c r="E336" s="4">
        <v>-31938</v>
      </c>
      <c r="F336" s="3" t="s">
        <v>370</v>
      </c>
      <c r="G336" s="3" t="s">
        <v>371</v>
      </c>
      <c r="H336" s="2" t="s">
        <v>21</v>
      </c>
      <c r="I336" s="2" t="s">
        <v>1109</v>
      </c>
      <c r="J336" s="3" t="str">
        <f>HYPERLINK("https://www.boe.es/gazeta/dias/1812/07/21/pdfs/GRE-1812-91.pdf#page=8","Abrir facsímil")</f>
        <v>Abrir facsímil</v>
      </c>
      <c r="K336" s="3" t="s">
        <v>23</v>
      </c>
    </row>
    <row r="337" spans="1:11" ht="42" customHeight="1">
      <c r="A337" s="2" t="s">
        <v>1110</v>
      </c>
      <c r="B337" s="2" t="s">
        <v>1111</v>
      </c>
      <c r="C337" s="2" t="s">
        <v>17</v>
      </c>
      <c r="D337" s="2" t="s">
        <v>27</v>
      </c>
      <c r="E337" s="4">
        <v>-31922</v>
      </c>
      <c r="F337" s="3" t="s">
        <v>375</v>
      </c>
      <c r="G337" s="3" t="s">
        <v>986</v>
      </c>
      <c r="H337" s="2" t="s">
        <v>21</v>
      </c>
      <c r="I337" s="2" t="s">
        <v>1112</v>
      </c>
      <c r="J337" s="3" t="str">
        <f>HYPERLINK("https://www.boe.es/gazeta/dias/1812/08/06/pdfs/GRE-1812-100.pdf#page=8","Abrir facsímil")</f>
        <v>Abrir facsímil</v>
      </c>
      <c r="K337" s="3" t="s">
        <v>23</v>
      </c>
    </row>
    <row r="338" spans="1:11" ht="42" customHeight="1">
      <c r="A338" s="2" t="s">
        <v>1113</v>
      </c>
      <c r="B338" s="2" t="s">
        <v>1114</v>
      </c>
      <c r="C338" s="2" t="s">
        <v>26</v>
      </c>
      <c r="D338" s="2" t="s">
        <v>27</v>
      </c>
      <c r="E338" s="4">
        <v>-31833</v>
      </c>
      <c r="F338" s="3" t="s">
        <v>267</v>
      </c>
      <c r="G338" s="3" t="s">
        <v>268</v>
      </c>
      <c r="H338" s="2" t="s">
        <v>21</v>
      </c>
      <c r="I338" s="2" t="s">
        <v>1115</v>
      </c>
      <c r="J338" s="3" t="str">
        <f>HYPERLINK("https://www.boe.es/gazeta/dias/1812/11/03/pdfs/GRE-1812-147.pdf#page=8","Abrir facsímil")</f>
        <v>Abrir facsímil</v>
      </c>
      <c r="K338" s="3" t="s">
        <v>23</v>
      </c>
    </row>
    <row r="339" spans="1:11" ht="42" customHeight="1">
      <c r="A339" s="2" t="s">
        <v>1113</v>
      </c>
      <c r="B339" s="2" t="s">
        <v>1114</v>
      </c>
      <c r="C339" s="2" t="s">
        <v>26</v>
      </c>
      <c r="D339" s="2" t="s">
        <v>27</v>
      </c>
      <c r="E339" s="4">
        <v>-31816</v>
      </c>
      <c r="F339" s="3" t="s">
        <v>270</v>
      </c>
      <c r="G339" s="3" t="s">
        <v>271</v>
      </c>
      <c r="H339" s="2" t="s">
        <v>21</v>
      </c>
      <c r="I339" s="2" t="s">
        <v>1116</v>
      </c>
      <c r="J339" s="3" t="str">
        <f>HYPERLINK("https://www.boe.es/gazeta/dias/1812/11/20/pdfs/GMR-1812-36.pdf#page=6","Abrir facsímil")</f>
        <v>Abrir facsímil</v>
      </c>
      <c r="K339" s="3" t="s">
        <v>23</v>
      </c>
    </row>
    <row r="340" spans="1:11" ht="42" customHeight="1">
      <c r="A340" s="2" t="s">
        <v>1117</v>
      </c>
      <c r="B340" s="2" t="s">
        <v>1117</v>
      </c>
      <c r="C340" s="2" t="s">
        <v>17</v>
      </c>
      <c r="D340" s="2" t="s">
        <v>27</v>
      </c>
      <c r="E340" s="4">
        <v>-31777</v>
      </c>
      <c r="F340" s="3" t="s">
        <v>1118</v>
      </c>
      <c r="G340" s="3" t="s">
        <v>1119</v>
      </c>
      <c r="H340" s="2" t="s">
        <v>21</v>
      </c>
      <c r="I340" s="2" t="s">
        <v>1120</v>
      </c>
      <c r="J340" s="3" t="str">
        <f>HYPERLINK("https://www.boe.es/gazeta/dias/1812/12/29/pdfs/GRE-1812-171.pdf#page=6","Abrir facsímil")</f>
        <v>Abrir facsímil</v>
      </c>
      <c r="K340" s="3" t="s">
        <v>23</v>
      </c>
    </row>
    <row r="341" spans="1:11" ht="42" customHeight="1">
      <c r="A341" s="2" t="s">
        <v>1121</v>
      </c>
      <c r="B341" s="2" t="s">
        <v>1121</v>
      </c>
      <c r="C341" s="2" t="s">
        <v>17</v>
      </c>
      <c r="D341" s="2" t="s">
        <v>134</v>
      </c>
      <c r="E341" s="4">
        <v>-32025</v>
      </c>
      <c r="F341" s="3" t="s">
        <v>1122</v>
      </c>
      <c r="G341" s="3" t="s">
        <v>1123</v>
      </c>
      <c r="H341" s="2" t="s">
        <v>21</v>
      </c>
      <c r="I341" s="2" t="s">
        <v>1124</v>
      </c>
      <c r="J341" s="3" t="str">
        <f>HYPERLINK("https://www.boe.es/gazeta/dias/1812/04/25/pdfs/GRE-F-1812-52.pdf#page=3","Abrir facsímil")</f>
        <v>Abrir facsímil</v>
      </c>
      <c r="K341" s="3" t="s">
        <v>23</v>
      </c>
    </row>
    <row r="342" spans="1:11" ht="42" customHeight="1">
      <c r="A342" s="2" t="s">
        <v>1121</v>
      </c>
      <c r="B342" s="2" t="s">
        <v>1121</v>
      </c>
      <c r="C342" s="2" t="s">
        <v>17</v>
      </c>
      <c r="D342" s="2" t="s">
        <v>18</v>
      </c>
      <c r="E342" s="4">
        <v>-32025</v>
      </c>
      <c r="F342" s="3" t="s">
        <v>1122</v>
      </c>
      <c r="G342" s="3" t="s">
        <v>1125</v>
      </c>
      <c r="H342" s="2" t="s">
        <v>21</v>
      </c>
      <c r="I342" s="2" t="s">
        <v>1126</v>
      </c>
      <c r="J342" s="3" t="str">
        <f>HYPERLINK("https://www.boe.es/gazeta/dias/1812/04/25/pdfs/GRE-F-1812-52.pdf#page=4","Abrir facsímil")</f>
        <v>Abrir facsímil</v>
      </c>
      <c r="K342" s="3" t="s">
        <v>23</v>
      </c>
    </row>
    <row r="343" spans="1:11" ht="42" customHeight="1">
      <c r="A343" s="2" t="s">
        <v>1121</v>
      </c>
      <c r="B343" s="2" t="s">
        <v>1121</v>
      </c>
      <c r="C343" s="2" t="s">
        <v>17</v>
      </c>
      <c r="D343" s="2" t="s">
        <v>573</v>
      </c>
      <c r="E343" s="4">
        <v>-31921</v>
      </c>
      <c r="F343" s="3" t="s">
        <v>785</v>
      </c>
      <c r="G343" s="3" t="s">
        <v>45</v>
      </c>
      <c r="H343" s="2" t="s">
        <v>21</v>
      </c>
      <c r="I343" s="2" t="s">
        <v>1127</v>
      </c>
      <c r="J343" s="3" t="str">
        <f>HYPERLINK("https://www.boe.es/gazeta/dias/1812/08/07/pdfs/GRE-1812-101E.pdf#page=2","Abrir facsímil")</f>
        <v>Abrir facsímil</v>
      </c>
      <c r="K343" s="3" t="s">
        <v>23</v>
      </c>
    </row>
    <row r="344" spans="1:11" ht="42" customHeight="1">
      <c r="A344" s="2" t="s">
        <v>1121</v>
      </c>
      <c r="B344" s="2" t="s">
        <v>1121</v>
      </c>
      <c r="C344" s="2" t="s">
        <v>17</v>
      </c>
      <c r="D344" s="2" t="s">
        <v>573</v>
      </c>
      <c r="E344" s="4">
        <v>-31921</v>
      </c>
      <c r="F344" s="3" t="s">
        <v>785</v>
      </c>
      <c r="G344" s="3" t="s">
        <v>1128</v>
      </c>
      <c r="H344" s="2" t="s">
        <v>21</v>
      </c>
      <c r="I344" s="2" t="s">
        <v>1129</v>
      </c>
      <c r="J344" s="3" t="str">
        <f>HYPERLINK("https://www.boe.es/gazeta/dias/1812/08/07/pdfs/GRE-1812-101E.pdf#page=7","Abrir facsímil")</f>
        <v>Abrir facsímil</v>
      </c>
      <c r="K344" s="3" t="s">
        <v>23</v>
      </c>
    </row>
    <row r="345" spans="1:11" ht="42" customHeight="1">
      <c r="A345" s="2" t="s">
        <v>1121</v>
      </c>
      <c r="B345" s="2" t="s">
        <v>1121</v>
      </c>
      <c r="C345" s="2" t="s">
        <v>17</v>
      </c>
      <c r="D345" s="2" t="s">
        <v>18</v>
      </c>
      <c r="E345" s="4">
        <v>-31905</v>
      </c>
      <c r="F345" s="3" t="s">
        <v>855</v>
      </c>
      <c r="G345" s="3" t="s">
        <v>317</v>
      </c>
      <c r="H345" s="2" t="s">
        <v>21</v>
      </c>
      <c r="I345" s="2" t="s">
        <v>1130</v>
      </c>
      <c r="J345" s="3" t="str">
        <f>HYPERLINK("https://www.boe.es/gazeta/dias/1812/08/23/pdfs/GMR-1812-4.pdf#page=6","Abrir facsímil")</f>
        <v>Abrir facsímil</v>
      </c>
      <c r="K345" s="3" t="s">
        <v>23</v>
      </c>
    </row>
    <row r="346" spans="1:11" ht="42" customHeight="1">
      <c r="A346" s="2" t="s">
        <v>1121</v>
      </c>
      <c r="B346" s="2" t="s">
        <v>1121</v>
      </c>
      <c r="C346" s="2" t="s">
        <v>17</v>
      </c>
      <c r="D346" s="2" t="s">
        <v>18</v>
      </c>
      <c r="E346" s="4">
        <v>-31868</v>
      </c>
      <c r="F346" s="3" t="s">
        <v>711</v>
      </c>
      <c r="G346" s="3" t="s">
        <v>1131</v>
      </c>
      <c r="H346" s="2" t="s">
        <v>21</v>
      </c>
      <c r="I346" s="2" t="s">
        <v>1132</v>
      </c>
      <c r="J346" s="3" t="str">
        <f>HYPERLINK("https://www.boe.es/gazeta/dias/1812/09/29/pdfs/GRE-1812-132.pdf#page=3","Abrir facsímil")</f>
        <v>Abrir facsímil</v>
      </c>
      <c r="K346" s="3" t="s">
        <v>23</v>
      </c>
    </row>
    <row r="347" spans="1:11" ht="42" customHeight="1">
      <c r="A347" s="2" t="s">
        <v>1133</v>
      </c>
      <c r="B347" s="2" t="s">
        <v>1133</v>
      </c>
      <c r="C347" s="2" t="s">
        <v>17</v>
      </c>
      <c r="D347" s="2" t="s">
        <v>27</v>
      </c>
      <c r="E347" s="4">
        <v>-31808</v>
      </c>
      <c r="F347" s="3" t="s">
        <v>416</v>
      </c>
      <c r="G347" s="3" t="s">
        <v>237</v>
      </c>
      <c r="H347" s="2" t="s">
        <v>21</v>
      </c>
      <c r="I347" s="2" t="s">
        <v>1134</v>
      </c>
      <c r="J347" s="3" t="str">
        <f>HYPERLINK("https://www.boe.es/gazeta/dias/1812/11/28/pdfs/GRE-1812-158.pdf#page=3","Abrir facsímil")</f>
        <v>Abrir facsímil</v>
      </c>
      <c r="K347" s="3" t="s">
        <v>23</v>
      </c>
    </row>
    <row r="348" spans="1:11" ht="42" customHeight="1">
      <c r="A348" s="2" t="s">
        <v>1135</v>
      </c>
      <c r="B348" s="2" t="s">
        <v>1136</v>
      </c>
      <c r="C348" s="2" t="s">
        <v>17</v>
      </c>
      <c r="D348" s="2" t="s">
        <v>573</v>
      </c>
      <c r="E348" s="4">
        <v>-31921</v>
      </c>
      <c r="F348" s="3" t="s">
        <v>785</v>
      </c>
      <c r="G348" s="3" t="s">
        <v>1137</v>
      </c>
      <c r="H348" s="2" t="s">
        <v>21</v>
      </c>
      <c r="I348" s="2" t="s">
        <v>1138</v>
      </c>
      <c r="J348" s="3" t="str">
        <f>HYPERLINK("https://www.boe.es/gazeta/dias/1812/08/07/pdfs/GRE-1812-101E.pdf#page=6","Abrir facsímil")</f>
        <v>Abrir facsímil</v>
      </c>
      <c r="K348" s="3" t="s">
        <v>23</v>
      </c>
    </row>
    <row r="349" spans="1:11" ht="42" customHeight="1">
      <c r="A349" s="2" t="s">
        <v>1139</v>
      </c>
      <c r="B349" s="2" t="s">
        <v>1140</v>
      </c>
      <c r="C349" s="2" t="s">
        <v>17</v>
      </c>
      <c r="D349" s="2" t="s">
        <v>573</v>
      </c>
      <c r="E349" s="4">
        <v>-31921</v>
      </c>
      <c r="F349" s="3" t="s">
        <v>785</v>
      </c>
      <c r="G349" s="3" t="s">
        <v>1128</v>
      </c>
      <c r="H349" s="2" t="s">
        <v>21</v>
      </c>
      <c r="I349" s="2" t="s">
        <v>1141</v>
      </c>
      <c r="J349" s="3" t="str">
        <f>HYPERLINK("https://www.boe.es/gazeta/dias/1812/08/07/pdfs/GRE-1812-101E.pdf#page=7","Abrir facsímil")</f>
        <v>Abrir facsímil</v>
      </c>
      <c r="K349" s="3" t="s">
        <v>23</v>
      </c>
    </row>
    <row r="350" spans="1:11" ht="42" customHeight="1">
      <c r="A350" s="2" t="s">
        <v>1142</v>
      </c>
      <c r="B350" s="2" t="s">
        <v>1142</v>
      </c>
      <c r="C350" s="2" t="s">
        <v>49</v>
      </c>
      <c r="D350" s="2" t="s">
        <v>27</v>
      </c>
      <c r="E350" s="4">
        <v>-32108</v>
      </c>
      <c r="F350" s="3" t="s">
        <v>1143</v>
      </c>
      <c r="G350" s="3" t="s">
        <v>125</v>
      </c>
      <c r="H350" s="2" t="s">
        <v>21</v>
      </c>
      <c r="I350" s="2" t="s">
        <v>1144</v>
      </c>
      <c r="J350" s="3" t="str">
        <f>HYPERLINK("https://www.boe.es/gazeta/dias/1812/02/02/pdfs/GMD-1812-33.pdf#page=2","Abrir facsímil")</f>
        <v>Abrir facsímil</v>
      </c>
      <c r="K350" s="3" t="s">
        <v>23</v>
      </c>
    </row>
    <row r="351" spans="1:11" ht="42" customHeight="1">
      <c r="A351" s="2" t="s">
        <v>1145</v>
      </c>
      <c r="B351" s="2" t="s">
        <v>1145</v>
      </c>
      <c r="C351" s="2" t="s">
        <v>26</v>
      </c>
      <c r="D351" s="2" t="s">
        <v>27</v>
      </c>
      <c r="E351" s="4">
        <v>-32108</v>
      </c>
      <c r="F351" s="3" t="s">
        <v>1143</v>
      </c>
      <c r="G351" s="3" t="s">
        <v>125</v>
      </c>
      <c r="H351" s="2" t="s">
        <v>21</v>
      </c>
      <c r="I351" s="2" t="s">
        <v>1146</v>
      </c>
      <c r="J351" s="3" t="str">
        <f>HYPERLINK("https://www.boe.es/gazeta/dias/1812/02/02/pdfs/GMD-1812-33.pdf#page=2","Abrir facsímil")</f>
        <v>Abrir facsímil</v>
      </c>
      <c r="K351" s="3" t="s">
        <v>23</v>
      </c>
    </row>
    <row r="352" spans="1:11" ht="42" customHeight="1">
      <c r="A352" s="2" t="s">
        <v>1147</v>
      </c>
      <c r="B352" s="2" t="s">
        <v>1147</v>
      </c>
      <c r="C352" s="2" t="s">
        <v>17</v>
      </c>
      <c r="D352" s="2" t="s">
        <v>27</v>
      </c>
      <c r="E352" s="4">
        <v>-31929</v>
      </c>
      <c r="F352" s="3" t="s">
        <v>1148</v>
      </c>
      <c r="G352" s="3" t="s">
        <v>1149</v>
      </c>
      <c r="H352" s="2" t="s">
        <v>21</v>
      </c>
      <c r="I352" s="2" t="s">
        <v>1150</v>
      </c>
      <c r="J352" s="3" t="str">
        <f>HYPERLINK("https://www.boe.es/gazeta/dias/1812/07/30/pdfs/GRE-1812-95.pdf#page=6","Abrir facsímil")</f>
        <v>Abrir facsímil</v>
      </c>
      <c r="K352" s="3" t="s">
        <v>23</v>
      </c>
    </row>
    <row r="353" spans="1:11" ht="42" customHeight="1">
      <c r="A353" s="2" t="s">
        <v>1151</v>
      </c>
      <c r="B353" s="2" t="s">
        <v>1152</v>
      </c>
      <c r="C353" s="2" t="s">
        <v>26</v>
      </c>
      <c r="D353" s="2" t="s">
        <v>27</v>
      </c>
      <c r="E353" s="4">
        <v>-32006</v>
      </c>
      <c r="F353" s="3" t="s">
        <v>1153</v>
      </c>
      <c r="G353" s="3" t="s">
        <v>1154</v>
      </c>
      <c r="H353" s="2" t="s">
        <v>21</v>
      </c>
      <c r="I353" s="2" t="s">
        <v>1155</v>
      </c>
      <c r="J353" s="3" t="str">
        <f>HYPERLINK("https://www.boe.es/gazeta/dias/1812/05/14/pdfs/GMD-1812-135.pdf#page=3","Abrir facsímil")</f>
        <v>Abrir facsímil</v>
      </c>
      <c r="K353" s="3" t="s">
        <v>23</v>
      </c>
    </row>
    <row r="354" spans="1:11" ht="42" customHeight="1">
      <c r="A354" s="2" t="s">
        <v>1156</v>
      </c>
      <c r="B354" s="2" t="s">
        <v>1156</v>
      </c>
      <c r="C354" s="2" t="s">
        <v>26</v>
      </c>
      <c r="D354" s="2" t="s">
        <v>27</v>
      </c>
      <c r="E354" s="4">
        <v>-32018</v>
      </c>
      <c r="F354" s="3" t="s">
        <v>365</v>
      </c>
      <c r="G354" s="3" t="s">
        <v>392</v>
      </c>
      <c r="H354" s="2" t="s">
        <v>21</v>
      </c>
      <c r="I354" s="2" t="s">
        <v>1157</v>
      </c>
      <c r="J354" s="3" t="str">
        <f>HYPERLINK("https://www.boe.es/gazeta/dias/1812/05/02/pdfs/GRE-1812-55.pdf#page=2","Abrir facsímil")</f>
        <v>Abrir facsímil</v>
      </c>
      <c r="K354" s="3" t="s">
        <v>23</v>
      </c>
    </row>
    <row r="355" spans="1:11" ht="42" customHeight="1">
      <c r="A355" s="2" t="s">
        <v>1156</v>
      </c>
      <c r="B355" s="2" t="s">
        <v>1156</v>
      </c>
      <c r="C355" s="2" t="s">
        <v>26</v>
      </c>
      <c r="D355" s="2" t="s">
        <v>27</v>
      </c>
      <c r="E355" s="4">
        <v>-32000</v>
      </c>
      <c r="F355" s="3" t="s">
        <v>878</v>
      </c>
      <c r="G355" s="3" t="s">
        <v>214</v>
      </c>
      <c r="H355" s="2" t="s">
        <v>21</v>
      </c>
      <c r="I355" s="2" t="s">
        <v>1158</v>
      </c>
      <c r="J355" s="3" t="str">
        <f>HYPERLINK("https://www.boe.es/gazeta/dias/1812/05/20/pdfs/GMD-1812-141.pdf#page=2","Abrir facsímil")</f>
        <v>Abrir facsímil</v>
      </c>
      <c r="K355" s="3" t="s">
        <v>23</v>
      </c>
    </row>
    <row r="356" spans="1:11" ht="42" customHeight="1">
      <c r="A356" s="2" t="s">
        <v>1156</v>
      </c>
      <c r="B356" s="2" t="s">
        <v>1156</v>
      </c>
      <c r="C356" s="2" t="s">
        <v>17</v>
      </c>
      <c r="D356" s="2" t="s">
        <v>275</v>
      </c>
      <c r="E356" s="4">
        <v>-31929</v>
      </c>
      <c r="F356" s="3" t="s">
        <v>1148</v>
      </c>
      <c r="G356" s="3" t="s">
        <v>1149</v>
      </c>
      <c r="H356" s="2" t="s">
        <v>21</v>
      </c>
      <c r="I356" s="2" t="s">
        <v>1159</v>
      </c>
      <c r="J356" s="3" t="str">
        <f>HYPERLINK("https://www.boe.es/gazeta/dias/1812/07/30/pdfs/GRE-1812-95.pdf#page=6","Abrir facsímil")</f>
        <v>Abrir facsímil</v>
      </c>
      <c r="K356" s="3" t="s">
        <v>23</v>
      </c>
    </row>
    <row r="357" spans="1:11" ht="42" customHeight="1">
      <c r="A357" s="2" t="s">
        <v>1156</v>
      </c>
      <c r="B357" s="2" t="s">
        <v>1156</v>
      </c>
      <c r="C357" s="2" t="s">
        <v>186</v>
      </c>
      <c r="D357" s="2" t="s">
        <v>275</v>
      </c>
      <c r="E357" s="4">
        <v>-31927</v>
      </c>
      <c r="F357" s="3" t="s">
        <v>1160</v>
      </c>
      <c r="G357" s="3" t="s">
        <v>1161</v>
      </c>
      <c r="H357" s="2" t="s">
        <v>21</v>
      </c>
      <c r="I357" s="2" t="s">
        <v>1162</v>
      </c>
      <c r="J357" s="3" t="str">
        <f>HYPERLINK("https://www.boe.es/gazeta/dias/1812/08/01/pdfs/GRE-1812-97.pdf#page=8","Abrir facsímil")</f>
        <v>Abrir facsímil</v>
      </c>
      <c r="K357" s="3" t="s">
        <v>23</v>
      </c>
    </row>
    <row r="358" spans="1:11" ht="42" customHeight="1">
      <c r="A358" s="2" t="s">
        <v>1163</v>
      </c>
      <c r="B358" s="2" t="s">
        <v>1164</v>
      </c>
      <c r="C358" s="2" t="s">
        <v>26</v>
      </c>
      <c r="D358" s="2" t="s">
        <v>27</v>
      </c>
      <c r="E358" s="4">
        <v>-31922</v>
      </c>
      <c r="F358" s="3" t="s">
        <v>622</v>
      </c>
      <c r="G358" s="3" t="s">
        <v>623</v>
      </c>
      <c r="H358" s="2" t="s">
        <v>21</v>
      </c>
      <c r="I358" s="2" t="s">
        <v>1165</v>
      </c>
      <c r="J358" s="3" t="str">
        <f>HYPERLINK("https://www.boe.es/gazeta/dias/1812/08/06/pdfs/GMD-1812-219.pdf#page=1","Abrir facsímil")</f>
        <v>Abrir facsímil</v>
      </c>
      <c r="K358" s="3" t="s">
        <v>23</v>
      </c>
    </row>
    <row r="359" spans="1:11" ht="42" customHeight="1">
      <c r="A359" s="2" t="s">
        <v>1166</v>
      </c>
      <c r="B359" s="2" t="s">
        <v>1166</v>
      </c>
      <c r="C359" s="2" t="s">
        <v>26</v>
      </c>
      <c r="D359" s="2" t="s">
        <v>27</v>
      </c>
      <c r="E359" s="4">
        <v>-31815</v>
      </c>
      <c r="F359" s="3" t="s">
        <v>1167</v>
      </c>
      <c r="G359" s="3" t="s">
        <v>1168</v>
      </c>
      <c r="H359" s="2" t="s">
        <v>21</v>
      </c>
      <c r="I359" s="2" t="s">
        <v>1169</v>
      </c>
      <c r="J359" s="3" t="str">
        <f>HYPERLINK("https://www.boe.es/gazeta/dias/1812/11/21/pdfs/GRE-1812-155.pdf#page=1","Abrir facsímil")</f>
        <v>Abrir facsímil</v>
      </c>
      <c r="K359" s="3" t="s">
        <v>23</v>
      </c>
    </row>
    <row r="360" spans="1:11" ht="42" customHeight="1">
      <c r="A360" s="2" t="s">
        <v>1170</v>
      </c>
      <c r="B360" s="2" t="s">
        <v>1171</v>
      </c>
      <c r="C360" s="2" t="s">
        <v>17</v>
      </c>
      <c r="D360" s="2" t="s">
        <v>18</v>
      </c>
      <c r="E360" s="4">
        <v>-31983</v>
      </c>
      <c r="F360" s="3" t="s">
        <v>809</v>
      </c>
      <c r="G360" s="3" t="s">
        <v>1172</v>
      </c>
      <c r="H360" s="2" t="s">
        <v>21</v>
      </c>
      <c r="I360" s="2" t="s">
        <v>1173</v>
      </c>
      <c r="J360" s="3" t="str">
        <f>HYPERLINK("https://www.boe.es/gazeta/dias/1812/06/06/pdfs/GRE-1812-70.pdf#page=7","Abrir facsímil")</f>
        <v>Abrir facsímil</v>
      </c>
      <c r="K360" s="3" t="s">
        <v>23</v>
      </c>
    </row>
    <row r="361" spans="1:11" ht="42" customHeight="1">
      <c r="A361" s="2" t="s">
        <v>1174</v>
      </c>
      <c r="B361" s="2" t="s">
        <v>1175</v>
      </c>
      <c r="C361" s="2" t="s">
        <v>26</v>
      </c>
      <c r="D361" s="2" t="s">
        <v>27</v>
      </c>
      <c r="E361" s="4">
        <v>-31994</v>
      </c>
      <c r="F361" s="3" t="s">
        <v>207</v>
      </c>
      <c r="G361" s="3" t="s">
        <v>1176</v>
      </c>
      <c r="H361" s="2" t="s">
        <v>21</v>
      </c>
      <c r="I361" s="2" t="s">
        <v>1177</v>
      </c>
      <c r="J361" s="3" t="str">
        <f>HYPERLINK("https://www.boe.es/gazeta/dias/1812/05/26/pdfs/GRE-1812-65.pdf#page=8","Abrir facsímil")</f>
        <v>Abrir facsímil</v>
      </c>
      <c r="K361" s="3" t="s">
        <v>23</v>
      </c>
    </row>
    <row r="362" spans="1:11" ht="42" customHeight="1">
      <c r="A362" s="2" t="s">
        <v>1178</v>
      </c>
      <c r="B362" s="2" t="s">
        <v>1179</v>
      </c>
      <c r="C362" s="2" t="s">
        <v>26</v>
      </c>
      <c r="D362" s="2" t="s">
        <v>27</v>
      </c>
      <c r="E362" s="4">
        <v>-31965</v>
      </c>
      <c r="F362" s="3" t="s">
        <v>1180</v>
      </c>
      <c r="G362" s="3" t="s">
        <v>777</v>
      </c>
      <c r="H362" s="2" t="s">
        <v>21</v>
      </c>
      <c r="I362" s="2" t="s">
        <v>1181</v>
      </c>
      <c r="J362" s="3" t="str">
        <f>HYPERLINK("https://www.boe.es/gazeta/dias/1812/06/24/pdfs/GMD-1812-176.pdf#page=2","Abrir facsímil")</f>
        <v>Abrir facsímil</v>
      </c>
      <c r="K362" s="3" t="s">
        <v>23</v>
      </c>
    </row>
    <row r="363" spans="1:11" ht="42" customHeight="1">
      <c r="A363" s="2" t="s">
        <v>1182</v>
      </c>
      <c r="B363" s="2" t="s">
        <v>1182</v>
      </c>
      <c r="C363" s="2" t="s">
        <v>115</v>
      </c>
      <c r="D363" s="2" t="s">
        <v>275</v>
      </c>
      <c r="E363" s="4">
        <v>-32133</v>
      </c>
      <c r="F363" s="3" t="s">
        <v>139</v>
      </c>
      <c r="G363" s="3" t="s">
        <v>125</v>
      </c>
      <c r="H363" s="2" t="s">
        <v>21</v>
      </c>
      <c r="I363" s="2" t="s">
        <v>1183</v>
      </c>
      <c r="J363" s="3" t="str">
        <f>HYPERLINK("https://www.boe.es/gazeta/dias/1812/01/08/pdfs/GMD-1812-8.pdf#page=4","Abrir facsímil")</f>
        <v>Abrir facsímil</v>
      </c>
      <c r="K363" s="3" t="s">
        <v>23</v>
      </c>
    </row>
    <row r="364" spans="1:11" ht="42" customHeight="1">
      <c r="A364" s="2" t="s">
        <v>1182</v>
      </c>
      <c r="B364" s="2" t="s">
        <v>1182</v>
      </c>
      <c r="C364" s="2" t="s">
        <v>17</v>
      </c>
      <c r="D364" s="2" t="s">
        <v>27</v>
      </c>
      <c r="E364" s="4">
        <v>-32063</v>
      </c>
      <c r="F364" s="3" t="s">
        <v>384</v>
      </c>
      <c r="G364" s="3" t="s">
        <v>125</v>
      </c>
      <c r="H364" s="2" t="s">
        <v>21</v>
      </c>
      <c r="I364" s="2" t="s">
        <v>1184</v>
      </c>
      <c r="J364" s="3" t="str">
        <f>HYPERLINK("https://www.boe.es/gazeta/dias/1812/03/18/pdfs/GMD-1812-78.pdf#page=3","Abrir facsímil")</f>
        <v>Abrir facsímil</v>
      </c>
      <c r="K364" s="3" t="s">
        <v>23</v>
      </c>
    </row>
    <row r="365" spans="1:11" ht="42" customHeight="1">
      <c r="A365" s="2" t="s">
        <v>1182</v>
      </c>
      <c r="B365" s="2" t="s">
        <v>1182</v>
      </c>
      <c r="C365" s="2" t="s">
        <v>26</v>
      </c>
      <c r="D365" s="2" t="s">
        <v>27</v>
      </c>
      <c r="E365" s="4">
        <v>-32063</v>
      </c>
      <c r="F365" s="3" t="s">
        <v>384</v>
      </c>
      <c r="G365" s="3" t="s">
        <v>20</v>
      </c>
      <c r="H365" s="2" t="s">
        <v>21</v>
      </c>
      <c r="I365" s="2" t="s">
        <v>1185</v>
      </c>
      <c r="J365" s="3" t="str">
        <f>HYPERLINK("https://www.boe.es/gazeta/dias/1812/03/18/pdfs/GMD-1812-78.pdf#page=4","Abrir facsímil")</f>
        <v>Abrir facsímil</v>
      </c>
      <c r="K365" s="3" t="s">
        <v>23</v>
      </c>
    </row>
    <row r="366" spans="1:11" ht="42" customHeight="1">
      <c r="A366" s="2" t="s">
        <v>1182</v>
      </c>
      <c r="B366" s="2" t="s">
        <v>1182</v>
      </c>
      <c r="C366" s="2" t="s">
        <v>26</v>
      </c>
      <c r="D366" s="2" t="s">
        <v>27</v>
      </c>
      <c r="E366" s="4">
        <v>-32022</v>
      </c>
      <c r="F366" s="3" t="s">
        <v>1186</v>
      </c>
      <c r="G366" s="3" t="s">
        <v>336</v>
      </c>
      <c r="H366" s="2" t="s">
        <v>21</v>
      </c>
      <c r="I366" s="2" t="s">
        <v>1187</v>
      </c>
      <c r="J366" s="3" t="str">
        <f>HYPERLINK("https://www.boe.es/gazeta/dias/1812/04/28/pdfs/GRE-1812-53.pdf#page=8","Abrir facsímil")</f>
        <v>Abrir facsímil</v>
      </c>
      <c r="K366" s="3" t="s">
        <v>23</v>
      </c>
    </row>
    <row r="367" spans="1:11" ht="42" customHeight="1">
      <c r="A367" s="2" t="s">
        <v>1182</v>
      </c>
      <c r="B367" s="2" t="s">
        <v>1182</v>
      </c>
      <c r="C367" s="2" t="s">
        <v>26</v>
      </c>
      <c r="D367" s="2" t="s">
        <v>27</v>
      </c>
      <c r="E367" s="4">
        <v>-32010</v>
      </c>
      <c r="F367" s="3" t="s">
        <v>243</v>
      </c>
      <c r="G367" s="3" t="s">
        <v>45</v>
      </c>
      <c r="H367" s="2" t="s">
        <v>21</v>
      </c>
      <c r="I367" s="2" t="s">
        <v>1188</v>
      </c>
      <c r="J367" s="3" t="str">
        <f>HYPERLINK("https://www.boe.es/gazeta/dias/1812/05/10/pdfs/GMD-1812-131.pdf#page=3","Abrir facsímil")</f>
        <v>Abrir facsímil</v>
      </c>
      <c r="K367" s="3" t="s">
        <v>23</v>
      </c>
    </row>
    <row r="368" spans="1:11" ht="42" customHeight="1">
      <c r="A368" s="2" t="s">
        <v>1182</v>
      </c>
      <c r="B368" s="2" t="s">
        <v>1182</v>
      </c>
      <c r="C368" s="2" t="s">
        <v>17</v>
      </c>
      <c r="D368" s="2" t="s">
        <v>18</v>
      </c>
      <c r="E368" s="4">
        <v>-31991</v>
      </c>
      <c r="F368" s="3" t="s">
        <v>663</v>
      </c>
      <c r="G368" s="3" t="s">
        <v>404</v>
      </c>
      <c r="H368" s="2" t="s">
        <v>21</v>
      </c>
      <c r="I368" s="2" t="s">
        <v>1189</v>
      </c>
      <c r="J368" s="3" t="str">
        <f>HYPERLINK("https://www.boe.es/gazeta/dias/1812/05/29/pdfs/GMD-1812-150.pdf#page=4","Abrir facsímil")</f>
        <v>Abrir facsímil</v>
      </c>
      <c r="K368" s="3" t="s">
        <v>23</v>
      </c>
    </row>
    <row r="369" spans="1:11" ht="42" customHeight="1">
      <c r="A369" s="2" t="s">
        <v>1182</v>
      </c>
      <c r="B369" s="2" t="s">
        <v>1182</v>
      </c>
      <c r="C369" s="2" t="s">
        <v>26</v>
      </c>
      <c r="D369" s="2" t="s">
        <v>275</v>
      </c>
      <c r="E369" s="4">
        <v>-31964</v>
      </c>
      <c r="F369" s="3" t="s">
        <v>305</v>
      </c>
      <c r="G369" s="3" t="s">
        <v>58</v>
      </c>
      <c r="H369" s="2" t="s">
        <v>21</v>
      </c>
      <c r="I369" s="2" t="s">
        <v>1190</v>
      </c>
      <c r="J369" s="3" t="str">
        <f>HYPERLINK("https://www.boe.es/gazeta/dias/1812/06/25/pdfs/GMD-1812-177.pdf#page=2","Abrir facsímil")</f>
        <v>Abrir facsímil</v>
      </c>
      <c r="K369" s="3" t="s">
        <v>23</v>
      </c>
    </row>
    <row r="370" spans="1:11" ht="42" customHeight="1">
      <c r="A370" s="2" t="s">
        <v>1182</v>
      </c>
      <c r="B370" s="2" t="s">
        <v>1182</v>
      </c>
      <c r="C370" s="2" t="s">
        <v>26</v>
      </c>
      <c r="D370" s="2" t="s">
        <v>27</v>
      </c>
      <c r="E370" s="4">
        <v>-31963</v>
      </c>
      <c r="F370" s="3" t="s">
        <v>171</v>
      </c>
      <c r="G370" s="3" t="s">
        <v>172</v>
      </c>
      <c r="H370" s="2" t="s">
        <v>21</v>
      </c>
      <c r="I370" s="2" t="s">
        <v>1191</v>
      </c>
      <c r="J370" s="3" t="str">
        <f>HYPERLINK("https://www.boe.es/gazeta/dias/1812/06/26/pdfs/GMD-1812-178.pdf#page=3","Abrir facsímil")</f>
        <v>Abrir facsímil</v>
      </c>
      <c r="K370" s="3" t="s">
        <v>23</v>
      </c>
    </row>
    <row r="371" spans="1:11" ht="42" customHeight="1">
      <c r="A371" s="2" t="s">
        <v>1182</v>
      </c>
      <c r="B371" s="2" t="s">
        <v>1182</v>
      </c>
      <c r="C371" s="2" t="s">
        <v>115</v>
      </c>
      <c r="D371" s="2" t="s">
        <v>27</v>
      </c>
      <c r="E371" s="4">
        <v>-31962</v>
      </c>
      <c r="F371" s="3" t="s">
        <v>643</v>
      </c>
      <c r="G371" s="3" t="s">
        <v>644</v>
      </c>
      <c r="H371" s="2" t="s">
        <v>21</v>
      </c>
      <c r="I371" s="2" t="s">
        <v>1192</v>
      </c>
      <c r="J371" s="3" t="str">
        <f>HYPERLINK("https://www.boe.es/gazeta/dias/1812/06/27/pdfs/GMD-1812-179.pdf#page=2","Abrir facsímil")</f>
        <v>Abrir facsímil</v>
      </c>
      <c r="K371" s="3" t="s">
        <v>23</v>
      </c>
    </row>
    <row r="372" spans="1:11" ht="42" customHeight="1">
      <c r="A372" s="2" t="s">
        <v>1182</v>
      </c>
      <c r="B372" s="2" t="s">
        <v>1182</v>
      </c>
      <c r="C372" s="2" t="s">
        <v>17</v>
      </c>
      <c r="D372" s="2" t="s">
        <v>27</v>
      </c>
      <c r="E372" s="4">
        <v>-31961</v>
      </c>
      <c r="F372" s="3" t="s">
        <v>1193</v>
      </c>
      <c r="G372" s="3" t="s">
        <v>644</v>
      </c>
      <c r="H372" s="2" t="s">
        <v>21</v>
      </c>
      <c r="I372" s="2" t="s">
        <v>1194</v>
      </c>
      <c r="J372" s="3" t="str">
        <f>HYPERLINK("https://www.boe.es/gazeta/dias/1812/06/28/pdfs/GMD-1812-180.pdf#page=3","Abrir facsímil")</f>
        <v>Abrir facsímil</v>
      </c>
      <c r="K372" s="3" t="s">
        <v>23</v>
      </c>
    </row>
    <row r="373" spans="1:11" ht="42" customHeight="1">
      <c r="A373" s="2" t="s">
        <v>1182</v>
      </c>
      <c r="B373" s="2" t="s">
        <v>1182</v>
      </c>
      <c r="C373" s="2" t="s">
        <v>26</v>
      </c>
      <c r="D373" s="2" t="s">
        <v>27</v>
      </c>
      <c r="E373" s="4">
        <v>-31955</v>
      </c>
      <c r="F373" s="3" t="s">
        <v>1195</v>
      </c>
      <c r="G373" s="3" t="s">
        <v>45</v>
      </c>
      <c r="H373" s="2" t="s">
        <v>21</v>
      </c>
      <c r="I373" s="2" t="s">
        <v>1196</v>
      </c>
      <c r="J373" s="3" t="str">
        <f>HYPERLINK("https://www.boe.es/gazeta/dias/1812/07/04/pdfs/GMD-1812-186.pdf#page=2","Abrir facsímil")</f>
        <v>Abrir facsímil</v>
      </c>
      <c r="K373" s="3" t="s">
        <v>23</v>
      </c>
    </row>
    <row r="374" spans="1:11" ht="42" customHeight="1">
      <c r="A374" s="2" t="s">
        <v>1182</v>
      </c>
      <c r="B374" s="2" t="s">
        <v>1182</v>
      </c>
      <c r="C374" s="2" t="s">
        <v>26</v>
      </c>
      <c r="D374" s="2" t="s">
        <v>134</v>
      </c>
      <c r="E374" s="4">
        <v>-31955</v>
      </c>
      <c r="F374" s="3" t="s">
        <v>135</v>
      </c>
      <c r="G374" s="3" t="s">
        <v>136</v>
      </c>
      <c r="H374" s="2" t="s">
        <v>21</v>
      </c>
      <c r="I374" s="2" t="s">
        <v>1197</v>
      </c>
      <c r="J374" s="3" t="str">
        <f>HYPERLINK("https://www.boe.es/gazeta/dias/1812/07/04/pdfs/GRE-F-1812-82.pdf#page=8","Abrir facsímil")</f>
        <v>Abrir facsímil</v>
      </c>
      <c r="K374" s="3" t="s">
        <v>23</v>
      </c>
    </row>
    <row r="375" spans="1:11" ht="42" customHeight="1">
      <c r="A375" s="2" t="s">
        <v>1182</v>
      </c>
      <c r="B375" s="2" t="s">
        <v>1182</v>
      </c>
      <c r="C375" s="2" t="s">
        <v>26</v>
      </c>
      <c r="D375" s="2" t="s">
        <v>27</v>
      </c>
      <c r="E375" s="4">
        <v>-31937</v>
      </c>
      <c r="F375" s="3" t="s">
        <v>1198</v>
      </c>
      <c r="G375" s="3" t="s">
        <v>140</v>
      </c>
      <c r="H375" s="2" t="s">
        <v>21</v>
      </c>
      <c r="I375" s="2" t="s">
        <v>1199</v>
      </c>
      <c r="J375" s="3" t="str">
        <f>HYPERLINK("https://www.boe.es/gazeta/dias/1812/07/22/pdfs/GMD-1812-204.pdf#page=2","Abrir facsímil")</f>
        <v>Abrir facsímil</v>
      </c>
      <c r="K375" s="3" t="s">
        <v>23</v>
      </c>
    </row>
    <row r="376" spans="1:11" ht="42" customHeight="1">
      <c r="A376" s="2" t="s">
        <v>1182</v>
      </c>
      <c r="B376" s="2" t="s">
        <v>1182</v>
      </c>
      <c r="C376" s="2" t="s">
        <v>115</v>
      </c>
      <c r="D376" s="2" t="s">
        <v>27</v>
      </c>
      <c r="E376" s="4">
        <v>-31882</v>
      </c>
      <c r="F376" s="3" t="s">
        <v>1200</v>
      </c>
      <c r="G376" s="3" t="s">
        <v>1201</v>
      </c>
      <c r="H376" s="2" t="s">
        <v>21</v>
      </c>
      <c r="I376" s="2" t="s">
        <v>1202</v>
      </c>
      <c r="J376" s="3" t="str">
        <f>HYPERLINK("https://www.boe.es/gazeta/dias/1812/09/15/pdfs/GRE-1812-125.pdf#page=8","Abrir facsímil")</f>
        <v>Abrir facsímil</v>
      </c>
      <c r="K376" s="3" t="s">
        <v>23</v>
      </c>
    </row>
    <row r="377" spans="1:11" ht="42" customHeight="1">
      <c r="A377" s="2" t="s">
        <v>1182</v>
      </c>
      <c r="B377" s="2" t="s">
        <v>1182</v>
      </c>
      <c r="C377" s="2" t="s">
        <v>26</v>
      </c>
      <c r="D377" s="2" t="s">
        <v>27</v>
      </c>
      <c r="E377" s="4">
        <v>-31861</v>
      </c>
      <c r="F377" s="3" t="s">
        <v>216</v>
      </c>
      <c r="G377" s="3" t="s">
        <v>217</v>
      </c>
      <c r="H377" s="2" t="s">
        <v>21</v>
      </c>
      <c r="I377" s="2" t="s">
        <v>1203</v>
      </c>
      <c r="J377" s="3" t="str">
        <f>HYPERLINK("https://www.boe.es/gazeta/dias/1812/10/06/pdfs/GRE-1812-135.pdf#page=3","Abrir facsímil")</f>
        <v>Abrir facsímil</v>
      </c>
      <c r="K377" s="3" t="s">
        <v>23</v>
      </c>
    </row>
    <row r="378" spans="1:11" ht="42" customHeight="1">
      <c r="A378" s="2" t="s">
        <v>1182</v>
      </c>
      <c r="B378" s="2" t="s">
        <v>1182</v>
      </c>
      <c r="C378" s="2" t="s">
        <v>105</v>
      </c>
      <c r="D378" s="2" t="s">
        <v>27</v>
      </c>
      <c r="E378" s="4">
        <v>-31833</v>
      </c>
      <c r="F378" s="3" t="s">
        <v>267</v>
      </c>
      <c r="G378" s="3" t="s">
        <v>268</v>
      </c>
      <c r="H378" s="2" t="s">
        <v>21</v>
      </c>
      <c r="I378" s="2" t="s">
        <v>1204</v>
      </c>
      <c r="J378" s="3" t="str">
        <f>HYPERLINK("https://www.boe.es/gazeta/dias/1812/11/03/pdfs/GRE-1812-147.pdf#page=8","Abrir facsímil")</f>
        <v>Abrir facsímil</v>
      </c>
      <c r="K378" s="3" t="s">
        <v>23</v>
      </c>
    </row>
    <row r="379" spans="1:11" ht="42" customHeight="1">
      <c r="A379" s="2" t="s">
        <v>1182</v>
      </c>
      <c r="B379" s="2" t="s">
        <v>1182</v>
      </c>
      <c r="C379" s="2" t="s">
        <v>17</v>
      </c>
      <c r="D379" s="2" t="s">
        <v>27</v>
      </c>
      <c r="E379" s="4">
        <v>-31822</v>
      </c>
      <c r="F379" s="3" t="s">
        <v>541</v>
      </c>
      <c r="G379" s="3" t="s">
        <v>1205</v>
      </c>
      <c r="H379" s="2" t="s">
        <v>21</v>
      </c>
      <c r="I379" s="2" t="s">
        <v>1206</v>
      </c>
      <c r="J379" s="3" t="str">
        <f>HYPERLINK("https://www.boe.es/gazeta/dias/1812/11/14/pdfs/GRE-1812-152.pdf#page=5","Abrir facsímil")</f>
        <v>Abrir facsímil</v>
      </c>
      <c r="K379" s="3" t="s">
        <v>23</v>
      </c>
    </row>
    <row r="380" spans="1:11" ht="42" customHeight="1">
      <c r="A380" s="2" t="s">
        <v>1182</v>
      </c>
      <c r="B380" s="2" t="s">
        <v>1182</v>
      </c>
      <c r="C380" s="2" t="s">
        <v>105</v>
      </c>
      <c r="D380" s="2" t="s">
        <v>27</v>
      </c>
      <c r="E380" s="4">
        <v>-31817</v>
      </c>
      <c r="F380" s="3" t="s">
        <v>454</v>
      </c>
      <c r="G380" s="3" t="s">
        <v>1207</v>
      </c>
      <c r="H380" s="2" t="s">
        <v>21</v>
      </c>
      <c r="I380" s="2" t="s">
        <v>1208</v>
      </c>
      <c r="J380" s="3" t="str">
        <f>HYPERLINK("https://www.boe.es/gazeta/dias/1812/11/19/pdfs/GRE-1812-154.pdf#page=4","Abrir facsímil")</f>
        <v>Abrir facsímil</v>
      </c>
      <c r="K380" s="3" t="s">
        <v>23</v>
      </c>
    </row>
    <row r="381" spans="1:11" ht="42" customHeight="1">
      <c r="A381" s="2" t="s">
        <v>1209</v>
      </c>
      <c r="B381" s="2" t="s">
        <v>1209</v>
      </c>
      <c r="C381" s="2" t="s">
        <v>17</v>
      </c>
      <c r="D381" s="2" t="s">
        <v>18</v>
      </c>
      <c r="E381" s="4">
        <v>-31866</v>
      </c>
      <c r="F381" s="3" t="s">
        <v>845</v>
      </c>
      <c r="G381" s="3" t="s">
        <v>1210</v>
      </c>
      <c r="H381" s="2" t="s">
        <v>21</v>
      </c>
      <c r="I381" s="2" t="s">
        <v>1211</v>
      </c>
      <c r="J381" s="3" t="str">
        <f>HYPERLINK("https://www.boe.es/gazeta/dias/1812/10/01/pdfs/GRE-1812-133.pdf#page=5","Abrir facsímil")</f>
        <v>Abrir facsímil</v>
      </c>
      <c r="K381" s="3" t="s">
        <v>23</v>
      </c>
    </row>
    <row r="382" spans="1:11" ht="42" customHeight="1">
      <c r="A382" s="2" t="s">
        <v>1212</v>
      </c>
      <c r="B382" s="2" t="s">
        <v>1213</v>
      </c>
      <c r="C382" s="2" t="s">
        <v>26</v>
      </c>
      <c r="D382" s="2" t="s">
        <v>27</v>
      </c>
      <c r="E382" s="4">
        <v>-32010</v>
      </c>
      <c r="F382" s="3" t="s">
        <v>243</v>
      </c>
      <c r="G382" s="3" t="s">
        <v>620</v>
      </c>
      <c r="H382" s="2" t="s">
        <v>21</v>
      </c>
      <c r="I382" s="2" t="s">
        <v>1214</v>
      </c>
      <c r="J382" s="3" t="str">
        <f>HYPERLINK("https://www.boe.es/gazeta/dias/1812/05/10/pdfs/GMD-1812-131.pdf#page=2","Abrir facsímil")</f>
        <v>Abrir facsímil</v>
      </c>
      <c r="K382" s="3" t="s">
        <v>23</v>
      </c>
    </row>
    <row r="383" spans="1:11" ht="42" customHeight="1">
      <c r="A383" s="2" t="s">
        <v>1215</v>
      </c>
      <c r="B383" s="2" t="s">
        <v>1216</v>
      </c>
      <c r="C383" s="2" t="s">
        <v>186</v>
      </c>
      <c r="D383" s="2" t="s">
        <v>27</v>
      </c>
      <c r="E383" s="4">
        <v>-32088</v>
      </c>
      <c r="F383" s="3" t="s">
        <v>1217</v>
      </c>
      <c r="G383" s="3" t="s">
        <v>1218</v>
      </c>
      <c r="H383" s="2" t="s">
        <v>21</v>
      </c>
      <c r="I383" s="2" t="s">
        <v>1219</v>
      </c>
      <c r="J383" s="3" t="str">
        <f>HYPERLINK("https://www.boe.es/gazeta/dias/1812/02/22/pdfs/GMD-1812-53.pdf#page=4","Abrir facsímil")</f>
        <v>Abrir facsímil</v>
      </c>
      <c r="K383" s="3" t="s">
        <v>23</v>
      </c>
    </row>
    <row r="384" spans="1:11" ht="42" customHeight="1">
      <c r="A384" s="2" t="s">
        <v>1215</v>
      </c>
      <c r="B384" s="2" t="s">
        <v>1216</v>
      </c>
      <c r="C384" s="2" t="s">
        <v>17</v>
      </c>
      <c r="D384" s="2" t="s">
        <v>18</v>
      </c>
      <c r="E384" s="4">
        <v>-32063</v>
      </c>
      <c r="F384" s="3" t="s">
        <v>384</v>
      </c>
      <c r="G384" s="3" t="s">
        <v>366</v>
      </c>
      <c r="H384" s="2" t="s">
        <v>21</v>
      </c>
      <c r="I384" s="2" t="s">
        <v>1220</v>
      </c>
      <c r="J384" s="3" t="str">
        <f>HYPERLINK("https://www.boe.es/gazeta/dias/1812/03/18/pdfs/GMD-1812-78.pdf#page=2","Abrir facsímil")</f>
        <v>Abrir facsímil</v>
      </c>
      <c r="K384" s="3" t="s">
        <v>23</v>
      </c>
    </row>
    <row r="385" spans="1:11" ht="42" customHeight="1">
      <c r="A385" s="2" t="s">
        <v>1221</v>
      </c>
      <c r="B385" s="2" t="s">
        <v>1222</v>
      </c>
      <c r="C385" s="2" t="s">
        <v>26</v>
      </c>
      <c r="D385" s="2" t="s">
        <v>27</v>
      </c>
      <c r="E385" s="4">
        <v>-32118</v>
      </c>
      <c r="F385" s="3" t="s">
        <v>964</v>
      </c>
      <c r="G385" s="3" t="s">
        <v>965</v>
      </c>
      <c r="H385" s="2" t="s">
        <v>21</v>
      </c>
      <c r="I385" s="2" t="s">
        <v>1223</v>
      </c>
      <c r="J385" s="3" t="str">
        <f>HYPERLINK("https://www.boe.es/gazeta/dias/1812/01/23/pdfs/GEI-H-1812-10.pdf#page=4","Abrir facsímil")</f>
        <v>Abrir facsímil</v>
      </c>
      <c r="K385" s="3" t="s">
        <v>23</v>
      </c>
    </row>
    <row r="386" spans="1:11" ht="42" customHeight="1">
      <c r="A386" s="2" t="s">
        <v>1221</v>
      </c>
      <c r="B386" s="2" t="s">
        <v>1222</v>
      </c>
      <c r="C386" s="2" t="s">
        <v>17</v>
      </c>
      <c r="D386" s="2" t="s">
        <v>275</v>
      </c>
      <c r="E386" s="4">
        <v>-32063</v>
      </c>
      <c r="F386" s="3" t="s">
        <v>384</v>
      </c>
      <c r="G386" s="3" t="s">
        <v>20</v>
      </c>
      <c r="H386" s="2" t="s">
        <v>21</v>
      </c>
      <c r="I386" s="2" t="s">
        <v>1224</v>
      </c>
      <c r="J386" s="3" t="str">
        <f>HYPERLINK("https://www.boe.es/gazeta/dias/1812/03/18/pdfs/GMD-1812-78.pdf#page=4","Abrir facsímil")</f>
        <v>Abrir facsímil</v>
      </c>
      <c r="K386" s="3" t="s">
        <v>23</v>
      </c>
    </row>
    <row r="387" spans="1:11" ht="42" customHeight="1">
      <c r="A387" s="2" t="s">
        <v>1225</v>
      </c>
      <c r="B387" s="2" t="s">
        <v>1225</v>
      </c>
      <c r="C387" s="2" t="s">
        <v>17</v>
      </c>
      <c r="D387" s="2" t="s">
        <v>27</v>
      </c>
      <c r="E387" s="4">
        <v>-32061</v>
      </c>
      <c r="F387" s="3" t="s">
        <v>798</v>
      </c>
      <c r="G387" s="3" t="s">
        <v>36</v>
      </c>
      <c r="H387" s="2" t="s">
        <v>21</v>
      </c>
      <c r="I387" s="2" t="s">
        <v>1226</v>
      </c>
      <c r="J387" s="3" t="str">
        <f>HYPERLINK("https://www.boe.es/gazeta/dias/1812/03/20/pdfs/GMD-1812-80.pdf#page=3","Abrir facsímil")</f>
        <v>Abrir facsímil</v>
      </c>
      <c r="K387" s="3" t="s">
        <v>23</v>
      </c>
    </row>
    <row r="388" spans="1:11" ht="42" customHeight="1">
      <c r="A388" s="2" t="s">
        <v>1227</v>
      </c>
      <c r="B388" s="2" t="s">
        <v>1228</v>
      </c>
      <c r="C388" s="2" t="s">
        <v>26</v>
      </c>
      <c r="D388" s="2" t="s">
        <v>27</v>
      </c>
      <c r="E388" s="4">
        <v>-31833</v>
      </c>
      <c r="F388" s="3" t="s">
        <v>267</v>
      </c>
      <c r="G388" s="3" t="s">
        <v>268</v>
      </c>
      <c r="H388" s="2" t="s">
        <v>21</v>
      </c>
      <c r="I388" s="2" t="s">
        <v>1229</v>
      </c>
      <c r="J388" s="3" t="str">
        <f>HYPERLINK("https://www.boe.es/gazeta/dias/1812/11/03/pdfs/GRE-1812-147.pdf#page=8","Abrir facsímil")</f>
        <v>Abrir facsímil</v>
      </c>
      <c r="K388" s="3" t="s">
        <v>23</v>
      </c>
    </row>
    <row r="389" spans="1:11" ht="42" customHeight="1">
      <c r="A389" s="2" t="s">
        <v>1227</v>
      </c>
      <c r="B389" s="2" t="s">
        <v>1228</v>
      </c>
      <c r="C389" s="2" t="s">
        <v>26</v>
      </c>
      <c r="D389" s="2" t="s">
        <v>27</v>
      </c>
      <c r="E389" s="4">
        <v>-31816</v>
      </c>
      <c r="F389" s="3" t="s">
        <v>270</v>
      </c>
      <c r="G389" s="3" t="s">
        <v>271</v>
      </c>
      <c r="H389" s="2" t="s">
        <v>21</v>
      </c>
      <c r="I389" s="2" t="s">
        <v>1230</v>
      </c>
      <c r="J389" s="3" t="str">
        <f>HYPERLINK("https://www.boe.es/gazeta/dias/1812/11/20/pdfs/GMR-1812-36.pdf#page=6","Abrir facsímil")</f>
        <v>Abrir facsímil</v>
      </c>
      <c r="K389" s="3" t="s">
        <v>23</v>
      </c>
    </row>
    <row r="390" spans="1:11" ht="42" customHeight="1">
      <c r="A390" s="2" t="s">
        <v>1231</v>
      </c>
      <c r="B390" s="2" t="s">
        <v>1232</v>
      </c>
      <c r="C390" s="2" t="s">
        <v>26</v>
      </c>
      <c r="D390" s="2" t="s">
        <v>27</v>
      </c>
      <c r="E390" s="4">
        <v>-32011</v>
      </c>
      <c r="F390" s="3" t="s">
        <v>1233</v>
      </c>
      <c r="G390" s="3" t="s">
        <v>20</v>
      </c>
      <c r="H390" s="2" t="s">
        <v>21</v>
      </c>
      <c r="I390" s="2" t="s">
        <v>1234</v>
      </c>
      <c r="J390" s="3" t="str">
        <f>HYPERLINK("https://www.boe.es/gazeta/dias/1812/05/09/pdfs/GRE-1812-58.pdf#page=5","Abrir facsímil")</f>
        <v>Abrir facsímil</v>
      </c>
      <c r="K390" s="3" t="s">
        <v>23</v>
      </c>
    </row>
    <row r="391" spans="1:11" ht="42" customHeight="1">
      <c r="A391" s="2" t="s">
        <v>1235</v>
      </c>
      <c r="B391" s="2" t="s">
        <v>1236</v>
      </c>
      <c r="C391" s="2" t="s">
        <v>26</v>
      </c>
      <c r="D391" s="2" t="s">
        <v>27</v>
      </c>
      <c r="E391" s="4">
        <v>-32121</v>
      </c>
      <c r="F391" s="3" t="s">
        <v>1237</v>
      </c>
      <c r="G391" s="3" t="s">
        <v>404</v>
      </c>
      <c r="H391" s="2" t="s">
        <v>21</v>
      </c>
      <c r="I391" s="2" t="s">
        <v>1238</v>
      </c>
      <c r="J391" s="3" t="str">
        <f>HYPERLINK("https://www.boe.es/gazeta/dias/1812/01/20/pdfs/GMD-1812-20.pdf#page=4","Abrir facsímil")</f>
        <v>Abrir facsímil</v>
      </c>
      <c r="K391" s="3" t="s">
        <v>23</v>
      </c>
    </row>
    <row r="392" spans="1:11" ht="42" customHeight="1">
      <c r="A392" s="2" t="s">
        <v>1239</v>
      </c>
      <c r="B392" s="2" t="s">
        <v>1240</v>
      </c>
      <c r="C392" s="2" t="s">
        <v>26</v>
      </c>
      <c r="D392" s="2" t="s">
        <v>27</v>
      </c>
      <c r="E392" s="4">
        <v>-31938</v>
      </c>
      <c r="F392" s="3" t="s">
        <v>324</v>
      </c>
      <c r="G392" s="3" t="s">
        <v>404</v>
      </c>
      <c r="H392" s="2" t="s">
        <v>21</v>
      </c>
      <c r="I392" s="2" t="s">
        <v>1241</v>
      </c>
      <c r="J392" s="3" t="str">
        <f>HYPERLINK("https://www.boe.es/gazeta/dias/1812/07/21/pdfs/GMD-1812-203.pdf#page=4","Abrir facsímil")</f>
        <v>Abrir facsímil</v>
      </c>
      <c r="K392" s="3" t="s">
        <v>23</v>
      </c>
    </row>
    <row r="393" spans="1:11" ht="42" customHeight="1">
      <c r="A393" s="2" t="s">
        <v>1242</v>
      </c>
      <c r="B393" s="2" t="s">
        <v>1243</v>
      </c>
      <c r="C393" s="2" t="s">
        <v>26</v>
      </c>
      <c r="D393" s="2" t="s">
        <v>27</v>
      </c>
      <c r="E393" s="4">
        <v>-31938</v>
      </c>
      <c r="F393" s="3" t="s">
        <v>324</v>
      </c>
      <c r="G393" s="3" t="s">
        <v>404</v>
      </c>
      <c r="H393" s="2" t="s">
        <v>21</v>
      </c>
      <c r="I393" s="2" t="s">
        <v>1244</v>
      </c>
      <c r="J393" s="3" t="str">
        <f>HYPERLINK("https://www.boe.es/gazeta/dias/1812/07/21/pdfs/GMD-1812-203.pdf#page=4","Abrir facsímil")</f>
        <v>Abrir facsímil</v>
      </c>
      <c r="K393" s="3" t="s">
        <v>23</v>
      </c>
    </row>
    <row r="394" spans="1:11" ht="42" customHeight="1">
      <c r="A394" s="2" t="s">
        <v>1245</v>
      </c>
      <c r="B394" s="2" t="s">
        <v>1246</v>
      </c>
      <c r="C394" s="2" t="s">
        <v>26</v>
      </c>
      <c r="D394" s="2" t="s">
        <v>27</v>
      </c>
      <c r="E394" s="4">
        <v>-31938</v>
      </c>
      <c r="F394" s="3" t="s">
        <v>324</v>
      </c>
      <c r="G394" s="3" t="s">
        <v>404</v>
      </c>
      <c r="H394" s="2" t="s">
        <v>21</v>
      </c>
      <c r="I394" s="2" t="s">
        <v>1247</v>
      </c>
      <c r="J394" s="3" t="str">
        <f>HYPERLINK("https://www.boe.es/gazeta/dias/1812/07/21/pdfs/GMD-1812-203.pdf#page=4","Abrir facsímil")</f>
        <v>Abrir facsímil</v>
      </c>
      <c r="K394" s="3" t="s">
        <v>23</v>
      </c>
    </row>
    <row r="395" spans="1:11" ht="42" customHeight="1">
      <c r="A395" s="2" t="s">
        <v>1248</v>
      </c>
      <c r="B395" s="2" t="s">
        <v>1249</v>
      </c>
      <c r="C395" s="2" t="s">
        <v>17</v>
      </c>
      <c r="D395" s="2" t="s">
        <v>134</v>
      </c>
      <c r="E395" s="4">
        <v>-31955</v>
      </c>
      <c r="F395" s="3" t="s">
        <v>135</v>
      </c>
      <c r="G395" s="3" t="s">
        <v>58</v>
      </c>
      <c r="H395" s="2" t="s">
        <v>21</v>
      </c>
      <c r="I395" s="2" t="s">
        <v>1250</v>
      </c>
      <c r="J395" s="3" t="str">
        <f>HYPERLINK("https://www.boe.es/gazeta/dias/1812/07/04/pdfs/GRE-F-1812-82.pdf#page=6","Abrir facsímil")</f>
        <v>Abrir facsímil</v>
      </c>
      <c r="K395" s="3" t="s">
        <v>23</v>
      </c>
    </row>
    <row r="396" spans="1:11" ht="42" customHeight="1">
      <c r="A396" s="2" t="s">
        <v>1251</v>
      </c>
      <c r="B396" s="2" t="s">
        <v>1252</v>
      </c>
      <c r="C396" s="2" t="s">
        <v>26</v>
      </c>
      <c r="D396" s="2" t="s">
        <v>27</v>
      </c>
      <c r="E396" s="4">
        <v>-32127</v>
      </c>
      <c r="F396" s="3" t="s">
        <v>88</v>
      </c>
      <c r="G396" s="3" t="s">
        <v>89</v>
      </c>
      <c r="H396" s="2" t="s">
        <v>21</v>
      </c>
      <c r="I396" s="2" t="s">
        <v>1253</v>
      </c>
      <c r="J396" s="3" t="str">
        <f>HYPERLINK("https://www.boe.es/gazeta/dias/1812/01/14/pdfs/GEI-1812-6.pdf#page=8","Abrir facsímil")</f>
        <v>Abrir facsímil</v>
      </c>
      <c r="K396" s="3" t="s">
        <v>23</v>
      </c>
    </row>
    <row r="397" spans="1:11" ht="42" customHeight="1">
      <c r="A397" s="2" t="s">
        <v>1254</v>
      </c>
      <c r="B397" s="2" t="s">
        <v>1255</v>
      </c>
      <c r="C397" s="2" t="s">
        <v>17</v>
      </c>
      <c r="D397" s="2" t="s">
        <v>27</v>
      </c>
      <c r="E397" s="4">
        <v>-32069</v>
      </c>
      <c r="F397" s="3" t="s">
        <v>445</v>
      </c>
      <c r="G397" s="3" t="s">
        <v>446</v>
      </c>
      <c r="H397" s="2" t="s">
        <v>21</v>
      </c>
      <c r="I397" s="2" t="s">
        <v>1256</v>
      </c>
      <c r="J397" s="3" t="str">
        <f>HYPERLINK("https://www.boe.es/gazeta/dias/1812/03/12/pdfs/GRE-1812-32.pdf#page=8","Abrir facsímil")</f>
        <v>Abrir facsímil</v>
      </c>
      <c r="K397" s="3" t="s">
        <v>23</v>
      </c>
    </row>
    <row r="398" spans="1:11" ht="42" customHeight="1">
      <c r="A398" s="2" t="s">
        <v>1257</v>
      </c>
      <c r="B398" s="2" t="s">
        <v>1258</v>
      </c>
      <c r="C398" s="2" t="s">
        <v>17</v>
      </c>
      <c r="D398" s="2" t="s">
        <v>27</v>
      </c>
      <c r="E398" s="4">
        <v>-31936</v>
      </c>
      <c r="F398" s="3" t="s">
        <v>614</v>
      </c>
      <c r="G398" s="3" t="s">
        <v>615</v>
      </c>
      <c r="H398" s="2" t="s">
        <v>21</v>
      </c>
      <c r="I398" s="2" t="s">
        <v>1259</v>
      </c>
      <c r="J398" s="3" t="str">
        <f>HYPERLINK("https://www.boe.es/gazeta/dias/1812/07/23/pdfs/GRE-1812-92.pdf#page=8","Abrir facsímil")</f>
        <v>Abrir facsímil</v>
      </c>
      <c r="K398" s="3" t="s">
        <v>23</v>
      </c>
    </row>
    <row r="399" spans="1:11" ht="42" customHeight="1">
      <c r="A399" s="2" t="s">
        <v>1260</v>
      </c>
      <c r="B399" s="2" t="s">
        <v>1261</v>
      </c>
      <c r="C399" s="2" t="s">
        <v>17</v>
      </c>
      <c r="D399" s="2" t="s">
        <v>27</v>
      </c>
      <c r="E399" s="4">
        <v>-31936</v>
      </c>
      <c r="F399" s="3" t="s">
        <v>614</v>
      </c>
      <c r="G399" s="3" t="s">
        <v>615</v>
      </c>
      <c r="H399" s="2" t="s">
        <v>21</v>
      </c>
      <c r="I399" s="2" t="s">
        <v>1262</v>
      </c>
      <c r="J399" s="3" t="str">
        <f>HYPERLINK("https://www.boe.es/gazeta/dias/1812/07/23/pdfs/GRE-1812-92.pdf#page=8","Abrir facsímil")</f>
        <v>Abrir facsímil</v>
      </c>
      <c r="K399" s="3" t="s">
        <v>23</v>
      </c>
    </row>
    <row r="400" spans="1:11" ht="42" customHeight="1">
      <c r="A400" s="2" t="s">
        <v>1263</v>
      </c>
      <c r="B400" s="2" t="s">
        <v>1264</v>
      </c>
      <c r="C400" s="2" t="s">
        <v>17</v>
      </c>
      <c r="D400" s="2" t="s">
        <v>27</v>
      </c>
      <c r="E400" s="4">
        <v>-31936</v>
      </c>
      <c r="F400" s="3" t="s">
        <v>614</v>
      </c>
      <c r="G400" s="3" t="s">
        <v>615</v>
      </c>
      <c r="H400" s="2" t="s">
        <v>21</v>
      </c>
      <c r="I400" s="2" t="s">
        <v>1265</v>
      </c>
      <c r="J400" s="3" t="str">
        <f>HYPERLINK("https://www.boe.es/gazeta/dias/1812/07/23/pdfs/GRE-1812-92.pdf#page=8","Abrir facsímil")</f>
        <v>Abrir facsímil</v>
      </c>
      <c r="K400" s="3" t="s">
        <v>23</v>
      </c>
    </row>
    <row r="401" spans="1:11" ht="42" customHeight="1">
      <c r="A401" s="2" t="s">
        <v>1266</v>
      </c>
      <c r="B401" s="2" t="s">
        <v>1267</v>
      </c>
      <c r="C401" s="2" t="s">
        <v>105</v>
      </c>
      <c r="D401" s="2" t="s">
        <v>27</v>
      </c>
      <c r="E401" s="4">
        <v>-32109</v>
      </c>
      <c r="F401" s="3" t="s">
        <v>62</v>
      </c>
      <c r="G401" s="3" t="s">
        <v>106</v>
      </c>
      <c r="H401" s="2" t="s">
        <v>21</v>
      </c>
      <c r="I401" s="2" t="s">
        <v>1268</v>
      </c>
      <c r="J401" s="3" t="str">
        <f>HYPERLINK("https://www.boe.es/gazeta/dias/1812/02/01/pdfs/GRE-1812-14.pdf#page=11","Abrir facsímil")</f>
        <v>Abrir facsímil</v>
      </c>
      <c r="K401" s="3" t="s">
        <v>23</v>
      </c>
    </row>
    <row r="402" spans="1:11" ht="42" customHeight="1">
      <c r="A402" s="2" t="s">
        <v>1269</v>
      </c>
      <c r="B402" s="2" t="s">
        <v>1270</v>
      </c>
      <c r="C402" s="2" t="s">
        <v>26</v>
      </c>
      <c r="D402" s="2" t="s">
        <v>27</v>
      </c>
      <c r="E402" s="4">
        <v>-32055</v>
      </c>
      <c r="F402" s="3" t="s">
        <v>1271</v>
      </c>
      <c r="G402" s="3" t="s">
        <v>130</v>
      </c>
      <c r="H402" s="2" t="s">
        <v>21</v>
      </c>
      <c r="I402" s="2" t="s">
        <v>1272</v>
      </c>
      <c r="J402" s="3" t="str">
        <f>HYPERLINK("https://www.boe.es/gazeta/dias/1812/03/26/pdfs/GMD-1812-86.pdf#page=4","Abrir facsímil")</f>
        <v>Abrir facsímil</v>
      </c>
      <c r="K402" s="3" t="s">
        <v>23</v>
      </c>
    </row>
    <row r="403" spans="1:11" ht="42" customHeight="1">
      <c r="A403" s="2" t="s">
        <v>1273</v>
      </c>
      <c r="B403" s="2" t="s">
        <v>1274</v>
      </c>
      <c r="C403" s="2" t="s">
        <v>26</v>
      </c>
      <c r="D403" s="2" t="s">
        <v>27</v>
      </c>
      <c r="E403" s="4">
        <v>-32055</v>
      </c>
      <c r="F403" s="3" t="s">
        <v>459</v>
      </c>
      <c r="G403" s="3" t="s">
        <v>20</v>
      </c>
      <c r="H403" s="2" t="s">
        <v>21</v>
      </c>
      <c r="I403" s="2" t="s">
        <v>1275</v>
      </c>
      <c r="J403" s="3" t="str">
        <f>HYPERLINK("https://www.boe.es/gazeta/dias/1812/03/26/pdfs/GRE-1812-38.pdf#page=8","Abrir facsímil")</f>
        <v>Abrir facsímil</v>
      </c>
      <c r="K403" s="3" t="s">
        <v>23</v>
      </c>
    </row>
    <row r="404" spans="1:11" ht="42" customHeight="1">
      <c r="A404" s="2" t="s">
        <v>1276</v>
      </c>
      <c r="B404" s="2" t="s">
        <v>1277</v>
      </c>
      <c r="C404" s="2" t="s">
        <v>549</v>
      </c>
      <c r="D404" s="2" t="s">
        <v>27</v>
      </c>
      <c r="E404" s="4">
        <v>-32055</v>
      </c>
      <c r="F404" s="3" t="s">
        <v>459</v>
      </c>
      <c r="G404" s="3" t="s">
        <v>20</v>
      </c>
      <c r="H404" s="2" t="s">
        <v>21</v>
      </c>
      <c r="I404" s="2" t="s">
        <v>1278</v>
      </c>
      <c r="J404" s="3" t="str">
        <f>HYPERLINK("https://www.boe.es/gazeta/dias/1812/03/26/pdfs/GRE-1812-38.pdf#page=8","Abrir facsímil")</f>
        <v>Abrir facsímil</v>
      </c>
      <c r="K404" s="3" t="s">
        <v>23</v>
      </c>
    </row>
    <row r="405" spans="1:11" ht="42" customHeight="1">
      <c r="A405" s="2" t="s">
        <v>1279</v>
      </c>
      <c r="B405" s="2" t="s">
        <v>1280</v>
      </c>
      <c r="C405" s="2" t="s">
        <v>26</v>
      </c>
      <c r="D405" s="2" t="s">
        <v>27</v>
      </c>
      <c r="E405" s="4">
        <v>-32034</v>
      </c>
      <c r="F405" s="3" t="s">
        <v>28</v>
      </c>
      <c r="G405" s="3" t="s">
        <v>317</v>
      </c>
      <c r="H405" s="2" t="s">
        <v>21</v>
      </c>
      <c r="I405" s="2" t="s">
        <v>1281</v>
      </c>
      <c r="J405" s="3" t="str">
        <f>HYPERLINK("https://www.boe.es/gazeta/dias/1812/04/16/pdfs/GMD-1812-107.pdf#page=6","Abrir facsímil")</f>
        <v>Abrir facsímil</v>
      </c>
      <c r="K405" s="3" t="s">
        <v>23</v>
      </c>
    </row>
    <row r="406" spans="1:11" ht="42" customHeight="1">
      <c r="A406" s="2" t="s">
        <v>1282</v>
      </c>
      <c r="B406" s="2" t="s">
        <v>1283</v>
      </c>
      <c r="C406" s="2" t="s">
        <v>26</v>
      </c>
      <c r="D406" s="2" t="s">
        <v>27</v>
      </c>
      <c r="E406" s="4">
        <v>-32065</v>
      </c>
      <c r="F406" s="3" t="s">
        <v>259</v>
      </c>
      <c r="G406" s="3" t="s">
        <v>20</v>
      </c>
      <c r="H406" s="2" t="s">
        <v>21</v>
      </c>
      <c r="I406" s="2" t="s">
        <v>1284</v>
      </c>
      <c r="J406" s="3" t="str">
        <f>HYPERLINK("https://www.boe.es/gazeta/dias/1812/03/16/pdfs/GMD-1812-76.pdf#page=4","Abrir facsímil")</f>
        <v>Abrir facsímil</v>
      </c>
      <c r="K406" s="3" t="s">
        <v>23</v>
      </c>
    </row>
    <row r="407" spans="1:11" ht="42" customHeight="1">
      <c r="A407" s="2" t="s">
        <v>1285</v>
      </c>
      <c r="B407" s="2" t="s">
        <v>1286</v>
      </c>
      <c r="C407" s="2" t="s">
        <v>49</v>
      </c>
      <c r="D407" s="2" t="s">
        <v>275</v>
      </c>
      <c r="E407" s="4">
        <v>-32018</v>
      </c>
      <c r="F407" s="3" t="s">
        <v>1287</v>
      </c>
      <c r="G407" s="3" t="s">
        <v>1288</v>
      </c>
      <c r="H407" s="2" t="s">
        <v>21</v>
      </c>
      <c r="I407" s="2" t="s">
        <v>1289</v>
      </c>
      <c r="J407" s="3" t="str">
        <f>HYPERLINK("https://www.boe.es/gazeta/dias/1812/05/02/pdfs/GMD-1812-123.pdf#page=2","Abrir facsímil")</f>
        <v>Abrir facsímil</v>
      </c>
      <c r="K407" s="3" t="s">
        <v>23</v>
      </c>
    </row>
    <row r="408" spans="1:11" ht="42" customHeight="1">
      <c r="A408" s="2" t="s">
        <v>1290</v>
      </c>
      <c r="B408" s="2" t="s">
        <v>1291</v>
      </c>
      <c r="C408" s="2" t="s">
        <v>26</v>
      </c>
      <c r="D408" s="2" t="s">
        <v>27</v>
      </c>
      <c r="E408" s="4">
        <v>-31992</v>
      </c>
      <c r="F408" s="3" t="s">
        <v>1292</v>
      </c>
      <c r="G408" s="3" t="s">
        <v>1293</v>
      </c>
      <c r="H408" s="2" t="s">
        <v>21</v>
      </c>
      <c r="I408" s="2" t="s">
        <v>1294</v>
      </c>
      <c r="J408" s="3" t="str">
        <f>HYPERLINK("https://www.boe.es/gazeta/dias/1812/05/28/pdfs/GRE-1812-66.pdf#page=7","Abrir facsímil")</f>
        <v>Abrir facsímil</v>
      </c>
      <c r="K408" s="3" t="s">
        <v>23</v>
      </c>
    </row>
    <row r="409" spans="1:11" ht="42" customHeight="1">
      <c r="A409" s="2" t="s">
        <v>1295</v>
      </c>
      <c r="B409" s="2" t="s">
        <v>1296</v>
      </c>
      <c r="C409" s="2" t="s">
        <v>26</v>
      </c>
      <c r="D409" s="2" t="s">
        <v>27</v>
      </c>
      <c r="E409" s="4">
        <v>-31859</v>
      </c>
      <c r="F409" s="3" t="s">
        <v>158</v>
      </c>
      <c r="G409" s="3" t="s">
        <v>1297</v>
      </c>
      <c r="H409" s="2" t="s">
        <v>21</v>
      </c>
      <c r="I409" s="2" t="s">
        <v>1298</v>
      </c>
      <c r="J409" s="3" t="str">
        <f>HYPERLINK("https://www.boe.es/gazeta/dias/1812/10/08/pdfs/GMR-1812-24.pdf#page=8","Abrir facsímil")</f>
        <v>Abrir facsímil</v>
      </c>
      <c r="K409" s="3" t="s">
        <v>23</v>
      </c>
    </row>
    <row r="410" spans="1:11" ht="42" customHeight="1">
      <c r="A410" s="2" t="s">
        <v>1299</v>
      </c>
      <c r="B410" s="2" t="s">
        <v>1300</v>
      </c>
      <c r="C410" s="2" t="s">
        <v>17</v>
      </c>
      <c r="D410" s="2" t="s">
        <v>27</v>
      </c>
      <c r="E410" s="4">
        <v>-31929</v>
      </c>
      <c r="F410" s="3" t="s">
        <v>1148</v>
      </c>
      <c r="G410" s="3" t="s">
        <v>1301</v>
      </c>
      <c r="H410" s="2" t="s">
        <v>21</v>
      </c>
      <c r="I410" s="2" t="s">
        <v>1302</v>
      </c>
      <c r="J410" s="3" t="str">
        <f>HYPERLINK("https://www.boe.es/gazeta/dias/1812/07/30/pdfs/GRE-1812-95.pdf#page=8","Abrir facsímil")</f>
        <v>Abrir facsímil</v>
      </c>
      <c r="K410" s="3" t="s">
        <v>23</v>
      </c>
    </row>
    <row r="411" spans="1:11" ht="42" customHeight="1">
      <c r="A411" s="2" t="s">
        <v>1303</v>
      </c>
      <c r="B411" s="2" t="s">
        <v>1304</v>
      </c>
      <c r="C411" s="2" t="s">
        <v>26</v>
      </c>
      <c r="D411" s="2" t="s">
        <v>27</v>
      </c>
      <c r="E411" s="4">
        <v>-31850</v>
      </c>
      <c r="F411" s="3" t="s">
        <v>719</v>
      </c>
      <c r="G411" s="3" t="s">
        <v>237</v>
      </c>
      <c r="H411" s="2" t="s">
        <v>21</v>
      </c>
      <c r="I411" s="2" t="s">
        <v>1305</v>
      </c>
      <c r="J411" s="3" t="str">
        <f>HYPERLINK("https://www.boe.es/gazeta/dias/1812/10/17/pdfs/GMR-1812-28.pdf#page=8","Abrir facsímil")</f>
        <v>Abrir facsímil</v>
      </c>
      <c r="K411" s="3" t="s">
        <v>23</v>
      </c>
    </row>
    <row r="412" spans="1:11" ht="42" customHeight="1">
      <c r="A412" s="2" t="s">
        <v>1306</v>
      </c>
      <c r="B412" s="2" t="s">
        <v>1307</v>
      </c>
      <c r="C412" s="2" t="s">
        <v>26</v>
      </c>
      <c r="D412" s="2" t="s">
        <v>275</v>
      </c>
      <c r="E412" s="4">
        <v>-31940</v>
      </c>
      <c r="F412" s="3" t="s">
        <v>187</v>
      </c>
      <c r="G412" s="3" t="s">
        <v>45</v>
      </c>
      <c r="H412" s="2" t="s">
        <v>21</v>
      </c>
      <c r="I412" s="2" t="s">
        <v>1308</v>
      </c>
      <c r="J412" s="3" t="str">
        <f>HYPERLINK("https://www.boe.es/gazeta/dias/1812/07/19/pdfs/GMD-1812-201.pdf#page=2","Abrir facsímil")</f>
        <v>Abrir facsímil</v>
      </c>
      <c r="K412" s="3" t="s">
        <v>23</v>
      </c>
    </row>
    <row r="413" spans="1:11" ht="42" customHeight="1">
      <c r="A413" s="2" t="s">
        <v>1309</v>
      </c>
      <c r="B413" s="2" t="s">
        <v>1310</v>
      </c>
      <c r="C413" s="2" t="s">
        <v>26</v>
      </c>
      <c r="D413" s="2" t="s">
        <v>27</v>
      </c>
      <c r="E413" s="4">
        <v>-31940</v>
      </c>
      <c r="F413" s="3" t="s">
        <v>187</v>
      </c>
      <c r="G413" s="3" t="s">
        <v>404</v>
      </c>
      <c r="H413" s="2" t="s">
        <v>21</v>
      </c>
      <c r="I413" s="2" t="s">
        <v>1311</v>
      </c>
      <c r="J413" s="3" t="str">
        <f>HYPERLINK("https://www.boe.es/gazeta/dias/1812/07/19/pdfs/GMD-1812-201.pdf#page=3","Abrir facsímil")</f>
        <v>Abrir facsímil</v>
      </c>
      <c r="K413" s="3" t="s">
        <v>23</v>
      </c>
    </row>
    <row r="414" spans="1:11" ht="42" customHeight="1">
      <c r="A414" s="2" t="s">
        <v>1312</v>
      </c>
      <c r="B414" s="2" t="s">
        <v>1313</v>
      </c>
      <c r="C414" s="2" t="s">
        <v>17</v>
      </c>
      <c r="D414" s="2" t="s">
        <v>27</v>
      </c>
      <c r="E414" s="4">
        <v>-32039</v>
      </c>
      <c r="F414" s="3" t="s">
        <v>557</v>
      </c>
      <c r="G414" s="3" t="s">
        <v>20</v>
      </c>
      <c r="H414" s="2" t="s">
        <v>21</v>
      </c>
      <c r="I414" s="2" t="s">
        <v>1314</v>
      </c>
      <c r="J414" s="3" t="str">
        <f>HYPERLINK("https://www.boe.es/gazeta/dias/1812/04/11/pdfs/GMD-1812-102.pdf#page=4","Abrir facsímil")</f>
        <v>Abrir facsímil</v>
      </c>
      <c r="K414" s="3" t="s">
        <v>23</v>
      </c>
    </row>
    <row r="415" spans="1:11" ht="42" customHeight="1">
      <c r="A415" s="2" t="s">
        <v>1315</v>
      </c>
      <c r="B415" s="2" t="s">
        <v>1316</v>
      </c>
      <c r="C415" s="2" t="s">
        <v>26</v>
      </c>
      <c r="D415" s="2" t="s">
        <v>27</v>
      </c>
      <c r="E415" s="4">
        <v>-31955</v>
      </c>
      <c r="F415" s="3" t="s">
        <v>789</v>
      </c>
      <c r="G415" s="3" t="s">
        <v>237</v>
      </c>
      <c r="H415" s="2" t="s">
        <v>21</v>
      </c>
      <c r="I415" s="2" t="s">
        <v>1317</v>
      </c>
      <c r="J415" s="3" t="str">
        <f>HYPERLINK("https://www.boe.es/gazeta/dias/1812/07/04/pdfs/GRE-1812-82.pdf#page=8","Abrir facsímil")</f>
        <v>Abrir facsímil</v>
      </c>
      <c r="K415" s="3" t="s">
        <v>23</v>
      </c>
    </row>
    <row r="416" spans="1:11" ht="42" customHeight="1">
      <c r="A416" s="2" t="s">
        <v>1318</v>
      </c>
      <c r="B416" s="2" t="s">
        <v>1319</v>
      </c>
      <c r="C416" s="2" t="s">
        <v>26</v>
      </c>
      <c r="D416" s="2" t="s">
        <v>27</v>
      </c>
      <c r="E416" s="4">
        <v>-32034</v>
      </c>
      <c r="F416" s="3" t="s">
        <v>28</v>
      </c>
      <c r="G416" s="3" t="s">
        <v>130</v>
      </c>
      <c r="H416" s="2" t="s">
        <v>21</v>
      </c>
      <c r="I416" s="2" t="s">
        <v>1320</v>
      </c>
      <c r="J416" s="3" t="str">
        <f>HYPERLINK("https://www.boe.es/gazeta/dias/1812/04/16/pdfs/GMD-1812-107.pdf#page=4","Abrir facsímil")</f>
        <v>Abrir facsímil</v>
      </c>
      <c r="K416" s="3" t="s">
        <v>23</v>
      </c>
    </row>
    <row r="417" spans="1:11" ht="42" customHeight="1">
      <c r="A417" s="2" t="s">
        <v>1321</v>
      </c>
      <c r="B417" s="2" t="s">
        <v>1322</v>
      </c>
      <c r="C417" s="2" t="s">
        <v>26</v>
      </c>
      <c r="D417" s="2" t="s">
        <v>27</v>
      </c>
      <c r="E417" s="4">
        <v>-32067</v>
      </c>
      <c r="F417" s="3" t="s">
        <v>199</v>
      </c>
      <c r="G417" s="3" t="s">
        <v>237</v>
      </c>
      <c r="H417" s="2" t="s">
        <v>21</v>
      </c>
      <c r="I417" s="2" t="s">
        <v>1323</v>
      </c>
      <c r="J417" s="3" t="str">
        <f>HYPERLINK("https://www.boe.es/gazeta/dias/1812/03/14/pdfs/GRE-1812-33.pdf#page=8","Abrir facsímil")</f>
        <v>Abrir facsímil</v>
      </c>
      <c r="K417" s="3" t="s">
        <v>23</v>
      </c>
    </row>
    <row r="418" spans="1:11" ht="42" customHeight="1">
      <c r="A418" s="2" t="s">
        <v>1324</v>
      </c>
      <c r="B418" s="2" t="s">
        <v>1325</v>
      </c>
      <c r="C418" s="2" t="s">
        <v>49</v>
      </c>
      <c r="D418" s="2" t="s">
        <v>27</v>
      </c>
      <c r="E418" s="4">
        <v>-32018</v>
      </c>
      <c r="F418" s="3" t="s">
        <v>365</v>
      </c>
      <c r="G418" s="3" t="s">
        <v>366</v>
      </c>
      <c r="H418" s="2" t="s">
        <v>21</v>
      </c>
      <c r="I418" s="2" t="s">
        <v>1326</v>
      </c>
      <c r="J418" s="3" t="str">
        <f>HYPERLINK("https://www.boe.es/gazeta/dias/1812/05/02/pdfs/GRE-1812-55.pdf#page=3","Abrir facsímil")</f>
        <v>Abrir facsímil</v>
      </c>
      <c r="K418" s="3" t="s">
        <v>23</v>
      </c>
    </row>
    <row r="419" spans="1:11" ht="42" customHeight="1">
      <c r="A419" s="2" t="s">
        <v>1327</v>
      </c>
      <c r="B419" s="2" t="s">
        <v>1328</v>
      </c>
      <c r="C419" s="2" t="s">
        <v>26</v>
      </c>
      <c r="D419" s="2" t="s">
        <v>27</v>
      </c>
      <c r="E419" s="4">
        <v>-31976</v>
      </c>
      <c r="F419" s="3" t="s">
        <v>54</v>
      </c>
      <c r="G419" s="3" t="s">
        <v>55</v>
      </c>
      <c r="H419" s="2" t="s">
        <v>21</v>
      </c>
      <c r="I419" s="2" t="s">
        <v>1329</v>
      </c>
      <c r="J419" s="3" t="str">
        <f>HYPERLINK("https://www.boe.es/gazeta/dias/1812/06/13/pdfs/GRE-1812-73.pdf#page=6","Abrir facsímil")</f>
        <v>Abrir facsímil</v>
      </c>
      <c r="K419" s="3" t="s">
        <v>23</v>
      </c>
    </row>
    <row r="420" spans="1:11" ht="42" customHeight="1">
      <c r="A420" s="2" t="s">
        <v>1330</v>
      </c>
      <c r="B420" s="2" t="s">
        <v>1331</v>
      </c>
      <c r="C420" s="2" t="s">
        <v>26</v>
      </c>
      <c r="D420" s="2" t="s">
        <v>27</v>
      </c>
      <c r="E420" s="4">
        <v>-31976</v>
      </c>
      <c r="F420" s="3" t="s">
        <v>54</v>
      </c>
      <c r="G420" s="3" t="s">
        <v>55</v>
      </c>
      <c r="H420" s="2" t="s">
        <v>21</v>
      </c>
      <c r="I420" s="2" t="s">
        <v>1332</v>
      </c>
      <c r="J420" s="3" t="str">
        <f>HYPERLINK("https://www.boe.es/gazeta/dias/1812/06/13/pdfs/GRE-1812-73.pdf#page=6","Abrir facsímil")</f>
        <v>Abrir facsímil</v>
      </c>
      <c r="K420" s="3" t="s">
        <v>23</v>
      </c>
    </row>
    <row r="421" spans="1:11" ht="42" customHeight="1">
      <c r="A421" s="2" t="s">
        <v>1333</v>
      </c>
      <c r="B421" s="2" t="s">
        <v>1334</v>
      </c>
      <c r="C421" s="2" t="s">
        <v>26</v>
      </c>
      <c r="D421" s="2" t="s">
        <v>27</v>
      </c>
      <c r="E421" s="4">
        <v>-31976</v>
      </c>
      <c r="F421" s="3" t="s">
        <v>54</v>
      </c>
      <c r="G421" s="3" t="s">
        <v>1335</v>
      </c>
      <c r="H421" s="2" t="s">
        <v>21</v>
      </c>
      <c r="I421" s="2" t="s">
        <v>1336</v>
      </c>
      <c r="J421" s="3" t="str">
        <f>HYPERLINK("https://www.boe.es/gazeta/dias/1812/06/13/pdfs/GRE-1812-73.pdf#page=7","Abrir facsímil")</f>
        <v>Abrir facsímil</v>
      </c>
      <c r="K421" s="3" t="s">
        <v>23</v>
      </c>
    </row>
    <row r="422" spans="1:11" ht="42" customHeight="1">
      <c r="A422" s="2" t="s">
        <v>1337</v>
      </c>
      <c r="B422" s="2" t="s">
        <v>1338</v>
      </c>
      <c r="C422" s="2" t="s">
        <v>26</v>
      </c>
      <c r="D422" s="2" t="s">
        <v>27</v>
      </c>
      <c r="E422" s="4">
        <v>-31940</v>
      </c>
      <c r="F422" s="3" t="s">
        <v>187</v>
      </c>
      <c r="G422" s="3" t="s">
        <v>404</v>
      </c>
      <c r="H422" s="2" t="s">
        <v>21</v>
      </c>
      <c r="I422" s="2" t="s">
        <v>1339</v>
      </c>
      <c r="J422" s="3" t="str">
        <f>HYPERLINK("https://www.boe.es/gazeta/dias/1812/07/19/pdfs/GMD-1812-201.pdf#page=3","Abrir facsímil")</f>
        <v>Abrir facsímil</v>
      </c>
      <c r="K422" s="3" t="s">
        <v>23</v>
      </c>
    </row>
    <row r="423" spans="1:11" ht="42" customHeight="1">
      <c r="A423" s="2" t="s">
        <v>1340</v>
      </c>
      <c r="B423" s="2" t="s">
        <v>1341</v>
      </c>
      <c r="C423" s="2" t="s">
        <v>17</v>
      </c>
      <c r="D423" s="2" t="s">
        <v>18</v>
      </c>
      <c r="E423" s="4">
        <v>-32095</v>
      </c>
      <c r="F423" s="3" t="s">
        <v>181</v>
      </c>
      <c r="G423" s="3" t="s">
        <v>777</v>
      </c>
      <c r="H423" s="2" t="s">
        <v>21</v>
      </c>
      <c r="I423" s="2" t="s">
        <v>1342</v>
      </c>
      <c r="J423" s="3" t="str">
        <f>HYPERLINK("https://www.boe.es/gazeta/dias/1812/02/15/pdfs/GMD-1812-47.pdf#page=3","Abrir facsímil")</f>
        <v>Abrir facsímil</v>
      </c>
      <c r="K423" s="3" t="s">
        <v>23</v>
      </c>
    </row>
    <row r="424" spans="1:11" ht="42" customHeight="1">
      <c r="A424" s="2" t="s">
        <v>1340</v>
      </c>
      <c r="B424" s="2" t="s">
        <v>1341</v>
      </c>
      <c r="C424" s="2" t="s">
        <v>17</v>
      </c>
      <c r="D424" s="2" t="s">
        <v>18</v>
      </c>
      <c r="E424" s="4">
        <v>-32094</v>
      </c>
      <c r="F424" s="3" t="s">
        <v>181</v>
      </c>
      <c r="G424" s="3" t="s">
        <v>777</v>
      </c>
      <c r="H424" s="2" t="s">
        <v>21</v>
      </c>
      <c r="I424" s="2" t="s">
        <v>1342</v>
      </c>
      <c r="J424" s="3" t="str">
        <f>HYPERLINK("https://www.boe.es/gazeta/dias/1812/02/16/pdfs/GMD-1812-47.pdf#page=3","Abrir facsímil")</f>
        <v>Abrir facsímil</v>
      </c>
      <c r="K424" s="3" t="s">
        <v>23</v>
      </c>
    </row>
    <row r="425" spans="1:11" ht="42" customHeight="1">
      <c r="A425" s="2" t="s">
        <v>1340</v>
      </c>
      <c r="B425" s="2" t="s">
        <v>1341</v>
      </c>
      <c r="C425" s="2" t="s">
        <v>17</v>
      </c>
      <c r="D425" s="2" t="s">
        <v>27</v>
      </c>
      <c r="E425" s="4">
        <v>-32031</v>
      </c>
      <c r="F425" s="3" t="s">
        <v>1343</v>
      </c>
      <c r="G425" s="3" t="s">
        <v>36</v>
      </c>
      <c r="H425" s="2" t="s">
        <v>21</v>
      </c>
      <c r="I425" s="2" t="s">
        <v>1344</v>
      </c>
      <c r="J425" s="3" t="str">
        <f>HYPERLINK("https://www.boe.es/gazeta/dias/1812/04/19/pdfs/GMD-1812-110.pdf#page=3","Abrir facsímil")</f>
        <v>Abrir facsímil</v>
      </c>
      <c r="K425" s="3" t="s">
        <v>23</v>
      </c>
    </row>
    <row r="426" spans="1:11" ht="42" customHeight="1">
      <c r="A426" s="2" t="s">
        <v>1345</v>
      </c>
      <c r="B426" s="2" t="s">
        <v>1346</v>
      </c>
      <c r="C426" s="2" t="s">
        <v>186</v>
      </c>
      <c r="D426" s="2" t="s">
        <v>573</v>
      </c>
      <c r="E426" s="4">
        <v>-31900</v>
      </c>
      <c r="F426" s="3" t="s">
        <v>276</v>
      </c>
      <c r="G426" s="3" t="s">
        <v>794</v>
      </c>
      <c r="H426" s="2" t="s">
        <v>21</v>
      </c>
      <c r="I426" s="2" t="s">
        <v>1347</v>
      </c>
      <c r="J426" s="3" t="str">
        <f>HYPERLINK("https://www.boe.es/gazeta/dias/1812/08/28/pdfs/GRE-1812-113E.pdf#page=7","Abrir facsímil")</f>
        <v>Abrir facsímil</v>
      </c>
      <c r="K426" s="3" t="s">
        <v>23</v>
      </c>
    </row>
    <row r="427" spans="1:11" ht="42" customHeight="1">
      <c r="A427" s="2" t="s">
        <v>1348</v>
      </c>
      <c r="B427" s="2" t="s">
        <v>1349</v>
      </c>
      <c r="C427" s="2" t="s">
        <v>26</v>
      </c>
      <c r="D427" s="2" t="s">
        <v>275</v>
      </c>
      <c r="E427" s="4">
        <v>-31936</v>
      </c>
      <c r="F427" s="3" t="s">
        <v>614</v>
      </c>
      <c r="G427" s="3" t="s">
        <v>1350</v>
      </c>
      <c r="H427" s="2" t="s">
        <v>21</v>
      </c>
      <c r="I427" s="2" t="s">
        <v>1351</v>
      </c>
      <c r="J427" s="3" t="str">
        <f>HYPERLINK("https://www.boe.es/gazeta/dias/1812/07/23/pdfs/GRE-1812-92.pdf#page=7","Abrir facsímil")</f>
        <v>Abrir facsímil</v>
      </c>
      <c r="K427" s="3" t="s">
        <v>23</v>
      </c>
    </row>
    <row r="428" spans="1:11" ht="42" customHeight="1">
      <c r="A428" s="2" t="s">
        <v>1352</v>
      </c>
      <c r="B428" s="2" t="s">
        <v>1353</v>
      </c>
      <c r="C428" s="2" t="s">
        <v>115</v>
      </c>
      <c r="D428" s="2" t="s">
        <v>27</v>
      </c>
      <c r="E428" s="4">
        <v>-32066</v>
      </c>
      <c r="F428" s="3" t="s">
        <v>291</v>
      </c>
      <c r="G428" s="3" t="s">
        <v>125</v>
      </c>
      <c r="H428" s="2" t="s">
        <v>21</v>
      </c>
      <c r="I428" s="2" t="s">
        <v>1354</v>
      </c>
      <c r="J428" s="3" t="str">
        <f>HYPERLINK("https://www.boe.es/gazeta/dias/1812/03/15/pdfs/GMD-1812-75.pdf#page=4","Abrir facsímil")</f>
        <v>Abrir facsímil</v>
      </c>
      <c r="K428" s="3" t="s">
        <v>23</v>
      </c>
    </row>
    <row r="429" spans="1:11" ht="42" customHeight="1">
      <c r="A429" s="2" t="s">
        <v>1355</v>
      </c>
      <c r="B429" s="2" t="s">
        <v>1356</v>
      </c>
      <c r="C429" s="2" t="s">
        <v>17</v>
      </c>
      <c r="D429" s="2" t="s">
        <v>27</v>
      </c>
      <c r="E429" s="4">
        <v>-31922</v>
      </c>
      <c r="F429" s="3" t="s">
        <v>622</v>
      </c>
      <c r="G429" s="3" t="s">
        <v>404</v>
      </c>
      <c r="H429" s="2" t="s">
        <v>21</v>
      </c>
      <c r="I429" s="2" t="s">
        <v>1357</v>
      </c>
      <c r="J429" s="3" t="str">
        <f>HYPERLINK("https://www.boe.es/gazeta/dias/1812/08/06/pdfs/GMD-1812-219.pdf#page=2","Abrir facsímil")</f>
        <v>Abrir facsímil</v>
      </c>
      <c r="K429" s="3" t="s">
        <v>23</v>
      </c>
    </row>
    <row r="430" spans="1:11" ht="42" customHeight="1">
      <c r="A430" s="2" t="s">
        <v>1358</v>
      </c>
      <c r="B430" s="2" t="s">
        <v>1358</v>
      </c>
      <c r="C430" s="2" t="s">
        <v>17</v>
      </c>
      <c r="D430" s="2" t="s">
        <v>27</v>
      </c>
      <c r="E430" s="4">
        <v>-32116</v>
      </c>
      <c r="F430" s="3" t="s">
        <v>382</v>
      </c>
      <c r="G430" s="3" t="s">
        <v>336</v>
      </c>
      <c r="H430" s="2" t="s">
        <v>21</v>
      </c>
      <c r="I430" s="2" t="s">
        <v>1359</v>
      </c>
      <c r="J430" s="3" t="str">
        <f>HYPERLINK("https://www.boe.es/gazeta/dias/1812/01/25/pdfs/GMD-1812-25.pdf#page=3","Abrir facsímil")</f>
        <v>Abrir facsímil</v>
      </c>
      <c r="K430" s="3" t="s">
        <v>23</v>
      </c>
    </row>
    <row r="431" spans="1:11" ht="42" customHeight="1">
      <c r="A431" s="2" t="s">
        <v>1360</v>
      </c>
      <c r="B431" s="2" t="s">
        <v>1360</v>
      </c>
      <c r="C431" s="2" t="s">
        <v>17</v>
      </c>
      <c r="D431" s="2" t="s">
        <v>27</v>
      </c>
      <c r="E431" s="4">
        <v>-32116</v>
      </c>
      <c r="F431" s="3" t="s">
        <v>382</v>
      </c>
      <c r="G431" s="3" t="s">
        <v>336</v>
      </c>
      <c r="H431" s="2" t="s">
        <v>21</v>
      </c>
      <c r="I431" s="2" t="s">
        <v>1361</v>
      </c>
      <c r="J431" s="3" t="str">
        <f>HYPERLINK("https://www.boe.es/gazeta/dias/1812/01/25/pdfs/GMD-1812-25.pdf#page=3","Abrir facsímil")</f>
        <v>Abrir facsímil</v>
      </c>
      <c r="K431" s="3" t="s">
        <v>23</v>
      </c>
    </row>
    <row r="432" spans="1:11" ht="42" customHeight="1">
      <c r="A432" s="2" t="s">
        <v>1362</v>
      </c>
      <c r="B432" s="2" t="s">
        <v>1363</v>
      </c>
      <c r="C432" s="2" t="s">
        <v>186</v>
      </c>
      <c r="D432" s="2" t="s">
        <v>275</v>
      </c>
      <c r="E432" s="4">
        <v>-32002</v>
      </c>
      <c r="F432" s="3" t="s">
        <v>619</v>
      </c>
      <c r="G432" s="3" t="s">
        <v>20</v>
      </c>
      <c r="H432" s="2" t="s">
        <v>21</v>
      </c>
      <c r="I432" s="2" t="s">
        <v>1364</v>
      </c>
      <c r="J432" s="3" t="str">
        <f>HYPERLINK("https://www.boe.es/gazeta/dias/1812/05/18/pdfs/GMD-1812-139.pdf#page=3","Abrir facsímil")</f>
        <v>Abrir facsímil</v>
      </c>
      <c r="K432" s="3" t="s">
        <v>23</v>
      </c>
    </row>
    <row r="433" spans="1:11" ht="42" customHeight="1">
      <c r="A433" s="2" t="s">
        <v>1365</v>
      </c>
      <c r="B433" s="2" t="s">
        <v>1366</v>
      </c>
      <c r="C433" s="2" t="s">
        <v>26</v>
      </c>
      <c r="D433" s="2" t="s">
        <v>27</v>
      </c>
      <c r="E433" s="4">
        <v>-32018</v>
      </c>
      <c r="F433" s="3" t="s">
        <v>365</v>
      </c>
      <c r="G433" s="3" t="s">
        <v>366</v>
      </c>
      <c r="H433" s="2" t="s">
        <v>21</v>
      </c>
      <c r="I433" s="2" t="s">
        <v>1367</v>
      </c>
      <c r="J433" s="3" t="str">
        <f>HYPERLINK("https://www.boe.es/gazeta/dias/1812/05/02/pdfs/GRE-1812-55.pdf#page=3","Abrir facsímil")</f>
        <v>Abrir facsímil</v>
      </c>
      <c r="K433" s="3" t="s">
        <v>23</v>
      </c>
    </row>
    <row r="434" spans="1:11" ht="42" customHeight="1">
      <c r="A434" s="2" t="s">
        <v>1368</v>
      </c>
      <c r="B434" s="2" t="s">
        <v>1368</v>
      </c>
      <c r="C434" s="2" t="s">
        <v>17</v>
      </c>
      <c r="D434" s="2" t="s">
        <v>573</v>
      </c>
      <c r="E434" s="4">
        <v>-31921</v>
      </c>
      <c r="F434" s="3" t="s">
        <v>785</v>
      </c>
      <c r="G434" s="3" t="s">
        <v>45</v>
      </c>
      <c r="H434" s="2" t="s">
        <v>21</v>
      </c>
      <c r="I434" s="2" t="s">
        <v>1369</v>
      </c>
      <c r="J434" s="3" t="str">
        <f>HYPERLINK("https://www.boe.es/gazeta/dias/1812/08/07/pdfs/GRE-1812-101E.pdf#page=2","Abrir facsímil")</f>
        <v>Abrir facsímil</v>
      </c>
      <c r="K434" s="3" t="s">
        <v>23</v>
      </c>
    </row>
    <row r="435" spans="1:11" ht="42" customHeight="1">
      <c r="A435" s="2" t="s">
        <v>1370</v>
      </c>
      <c r="B435" s="2" t="s">
        <v>1371</v>
      </c>
      <c r="C435" s="2" t="s">
        <v>26</v>
      </c>
      <c r="D435" s="2" t="s">
        <v>27</v>
      </c>
      <c r="E435" s="4">
        <v>-31936</v>
      </c>
      <c r="F435" s="3" t="s">
        <v>614</v>
      </c>
      <c r="G435" s="3" t="s">
        <v>615</v>
      </c>
      <c r="H435" s="2" t="s">
        <v>21</v>
      </c>
      <c r="I435" s="2" t="s">
        <v>1372</v>
      </c>
      <c r="J435" s="3" t="str">
        <f>HYPERLINK("https://www.boe.es/gazeta/dias/1812/07/23/pdfs/GRE-1812-92.pdf#page=8","Abrir facsímil")</f>
        <v>Abrir facsímil</v>
      </c>
      <c r="K435" s="3" t="s">
        <v>23</v>
      </c>
    </row>
    <row r="436" spans="1:11" ht="42" customHeight="1">
      <c r="A436" s="2" t="s">
        <v>1373</v>
      </c>
      <c r="B436" s="2" t="s">
        <v>1374</v>
      </c>
      <c r="C436" s="2" t="s">
        <v>26</v>
      </c>
      <c r="D436" s="2" t="s">
        <v>27</v>
      </c>
      <c r="E436" s="4">
        <v>-31939</v>
      </c>
      <c r="F436" s="3" t="s">
        <v>408</v>
      </c>
      <c r="G436" s="3" t="s">
        <v>20</v>
      </c>
      <c r="H436" s="2" t="s">
        <v>21</v>
      </c>
      <c r="I436" s="2" t="s">
        <v>1375</v>
      </c>
      <c r="J436" s="3" t="str">
        <f>HYPERLINK("https://www.boe.es/gazeta/dias/1812/07/20/pdfs/GMD-1812-202.pdf#page=4","Abrir facsímil")</f>
        <v>Abrir facsímil</v>
      </c>
      <c r="K436" s="3" t="s">
        <v>23</v>
      </c>
    </row>
    <row r="437" spans="1:11" ht="42" customHeight="1">
      <c r="A437" s="2" t="s">
        <v>1376</v>
      </c>
      <c r="B437" s="2" t="s">
        <v>1377</v>
      </c>
      <c r="C437" s="2" t="s">
        <v>186</v>
      </c>
      <c r="D437" s="2" t="s">
        <v>27</v>
      </c>
      <c r="E437" s="4">
        <v>-31866</v>
      </c>
      <c r="F437" s="3" t="s">
        <v>845</v>
      </c>
      <c r="G437" s="3" t="s">
        <v>1210</v>
      </c>
      <c r="H437" s="2" t="s">
        <v>21</v>
      </c>
      <c r="I437" s="2" t="s">
        <v>1378</v>
      </c>
      <c r="J437" s="3" t="str">
        <f>HYPERLINK("https://www.boe.es/gazeta/dias/1812/10/01/pdfs/GRE-1812-133.pdf#page=5","Abrir facsímil")</f>
        <v>Abrir facsímil</v>
      </c>
      <c r="K437" s="3" t="s">
        <v>23</v>
      </c>
    </row>
    <row r="438" spans="1:11" ht="42" customHeight="1">
      <c r="A438" s="2" t="s">
        <v>1379</v>
      </c>
      <c r="B438" s="2" t="s">
        <v>1379</v>
      </c>
      <c r="C438" s="2" t="s">
        <v>17</v>
      </c>
      <c r="D438" s="2" t="s">
        <v>27</v>
      </c>
      <c r="E438" s="4">
        <v>-32006</v>
      </c>
      <c r="F438" s="3" t="s">
        <v>190</v>
      </c>
      <c r="G438" s="3" t="s">
        <v>1380</v>
      </c>
      <c r="H438" s="2" t="s">
        <v>21</v>
      </c>
      <c r="I438" s="2" t="s">
        <v>1381</v>
      </c>
      <c r="J438" s="3" t="str">
        <f>HYPERLINK("https://www.boe.es/gazeta/dias/1812/05/14/pdfs/GRE-1812-60.pdf#page=6","Abrir facsímil")</f>
        <v>Abrir facsímil</v>
      </c>
      <c r="K438" s="3" t="s">
        <v>23</v>
      </c>
    </row>
    <row r="439" spans="1:11" ht="42" customHeight="1">
      <c r="A439" s="2" t="s">
        <v>1382</v>
      </c>
      <c r="B439" s="2" t="s">
        <v>1383</v>
      </c>
      <c r="C439" s="2" t="s">
        <v>17</v>
      </c>
      <c r="D439" s="2" t="s">
        <v>27</v>
      </c>
      <c r="E439" s="4">
        <v>-32006</v>
      </c>
      <c r="F439" s="3" t="s">
        <v>190</v>
      </c>
      <c r="G439" s="3" t="s">
        <v>1380</v>
      </c>
      <c r="H439" s="2" t="s">
        <v>30</v>
      </c>
      <c r="I439" s="2" t="s">
        <v>1384</v>
      </c>
      <c r="J439" s="3" t="str">
        <f>HYPERLINK("https://www.boe.es/gazeta/dias/1812/05/14/pdfs/GRE-1812-60.pdf#page=6","Abrir facsímil")</f>
        <v>Abrir facsímil</v>
      </c>
      <c r="K439" s="3" t="s">
        <v>32</v>
      </c>
    </row>
    <row r="440" spans="1:11" ht="42" customHeight="1">
      <c r="A440" s="2" t="s">
        <v>1385</v>
      </c>
      <c r="B440" s="2" t="s">
        <v>1386</v>
      </c>
      <c r="C440" s="2" t="s">
        <v>26</v>
      </c>
      <c r="D440" s="2" t="s">
        <v>27</v>
      </c>
      <c r="E440" s="4">
        <v>-32100</v>
      </c>
      <c r="F440" s="3" t="s">
        <v>492</v>
      </c>
      <c r="G440" s="3" t="s">
        <v>493</v>
      </c>
      <c r="H440" s="2" t="s">
        <v>21</v>
      </c>
      <c r="I440" s="2" t="s">
        <v>1387</v>
      </c>
      <c r="J440" s="3" t="str">
        <f>HYPERLINK("https://www.boe.es/gazeta/dias/1812/02/10/pdfs/GRE-1812-31.pdf#page=8","Abrir facsímil")</f>
        <v>Abrir facsímil</v>
      </c>
      <c r="K440" s="3" t="s">
        <v>23</v>
      </c>
    </row>
    <row r="441" spans="1:11" ht="42" customHeight="1">
      <c r="A441" s="2" t="s">
        <v>1385</v>
      </c>
      <c r="B441" s="2" t="s">
        <v>1386</v>
      </c>
      <c r="C441" s="2" t="s">
        <v>26</v>
      </c>
      <c r="D441" s="2" t="s">
        <v>27</v>
      </c>
      <c r="E441" s="4">
        <v>-32071</v>
      </c>
      <c r="F441" s="3" t="s">
        <v>492</v>
      </c>
      <c r="G441" s="3" t="s">
        <v>493</v>
      </c>
      <c r="H441" s="2" t="s">
        <v>21</v>
      </c>
      <c r="I441" s="2" t="s">
        <v>1387</v>
      </c>
      <c r="J441" s="3" t="str">
        <f>HYPERLINK("https://www.boe.es/gazeta/dias/1812/03/10/pdfs/GRE-1812-31.pdf#page=8","Abrir facsímil")</f>
        <v>Abrir facsímil</v>
      </c>
      <c r="K441" s="3" t="s">
        <v>23</v>
      </c>
    </row>
    <row r="442" spans="1:11" ht="42" customHeight="1">
      <c r="A442" s="2" t="s">
        <v>1388</v>
      </c>
      <c r="B442" s="2" t="s">
        <v>1388</v>
      </c>
      <c r="C442" s="2" t="s">
        <v>26</v>
      </c>
      <c r="D442" s="2" t="s">
        <v>27</v>
      </c>
      <c r="E442" s="4">
        <v>-32122</v>
      </c>
      <c r="F442" s="3" t="s">
        <v>1389</v>
      </c>
      <c r="G442" s="3" t="s">
        <v>404</v>
      </c>
      <c r="H442" s="2" t="s">
        <v>21</v>
      </c>
      <c r="I442" s="2" t="s">
        <v>1390</v>
      </c>
      <c r="J442" s="3" t="str">
        <f>HYPERLINK("https://www.boe.es/gazeta/dias/1812/01/19/pdfs/GMD-1812-19.pdf#page=3","Abrir facsímil")</f>
        <v>Abrir facsímil</v>
      </c>
      <c r="K442" s="3" t="s">
        <v>23</v>
      </c>
    </row>
    <row r="443" spans="1:11" ht="42" customHeight="1">
      <c r="A443" s="2" t="s">
        <v>1391</v>
      </c>
      <c r="B443" s="2" t="s">
        <v>1392</v>
      </c>
      <c r="C443" s="2" t="s">
        <v>186</v>
      </c>
      <c r="D443" s="2" t="s">
        <v>275</v>
      </c>
      <c r="E443" s="4">
        <v>-32116</v>
      </c>
      <c r="F443" s="3" t="s">
        <v>993</v>
      </c>
      <c r="G443" s="3" t="s">
        <v>233</v>
      </c>
      <c r="H443" s="2" t="s">
        <v>21</v>
      </c>
      <c r="I443" s="2" t="s">
        <v>1393</v>
      </c>
      <c r="J443" s="3" t="str">
        <f>HYPERLINK("https://www.boe.es/gazeta/dias/1812/01/25/pdfs/GEI-1812-11.pdf#page=8","Abrir facsímil")</f>
        <v>Abrir facsímil</v>
      </c>
      <c r="K443" s="3" t="s">
        <v>23</v>
      </c>
    </row>
    <row r="444" spans="1:11" ht="42" customHeight="1">
      <c r="A444" s="2" t="s">
        <v>1394</v>
      </c>
      <c r="B444" s="2" t="s">
        <v>1395</v>
      </c>
      <c r="C444" s="2" t="s">
        <v>186</v>
      </c>
      <c r="D444" s="2" t="s">
        <v>275</v>
      </c>
      <c r="E444" s="4">
        <v>-31899</v>
      </c>
      <c r="F444" s="3" t="s">
        <v>1396</v>
      </c>
      <c r="G444" s="3" t="s">
        <v>739</v>
      </c>
      <c r="H444" s="2" t="s">
        <v>21</v>
      </c>
      <c r="I444" s="2" t="s">
        <v>1397</v>
      </c>
      <c r="J444" s="3" t="str">
        <f>HYPERLINK("https://www.boe.es/gazeta/dias/1812/08/29/pdfs/GMR-1812-7.pdf#page=7","Abrir facsímil")</f>
        <v>Abrir facsímil</v>
      </c>
      <c r="K444" s="3" t="s">
        <v>23</v>
      </c>
    </row>
    <row r="445" spans="1:11" ht="42" customHeight="1">
      <c r="A445" s="2" t="s">
        <v>1394</v>
      </c>
      <c r="B445" s="2" t="s">
        <v>1395</v>
      </c>
      <c r="C445" s="2" t="s">
        <v>186</v>
      </c>
      <c r="D445" s="2" t="s">
        <v>275</v>
      </c>
      <c r="E445" s="4">
        <v>-31899</v>
      </c>
      <c r="F445" s="3" t="s">
        <v>1396</v>
      </c>
      <c r="G445" s="3" t="s">
        <v>777</v>
      </c>
      <c r="H445" s="2" t="s">
        <v>21</v>
      </c>
      <c r="I445" s="2" t="s">
        <v>1398</v>
      </c>
      <c r="J445" s="3" t="str">
        <f>HYPERLINK("https://www.boe.es/gazeta/dias/1812/08/29/pdfs/GMR-1812-7.pdf#page=8","Abrir facsímil")</f>
        <v>Abrir facsímil</v>
      </c>
      <c r="K445" s="3" t="s">
        <v>23</v>
      </c>
    </row>
    <row r="446" spans="1:11" ht="42" customHeight="1">
      <c r="A446" s="2" t="s">
        <v>1394</v>
      </c>
      <c r="B446" s="2" t="s">
        <v>1395</v>
      </c>
      <c r="C446" s="2" t="s">
        <v>17</v>
      </c>
      <c r="D446" s="2" t="s">
        <v>27</v>
      </c>
      <c r="E446" s="4">
        <v>-31871</v>
      </c>
      <c r="F446" s="3" t="s">
        <v>1399</v>
      </c>
      <c r="G446" s="3" t="s">
        <v>794</v>
      </c>
      <c r="H446" s="2" t="s">
        <v>21</v>
      </c>
      <c r="I446" s="2" t="s">
        <v>1400</v>
      </c>
      <c r="J446" s="3" t="str">
        <f>HYPERLINK("https://www.boe.es/gazeta/dias/1812/09/26/pdfs/GMR-1812-19.pdf#page=7","Abrir facsímil")</f>
        <v>Abrir facsímil</v>
      </c>
      <c r="K446" s="3" t="s">
        <v>23</v>
      </c>
    </row>
    <row r="447" spans="1:11" ht="42" customHeight="1">
      <c r="A447" s="2" t="s">
        <v>1401</v>
      </c>
      <c r="B447" s="2" t="s">
        <v>1402</v>
      </c>
      <c r="C447" s="2" t="s">
        <v>105</v>
      </c>
      <c r="D447" s="2" t="s">
        <v>27</v>
      </c>
      <c r="E447" s="4">
        <v>-32060</v>
      </c>
      <c r="F447" s="3" t="s">
        <v>1403</v>
      </c>
      <c r="G447" s="3" t="s">
        <v>217</v>
      </c>
      <c r="H447" s="2" t="s">
        <v>21</v>
      </c>
      <c r="I447" s="2" t="s">
        <v>1404</v>
      </c>
      <c r="J447" s="3" t="str">
        <f>HYPERLINK("https://www.boe.es/gazeta/dias/1812/03/21/pdfs/GRE-1812-36.pdf#page=8","Abrir facsímil")</f>
        <v>Abrir facsímil</v>
      </c>
      <c r="K447" s="3" t="s">
        <v>23</v>
      </c>
    </row>
    <row r="448" spans="1:11" ht="42" customHeight="1">
      <c r="A448" s="2" t="s">
        <v>1405</v>
      </c>
      <c r="B448" s="2" t="s">
        <v>1406</v>
      </c>
      <c r="C448" s="2" t="s">
        <v>26</v>
      </c>
      <c r="D448" s="2" t="s">
        <v>27</v>
      </c>
      <c r="E448" s="4">
        <v>-32010</v>
      </c>
      <c r="F448" s="3" t="s">
        <v>243</v>
      </c>
      <c r="G448" s="3" t="s">
        <v>45</v>
      </c>
      <c r="H448" s="2" t="s">
        <v>21</v>
      </c>
      <c r="I448" s="2" t="s">
        <v>1407</v>
      </c>
      <c r="J448" s="3" t="str">
        <f>HYPERLINK("https://www.boe.es/gazeta/dias/1812/05/10/pdfs/GMD-1812-131.pdf#page=3","Abrir facsímil")</f>
        <v>Abrir facsímil</v>
      </c>
      <c r="K448" s="3" t="s">
        <v>23</v>
      </c>
    </row>
    <row r="449" spans="1:11" ht="42" customHeight="1">
      <c r="A449" s="2" t="s">
        <v>1408</v>
      </c>
      <c r="B449" s="2" t="s">
        <v>1409</v>
      </c>
      <c r="C449" s="2" t="s">
        <v>17</v>
      </c>
      <c r="D449" s="2" t="s">
        <v>18</v>
      </c>
      <c r="E449" s="4">
        <v>-32139</v>
      </c>
      <c r="F449" s="3" t="s">
        <v>288</v>
      </c>
      <c r="G449" s="3" t="s">
        <v>20</v>
      </c>
      <c r="H449" s="2" t="s">
        <v>21</v>
      </c>
      <c r="I449" s="2" t="s">
        <v>1410</v>
      </c>
      <c r="J449" s="3" t="str">
        <f>HYPERLINK("https://www.boe.es/gazeta/dias/1812/01/02/pdfs/GMD-1812-2.pdf#page=3","Abrir facsímil")</f>
        <v>Abrir facsímil</v>
      </c>
      <c r="K449" s="3" t="s">
        <v>23</v>
      </c>
    </row>
    <row r="450" spans="1:11" ht="42" customHeight="1">
      <c r="A450" s="2" t="s">
        <v>1411</v>
      </c>
      <c r="B450" s="2" t="s">
        <v>1412</v>
      </c>
      <c r="C450" s="2" t="s">
        <v>67</v>
      </c>
      <c r="D450" s="2" t="s">
        <v>27</v>
      </c>
      <c r="E450" s="4">
        <v>-32066</v>
      </c>
      <c r="F450" s="3" t="s">
        <v>291</v>
      </c>
      <c r="G450" s="3" t="s">
        <v>1413</v>
      </c>
      <c r="H450" s="2" t="s">
        <v>21</v>
      </c>
      <c r="I450" s="2" t="s">
        <v>1414</v>
      </c>
      <c r="J450" s="3" t="str">
        <f>HYPERLINK("https://www.boe.es/gazeta/dias/1812/03/15/pdfs/GMD-1812-75.pdf#page=3","Abrir facsímil")</f>
        <v>Abrir facsímil</v>
      </c>
      <c r="K450" s="3" t="s">
        <v>23</v>
      </c>
    </row>
    <row r="451" spans="1:11" ht="42" customHeight="1">
      <c r="A451" s="2" t="s">
        <v>1415</v>
      </c>
      <c r="B451" s="2" t="s">
        <v>1416</v>
      </c>
      <c r="C451" s="2" t="s">
        <v>549</v>
      </c>
      <c r="D451" s="2" t="s">
        <v>27</v>
      </c>
      <c r="E451" s="4">
        <v>-32022</v>
      </c>
      <c r="F451" s="3" t="s">
        <v>1186</v>
      </c>
      <c r="G451" s="3" t="s">
        <v>336</v>
      </c>
      <c r="H451" s="2" t="s">
        <v>21</v>
      </c>
      <c r="I451" s="2" t="s">
        <v>1417</v>
      </c>
      <c r="J451" s="3" t="str">
        <f>HYPERLINK("https://www.boe.es/gazeta/dias/1812/04/28/pdfs/GRE-1812-53.pdf#page=8","Abrir facsímil")</f>
        <v>Abrir facsímil</v>
      </c>
      <c r="K451" s="3" t="s">
        <v>23</v>
      </c>
    </row>
    <row r="452" spans="1:11" ht="42" customHeight="1">
      <c r="A452" s="2" t="s">
        <v>1418</v>
      </c>
      <c r="B452" s="2" t="s">
        <v>1419</v>
      </c>
      <c r="C452" s="2" t="s">
        <v>17</v>
      </c>
      <c r="D452" s="2" t="s">
        <v>18</v>
      </c>
      <c r="E452" s="4">
        <v>-32118</v>
      </c>
      <c r="F452" s="3" t="s">
        <v>1420</v>
      </c>
      <c r="G452" s="3" t="s">
        <v>404</v>
      </c>
      <c r="H452" s="2" t="s">
        <v>21</v>
      </c>
      <c r="I452" s="2" t="s">
        <v>1421</v>
      </c>
      <c r="J452" s="3" t="str">
        <f>HYPERLINK("https://www.boe.es/gazeta/dias/1812/01/23/pdfs/GEI-1812-10.pdf#page=8","Abrir facsímil")</f>
        <v>Abrir facsímil</v>
      </c>
      <c r="K452" s="3" t="s">
        <v>23</v>
      </c>
    </row>
    <row r="453" spans="1:11" ht="42" customHeight="1">
      <c r="A453" s="2" t="s">
        <v>1422</v>
      </c>
      <c r="B453" s="2" t="s">
        <v>1423</v>
      </c>
      <c r="C453" s="2" t="s">
        <v>17</v>
      </c>
      <c r="D453" s="2" t="s">
        <v>18</v>
      </c>
      <c r="E453" s="4">
        <v>-31992</v>
      </c>
      <c r="F453" s="3" t="s">
        <v>1292</v>
      </c>
      <c r="G453" s="3" t="s">
        <v>1424</v>
      </c>
      <c r="H453" s="2" t="s">
        <v>21</v>
      </c>
      <c r="I453" s="2" t="s">
        <v>1425</v>
      </c>
      <c r="J453" s="3" t="str">
        <f>HYPERLINK("https://www.boe.es/gazeta/dias/1812/05/28/pdfs/GRE-1812-66.pdf#page=5","Abrir facsímil")</f>
        <v>Abrir facsímil</v>
      </c>
      <c r="K453" s="3" t="s">
        <v>23</v>
      </c>
    </row>
    <row r="454" spans="1:11" ht="42" customHeight="1">
      <c r="A454" s="2" t="s">
        <v>1426</v>
      </c>
      <c r="B454" s="2" t="s">
        <v>1427</v>
      </c>
      <c r="C454" s="2" t="s">
        <v>26</v>
      </c>
      <c r="D454" s="2" t="s">
        <v>27</v>
      </c>
      <c r="E454" s="4">
        <v>-32000</v>
      </c>
      <c r="F454" s="3" t="s">
        <v>878</v>
      </c>
      <c r="G454" s="3" t="s">
        <v>214</v>
      </c>
      <c r="H454" s="2" t="s">
        <v>21</v>
      </c>
      <c r="I454" s="2" t="s">
        <v>1428</v>
      </c>
      <c r="J454" s="3" t="str">
        <f>HYPERLINK("https://www.boe.es/gazeta/dias/1812/05/20/pdfs/GMD-1812-141.pdf#page=2","Abrir facsímil")</f>
        <v>Abrir facsímil</v>
      </c>
      <c r="K454" s="3" t="s">
        <v>23</v>
      </c>
    </row>
    <row r="455" spans="1:11" ht="42" customHeight="1">
      <c r="A455" s="2" t="s">
        <v>1429</v>
      </c>
      <c r="B455" s="2" t="s">
        <v>1429</v>
      </c>
      <c r="C455" s="2" t="s">
        <v>17</v>
      </c>
      <c r="D455" s="2" t="s">
        <v>27</v>
      </c>
      <c r="E455" s="4">
        <v>-31887</v>
      </c>
      <c r="F455" s="3" t="s">
        <v>701</v>
      </c>
      <c r="G455" s="3" t="s">
        <v>233</v>
      </c>
      <c r="H455" s="2" t="s">
        <v>21</v>
      </c>
      <c r="I455" s="2" t="s">
        <v>1430</v>
      </c>
      <c r="J455" s="3" t="str">
        <f>HYPERLINK("https://www.boe.es/gazeta/dias/1812/09/10/pdfs/GMR-1812-12.pdf#page=7","Abrir facsímil")</f>
        <v>Abrir facsímil</v>
      </c>
      <c r="K455" s="3" t="s">
        <v>23</v>
      </c>
    </row>
    <row r="456" spans="1:11" ht="42" customHeight="1">
      <c r="A456" s="2" t="s">
        <v>1431</v>
      </c>
      <c r="B456" s="2" t="s">
        <v>1431</v>
      </c>
      <c r="C456" s="2" t="s">
        <v>17</v>
      </c>
      <c r="D456" s="2" t="s">
        <v>18</v>
      </c>
      <c r="E456" s="4">
        <v>-32060</v>
      </c>
      <c r="F456" s="3" t="s">
        <v>1403</v>
      </c>
      <c r="G456" s="3" t="s">
        <v>1432</v>
      </c>
      <c r="H456" s="2" t="s">
        <v>21</v>
      </c>
      <c r="I456" s="2" t="s">
        <v>1433</v>
      </c>
      <c r="J456" s="3" t="str">
        <f>HYPERLINK("https://www.boe.es/gazeta/dias/1812/03/21/pdfs/GRE-1812-36.pdf#page=2","Abrir facsímil")</f>
        <v>Abrir facsímil</v>
      </c>
      <c r="K456" s="3" t="s">
        <v>23</v>
      </c>
    </row>
    <row r="457" spans="1:11" ht="42" customHeight="1">
      <c r="A457" s="2" t="s">
        <v>1431</v>
      </c>
      <c r="B457" s="2" t="s">
        <v>1431</v>
      </c>
      <c r="C457" s="2" t="s">
        <v>17</v>
      </c>
      <c r="D457" s="2" t="s">
        <v>27</v>
      </c>
      <c r="E457" s="4">
        <v>-31887</v>
      </c>
      <c r="F457" s="3" t="s">
        <v>701</v>
      </c>
      <c r="G457" s="3" t="s">
        <v>233</v>
      </c>
      <c r="H457" s="2" t="s">
        <v>21</v>
      </c>
      <c r="I457" s="2" t="s">
        <v>1434</v>
      </c>
      <c r="J457" s="3" t="str">
        <f>HYPERLINK("https://www.boe.es/gazeta/dias/1812/09/10/pdfs/GMR-1812-12.pdf#page=7","Abrir facsímil")</f>
        <v>Abrir facsímil</v>
      </c>
      <c r="K457" s="3" t="s">
        <v>23</v>
      </c>
    </row>
    <row r="458" spans="1:11" ht="42" customHeight="1">
      <c r="A458" s="2" t="s">
        <v>1435</v>
      </c>
      <c r="B458" s="2" t="s">
        <v>1436</v>
      </c>
      <c r="C458" s="2" t="s">
        <v>26</v>
      </c>
      <c r="D458" s="2" t="s">
        <v>134</v>
      </c>
      <c r="E458" s="4">
        <v>-31983</v>
      </c>
      <c r="F458" s="3" t="s">
        <v>1437</v>
      </c>
      <c r="G458" s="3" t="s">
        <v>1438</v>
      </c>
      <c r="H458" s="2" t="s">
        <v>21</v>
      </c>
      <c r="I458" s="2" t="s">
        <v>1439</v>
      </c>
      <c r="J458" s="3" t="str">
        <f>HYPERLINK("https://www.boe.es/gazeta/dias/1812/06/06/pdfs/GRE-F-1812-70.pdf#page=4","Abrir facsímil")</f>
        <v>Abrir facsímil</v>
      </c>
      <c r="K458" s="3" t="s">
        <v>23</v>
      </c>
    </row>
    <row r="459" spans="1:11" ht="42" customHeight="1">
      <c r="A459" s="2" t="s">
        <v>1440</v>
      </c>
      <c r="B459" s="2" t="s">
        <v>1441</v>
      </c>
      <c r="C459" s="2" t="s">
        <v>26</v>
      </c>
      <c r="D459" s="2" t="s">
        <v>27</v>
      </c>
      <c r="E459" s="4">
        <v>-32110</v>
      </c>
      <c r="F459" s="3" t="s">
        <v>68</v>
      </c>
      <c r="G459" s="3" t="s">
        <v>20</v>
      </c>
      <c r="H459" s="2" t="s">
        <v>21</v>
      </c>
      <c r="I459" s="2" t="s">
        <v>1442</v>
      </c>
      <c r="J459" s="3" t="str">
        <f>HYPERLINK("https://www.boe.es/gazeta/dias/1812/01/31/pdfs/GMD-1812-31.pdf#page=3","Abrir facsímil")</f>
        <v>Abrir facsímil</v>
      </c>
      <c r="K459" s="3" t="s">
        <v>23</v>
      </c>
    </row>
    <row r="460" spans="1:11" ht="42" customHeight="1">
      <c r="A460" s="2" t="s">
        <v>1443</v>
      </c>
      <c r="B460" s="2" t="s">
        <v>1444</v>
      </c>
      <c r="C460" s="2" t="s">
        <v>26</v>
      </c>
      <c r="D460" s="2" t="s">
        <v>27</v>
      </c>
      <c r="E460" s="4">
        <v>-31938</v>
      </c>
      <c r="F460" s="3" t="s">
        <v>324</v>
      </c>
      <c r="G460" s="3" t="s">
        <v>237</v>
      </c>
      <c r="H460" s="2" t="s">
        <v>21</v>
      </c>
      <c r="I460" s="2" t="s">
        <v>1445</v>
      </c>
      <c r="J460" s="3" t="str">
        <f>HYPERLINK("https://www.boe.es/gazeta/dias/1812/07/21/pdfs/GMD-1812-203.pdf#page=2","Abrir facsímil")</f>
        <v>Abrir facsímil</v>
      </c>
      <c r="K460" s="3" t="s">
        <v>23</v>
      </c>
    </row>
    <row r="461" spans="1:11" ht="42" customHeight="1">
      <c r="A461" s="2" t="s">
        <v>1446</v>
      </c>
      <c r="B461" s="2" t="s">
        <v>1447</v>
      </c>
      <c r="C461" s="2" t="s">
        <v>17</v>
      </c>
      <c r="D461" s="2" t="s">
        <v>27</v>
      </c>
      <c r="E461" s="4">
        <v>-32100</v>
      </c>
      <c r="F461" s="3" t="s">
        <v>492</v>
      </c>
      <c r="G461" s="3" t="s">
        <v>1448</v>
      </c>
      <c r="H461" s="2" t="s">
        <v>21</v>
      </c>
      <c r="I461" s="2" t="s">
        <v>1449</v>
      </c>
      <c r="J461" s="3" t="str">
        <f>HYPERLINK("https://www.boe.es/gazeta/dias/1812/02/10/pdfs/GRE-1812-31.pdf#page=7","Abrir facsímil")</f>
        <v>Abrir facsímil</v>
      </c>
      <c r="K461" s="3" t="s">
        <v>23</v>
      </c>
    </row>
    <row r="462" spans="1:11" ht="42" customHeight="1">
      <c r="A462" s="2" t="s">
        <v>1446</v>
      </c>
      <c r="B462" s="2" t="s">
        <v>1447</v>
      </c>
      <c r="C462" s="2" t="s">
        <v>17</v>
      </c>
      <c r="D462" s="2" t="s">
        <v>27</v>
      </c>
      <c r="E462" s="4">
        <v>-32071</v>
      </c>
      <c r="F462" s="3" t="s">
        <v>492</v>
      </c>
      <c r="G462" s="3" t="s">
        <v>1448</v>
      </c>
      <c r="H462" s="2" t="s">
        <v>21</v>
      </c>
      <c r="I462" s="2" t="s">
        <v>1449</v>
      </c>
      <c r="J462" s="3" t="str">
        <f>HYPERLINK("https://www.boe.es/gazeta/dias/1812/03/10/pdfs/GRE-1812-31.pdf#page=7","Abrir facsímil")</f>
        <v>Abrir facsímil</v>
      </c>
      <c r="K462" s="3" t="s">
        <v>23</v>
      </c>
    </row>
    <row r="463" spans="1:11" ht="42" customHeight="1">
      <c r="A463" s="2" t="s">
        <v>1450</v>
      </c>
      <c r="B463" s="2" t="s">
        <v>1451</v>
      </c>
      <c r="C463" s="2" t="s">
        <v>26</v>
      </c>
      <c r="D463" s="2" t="s">
        <v>27</v>
      </c>
      <c r="E463" s="4">
        <v>-31838</v>
      </c>
      <c r="F463" s="3" t="s">
        <v>1452</v>
      </c>
      <c r="G463" s="3" t="s">
        <v>29</v>
      </c>
      <c r="H463" s="2" t="s">
        <v>21</v>
      </c>
      <c r="I463" s="2" t="s">
        <v>1453</v>
      </c>
      <c r="J463" s="3" t="str">
        <f>HYPERLINK("https://www.boe.es/gazeta/dias/1812/10/29/pdfs/GMR-1812-33.pdf#page=8","Abrir facsímil")</f>
        <v>Abrir facsímil</v>
      </c>
      <c r="K463" s="3" t="s">
        <v>23</v>
      </c>
    </row>
    <row r="464" spans="1:11" ht="42" customHeight="1">
      <c r="A464" s="2" t="s">
        <v>1454</v>
      </c>
      <c r="B464" s="2" t="s">
        <v>1455</v>
      </c>
      <c r="C464" s="2" t="s">
        <v>26</v>
      </c>
      <c r="D464" s="2" t="s">
        <v>27</v>
      </c>
      <c r="E464" s="4">
        <v>-32111</v>
      </c>
      <c r="F464" s="3" t="s">
        <v>553</v>
      </c>
      <c r="G464" s="3" t="s">
        <v>514</v>
      </c>
      <c r="H464" s="2" t="s">
        <v>21</v>
      </c>
      <c r="I464" s="2" t="s">
        <v>1456</v>
      </c>
      <c r="J464" s="3" t="str">
        <f>HYPERLINK("https://www.boe.es/gazeta/dias/1812/01/30/pdfs/GRE-1812-13.pdf#page=3","Abrir facsímil")</f>
        <v>Abrir facsímil</v>
      </c>
      <c r="K464" s="3" t="s">
        <v>23</v>
      </c>
    </row>
    <row r="465" spans="1:11" ht="42" customHeight="1">
      <c r="A465" s="2" t="s">
        <v>1457</v>
      </c>
      <c r="B465" s="2" t="s">
        <v>1458</v>
      </c>
      <c r="C465" s="2" t="s">
        <v>17</v>
      </c>
      <c r="D465" s="2" t="s">
        <v>18</v>
      </c>
      <c r="E465" s="4">
        <v>-31822</v>
      </c>
      <c r="F465" s="3" t="s">
        <v>541</v>
      </c>
      <c r="G465" s="3" t="s">
        <v>1459</v>
      </c>
      <c r="H465" s="2" t="s">
        <v>21</v>
      </c>
      <c r="I465" s="2" t="s">
        <v>1460</v>
      </c>
      <c r="J465" s="3" t="str">
        <f>HYPERLINK("https://www.boe.es/gazeta/dias/1812/11/14/pdfs/GRE-1812-152.pdf#page=8","Abrir facsímil")</f>
        <v>Abrir facsímil</v>
      </c>
      <c r="K465" s="3" t="s">
        <v>23</v>
      </c>
    </row>
    <row r="466" spans="1:11" ht="42" customHeight="1">
      <c r="A466" s="2" t="s">
        <v>1461</v>
      </c>
      <c r="B466" s="2" t="s">
        <v>1462</v>
      </c>
      <c r="C466" s="2" t="s">
        <v>17</v>
      </c>
      <c r="D466" s="2" t="s">
        <v>18</v>
      </c>
      <c r="E466" s="4">
        <v>-31992</v>
      </c>
      <c r="F466" s="3" t="s">
        <v>1292</v>
      </c>
      <c r="G466" s="3" t="s">
        <v>1424</v>
      </c>
      <c r="H466" s="2" t="s">
        <v>21</v>
      </c>
      <c r="I466" s="2" t="s">
        <v>1463</v>
      </c>
      <c r="J466" s="3" t="str">
        <f>HYPERLINK("https://www.boe.es/gazeta/dias/1812/05/28/pdfs/GRE-1812-66.pdf#page=5","Abrir facsímil")</f>
        <v>Abrir facsímil</v>
      </c>
      <c r="K466" s="3" t="s">
        <v>23</v>
      </c>
    </row>
    <row r="467" spans="1:11" ht="42" customHeight="1">
      <c r="A467" s="2" t="s">
        <v>1464</v>
      </c>
      <c r="B467" s="2" t="s">
        <v>1465</v>
      </c>
      <c r="C467" s="2" t="s">
        <v>17</v>
      </c>
      <c r="D467" s="2" t="s">
        <v>27</v>
      </c>
      <c r="E467" s="4">
        <v>-32110</v>
      </c>
      <c r="F467" s="3" t="s">
        <v>68</v>
      </c>
      <c r="G467" s="3" t="s">
        <v>20</v>
      </c>
      <c r="H467" s="2" t="s">
        <v>21</v>
      </c>
      <c r="I467" s="2" t="s">
        <v>1466</v>
      </c>
      <c r="J467" s="3" t="str">
        <f>HYPERLINK("https://www.boe.es/gazeta/dias/1812/01/31/pdfs/GMD-1812-31.pdf#page=3","Abrir facsímil")</f>
        <v>Abrir facsímil</v>
      </c>
      <c r="K467" s="3" t="s">
        <v>23</v>
      </c>
    </row>
    <row r="468" spans="1:11" ht="42" customHeight="1">
      <c r="A468" s="2" t="s">
        <v>1467</v>
      </c>
      <c r="B468" s="2" t="s">
        <v>1467</v>
      </c>
      <c r="C468" s="2" t="s">
        <v>105</v>
      </c>
      <c r="D468" s="2" t="s">
        <v>27</v>
      </c>
      <c r="E468" s="4">
        <v>-31847</v>
      </c>
      <c r="F468" s="3" t="s">
        <v>219</v>
      </c>
      <c r="G468" s="3" t="s">
        <v>1468</v>
      </c>
      <c r="H468" s="2" t="s">
        <v>21</v>
      </c>
      <c r="I468" s="2" t="s">
        <v>1469</v>
      </c>
      <c r="J468" s="3" t="str">
        <f>HYPERLINK("https://www.boe.es/gazeta/dias/1812/10/20/pdfs/GRE-1812-141.pdf#page=3","Abrir facsímil")</f>
        <v>Abrir facsímil</v>
      </c>
      <c r="K468" s="3" t="s">
        <v>23</v>
      </c>
    </row>
    <row r="469" spans="1:11" ht="42" customHeight="1">
      <c r="A469" s="2" t="s">
        <v>1470</v>
      </c>
      <c r="B469" s="2" t="s">
        <v>1471</v>
      </c>
      <c r="C469" s="2" t="s">
        <v>26</v>
      </c>
      <c r="D469" s="2" t="s">
        <v>27</v>
      </c>
      <c r="E469" s="4">
        <v>-31966</v>
      </c>
      <c r="F469" s="3" t="s">
        <v>387</v>
      </c>
      <c r="G469" s="3" t="s">
        <v>388</v>
      </c>
      <c r="H469" s="2" t="s">
        <v>21</v>
      </c>
      <c r="I469" s="2" t="s">
        <v>1472</v>
      </c>
      <c r="J469" s="3" t="str">
        <f>HYPERLINK("https://www.boe.es/gazeta/dias/1812/06/23/pdfs/GMD-1812-175.pdf#page=2","Abrir facsímil")</f>
        <v>Abrir facsímil</v>
      </c>
      <c r="K469" s="3" t="s">
        <v>23</v>
      </c>
    </row>
    <row r="470" spans="1:11" ht="42" customHeight="1">
      <c r="A470" s="2" t="s">
        <v>1473</v>
      </c>
      <c r="B470" s="2" t="s">
        <v>1473</v>
      </c>
      <c r="C470" s="2" t="s">
        <v>49</v>
      </c>
      <c r="D470" s="2" t="s">
        <v>27</v>
      </c>
      <c r="E470" s="4">
        <v>-32039</v>
      </c>
      <c r="F470" s="3" t="s">
        <v>557</v>
      </c>
      <c r="G470" s="3" t="s">
        <v>514</v>
      </c>
      <c r="H470" s="2" t="s">
        <v>21</v>
      </c>
      <c r="I470" s="2" t="s">
        <v>1474</v>
      </c>
      <c r="J470" s="3" t="str">
        <f>HYPERLINK("https://www.boe.es/gazeta/dias/1812/04/11/pdfs/GMD-1812-102.pdf#page=3","Abrir facsímil")</f>
        <v>Abrir facsímil</v>
      </c>
      <c r="K470" s="3" t="s">
        <v>23</v>
      </c>
    </row>
    <row r="471" spans="1:11" ht="42" customHeight="1">
      <c r="A471" s="2" t="s">
        <v>1475</v>
      </c>
      <c r="B471" s="2" t="s">
        <v>1476</v>
      </c>
      <c r="C471" s="2" t="s">
        <v>26</v>
      </c>
      <c r="D471" s="2" t="s">
        <v>27</v>
      </c>
      <c r="E471" s="4">
        <v>-32022</v>
      </c>
      <c r="F471" s="3" t="s">
        <v>1186</v>
      </c>
      <c r="G471" s="3" t="s">
        <v>336</v>
      </c>
      <c r="H471" s="2" t="s">
        <v>21</v>
      </c>
      <c r="I471" s="2" t="s">
        <v>1477</v>
      </c>
      <c r="J471" s="3" t="str">
        <f>HYPERLINK("https://www.boe.es/gazeta/dias/1812/04/28/pdfs/GRE-1812-53.pdf#page=8","Abrir facsímil")</f>
        <v>Abrir facsímil</v>
      </c>
      <c r="K471" s="3" t="s">
        <v>23</v>
      </c>
    </row>
    <row r="472" spans="1:11" ht="42" customHeight="1">
      <c r="A472" s="2" t="s">
        <v>1478</v>
      </c>
      <c r="B472" s="2" t="s">
        <v>1479</v>
      </c>
      <c r="C472" s="2" t="s">
        <v>26</v>
      </c>
      <c r="D472" s="2" t="s">
        <v>27</v>
      </c>
      <c r="E472" s="4">
        <v>-32118</v>
      </c>
      <c r="F472" s="3" t="s">
        <v>964</v>
      </c>
      <c r="G472" s="3" t="s">
        <v>965</v>
      </c>
      <c r="H472" s="2" t="s">
        <v>21</v>
      </c>
      <c r="I472" s="2" t="s">
        <v>1480</v>
      </c>
      <c r="J472" s="3" t="str">
        <f>HYPERLINK("https://www.boe.es/gazeta/dias/1812/01/23/pdfs/GEI-H-1812-10.pdf#page=4","Abrir facsímil")</f>
        <v>Abrir facsímil</v>
      </c>
      <c r="K472" s="3" t="s">
        <v>23</v>
      </c>
    </row>
    <row r="473" spans="1:11" ht="42" customHeight="1">
      <c r="A473" s="2" t="s">
        <v>1481</v>
      </c>
      <c r="B473" s="2" t="s">
        <v>1481</v>
      </c>
      <c r="C473" s="2" t="s">
        <v>17</v>
      </c>
      <c r="D473" s="2" t="s">
        <v>18</v>
      </c>
      <c r="E473" s="4">
        <v>-32063</v>
      </c>
      <c r="F473" s="3" t="s">
        <v>384</v>
      </c>
      <c r="G473" s="3" t="s">
        <v>20</v>
      </c>
      <c r="H473" s="2" t="s">
        <v>21</v>
      </c>
      <c r="I473" s="2" t="s">
        <v>1482</v>
      </c>
      <c r="J473" s="3" t="str">
        <f>HYPERLINK("https://www.boe.es/gazeta/dias/1812/03/18/pdfs/GMD-1812-78.pdf#page=4","Abrir facsímil")</f>
        <v>Abrir facsímil</v>
      </c>
      <c r="K473" s="3" t="s">
        <v>23</v>
      </c>
    </row>
    <row r="474" spans="1:11" ht="42" customHeight="1">
      <c r="A474" s="2" t="s">
        <v>1483</v>
      </c>
      <c r="B474" s="2" t="s">
        <v>1484</v>
      </c>
      <c r="C474" s="2" t="s">
        <v>26</v>
      </c>
      <c r="D474" s="2" t="s">
        <v>27</v>
      </c>
      <c r="E474" s="4">
        <v>-31945</v>
      </c>
      <c r="F474" s="3" t="s">
        <v>1485</v>
      </c>
      <c r="G474" s="3" t="s">
        <v>1486</v>
      </c>
      <c r="H474" s="2" t="s">
        <v>21</v>
      </c>
      <c r="I474" s="2" t="s">
        <v>1487</v>
      </c>
      <c r="J474" s="3" t="str">
        <f>HYPERLINK("https://www.boe.es/gazeta/dias/1812/07/14/pdfs/GRE-1812-88.pdf#page=1","Abrir facsímil")</f>
        <v>Abrir facsímil</v>
      </c>
      <c r="K474" s="3" t="s">
        <v>23</v>
      </c>
    </row>
    <row r="475" spans="1:11" ht="42" customHeight="1">
      <c r="A475" s="2" t="s">
        <v>1488</v>
      </c>
      <c r="B475" s="2" t="s">
        <v>1488</v>
      </c>
      <c r="C475" s="2" t="s">
        <v>17</v>
      </c>
      <c r="D475" s="2" t="s">
        <v>27</v>
      </c>
      <c r="E475" s="4">
        <v>-31913</v>
      </c>
      <c r="F475" s="3" t="s">
        <v>450</v>
      </c>
      <c r="G475" s="3" t="s">
        <v>1489</v>
      </c>
      <c r="H475" s="2" t="s">
        <v>21</v>
      </c>
      <c r="I475" s="2" t="s">
        <v>1490</v>
      </c>
      <c r="J475" s="3" t="str">
        <f>HYPERLINK("https://www.boe.es/gazeta/dias/1812/08/15/pdfs/GRE-1812-105.pdf#page=3","Abrir facsímil")</f>
        <v>Abrir facsímil</v>
      </c>
      <c r="K475" s="3" t="s">
        <v>23</v>
      </c>
    </row>
    <row r="476" spans="1:11" ht="42" customHeight="1">
      <c r="A476" s="2" t="s">
        <v>1491</v>
      </c>
      <c r="B476" s="2" t="s">
        <v>1492</v>
      </c>
      <c r="C476" s="2" t="s">
        <v>26</v>
      </c>
      <c r="D476" s="2" t="s">
        <v>275</v>
      </c>
      <c r="E476" s="4">
        <v>-32055</v>
      </c>
      <c r="F476" s="3" t="s">
        <v>1271</v>
      </c>
      <c r="G476" s="3" t="s">
        <v>130</v>
      </c>
      <c r="H476" s="2" t="s">
        <v>21</v>
      </c>
      <c r="I476" s="2" t="s">
        <v>1493</v>
      </c>
      <c r="J476" s="3" t="str">
        <f>HYPERLINK("https://www.boe.es/gazeta/dias/1812/03/26/pdfs/GMD-1812-86.pdf#page=4","Abrir facsímil")</f>
        <v>Abrir facsímil</v>
      </c>
      <c r="K476" s="3" t="s">
        <v>23</v>
      </c>
    </row>
    <row r="477" spans="1:11" ht="42" customHeight="1">
      <c r="A477" s="2" t="s">
        <v>1494</v>
      </c>
      <c r="B477" s="2" t="s">
        <v>1495</v>
      </c>
      <c r="C477" s="2" t="s">
        <v>17</v>
      </c>
      <c r="D477" s="2" t="s">
        <v>18</v>
      </c>
      <c r="E477" s="4">
        <v>-32083</v>
      </c>
      <c r="F477" s="3" t="s">
        <v>1496</v>
      </c>
      <c r="G477" s="3" t="s">
        <v>1497</v>
      </c>
      <c r="H477" s="2" t="s">
        <v>21</v>
      </c>
      <c r="I477" s="2" t="s">
        <v>1498</v>
      </c>
      <c r="J477" s="3" t="str">
        <f>HYPERLINK("https://www.boe.es/gazeta/dias/1812/02/27/pdfs/GRE-1812-26.pdf#page=1","Abrir facsímil")</f>
        <v>Abrir facsímil</v>
      </c>
      <c r="K477" s="3" t="s">
        <v>23</v>
      </c>
    </row>
    <row r="478" spans="1:11" ht="42" customHeight="1">
      <c r="A478" s="2" t="s">
        <v>1499</v>
      </c>
      <c r="B478" s="2" t="s">
        <v>1500</v>
      </c>
      <c r="C478" s="2" t="s">
        <v>26</v>
      </c>
      <c r="D478" s="2" t="s">
        <v>27</v>
      </c>
      <c r="E478" s="4">
        <v>-31899</v>
      </c>
      <c r="F478" s="3" t="s">
        <v>1396</v>
      </c>
      <c r="G478" s="3" t="s">
        <v>438</v>
      </c>
      <c r="H478" s="2" t="s">
        <v>21</v>
      </c>
      <c r="I478" s="2" t="s">
        <v>1501</v>
      </c>
      <c r="J478" s="3" t="str">
        <f>HYPERLINK("https://www.boe.es/gazeta/dias/1812/08/29/pdfs/GMR-1812-7.pdf#page=5","Abrir facsímil")</f>
        <v>Abrir facsímil</v>
      </c>
      <c r="K478" s="3" t="s">
        <v>23</v>
      </c>
    </row>
    <row r="479" spans="1:11" ht="42" customHeight="1">
      <c r="A479" s="2" t="s">
        <v>1499</v>
      </c>
      <c r="B479" s="2" t="s">
        <v>1500</v>
      </c>
      <c r="C479" s="2" t="s">
        <v>26</v>
      </c>
      <c r="D479" s="2" t="s">
        <v>27</v>
      </c>
      <c r="E479" s="4">
        <v>-31889</v>
      </c>
      <c r="F479" s="3" t="s">
        <v>424</v>
      </c>
      <c r="G479" s="3" t="s">
        <v>438</v>
      </c>
      <c r="H479" s="2" t="s">
        <v>21</v>
      </c>
      <c r="I479" s="2" t="s">
        <v>1502</v>
      </c>
      <c r="J479" s="3" t="str">
        <f>HYPERLINK("https://www.boe.es/gazeta/dias/1812/09/08/pdfs/GRE-1812-121.pdf#page=4","Abrir facsímil")</f>
        <v>Abrir facsímil</v>
      </c>
      <c r="K479" s="3" t="s">
        <v>23</v>
      </c>
    </row>
    <row r="480" spans="1:11" ht="42" customHeight="1">
      <c r="A480" s="2" t="s">
        <v>1499</v>
      </c>
      <c r="B480" s="2" t="s">
        <v>1500</v>
      </c>
      <c r="C480" s="2" t="s">
        <v>26</v>
      </c>
      <c r="D480" s="2" t="s">
        <v>27</v>
      </c>
      <c r="E480" s="4">
        <v>-31875</v>
      </c>
      <c r="F480" s="3" t="s">
        <v>110</v>
      </c>
      <c r="G480" s="3" t="s">
        <v>1503</v>
      </c>
      <c r="H480" s="2" t="s">
        <v>21</v>
      </c>
      <c r="I480" s="2" t="s">
        <v>1504</v>
      </c>
      <c r="J480" s="3" t="str">
        <f>HYPERLINK("https://www.boe.es/gazeta/dias/1812/09/22/pdfs/GRE-1812-128.pdf#page=4","Abrir facsímil")</f>
        <v>Abrir facsímil</v>
      </c>
      <c r="K480" s="3" t="s">
        <v>23</v>
      </c>
    </row>
    <row r="481" spans="1:11" ht="42" customHeight="1">
      <c r="A481" s="2" t="s">
        <v>1505</v>
      </c>
      <c r="B481" s="2" t="s">
        <v>1506</v>
      </c>
      <c r="C481" s="2" t="s">
        <v>26</v>
      </c>
      <c r="D481" s="2" t="s">
        <v>27</v>
      </c>
      <c r="E481" s="4">
        <v>-32100</v>
      </c>
      <c r="F481" s="3" t="s">
        <v>492</v>
      </c>
      <c r="G481" s="3" t="s">
        <v>493</v>
      </c>
      <c r="H481" s="2" t="s">
        <v>21</v>
      </c>
      <c r="I481" s="2" t="s">
        <v>1507</v>
      </c>
      <c r="J481" s="3" t="str">
        <f>HYPERLINK("https://www.boe.es/gazeta/dias/1812/02/10/pdfs/GRE-1812-31.pdf#page=8","Abrir facsímil")</f>
        <v>Abrir facsímil</v>
      </c>
      <c r="K481" s="3" t="s">
        <v>23</v>
      </c>
    </row>
    <row r="482" spans="1:11" ht="42" customHeight="1">
      <c r="A482" s="2" t="s">
        <v>1505</v>
      </c>
      <c r="B482" s="2" t="s">
        <v>1506</v>
      </c>
      <c r="C482" s="2" t="s">
        <v>26</v>
      </c>
      <c r="D482" s="2" t="s">
        <v>27</v>
      </c>
      <c r="E482" s="4">
        <v>-32071</v>
      </c>
      <c r="F482" s="3" t="s">
        <v>492</v>
      </c>
      <c r="G482" s="3" t="s">
        <v>493</v>
      </c>
      <c r="H482" s="2" t="s">
        <v>21</v>
      </c>
      <c r="I482" s="2" t="s">
        <v>1507</v>
      </c>
      <c r="J482" s="3" t="str">
        <f>HYPERLINK("https://www.boe.es/gazeta/dias/1812/03/10/pdfs/GRE-1812-31.pdf#page=8","Abrir facsímil")</f>
        <v>Abrir facsímil</v>
      </c>
      <c r="K482" s="3" t="s">
        <v>23</v>
      </c>
    </row>
    <row r="483" spans="1:11" ht="42" customHeight="1">
      <c r="A483" s="2" t="s">
        <v>1508</v>
      </c>
      <c r="B483" s="2" t="s">
        <v>1509</v>
      </c>
      <c r="C483" s="2" t="s">
        <v>186</v>
      </c>
      <c r="D483" s="2" t="s">
        <v>275</v>
      </c>
      <c r="E483" s="4">
        <v>-32034</v>
      </c>
      <c r="F483" s="3" t="s">
        <v>1008</v>
      </c>
      <c r="G483" s="3" t="s">
        <v>1009</v>
      </c>
      <c r="H483" s="2" t="s">
        <v>21</v>
      </c>
      <c r="I483" s="2" t="s">
        <v>1510</v>
      </c>
      <c r="J483" s="3" t="str">
        <f>HYPERLINK("https://www.boe.es/gazeta/dias/1812/04/16/pdfs/GRE-1812-48.pdf#page=8","Abrir facsímil")</f>
        <v>Abrir facsímil</v>
      </c>
      <c r="K483" s="3" t="s">
        <v>23</v>
      </c>
    </row>
    <row r="484" spans="1:11" ht="42" customHeight="1">
      <c r="A484" s="2" t="s">
        <v>1511</v>
      </c>
      <c r="B484" s="2" t="s">
        <v>1512</v>
      </c>
      <c r="C484" s="2" t="s">
        <v>26</v>
      </c>
      <c r="D484" s="2" t="s">
        <v>27</v>
      </c>
      <c r="E484" s="4">
        <v>-31817</v>
      </c>
      <c r="F484" s="3" t="s">
        <v>454</v>
      </c>
      <c r="G484" s="3" t="s">
        <v>1207</v>
      </c>
      <c r="H484" s="2" t="s">
        <v>21</v>
      </c>
      <c r="I484" s="2" t="s">
        <v>1513</v>
      </c>
      <c r="J484" s="3" t="str">
        <f>HYPERLINK("https://www.boe.es/gazeta/dias/1812/11/19/pdfs/GRE-1812-154.pdf#page=4","Abrir facsímil")</f>
        <v>Abrir facsímil</v>
      </c>
      <c r="K484" s="3" t="s">
        <v>23</v>
      </c>
    </row>
    <row r="485" spans="1:11" ht="42" customHeight="1">
      <c r="A485" s="2" t="s">
        <v>1514</v>
      </c>
      <c r="B485" s="2" t="s">
        <v>1514</v>
      </c>
      <c r="C485" s="2" t="s">
        <v>115</v>
      </c>
      <c r="D485" s="2" t="s">
        <v>18</v>
      </c>
      <c r="E485" s="4">
        <v>-31903</v>
      </c>
      <c r="F485" s="3" t="s">
        <v>626</v>
      </c>
      <c r="G485" s="3" t="s">
        <v>20</v>
      </c>
      <c r="H485" s="2" t="s">
        <v>21</v>
      </c>
      <c r="I485" s="2" t="s">
        <v>1515</v>
      </c>
      <c r="J485" s="3" t="str">
        <f>HYPERLINK("https://www.boe.es/gazeta/dias/1812/08/25/pdfs/GMR-1812-5.pdf#page=12","Abrir facsímil")</f>
        <v>Abrir facsímil</v>
      </c>
      <c r="K485" s="3" t="s">
        <v>23</v>
      </c>
    </row>
    <row r="486" spans="1:11" ht="42" customHeight="1">
      <c r="A486" s="2" t="s">
        <v>1516</v>
      </c>
      <c r="B486" s="2" t="s">
        <v>1517</v>
      </c>
      <c r="C486" s="2" t="s">
        <v>17</v>
      </c>
      <c r="D486" s="2" t="s">
        <v>18</v>
      </c>
      <c r="E486" s="4">
        <v>-32095</v>
      </c>
      <c r="F486" s="3" t="s">
        <v>284</v>
      </c>
      <c r="G486" s="3" t="s">
        <v>29</v>
      </c>
      <c r="H486" s="2" t="s">
        <v>21</v>
      </c>
      <c r="I486" s="2" t="s">
        <v>1518</v>
      </c>
      <c r="J486" s="3" t="str">
        <f>HYPERLINK("https://www.boe.es/gazeta/dias/1812/02/15/pdfs/GRE-1812-20.pdf#page=8","Abrir facsímil")</f>
        <v>Abrir facsímil</v>
      </c>
      <c r="K486" s="3" t="s">
        <v>23</v>
      </c>
    </row>
    <row r="487" spans="1:11" ht="42" customHeight="1">
      <c r="A487" s="2" t="s">
        <v>1519</v>
      </c>
      <c r="B487" s="2" t="s">
        <v>1520</v>
      </c>
      <c r="C487" s="2" t="s">
        <v>26</v>
      </c>
      <c r="D487" s="2" t="s">
        <v>27</v>
      </c>
      <c r="E487" s="4">
        <v>-32034</v>
      </c>
      <c r="F487" s="3" t="s">
        <v>1008</v>
      </c>
      <c r="G487" s="3" t="s">
        <v>1009</v>
      </c>
      <c r="H487" s="2" t="s">
        <v>21</v>
      </c>
      <c r="I487" s="2" t="s">
        <v>1521</v>
      </c>
      <c r="J487" s="3" t="str">
        <f>HYPERLINK("https://www.boe.es/gazeta/dias/1812/04/16/pdfs/GRE-1812-48.pdf#page=8","Abrir facsímil")</f>
        <v>Abrir facsímil</v>
      </c>
      <c r="K487" s="3" t="s">
        <v>23</v>
      </c>
    </row>
    <row r="488" spans="1:11" ht="42" customHeight="1">
      <c r="A488" s="2" t="s">
        <v>1522</v>
      </c>
      <c r="B488" s="2" t="s">
        <v>1523</v>
      </c>
      <c r="C488" s="2" t="s">
        <v>186</v>
      </c>
      <c r="D488" s="2" t="s">
        <v>27</v>
      </c>
      <c r="E488" s="4">
        <v>-32090</v>
      </c>
      <c r="F488" s="3" t="s">
        <v>142</v>
      </c>
      <c r="G488" s="3" t="s">
        <v>29</v>
      </c>
      <c r="H488" s="2" t="s">
        <v>21</v>
      </c>
      <c r="I488" s="2" t="s">
        <v>1524</v>
      </c>
      <c r="J488" s="3" t="str">
        <f>HYPERLINK("https://www.boe.es/gazeta/dias/1812/02/20/pdfs/GRE-1812-22.pdf#page=8","Abrir facsímil")</f>
        <v>Abrir facsímil</v>
      </c>
      <c r="K488" s="3" t="s">
        <v>23</v>
      </c>
    </row>
    <row r="489" spans="1:11" ht="42" customHeight="1">
      <c r="A489" s="2" t="s">
        <v>1525</v>
      </c>
      <c r="B489" s="2" t="s">
        <v>1526</v>
      </c>
      <c r="C489" s="2" t="s">
        <v>17</v>
      </c>
      <c r="D489" s="2" t="s">
        <v>27</v>
      </c>
      <c r="E489" s="4">
        <v>-31964</v>
      </c>
      <c r="F489" s="3" t="s">
        <v>305</v>
      </c>
      <c r="G489" s="3" t="s">
        <v>58</v>
      </c>
      <c r="H489" s="2" t="s">
        <v>21</v>
      </c>
      <c r="I489" s="2" t="s">
        <v>1527</v>
      </c>
      <c r="J489" s="3" t="str">
        <f>HYPERLINK("https://www.boe.es/gazeta/dias/1812/06/25/pdfs/GMD-1812-177.pdf#page=2","Abrir facsímil")</f>
        <v>Abrir facsímil</v>
      </c>
      <c r="K489" s="3" t="s">
        <v>23</v>
      </c>
    </row>
    <row r="490" spans="1:11" ht="42" customHeight="1">
      <c r="A490" s="2" t="s">
        <v>1528</v>
      </c>
      <c r="B490" s="2" t="s">
        <v>1529</v>
      </c>
      <c r="C490" s="2" t="s">
        <v>67</v>
      </c>
      <c r="D490" s="2" t="s">
        <v>27</v>
      </c>
      <c r="E490" s="4">
        <v>-31964</v>
      </c>
      <c r="F490" s="3" t="s">
        <v>305</v>
      </c>
      <c r="G490" s="3" t="s">
        <v>306</v>
      </c>
      <c r="H490" s="2" t="s">
        <v>21</v>
      </c>
      <c r="I490" s="2" t="s">
        <v>1530</v>
      </c>
      <c r="J490" s="3" t="str">
        <f>HYPERLINK("https://www.boe.es/gazeta/dias/1812/06/25/pdfs/GMD-1812-177.pdf#page=3","Abrir facsímil")</f>
        <v>Abrir facsímil</v>
      </c>
      <c r="K490" s="3" t="s">
        <v>23</v>
      </c>
    </row>
    <row r="491" spans="1:11" ht="42" customHeight="1">
      <c r="A491" s="2" t="s">
        <v>1531</v>
      </c>
      <c r="B491" s="2" t="s">
        <v>1532</v>
      </c>
      <c r="C491" s="2" t="s">
        <v>49</v>
      </c>
      <c r="D491" s="2" t="s">
        <v>27</v>
      </c>
      <c r="E491" s="4">
        <v>-31812</v>
      </c>
      <c r="F491" s="3" t="s">
        <v>1533</v>
      </c>
      <c r="G491" s="3" t="s">
        <v>965</v>
      </c>
      <c r="H491" s="2" t="s">
        <v>21</v>
      </c>
      <c r="I491" s="2" t="s">
        <v>1534</v>
      </c>
      <c r="J491" s="3" t="str">
        <f>HYPERLINK("https://www.boe.es/gazeta/dias/1812/11/24/pdfs/GMR-1812-37.pdf#page=5","Abrir facsímil")</f>
        <v>Abrir facsímil</v>
      </c>
      <c r="K491" s="3" t="s">
        <v>23</v>
      </c>
    </row>
    <row r="492" spans="1:11" ht="42" customHeight="1">
      <c r="A492" s="2" t="s">
        <v>1535</v>
      </c>
      <c r="B492" s="2" t="s">
        <v>1536</v>
      </c>
      <c r="C492" s="2" t="s">
        <v>115</v>
      </c>
      <c r="D492" s="2" t="s">
        <v>27</v>
      </c>
      <c r="E492" s="4">
        <v>-32023</v>
      </c>
      <c r="F492" s="3" t="s">
        <v>1537</v>
      </c>
      <c r="G492" s="3" t="s">
        <v>130</v>
      </c>
      <c r="H492" s="2" t="s">
        <v>21</v>
      </c>
      <c r="I492" s="2" t="s">
        <v>1538</v>
      </c>
      <c r="J492" s="3" t="str">
        <f>HYPERLINK("https://www.boe.es/gazeta/dias/1812/04/27/pdfs/GMD-1812-118.pdf#page=4","Abrir facsímil")</f>
        <v>Abrir facsímil</v>
      </c>
      <c r="K492" s="3" t="s">
        <v>23</v>
      </c>
    </row>
    <row r="493" spans="1:11" ht="42" customHeight="1">
      <c r="A493" s="2" t="s">
        <v>1539</v>
      </c>
      <c r="B493" s="2" t="s">
        <v>1540</v>
      </c>
      <c r="C493" s="2" t="s">
        <v>17</v>
      </c>
      <c r="D493" s="2" t="s">
        <v>134</v>
      </c>
      <c r="E493" s="4">
        <v>-31952</v>
      </c>
      <c r="F493" s="3" t="s">
        <v>1541</v>
      </c>
      <c r="G493" s="3" t="s">
        <v>1542</v>
      </c>
      <c r="H493" s="2" t="s">
        <v>21</v>
      </c>
      <c r="I493" s="2" t="s">
        <v>1543</v>
      </c>
      <c r="J493" s="3" t="str">
        <f>HYPERLINK("https://www.boe.es/gazeta/dias/1812/07/07/pdfs/GRE-F-1812-83.pdf#page=3","Abrir facsímil")</f>
        <v>Abrir facsímil</v>
      </c>
      <c r="K493" s="3" t="s">
        <v>23</v>
      </c>
    </row>
    <row r="494" spans="1:11" ht="42" customHeight="1">
      <c r="A494" s="2" t="s">
        <v>1544</v>
      </c>
      <c r="B494" s="2" t="s">
        <v>1545</v>
      </c>
      <c r="C494" s="2" t="s">
        <v>26</v>
      </c>
      <c r="D494" s="2" t="s">
        <v>27</v>
      </c>
      <c r="E494" s="4">
        <v>-32066</v>
      </c>
      <c r="F494" s="3" t="s">
        <v>291</v>
      </c>
      <c r="G494" s="3" t="s">
        <v>125</v>
      </c>
      <c r="H494" s="2" t="s">
        <v>21</v>
      </c>
      <c r="I494" s="2" t="s">
        <v>1546</v>
      </c>
      <c r="J494" s="3" t="str">
        <f>HYPERLINK("https://www.boe.es/gazeta/dias/1812/03/15/pdfs/GMD-1812-75.pdf#page=4","Abrir facsímil")</f>
        <v>Abrir facsímil</v>
      </c>
      <c r="K494" s="3" t="s">
        <v>23</v>
      </c>
    </row>
    <row r="495" spans="1:11" ht="42" customHeight="1">
      <c r="A495" s="2" t="s">
        <v>1547</v>
      </c>
      <c r="B495" s="2" t="s">
        <v>1548</v>
      </c>
      <c r="C495" s="2" t="s">
        <v>17</v>
      </c>
      <c r="D495" s="2" t="s">
        <v>27</v>
      </c>
      <c r="E495" s="4">
        <v>-32109</v>
      </c>
      <c r="F495" s="3" t="s">
        <v>62</v>
      </c>
      <c r="G495" s="3" t="s">
        <v>63</v>
      </c>
      <c r="H495" s="2" t="s">
        <v>21</v>
      </c>
      <c r="I495" s="2" t="s">
        <v>1549</v>
      </c>
      <c r="J495" s="3" t="str">
        <f>HYPERLINK("https://www.boe.es/gazeta/dias/1812/02/01/pdfs/GRE-1812-14.pdf#page=10","Abrir facsímil")</f>
        <v>Abrir facsímil</v>
      </c>
      <c r="K495" s="3" t="s">
        <v>23</v>
      </c>
    </row>
    <row r="496" spans="1:11" ht="42" customHeight="1">
      <c r="A496" s="2" t="s">
        <v>1550</v>
      </c>
      <c r="B496" s="2" t="s">
        <v>1551</v>
      </c>
      <c r="C496" s="2" t="s">
        <v>17</v>
      </c>
      <c r="D496" s="2" t="s">
        <v>18</v>
      </c>
      <c r="E496" s="4">
        <v>-31791</v>
      </c>
      <c r="F496" s="3" t="s">
        <v>905</v>
      </c>
      <c r="G496" s="3" t="s">
        <v>514</v>
      </c>
      <c r="H496" s="2" t="s">
        <v>30</v>
      </c>
      <c r="I496" s="2" t="s">
        <v>1552</v>
      </c>
      <c r="J496" s="3" t="str">
        <f>HYPERLINK("https://www.boe.es/gazeta/dias/1812/12/15/pdfs/GRE-1812-165.pdf#page=2","Abrir facsímil")</f>
        <v>Abrir facsímil</v>
      </c>
      <c r="K496" s="3" t="s">
        <v>32</v>
      </c>
    </row>
    <row r="497" spans="1:11" ht="42" customHeight="1">
      <c r="A497" s="2" t="s">
        <v>1553</v>
      </c>
      <c r="B497" s="2" t="s">
        <v>1553</v>
      </c>
      <c r="C497" s="2" t="s">
        <v>17</v>
      </c>
      <c r="D497" s="2" t="s">
        <v>18</v>
      </c>
      <c r="E497" s="4">
        <v>-32022</v>
      </c>
      <c r="F497" s="3" t="s">
        <v>1554</v>
      </c>
      <c r="G497" s="3" t="s">
        <v>20</v>
      </c>
      <c r="H497" s="2" t="s">
        <v>21</v>
      </c>
      <c r="I497" s="2" t="s">
        <v>1555</v>
      </c>
      <c r="J497" s="3" t="str">
        <f>HYPERLINK("https://www.boe.es/gazeta/dias/1812/04/28/pdfs/GMD-1812-119.pdf#page=2","Abrir facsímil")</f>
        <v>Abrir facsímil</v>
      </c>
      <c r="K497" s="3" t="s">
        <v>23</v>
      </c>
    </row>
    <row r="498" spans="1:11" ht="42" customHeight="1">
      <c r="A498" s="2" t="s">
        <v>1556</v>
      </c>
      <c r="B498" s="2" t="s">
        <v>1556</v>
      </c>
      <c r="C498" s="2" t="s">
        <v>17</v>
      </c>
      <c r="D498" s="2" t="s">
        <v>18</v>
      </c>
      <c r="E498" s="4">
        <v>-32118</v>
      </c>
      <c r="F498" s="3" t="s">
        <v>964</v>
      </c>
      <c r="G498" s="3" t="s">
        <v>196</v>
      </c>
      <c r="H498" s="2" t="s">
        <v>21</v>
      </c>
      <c r="I498" s="2" t="s">
        <v>1557</v>
      </c>
      <c r="J498" s="3" t="str">
        <f>HYPERLINK("https://www.boe.es/gazeta/dias/1812/01/23/pdfs/GEI-H-1812-10.pdf#page=1","Abrir facsímil")</f>
        <v>Abrir facsímil</v>
      </c>
      <c r="K498" s="3" t="s">
        <v>23</v>
      </c>
    </row>
    <row r="499" spans="1:11" ht="42" customHeight="1">
      <c r="A499" s="2" t="s">
        <v>1558</v>
      </c>
      <c r="B499" s="2" t="s">
        <v>1559</v>
      </c>
      <c r="C499" s="2" t="s">
        <v>186</v>
      </c>
      <c r="D499" s="2" t="s">
        <v>27</v>
      </c>
      <c r="E499" s="4">
        <v>-31787</v>
      </c>
      <c r="F499" s="3" t="s">
        <v>1560</v>
      </c>
      <c r="G499" s="3" t="s">
        <v>404</v>
      </c>
      <c r="H499" s="2" t="s">
        <v>21</v>
      </c>
      <c r="I499" s="2" t="s">
        <v>1561</v>
      </c>
      <c r="J499" s="3" t="str">
        <f>HYPERLINK("https://www.boe.es/gazeta/dias/1812/12/19/pdfs/GRE-1812-167.pdf#page=8","Abrir facsímil")</f>
        <v>Abrir facsímil</v>
      </c>
      <c r="K499" s="3" t="s">
        <v>23</v>
      </c>
    </row>
    <row r="500" spans="1:11" ht="42" customHeight="1">
      <c r="A500" s="2" t="s">
        <v>1562</v>
      </c>
      <c r="B500" s="2" t="s">
        <v>1563</v>
      </c>
      <c r="C500" s="2" t="s">
        <v>26</v>
      </c>
      <c r="D500" s="2" t="s">
        <v>27</v>
      </c>
      <c r="E500" s="4">
        <v>-32081</v>
      </c>
      <c r="F500" s="3" t="s">
        <v>232</v>
      </c>
      <c r="G500" s="3" t="s">
        <v>233</v>
      </c>
      <c r="H500" s="2" t="s">
        <v>21</v>
      </c>
      <c r="I500" s="2" t="s">
        <v>1564</v>
      </c>
      <c r="J500" s="3" t="str">
        <f>HYPERLINK("https://www.boe.es/gazeta/dias/1812/02/29/pdfs/GRE-1812-27.pdf#page=8","Abrir facsímil")</f>
        <v>Abrir facsímil</v>
      </c>
      <c r="K500" s="3" t="s">
        <v>23</v>
      </c>
    </row>
    <row r="501" spans="1:11" ht="42" customHeight="1">
      <c r="A501" s="2" t="s">
        <v>1565</v>
      </c>
      <c r="B501" s="2" t="s">
        <v>1565</v>
      </c>
      <c r="C501" s="2" t="s">
        <v>17</v>
      </c>
      <c r="D501" s="2" t="s">
        <v>18</v>
      </c>
      <c r="E501" s="4">
        <v>-31977</v>
      </c>
      <c r="F501" s="3" t="s">
        <v>1566</v>
      </c>
      <c r="G501" s="3" t="s">
        <v>1567</v>
      </c>
      <c r="H501" s="2" t="s">
        <v>21</v>
      </c>
      <c r="I501" s="2" t="s">
        <v>1568</v>
      </c>
      <c r="J501" s="3" t="str">
        <f>HYPERLINK("https://www.boe.es/gazeta/dias/1812/06/12/pdfs/GMD-1812-164.pdf#page=1","Abrir facsímil")</f>
        <v>Abrir facsímil</v>
      </c>
      <c r="K501" s="3" t="s">
        <v>23</v>
      </c>
    </row>
    <row r="502" spans="1:11" ht="42" customHeight="1">
      <c r="A502" s="2" t="s">
        <v>1569</v>
      </c>
      <c r="B502" s="2" t="s">
        <v>1569</v>
      </c>
      <c r="C502" s="2" t="s">
        <v>17</v>
      </c>
      <c r="D502" s="2" t="s">
        <v>18</v>
      </c>
      <c r="E502" s="4">
        <v>-31969</v>
      </c>
      <c r="F502" s="3" t="s">
        <v>83</v>
      </c>
      <c r="G502" s="3" t="s">
        <v>1570</v>
      </c>
      <c r="H502" s="2" t="s">
        <v>21</v>
      </c>
      <c r="I502" s="2" t="s">
        <v>1571</v>
      </c>
      <c r="J502" s="3" t="str">
        <f>HYPERLINK("https://www.boe.es/gazeta/dias/1812/06/20/pdfs/GRE-1812-76.pdf#page=4","Abrir facsímil")</f>
        <v>Abrir facsímil</v>
      </c>
      <c r="K502" s="3" t="s">
        <v>23</v>
      </c>
    </row>
    <row r="503" spans="1:11" ht="42" customHeight="1">
      <c r="A503" s="2" t="s">
        <v>1572</v>
      </c>
      <c r="B503" s="2" t="s">
        <v>1573</v>
      </c>
      <c r="C503" s="2" t="s">
        <v>49</v>
      </c>
      <c r="D503" s="2" t="s">
        <v>27</v>
      </c>
      <c r="E503" s="4">
        <v>-31854</v>
      </c>
      <c r="F503" s="3" t="s">
        <v>1574</v>
      </c>
      <c r="G503" s="3" t="s">
        <v>58</v>
      </c>
      <c r="H503" s="2" t="s">
        <v>21</v>
      </c>
      <c r="I503" s="2" t="s">
        <v>1575</v>
      </c>
      <c r="J503" s="3" t="str">
        <f>HYPERLINK("https://www.boe.es/gazeta/dias/1812/10/13/pdfs/GMR-1812-26.pdf#page=5","Abrir facsímil")</f>
        <v>Abrir facsímil</v>
      </c>
      <c r="K503" s="3" t="s">
        <v>23</v>
      </c>
    </row>
    <row r="504" spans="1:11" ht="42" customHeight="1">
      <c r="A504" s="2" t="s">
        <v>1576</v>
      </c>
      <c r="B504" s="2" t="s">
        <v>1577</v>
      </c>
      <c r="C504" s="2" t="s">
        <v>26</v>
      </c>
      <c r="D504" s="2" t="s">
        <v>27</v>
      </c>
      <c r="E504" s="4">
        <v>-31976</v>
      </c>
      <c r="F504" s="3" t="s">
        <v>54</v>
      </c>
      <c r="G504" s="3" t="s">
        <v>55</v>
      </c>
      <c r="H504" s="2" t="s">
        <v>21</v>
      </c>
      <c r="I504" s="2" t="s">
        <v>1578</v>
      </c>
      <c r="J504" s="3" t="str">
        <f>HYPERLINK("https://www.boe.es/gazeta/dias/1812/06/13/pdfs/GRE-1812-73.pdf#page=6","Abrir facsímil")</f>
        <v>Abrir facsímil</v>
      </c>
      <c r="K504" s="3" t="s">
        <v>23</v>
      </c>
    </row>
    <row r="505" spans="1:11" ht="42" customHeight="1">
      <c r="A505" s="2" t="s">
        <v>1579</v>
      </c>
      <c r="B505" s="2" t="s">
        <v>1579</v>
      </c>
      <c r="C505" s="2" t="s">
        <v>17</v>
      </c>
      <c r="D505" s="2" t="s">
        <v>27</v>
      </c>
      <c r="E505" s="4">
        <v>-32027</v>
      </c>
      <c r="F505" s="3" t="s">
        <v>803</v>
      </c>
      <c r="G505" s="3" t="s">
        <v>237</v>
      </c>
      <c r="H505" s="2" t="s">
        <v>21</v>
      </c>
      <c r="I505" s="2" t="s">
        <v>1580</v>
      </c>
      <c r="J505" s="3" t="str">
        <f>HYPERLINK("https://www.boe.es/gazeta/dias/1812/04/23/pdfs/GRE-1812-51.pdf#page=4","Abrir facsímil")</f>
        <v>Abrir facsímil</v>
      </c>
      <c r="K505" s="3" t="s">
        <v>23</v>
      </c>
    </row>
    <row r="506" spans="1:11" ht="42" customHeight="1">
      <c r="A506" s="2" t="s">
        <v>1581</v>
      </c>
      <c r="B506" s="2" t="s">
        <v>1582</v>
      </c>
      <c r="C506" s="2" t="s">
        <v>17</v>
      </c>
      <c r="D506" s="2" t="s">
        <v>27</v>
      </c>
      <c r="E506" s="4">
        <v>-32027</v>
      </c>
      <c r="F506" s="3" t="s">
        <v>803</v>
      </c>
      <c r="G506" s="3" t="s">
        <v>106</v>
      </c>
      <c r="H506" s="2" t="s">
        <v>30</v>
      </c>
      <c r="I506" s="2" t="s">
        <v>1583</v>
      </c>
      <c r="J506" s="3" t="str">
        <f>HYPERLINK("https://www.boe.es/gazeta/dias/1812/04/23/pdfs/GRE-1812-51.pdf#page=3","Abrir facsímil")</f>
        <v>Abrir facsímil</v>
      </c>
      <c r="K506" s="3" t="s">
        <v>32</v>
      </c>
    </row>
    <row r="507" spans="1:11" ht="42" customHeight="1">
      <c r="A507" s="2" t="s">
        <v>1584</v>
      </c>
      <c r="B507" s="2" t="s">
        <v>1585</v>
      </c>
      <c r="C507" s="2" t="s">
        <v>26</v>
      </c>
      <c r="D507" s="2" t="s">
        <v>27</v>
      </c>
      <c r="E507" s="4">
        <v>-31857</v>
      </c>
      <c r="F507" s="3" t="s">
        <v>1000</v>
      </c>
      <c r="G507" s="3" t="s">
        <v>1001</v>
      </c>
      <c r="H507" s="2" t="s">
        <v>21</v>
      </c>
      <c r="I507" s="2" t="s">
        <v>1586</v>
      </c>
      <c r="J507" s="3" t="str">
        <f>HYPERLINK("https://www.boe.es/gazeta/dias/1812/10/10/pdfs/GRE-1812-137.pdf#page=7","Abrir facsímil")</f>
        <v>Abrir facsímil</v>
      </c>
      <c r="K507" s="3" t="s">
        <v>23</v>
      </c>
    </row>
    <row r="508" spans="1:11" ht="42" customHeight="1">
      <c r="A508" s="2" t="s">
        <v>1587</v>
      </c>
      <c r="B508" s="2" t="s">
        <v>1588</v>
      </c>
      <c r="C508" s="2" t="s">
        <v>26</v>
      </c>
      <c r="D508" s="2" t="s">
        <v>134</v>
      </c>
      <c r="E508" s="4">
        <v>-31983</v>
      </c>
      <c r="F508" s="3" t="s">
        <v>1437</v>
      </c>
      <c r="G508" s="3" t="s">
        <v>1438</v>
      </c>
      <c r="H508" s="2" t="s">
        <v>21</v>
      </c>
      <c r="I508" s="2" t="s">
        <v>1589</v>
      </c>
      <c r="J508" s="3" t="str">
        <f>HYPERLINK("https://www.boe.es/gazeta/dias/1812/06/06/pdfs/GRE-F-1812-70.pdf#page=4","Abrir facsímil")</f>
        <v>Abrir facsímil</v>
      </c>
      <c r="K508" s="3" t="s">
        <v>23</v>
      </c>
    </row>
    <row r="509" spans="1:11" ht="42" customHeight="1">
      <c r="A509" s="2" t="s">
        <v>1590</v>
      </c>
      <c r="B509" s="2" t="s">
        <v>1591</v>
      </c>
      <c r="C509" s="2" t="s">
        <v>17</v>
      </c>
      <c r="D509" s="2" t="s">
        <v>27</v>
      </c>
      <c r="E509" s="4">
        <v>-31915</v>
      </c>
      <c r="F509" s="3" t="s">
        <v>1592</v>
      </c>
      <c r="G509" s="3" t="s">
        <v>1593</v>
      </c>
      <c r="H509" s="2" t="s">
        <v>21</v>
      </c>
      <c r="I509" s="2" t="s">
        <v>1594</v>
      </c>
      <c r="J509" s="3" t="str">
        <f>HYPERLINK("https://www.boe.es/gazeta/dias/1812/08/13/pdfs/GRE-1812-104.pdf#page=5","Abrir facsímil")</f>
        <v>Abrir facsímil</v>
      </c>
      <c r="K509" s="3" t="s">
        <v>23</v>
      </c>
    </row>
    <row r="510" spans="1:11" ht="42" customHeight="1">
      <c r="A510" s="2" t="s">
        <v>1595</v>
      </c>
      <c r="B510" s="2" t="s">
        <v>1595</v>
      </c>
      <c r="C510" s="2" t="s">
        <v>67</v>
      </c>
      <c r="D510" s="2" t="s">
        <v>27</v>
      </c>
      <c r="E510" s="4">
        <v>-32095</v>
      </c>
      <c r="F510" s="3" t="s">
        <v>181</v>
      </c>
      <c r="G510" s="3" t="s">
        <v>182</v>
      </c>
      <c r="H510" s="2" t="s">
        <v>21</v>
      </c>
      <c r="I510" s="2" t="s">
        <v>1596</v>
      </c>
      <c r="J510" s="3" t="str">
        <f>HYPERLINK("https://www.boe.es/gazeta/dias/1812/02/15/pdfs/GMD-1812-47.pdf#page=4","Abrir facsímil")</f>
        <v>Abrir facsímil</v>
      </c>
      <c r="K510" s="3" t="s">
        <v>23</v>
      </c>
    </row>
    <row r="511" spans="1:11" ht="42" customHeight="1">
      <c r="A511" s="2" t="s">
        <v>1595</v>
      </c>
      <c r="B511" s="2" t="s">
        <v>1595</v>
      </c>
      <c r="C511" s="2" t="s">
        <v>67</v>
      </c>
      <c r="D511" s="2" t="s">
        <v>27</v>
      </c>
      <c r="E511" s="4">
        <v>-32094</v>
      </c>
      <c r="F511" s="3" t="s">
        <v>181</v>
      </c>
      <c r="G511" s="3" t="s">
        <v>182</v>
      </c>
      <c r="H511" s="2" t="s">
        <v>21</v>
      </c>
      <c r="I511" s="2" t="s">
        <v>1596</v>
      </c>
      <c r="J511" s="3" t="str">
        <f>HYPERLINK("https://www.boe.es/gazeta/dias/1812/02/16/pdfs/GMD-1812-47.pdf#page=4","Abrir facsímil")</f>
        <v>Abrir facsímil</v>
      </c>
      <c r="K511" s="3" t="s">
        <v>23</v>
      </c>
    </row>
    <row r="512" spans="1:11" ht="42" customHeight="1">
      <c r="A512" s="2" t="s">
        <v>1595</v>
      </c>
      <c r="B512" s="2" t="s">
        <v>1595</v>
      </c>
      <c r="C512" s="2" t="s">
        <v>26</v>
      </c>
      <c r="D512" s="2" t="s">
        <v>134</v>
      </c>
      <c r="E512" s="4">
        <v>-31983</v>
      </c>
      <c r="F512" s="3" t="s">
        <v>1437</v>
      </c>
      <c r="G512" s="3" t="s">
        <v>1438</v>
      </c>
      <c r="H512" s="2" t="s">
        <v>21</v>
      </c>
      <c r="I512" s="2" t="s">
        <v>1597</v>
      </c>
      <c r="J512" s="3" t="str">
        <f>HYPERLINK("https://www.boe.es/gazeta/dias/1812/06/06/pdfs/GRE-F-1812-70.pdf#page=4","Abrir facsímil")</f>
        <v>Abrir facsímil</v>
      </c>
      <c r="K512" s="3" t="s">
        <v>23</v>
      </c>
    </row>
    <row r="513" spans="1:11" ht="42" customHeight="1">
      <c r="A513" s="2" t="s">
        <v>1598</v>
      </c>
      <c r="B513" s="2" t="s">
        <v>1599</v>
      </c>
      <c r="C513" s="2" t="s">
        <v>26</v>
      </c>
      <c r="D513" s="2" t="s">
        <v>27</v>
      </c>
      <c r="E513" s="4">
        <v>-32075</v>
      </c>
      <c r="F513" s="3" t="s">
        <v>301</v>
      </c>
      <c r="G513" s="3" t="s">
        <v>20</v>
      </c>
      <c r="H513" s="2" t="s">
        <v>21</v>
      </c>
      <c r="I513" s="2" t="s">
        <v>1600</v>
      </c>
      <c r="J513" s="3" t="str">
        <f>HYPERLINK("https://www.boe.es/gazeta/dias/1812/03/06/pdfs/GMD-1812-66.pdf#page=4","Abrir facsímil")</f>
        <v>Abrir facsímil</v>
      </c>
      <c r="K513" s="3" t="s">
        <v>23</v>
      </c>
    </row>
    <row r="514" spans="1:11" ht="42" customHeight="1">
      <c r="A514" s="2" t="s">
        <v>1601</v>
      </c>
      <c r="B514" s="2" t="s">
        <v>1602</v>
      </c>
      <c r="C514" s="2" t="s">
        <v>17</v>
      </c>
      <c r="D514" s="2" t="s">
        <v>275</v>
      </c>
      <c r="E514" s="4">
        <v>-31951</v>
      </c>
      <c r="F514" s="3" t="s">
        <v>1603</v>
      </c>
      <c r="G514" s="3" t="s">
        <v>214</v>
      </c>
      <c r="H514" s="2" t="s">
        <v>21</v>
      </c>
      <c r="I514" s="2" t="s">
        <v>1604</v>
      </c>
      <c r="J514" s="3" t="str">
        <f>HYPERLINK("https://www.boe.es/gazeta/dias/1812/07/08/pdfs/GMD-1812-190.pdf#page=4","Abrir facsímil")</f>
        <v>Abrir facsímil</v>
      </c>
      <c r="K514" s="3" t="s">
        <v>23</v>
      </c>
    </row>
    <row r="515" spans="1:11" ht="42" customHeight="1">
      <c r="A515" s="2" t="s">
        <v>1605</v>
      </c>
      <c r="B515" s="2" t="s">
        <v>1606</v>
      </c>
      <c r="C515" s="2" t="s">
        <v>26</v>
      </c>
      <c r="D515" s="2" t="s">
        <v>27</v>
      </c>
      <c r="E515" s="4">
        <v>-32114</v>
      </c>
      <c r="F515" s="3" t="s">
        <v>480</v>
      </c>
      <c r="G515" s="3" t="s">
        <v>481</v>
      </c>
      <c r="H515" s="2" t="s">
        <v>30</v>
      </c>
      <c r="I515" s="2" t="s">
        <v>1607</v>
      </c>
      <c r="J515" s="3" t="str">
        <f>HYPERLINK("https://www.boe.es/gazeta/dias/1812/01/27/pdfs/GMD-1812-27.pdf#page=4","Abrir facsímil")</f>
        <v>Abrir facsímil</v>
      </c>
      <c r="K515" s="3" t="s">
        <v>32</v>
      </c>
    </row>
    <row r="516" spans="1:11" ht="42" customHeight="1">
      <c r="A516" s="2" t="s">
        <v>1608</v>
      </c>
      <c r="B516" s="2" t="s">
        <v>1609</v>
      </c>
      <c r="C516" s="2" t="s">
        <v>26</v>
      </c>
      <c r="D516" s="2" t="s">
        <v>194</v>
      </c>
      <c r="E516" s="4">
        <v>-32076</v>
      </c>
      <c r="F516" s="3" t="s">
        <v>1610</v>
      </c>
      <c r="G516" s="3" t="s">
        <v>1611</v>
      </c>
      <c r="H516" s="2" t="s">
        <v>21</v>
      </c>
      <c r="I516" s="2" t="s">
        <v>1612</v>
      </c>
      <c r="J516" s="3" t="str">
        <f>HYPERLINK("https://www.boe.es/gazeta/dias/1812/03/05/pdfs/GMD-1812-65.pdf#page=2","Abrir facsímil")</f>
        <v>Abrir facsímil</v>
      </c>
      <c r="K516" s="3" t="s">
        <v>23</v>
      </c>
    </row>
    <row r="517" spans="1:11" ht="42" customHeight="1">
      <c r="A517" s="2" t="s">
        <v>1613</v>
      </c>
      <c r="B517" s="2" t="s">
        <v>1613</v>
      </c>
      <c r="C517" s="2" t="s">
        <v>26</v>
      </c>
      <c r="D517" s="2" t="s">
        <v>27</v>
      </c>
      <c r="E517" s="4">
        <v>-32040</v>
      </c>
      <c r="F517" s="3" t="s">
        <v>682</v>
      </c>
      <c r="G517" s="3" t="s">
        <v>514</v>
      </c>
      <c r="H517" s="2" t="s">
        <v>21</v>
      </c>
      <c r="I517" s="2" t="s">
        <v>1614</v>
      </c>
      <c r="J517" s="3" t="str">
        <f>HYPERLINK("https://www.boe.es/gazeta/dias/1812/04/10/pdfs/GMD-1812-101.pdf#page=4","Abrir facsímil")</f>
        <v>Abrir facsímil</v>
      </c>
      <c r="K517" s="3" t="s">
        <v>23</v>
      </c>
    </row>
    <row r="518" spans="1:11" ht="42" customHeight="1">
      <c r="A518" s="2" t="s">
        <v>1615</v>
      </c>
      <c r="B518" s="2" t="s">
        <v>1615</v>
      </c>
      <c r="C518" s="2" t="s">
        <v>17</v>
      </c>
      <c r="D518" s="2" t="s">
        <v>27</v>
      </c>
      <c r="E518" s="4">
        <v>-32090</v>
      </c>
      <c r="F518" s="3" t="s">
        <v>142</v>
      </c>
      <c r="G518" s="3" t="s">
        <v>20</v>
      </c>
      <c r="H518" s="2" t="s">
        <v>21</v>
      </c>
      <c r="I518" s="2" t="s">
        <v>1616</v>
      </c>
      <c r="J518" s="3" t="str">
        <f>HYPERLINK("https://www.boe.es/gazeta/dias/1812/02/20/pdfs/GRE-1812-22.pdf#page=2","Abrir facsímil")</f>
        <v>Abrir facsímil</v>
      </c>
      <c r="K518" s="3" t="s">
        <v>23</v>
      </c>
    </row>
    <row r="519" spans="1:11" ht="42" customHeight="1">
      <c r="A519" s="2" t="s">
        <v>1617</v>
      </c>
      <c r="B519" s="2" t="s">
        <v>1617</v>
      </c>
      <c r="C519" s="2" t="s">
        <v>17</v>
      </c>
      <c r="D519" s="2" t="s">
        <v>18</v>
      </c>
      <c r="E519" s="4">
        <v>-32090</v>
      </c>
      <c r="F519" s="3" t="s">
        <v>142</v>
      </c>
      <c r="G519" s="3" t="s">
        <v>297</v>
      </c>
      <c r="H519" s="2" t="s">
        <v>21</v>
      </c>
      <c r="I519" s="2" t="s">
        <v>1618</v>
      </c>
      <c r="J519" s="3" t="str">
        <f>HYPERLINK("https://www.boe.es/gazeta/dias/1812/02/20/pdfs/GRE-1812-22.pdf#page=4","Abrir facsímil")</f>
        <v>Abrir facsímil</v>
      </c>
      <c r="K519" s="3" t="s">
        <v>23</v>
      </c>
    </row>
    <row r="520" spans="1:11" ht="42" customHeight="1">
      <c r="A520" s="2" t="s">
        <v>1619</v>
      </c>
      <c r="B520" s="2" t="s">
        <v>1620</v>
      </c>
      <c r="C520" s="2" t="s">
        <v>17</v>
      </c>
      <c r="D520" s="2" t="s">
        <v>18</v>
      </c>
      <c r="E520" s="4">
        <v>-32092</v>
      </c>
      <c r="F520" s="3" t="s">
        <v>1621</v>
      </c>
      <c r="G520" s="3" t="s">
        <v>1622</v>
      </c>
      <c r="H520" s="2" t="s">
        <v>21</v>
      </c>
      <c r="I520" s="2" t="s">
        <v>1623</v>
      </c>
      <c r="J520" s="3" t="str">
        <f>HYPERLINK("https://www.boe.es/gazeta/dias/1812/02/18/pdfs/GRE-1812-21.pdf#page=4","Abrir facsímil")</f>
        <v>Abrir facsímil</v>
      </c>
      <c r="K520" s="3" t="s">
        <v>23</v>
      </c>
    </row>
    <row r="521" spans="1:11" ht="42" customHeight="1">
      <c r="A521" s="2" t="s">
        <v>1619</v>
      </c>
      <c r="B521" s="2" t="s">
        <v>1620</v>
      </c>
      <c r="C521" s="2" t="s">
        <v>17</v>
      </c>
      <c r="D521" s="2" t="s">
        <v>27</v>
      </c>
      <c r="E521" s="4">
        <v>-32090</v>
      </c>
      <c r="F521" s="3" t="s">
        <v>142</v>
      </c>
      <c r="G521" s="3" t="s">
        <v>20</v>
      </c>
      <c r="H521" s="2" t="s">
        <v>21</v>
      </c>
      <c r="I521" s="2" t="s">
        <v>1624</v>
      </c>
      <c r="J521" s="3" t="str">
        <f>HYPERLINK("https://www.boe.es/gazeta/dias/1812/02/20/pdfs/GRE-1812-22.pdf#page=2","Abrir facsímil")</f>
        <v>Abrir facsímil</v>
      </c>
      <c r="K521" s="3" t="s">
        <v>23</v>
      </c>
    </row>
    <row r="522" spans="1:11" ht="42" customHeight="1">
      <c r="A522" s="2" t="s">
        <v>1625</v>
      </c>
      <c r="B522" s="2" t="s">
        <v>1625</v>
      </c>
      <c r="C522" s="2" t="s">
        <v>17</v>
      </c>
      <c r="D522" s="2" t="s">
        <v>27</v>
      </c>
      <c r="E522" s="4">
        <v>-31775</v>
      </c>
      <c r="F522" s="3" t="s">
        <v>660</v>
      </c>
      <c r="G522" s="3" t="s">
        <v>1626</v>
      </c>
      <c r="H522" s="2" t="s">
        <v>21</v>
      </c>
      <c r="I522" s="2" t="s">
        <v>1627</v>
      </c>
      <c r="J522" s="3" t="str">
        <f>HYPERLINK("https://www.boe.es/gazeta/dias/1812/12/31/pdfs/GRE-1812-172.pdf#page=5","Abrir facsímil")</f>
        <v>Abrir facsímil</v>
      </c>
      <c r="K522" s="3" t="s">
        <v>23</v>
      </c>
    </row>
    <row r="523" spans="1:11" ht="42" customHeight="1">
      <c r="A523" s="2" t="s">
        <v>1628</v>
      </c>
      <c r="B523" s="2" t="s">
        <v>1629</v>
      </c>
      <c r="C523" s="2" t="s">
        <v>67</v>
      </c>
      <c r="D523" s="2" t="s">
        <v>27</v>
      </c>
      <c r="E523" s="4">
        <v>-31982</v>
      </c>
      <c r="F523" s="3" t="s">
        <v>1630</v>
      </c>
      <c r="G523" s="3" t="s">
        <v>1631</v>
      </c>
      <c r="H523" s="2" t="s">
        <v>30</v>
      </c>
      <c r="I523" s="2" t="s">
        <v>1632</v>
      </c>
      <c r="J523" s="3" t="str">
        <f>HYPERLINK("https://www.boe.es/gazeta/dias/1812/06/07/pdfs/GMD-1812-159.pdf#page=4","Abrir facsímil")</f>
        <v>Abrir facsímil</v>
      </c>
      <c r="K523" s="3" t="s">
        <v>32</v>
      </c>
    </row>
    <row r="524" spans="1:11" ht="42" customHeight="1">
      <c r="A524" s="2" t="s">
        <v>1633</v>
      </c>
      <c r="B524" s="2" t="s">
        <v>1634</v>
      </c>
      <c r="C524" s="2" t="s">
        <v>67</v>
      </c>
      <c r="D524" s="2" t="s">
        <v>27</v>
      </c>
      <c r="E524" s="4">
        <v>-31967</v>
      </c>
      <c r="F524" s="3" t="s">
        <v>1635</v>
      </c>
      <c r="G524" s="3" t="s">
        <v>20</v>
      </c>
      <c r="H524" s="2" t="s">
        <v>21</v>
      </c>
      <c r="I524" s="2" t="s">
        <v>1636</v>
      </c>
      <c r="J524" s="3" t="str">
        <f>HYPERLINK("https://www.boe.es/gazeta/dias/1812/06/22/pdfs/GMD-1812-174.pdf#page=2","Abrir facsímil")</f>
        <v>Abrir facsímil</v>
      </c>
      <c r="K524" s="3" t="s">
        <v>23</v>
      </c>
    </row>
    <row r="525" spans="1:11" ht="42" customHeight="1">
      <c r="A525" s="2" t="s">
        <v>1637</v>
      </c>
      <c r="B525" s="2" t="s">
        <v>1638</v>
      </c>
      <c r="C525" s="2" t="s">
        <v>26</v>
      </c>
      <c r="D525" s="2" t="s">
        <v>27</v>
      </c>
      <c r="E525" s="4">
        <v>-32018</v>
      </c>
      <c r="F525" s="3" t="s">
        <v>365</v>
      </c>
      <c r="G525" s="3" t="s">
        <v>1639</v>
      </c>
      <c r="H525" s="2" t="s">
        <v>21</v>
      </c>
      <c r="I525" s="2" t="s">
        <v>1640</v>
      </c>
      <c r="J525" s="3" t="str">
        <f>HYPERLINK("https://www.boe.es/gazeta/dias/1812/05/02/pdfs/GRE-1812-55.pdf#page=6","Abrir facsímil")</f>
        <v>Abrir facsímil</v>
      </c>
      <c r="K525" s="3" t="s">
        <v>23</v>
      </c>
    </row>
    <row r="526" spans="1:11" ht="42" customHeight="1">
      <c r="A526" s="2" t="s">
        <v>1641</v>
      </c>
      <c r="B526" s="2" t="s">
        <v>1642</v>
      </c>
      <c r="C526" s="2" t="s">
        <v>17</v>
      </c>
      <c r="D526" s="2" t="s">
        <v>275</v>
      </c>
      <c r="E526" s="4">
        <v>-31938</v>
      </c>
      <c r="F526" s="3" t="s">
        <v>370</v>
      </c>
      <c r="G526" s="3" t="s">
        <v>371</v>
      </c>
      <c r="H526" s="2" t="s">
        <v>21</v>
      </c>
      <c r="I526" s="2" t="s">
        <v>1643</v>
      </c>
      <c r="J526" s="3" t="str">
        <f>HYPERLINK("https://www.boe.es/gazeta/dias/1812/07/21/pdfs/GRE-1812-91.pdf#page=8","Abrir facsímil")</f>
        <v>Abrir facsímil</v>
      </c>
      <c r="K526" s="3" t="s">
        <v>23</v>
      </c>
    </row>
    <row r="527" spans="1:11" ht="42" customHeight="1">
      <c r="A527" s="2" t="s">
        <v>1641</v>
      </c>
      <c r="B527" s="2" t="s">
        <v>1642</v>
      </c>
      <c r="C527" s="2" t="s">
        <v>17</v>
      </c>
      <c r="D527" s="2" t="s">
        <v>275</v>
      </c>
      <c r="E527" s="4">
        <v>-31936</v>
      </c>
      <c r="F527" s="3" t="s">
        <v>614</v>
      </c>
      <c r="G527" s="3" t="s">
        <v>615</v>
      </c>
      <c r="H527" s="2" t="s">
        <v>21</v>
      </c>
      <c r="I527" s="2" t="s">
        <v>1644</v>
      </c>
      <c r="J527" s="3" t="str">
        <f>HYPERLINK("https://www.boe.es/gazeta/dias/1812/07/23/pdfs/GRE-1812-92.pdf#page=8","Abrir facsímil")</f>
        <v>Abrir facsímil</v>
      </c>
      <c r="K527" s="3" t="s">
        <v>23</v>
      </c>
    </row>
    <row r="528" spans="1:11" ht="42" customHeight="1">
      <c r="A528" s="2" t="s">
        <v>1645</v>
      </c>
      <c r="B528" s="2" t="s">
        <v>1645</v>
      </c>
      <c r="C528" s="2" t="s">
        <v>115</v>
      </c>
      <c r="D528" s="2" t="s">
        <v>27</v>
      </c>
      <c r="E528" s="4">
        <v>-31808</v>
      </c>
      <c r="F528" s="3" t="s">
        <v>416</v>
      </c>
      <c r="G528" s="3" t="s">
        <v>237</v>
      </c>
      <c r="H528" s="2" t="s">
        <v>21</v>
      </c>
      <c r="I528" s="2" t="s">
        <v>1646</v>
      </c>
      <c r="J528" s="3" t="str">
        <f>HYPERLINK("https://www.boe.es/gazeta/dias/1812/11/28/pdfs/GRE-1812-158.pdf#page=3","Abrir facsímil")</f>
        <v>Abrir facsímil</v>
      </c>
      <c r="K528" s="3" t="s">
        <v>23</v>
      </c>
    </row>
    <row r="529" spans="1:11" ht="42" customHeight="1">
      <c r="A529" s="2" t="s">
        <v>1647</v>
      </c>
      <c r="B529" s="2" t="s">
        <v>1647</v>
      </c>
      <c r="C529" s="2" t="s">
        <v>17</v>
      </c>
      <c r="D529" s="2" t="s">
        <v>18</v>
      </c>
      <c r="E529" s="4">
        <v>-31784</v>
      </c>
      <c r="F529" s="3" t="s">
        <v>1648</v>
      </c>
      <c r="G529" s="3" t="s">
        <v>45</v>
      </c>
      <c r="H529" s="2" t="s">
        <v>21</v>
      </c>
      <c r="I529" s="2" t="s">
        <v>1649</v>
      </c>
      <c r="J529" s="3" t="str">
        <f>HYPERLINK("https://www.boe.es/gazeta/dias/1812/12/22/pdfs/GMD-1812-245.pdf#page=3","Abrir facsímil")</f>
        <v>Abrir facsímil</v>
      </c>
      <c r="K529" s="3" t="s">
        <v>23</v>
      </c>
    </row>
    <row r="530" spans="1:11" ht="42" customHeight="1">
      <c r="A530" s="2" t="s">
        <v>1647</v>
      </c>
      <c r="B530" s="2" t="s">
        <v>1647</v>
      </c>
      <c r="C530" s="2" t="s">
        <v>17</v>
      </c>
      <c r="D530" s="2" t="s">
        <v>27</v>
      </c>
      <c r="E530" s="4">
        <v>-31784</v>
      </c>
      <c r="F530" s="3" t="s">
        <v>1648</v>
      </c>
      <c r="G530" s="3" t="s">
        <v>1650</v>
      </c>
      <c r="H530" s="2" t="s">
        <v>21</v>
      </c>
      <c r="I530" s="2" t="s">
        <v>1651</v>
      </c>
      <c r="J530" s="3" t="str">
        <f>HYPERLINK("https://www.boe.es/gazeta/dias/1812/12/22/pdfs/GMD-1812-245.pdf#page=4","Abrir facsímil")</f>
        <v>Abrir facsímil</v>
      </c>
      <c r="K530" s="3" t="s">
        <v>23</v>
      </c>
    </row>
    <row r="531" spans="1:11" ht="42" customHeight="1">
      <c r="A531" s="2" t="s">
        <v>1652</v>
      </c>
      <c r="B531" s="2" t="s">
        <v>1652</v>
      </c>
      <c r="C531" s="2" t="s">
        <v>17</v>
      </c>
      <c r="D531" s="2" t="s">
        <v>27</v>
      </c>
      <c r="E531" s="4">
        <v>-31963</v>
      </c>
      <c r="F531" s="3" t="s">
        <v>171</v>
      </c>
      <c r="G531" s="3" t="s">
        <v>1653</v>
      </c>
      <c r="H531" s="2" t="s">
        <v>21</v>
      </c>
      <c r="I531" s="2" t="s">
        <v>1654</v>
      </c>
      <c r="J531" s="3" t="str">
        <f>HYPERLINK("https://www.boe.es/gazeta/dias/1812/06/26/pdfs/GMD-1812-178.pdf#page=2","Abrir facsímil")</f>
        <v>Abrir facsímil</v>
      </c>
      <c r="K531" s="3" t="s">
        <v>23</v>
      </c>
    </row>
    <row r="532" spans="1:11" ht="42" customHeight="1">
      <c r="A532" s="2" t="s">
        <v>1655</v>
      </c>
      <c r="B532" s="2" t="s">
        <v>1655</v>
      </c>
      <c r="C532" s="2" t="s">
        <v>26</v>
      </c>
      <c r="D532" s="2" t="s">
        <v>27</v>
      </c>
      <c r="E532" s="4">
        <v>-32011</v>
      </c>
      <c r="F532" s="3" t="s">
        <v>1656</v>
      </c>
      <c r="G532" s="3" t="s">
        <v>777</v>
      </c>
      <c r="H532" s="2" t="s">
        <v>21</v>
      </c>
      <c r="I532" s="2" t="s">
        <v>1657</v>
      </c>
      <c r="J532" s="3" t="str">
        <f>HYPERLINK("https://www.boe.es/gazeta/dias/1812/05/09/pdfs/GMD-1812-130.pdf#page=2","Abrir facsímil")</f>
        <v>Abrir facsímil</v>
      </c>
      <c r="K532" s="3" t="s">
        <v>23</v>
      </c>
    </row>
    <row r="533" spans="1:11" ht="42" customHeight="1">
      <c r="A533" s="2" t="s">
        <v>1658</v>
      </c>
      <c r="B533" s="2" t="s">
        <v>1659</v>
      </c>
      <c r="C533" s="2" t="s">
        <v>105</v>
      </c>
      <c r="D533" s="2" t="s">
        <v>27</v>
      </c>
      <c r="E533" s="4">
        <v>-32132</v>
      </c>
      <c r="F533" s="3" t="s">
        <v>484</v>
      </c>
      <c r="G533" s="3" t="s">
        <v>485</v>
      </c>
      <c r="H533" s="2" t="s">
        <v>21</v>
      </c>
      <c r="I533" s="2" t="s">
        <v>1660</v>
      </c>
      <c r="J533" s="3" t="str">
        <f>HYPERLINK("https://www.boe.es/gazeta/dias/1812/01/09/pdfs/GEI-1812-4.pdf#page=8","Abrir facsímil")</f>
        <v>Abrir facsímil</v>
      </c>
      <c r="K533" s="3" t="s">
        <v>23</v>
      </c>
    </row>
    <row r="534" spans="1:11" ht="42" customHeight="1">
      <c r="A534" s="2" t="s">
        <v>1661</v>
      </c>
      <c r="B534" s="2" t="s">
        <v>1662</v>
      </c>
      <c r="C534" s="2" t="s">
        <v>26</v>
      </c>
      <c r="D534" s="2" t="s">
        <v>27</v>
      </c>
      <c r="E534" s="4">
        <v>-31994</v>
      </c>
      <c r="F534" s="3" t="s">
        <v>207</v>
      </c>
      <c r="G534" s="3" t="s">
        <v>1176</v>
      </c>
      <c r="H534" s="2" t="s">
        <v>21</v>
      </c>
      <c r="I534" s="2" t="s">
        <v>1663</v>
      </c>
      <c r="J534" s="3" t="str">
        <f>HYPERLINK("https://www.boe.es/gazeta/dias/1812/05/26/pdfs/GRE-1812-65.pdf#page=8","Abrir facsímil")</f>
        <v>Abrir facsímil</v>
      </c>
      <c r="K534" s="3" t="s">
        <v>23</v>
      </c>
    </row>
    <row r="535" spans="1:11" ht="42" customHeight="1">
      <c r="A535" s="2" t="s">
        <v>1664</v>
      </c>
      <c r="B535" s="2" t="s">
        <v>1665</v>
      </c>
      <c r="C535" s="2" t="s">
        <v>26</v>
      </c>
      <c r="D535" s="2" t="s">
        <v>27</v>
      </c>
      <c r="E535" s="4">
        <v>-32034</v>
      </c>
      <c r="F535" s="3" t="s">
        <v>28</v>
      </c>
      <c r="G535" s="3" t="s">
        <v>794</v>
      </c>
      <c r="H535" s="2" t="s">
        <v>21</v>
      </c>
      <c r="I535" s="2" t="s">
        <v>1666</v>
      </c>
      <c r="J535" s="3" t="str">
        <f>HYPERLINK("https://www.boe.es/gazeta/dias/1812/04/16/pdfs/GMD-1812-107.pdf#page=7","Abrir facsímil")</f>
        <v>Abrir facsímil</v>
      </c>
      <c r="K535" s="3" t="s">
        <v>23</v>
      </c>
    </row>
    <row r="536" spans="1:11" ht="42" customHeight="1">
      <c r="A536" s="2" t="s">
        <v>1667</v>
      </c>
      <c r="B536" s="2" t="s">
        <v>1667</v>
      </c>
      <c r="C536" s="2" t="s">
        <v>17</v>
      </c>
      <c r="D536" s="2" t="s">
        <v>18</v>
      </c>
      <c r="E536" s="4">
        <v>-31791</v>
      </c>
      <c r="F536" s="3" t="s">
        <v>1668</v>
      </c>
      <c r="G536" s="3" t="s">
        <v>1669</v>
      </c>
      <c r="H536" s="2" t="s">
        <v>21</v>
      </c>
      <c r="I536" s="2" t="s">
        <v>1670</v>
      </c>
      <c r="J536" s="3" t="str">
        <f>HYPERLINK("https://www.boe.es/gazeta/dias/1812/12/15/pdfs/GMD-1812-238.pdf#page=3","Abrir facsímil")</f>
        <v>Abrir facsímil</v>
      </c>
      <c r="K536" s="3" t="s">
        <v>23</v>
      </c>
    </row>
    <row r="537" spans="1:11" ht="42" customHeight="1">
      <c r="A537" s="2" t="s">
        <v>1671</v>
      </c>
      <c r="B537" s="2" t="s">
        <v>1672</v>
      </c>
      <c r="C537" s="2" t="s">
        <v>26</v>
      </c>
      <c r="D537" s="2" t="s">
        <v>134</v>
      </c>
      <c r="E537" s="4">
        <v>-31983</v>
      </c>
      <c r="F537" s="3" t="s">
        <v>1437</v>
      </c>
      <c r="G537" s="3" t="s">
        <v>1438</v>
      </c>
      <c r="H537" s="2" t="s">
        <v>21</v>
      </c>
      <c r="I537" s="2" t="s">
        <v>1673</v>
      </c>
      <c r="J537" s="3" t="str">
        <f>HYPERLINK("https://www.boe.es/gazeta/dias/1812/06/06/pdfs/GRE-F-1812-70.pdf#page=4","Abrir facsímil")</f>
        <v>Abrir facsímil</v>
      </c>
      <c r="K537" s="3" t="s">
        <v>23</v>
      </c>
    </row>
    <row r="538" spans="1:11" ht="42" customHeight="1">
      <c r="A538" s="2" t="s">
        <v>1674</v>
      </c>
      <c r="B538" s="2" t="s">
        <v>1675</v>
      </c>
      <c r="C538" s="2" t="s">
        <v>82</v>
      </c>
      <c r="D538" s="2" t="s">
        <v>27</v>
      </c>
      <c r="E538" s="4">
        <v>-31969</v>
      </c>
      <c r="F538" s="3" t="s">
        <v>83</v>
      </c>
      <c r="G538" s="3" t="s">
        <v>84</v>
      </c>
      <c r="H538" s="2" t="s">
        <v>21</v>
      </c>
      <c r="I538" s="2" t="s">
        <v>1676</v>
      </c>
      <c r="J538" s="3" t="str">
        <f>HYPERLINK("https://www.boe.es/gazeta/dias/1812/06/20/pdfs/GRE-1812-76.pdf#page=8","Abrir facsímil")</f>
        <v>Abrir facsímil</v>
      </c>
      <c r="K538" s="3" t="s">
        <v>23</v>
      </c>
    </row>
    <row r="539" spans="1:11" ht="42" customHeight="1">
      <c r="A539" s="2" t="s">
        <v>1677</v>
      </c>
      <c r="B539" s="2" t="s">
        <v>1678</v>
      </c>
      <c r="C539" s="2" t="s">
        <v>115</v>
      </c>
      <c r="D539" s="2" t="s">
        <v>573</v>
      </c>
      <c r="E539" s="4">
        <v>-31900</v>
      </c>
      <c r="F539" s="3" t="s">
        <v>276</v>
      </c>
      <c r="G539" s="3" t="s">
        <v>277</v>
      </c>
      <c r="H539" s="2" t="s">
        <v>21</v>
      </c>
      <c r="I539" s="2" t="s">
        <v>1679</v>
      </c>
      <c r="J539" s="3" t="str">
        <f>HYPERLINK("https://www.boe.es/gazeta/dias/1812/08/28/pdfs/GRE-1812-113E.pdf#page=8","Abrir facsímil")</f>
        <v>Abrir facsímil</v>
      </c>
      <c r="K539" s="3" t="s">
        <v>23</v>
      </c>
    </row>
    <row r="540" spans="1:11" ht="42" customHeight="1">
      <c r="A540" s="2" t="s">
        <v>1680</v>
      </c>
      <c r="B540" s="2" t="s">
        <v>1681</v>
      </c>
      <c r="C540" s="2" t="s">
        <v>17</v>
      </c>
      <c r="D540" s="2" t="s">
        <v>18</v>
      </c>
      <c r="E540" s="4">
        <v>-32069</v>
      </c>
      <c r="F540" s="3" t="s">
        <v>445</v>
      </c>
      <c r="G540" s="3" t="s">
        <v>404</v>
      </c>
      <c r="H540" s="2" t="s">
        <v>21</v>
      </c>
      <c r="I540" s="2" t="s">
        <v>1682</v>
      </c>
      <c r="J540" s="3" t="str">
        <f>HYPERLINK("https://www.boe.es/gazeta/dias/1812/03/12/pdfs/GRE-1812-32.pdf#page=6","Abrir facsímil")</f>
        <v>Abrir facsímil</v>
      </c>
      <c r="K540" s="3" t="s">
        <v>23</v>
      </c>
    </row>
    <row r="541" spans="1:11" ht="42" customHeight="1">
      <c r="A541" s="2" t="s">
        <v>1683</v>
      </c>
      <c r="B541" s="2" t="s">
        <v>1684</v>
      </c>
      <c r="C541" s="2" t="s">
        <v>105</v>
      </c>
      <c r="D541" s="2" t="s">
        <v>27</v>
      </c>
      <c r="E541" s="4">
        <v>-31833</v>
      </c>
      <c r="F541" s="3" t="s">
        <v>267</v>
      </c>
      <c r="G541" s="3" t="s">
        <v>268</v>
      </c>
      <c r="H541" s="2" t="s">
        <v>21</v>
      </c>
      <c r="I541" s="2" t="s">
        <v>1685</v>
      </c>
      <c r="J541" s="3" t="str">
        <f>HYPERLINK("https://www.boe.es/gazeta/dias/1812/11/03/pdfs/GRE-1812-147.pdf#page=8","Abrir facsímil")</f>
        <v>Abrir facsímil</v>
      </c>
      <c r="K541" s="3" t="s">
        <v>23</v>
      </c>
    </row>
    <row r="542" spans="1:11" ht="42" customHeight="1">
      <c r="A542" s="2" t="s">
        <v>1686</v>
      </c>
      <c r="B542" s="2" t="s">
        <v>1687</v>
      </c>
      <c r="C542" s="2" t="s">
        <v>26</v>
      </c>
      <c r="D542" s="2" t="s">
        <v>27</v>
      </c>
      <c r="E542" s="4">
        <v>-32100</v>
      </c>
      <c r="F542" s="3" t="s">
        <v>492</v>
      </c>
      <c r="G542" s="3" t="s">
        <v>493</v>
      </c>
      <c r="H542" s="2" t="s">
        <v>21</v>
      </c>
      <c r="I542" s="2" t="s">
        <v>1688</v>
      </c>
      <c r="J542" s="3" t="str">
        <f>HYPERLINK("https://www.boe.es/gazeta/dias/1812/02/10/pdfs/GRE-1812-31.pdf#page=8","Abrir facsímil")</f>
        <v>Abrir facsímil</v>
      </c>
      <c r="K542" s="3" t="s">
        <v>23</v>
      </c>
    </row>
    <row r="543" spans="1:11" ht="42" customHeight="1">
      <c r="A543" s="2" t="s">
        <v>1686</v>
      </c>
      <c r="B543" s="2" t="s">
        <v>1687</v>
      </c>
      <c r="C543" s="2" t="s">
        <v>26</v>
      </c>
      <c r="D543" s="2" t="s">
        <v>27</v>
      </c>
      <c r="E543" s="4">
        <v>-32071</v>
      </c>
      <c r="F543" s="3" t="s">
        <v>492</v>
      </c>
      <c r="G543" s="3" t="s">
        <v>493</v>
      </c>
      <c r="H543" s="2" t="s">
        <v>21</v>
      </c>
      <c r="I543" s="2" t="s">
        <v>1688</v>
      </c>
      <c r="J543" s="3" t="str">
        <f>HYPERLINK("https://www.boe.es/gazeta/dias/1812/03/10/pdfs/GRE-1812-31.pdf#page=8","Abrir facsímil")</f>
        <v>Abrir facsímil</v>
      </c>
      <c r="K543" s="3" t="s">
        <v>23</v>
      </c>
    </row>
    <row r="544" spans="1:11" ht="42" customHeight="1">
      <c r="A544" s="2" t="s">
        <v>1689</v>
      </c>
      <c r="B544" s="2" t="s">
        <v>1690</v>
      </c>
      <c r="C544" s="2" t="s">
        <v>17</v>
      </c>
      <c r="D544" s="2" t="s">
        <v>27</v>
      </c>
      <c r="E544" s="4">
        <v>-32011</v>
      </c>
      <c r="F544" s="3" t="s">
        <v>1233</v>
      </c>
      <c r="G544" s="3" t="s">
        <v>20</v>
      </c>
      <c r="H544" s="2" t="s">
        <v>21</v>
      </c>
      <c r="I544" s="2" t="s">
        <v>1691</v>
      </c>
      <c r="J544" s="3" t="str">
        <f>HYPERLINK("https://www.boe.es/gazeta/dias/1812/05/09/pdfs/GRE-1812-58.pdf#page=5","Abrir facsímil")</f>
        <v>Abrir facsímil</v>
      </c>
      <c r="K544" s="3" t="s">
        <v>23</v>
      </c>
    </row>
    <row r="545" spans="1:11" ht="42" customHeight="1">
      <c r="A545" s="2" t="s">
        <v>1692</v>
      </c>
      <c r="B545" s="2" t="s">
        <v>1693</v>
      </c>
      <c r="C545" s="2" t="s">
        <v>17</v>
      </c>
      <c r="D545" s="2" t="s">
        <v>27</v>
      </c>
      <c r="E545" s="4">
        <v>-31982</v>
      </c>
      <c r="F545" s="3" t="s">
        <v>1630</v>
      </c>
      <c r="G545" s="3" t="s">
        <v>1631</v>
      </c>
      <c r="H545" s="2" t="s">
        <v>21</v>
      </c>
      <c r="I545" s="2" t="s">
        <v>1694</v>
      </c>
      <c r="J545" s="3" t="str">
        <f>HYPERLINK("https://www.boe.es/gazeta/dias/1812/06/07/pdfs/GMD-1812-159.pdf#page=4","Abrir facsímil")</f>
        <v>Abrir facsímil</v>
      </c>
      <c r="K545" s="3" t="s">
        <v>23</v>
      </c>
    </row>
    <row r="546" spans="1:11" ht="42" customHeight="1">
      <c r="A546" s="2" t="s">
        <v>1695</v>
      </c>
      <c r="B546" s="2" t="s">
        <v>1696</v>
      </c>
      <c r="C546" s="2" t="s">
        <v>17</v>
      </c>
      <c r="D546" s="2" t="s">
        <v>18</v>
      </c>
      <c r="E546" s="4">
        <v>-31874</v>
      </c>
      <c r="F546" s="3" t="s">
        <v>1697</v>
      </c>
      <c r="G546" s="3" t="s">
        <v>1698</v>
      </c>
      <c r="H546" s="2" t="s">
        <v>21</v>
      </c>
      <c r="I546" s="2" t="s">
        <v>1699</v>
      </c>
      <c r="J546" s="3" t="str">
        <f>HYPERLINK("https://www.boe.es/gazeta/dias/1812/09/23/pdfs/GRE-1812-129E.pdf#page=3","Abrir facsímil")</f>
        <v>Abrir facsímil</v>
      </c>
      <c r="K546" s="3" t="s">
        <v>23</v>
      </c>
    </row>
    <row r="547" spans="1:11" ht="42" customHeight="1">
      <c r="A547" s="2" t="s">
        <v>1695</v>
      </c>
      <c r="B547" s="2" t="s">
        <v>1696</v>
      </c>
      <c r="C547" s="2" t="s">
        <v>17</v>
      </c>
      <c r="D547" s="2" t="s">
        <v>18</v>
      </c>
      <c r="E547" s="4">
        <v>-31854</v>
      </c>
      <c r="F547" s="3" t="s">
        <v>1574</v>
      </c>
      <c r="G547" s="3" t="s">
        <v>1700</v>
      </c>
      <c r="H547" s="2" t="s">
        <v>21</v>
      </c>
      <c r="I547" s="2" t="s">
        <v>1701</v>
      </c>
      <c r="J547" s="3" t="str">
        <f>HYPERLINK("https://www.boe.es/gazeta/dias/1812/10/13/pdfs/GMR-1812-26.pdf#page=4","Abrir facsímil")</f>
        <v>Abrir facsímil</v>
      </c>
      <c r="K547" s="3" t="s">
        <v>23</v>
      </c>
    </row>
    <row r="548" spans="1:11" ht="42" customHeight="1">
      <c r="A548" s="2" t="s">
        <v>1702</v>
      </c>
      <c r="B548" s="2" t="s">
        <v>1703</v>
      </c>
      <c r="C548" s="2" t="s">
        <v>26</v>
      </c>
      <c r="D548" s="2" t="s">
        <v>27</v>
      </c>
      <c r="E548" s="4">
        <v>-31857</v>
      </c>
      <c r="F548" s="3" t="s">
        <v>1000</v>
      </c>
      <c r="G548" s="3" t="s">
        <v>136</v>
      </c>
      <c r="H548" s="2" t="s">
        <v>21</v>
      </c>
      <c r="I548" s="2" t="s">
        <v>1704</v>
      </c>
      <c r="J548" s="3" t="str">
        <f>HYPERLINK("https://www.boe.es/gazeta/dias/1812/10/10/pdfs/GRE-1812-137.pdf#page=8","Abrir facsímil")</f>
        <v>Abrir facsímil</v>
      </c>
      <c r="K548" s="3" t="s">
        <v>23</v>
      </c>
    </row>
    <row r="549" spans="1:11" ht="42" customHeight="1">
      <c r="A549" s="2" t="s">
        <v>1705</v>
      </c>
      <c r="B549" s="2" t="s">
        <v>1706</v>
      </c>
      <c r="C549" s="2" t="s">
        <v>67</v>
      </c>
      <c r="D549" s="2" t="s">
        <v>27</v>
      </c>
      <c r="E549" s="4">
        <v>-32110</v>
      </c>
      <c r="F549" s="3" t="s">
        <v>68</v>
      </c>
      <c r="G549" s="3" t="s">
        <v>20</v>
      </c>
      <c r="H549" s="2" t="s">
        <v>21</v>
      </c>
      <c r="I549" s="2" t="s">
        <v>1707</v>
      </c>
      <c r="J549" s="3" t="str">
        <f>HYPERLINK("https://www.boe.es/gazeta/dias/1812/01/31/pdfs/GMD-1812-31.pdf#page=3","Abrir facsímil")</f>
        <v>Abrir facsímil</v>
      </c>
      <c r="K549" s="3" t="s">
        <v>23</v>
      </c>
    </row>
    <row r="550" spans="1:11" ht="42" customHeight="1">
      <c r="A550" s="2" t="s">
        <v>1708</v>
      </c>
      <c r="B550" s="2" t="s">
        <v>1709</v>
      </c>
      <c r="C550" s="2" t="s">
        <v>17</v>
      </c>
      <c r="D550" s="2" t="s">
        <v>27</v>
      </c>
      <c r="E550" s="4">
        <v>-32046</v>
      </c>
      <c r="F550" s="3" t="s">
        <v>1013</v>
      </c>
      <c r="G550" s="3" t="s">
        <v>1014</v>
      </c>
      <c r="H550" s="2" t="s">
        <v>21</v>
      </c>
      <c r="I550" s="2" t="s">
        <v>1710</v>
      </c>
      <c r="J550" s="3" t="str">
        <f>HYPERLINK("https://www.boe.es/gazeta/dias/1812/04/04/pdfs/GRE-1812-42.pdf#page=4","Abrir facsímil")</f>
        <v>Abrir facsímil</v>
      </c>
      <c r="K550" s="3" t="s">
        <v>23</v>
      </c>
    </row>
    <row r="551" spans="1:11" ht="42" customHeight="1">
      <c r="A551" s="2" t="s">
        <v>1711</v>
      </c>
      <c r="B551" s="2" t="s">
        <v>1712</v>
      </c>
      <c r="C551" s="2" t="s">
        <v>49</v>
      </c>
      <c r="D551" s="2" t="s">
        <v>27</v>
      </c>
      <c r="E551" s="4">
        <v>-32018</v>
      </c>
      <c r="F551" s="3" t="s">
        <v>365</v>
      </c>
      <c r="G551" s="3" t="s">
        <v>366</v>
      </c>
      <c r="H551" s="2" t="s">
        <v>21</v>
      </c>
      <c r="I551" s="2" t="s">
        <v>1713</v>
      </c>
      <c r="J551" s="3" t="str">
        <f>HYPERLINK("https://www.boe.es/gazeta/dias/1812/05/02/pdfs/GRE-1812-55.pdf#page=3","Abrir facsímil")</f>
        <v>Abrir facsímil</v>
      </c>
      <c r="K551" s="3" t="s">
        <v>23</v>
      </c>
    </row>
    <row r="552" spans="1:11" ht="42" customHeight="1">
      <c r="A552" s="2" t="s">
        <v>1714</v>
      </c>
      <c r="B552" s="2" t="s">
        <v>1715</v>
      </c>
      <c r="C552" s="2" t="s">
        <v>26</v>
      </c>
      <c r="D552" s="2" t="s">
        <v>27</v>
      </c>
      <c r="E552" s="4">
        <v>-32002</v>
      </c>
      <c r="F552" s="3" t="s">
        <v>619</v>
      </c>
      <c r="G552" s="3" t="s">
        <v>20</v>
      </c>
      <c r="H552" s="2" t="s">
        <v>21</v>
      </c>
      <c r="I552" s="2" t="s">
        <v>1716</v>
      </c>
      <c r="J552" s="3" t="str">
        <f>HYPERLINK("https://www.boe.es/gazeta/dias/1812/05/18/pdfs/GMD-1812-139.pdf#page=3","Abrir facsímil")</f>
        <v>Abrir facsímil</v>
      </c>
      <c r="K552" s="3" t="s">
        <v>23</v>
      </c>
    </row>
    <row r="553" spans="1:11" ht="42" customHeight="1">
      <c r="A553" s="2" t="s">
        <v>1717</v>
      </c>
      <c r="B553" s="2" t="s">
        <v>1718</v>
      </c>
      <c r="C553" s="2" t="s">
        <v>105</v>
      </c>
      <c r="D553" s="2" t="s">
        <v>27</v>
      </c>
      <c r="E553" s="4">
        <v>-31994</v>
      </c>
      <c r="F553" s="3" t="s">
        <v>207</v>
      </c>
      <c r="G553" s="3" t="s">
        <v>1176</v>
      </c>
      <c r="H553" s="2" t="s">
        <v>21</v>
      </c>
      <c r="I553" s="2" t="s">
        <v>1719</v>
      </c>
      <c r="J553" s="3" t="str">
        <f>HYPERLINK("https://www.boe.es/gazeta/dias/1812/05/26/pdfs/GRE-1812-65.pdf#page=8","Abrir facsímil")</f>
        <v>Abrir facsímil</v>
      </c>
      <c r="K553" s="3" t="s">
        <v>23</v>
      </c>
    </row>
    <row r="554" spans="1:11" ht="42" customHeight="1">
      <c r="A554" s="2" t="s">
        <v>1720</v>
      </c>
      <c r="B554" s="2" t="s">
        <v>1721</v>
      </c>
      <c r="C554" s="2" t="s">
        <v>26</v>
      </c>
      <c r="D554" s="2" t="s">
        <v>27</v>
      </c>
      <c r="E554" s="4">
        <v>-31964</v>
      </c>
      <c r="F554" s="3" t="s">
        <v>93</v>
      </c>
      <c r="G554" s="3" t="s">
        <v>1722</v>
      </c>
      <c r="H554" s="2" t="s">
        <v>21</v>
      </c>
      <c r="I554" s="2" t="s">
        <v>1723</v>
      </c>
      <c r="J554" s="3" t="str">
        <f>HYPERLINK("https://www.boe.es/gazeta/dias/1812/06/25/pdfs/GRE-1812-78.pdf#page=8","Abrir facsímil")</f>
        <v>Abrir facsímil</v>
      </c>
      <c r="K554" s="3" t="s">
        <v>23</v>
      </c>
    </row>
    <row r="555" spans="1:11" ht="42" customHeight="1">
      <c r="A555" s="2" t="s">
        <v>1724</v>
      </c>
      <c r="B555" s="2" t="s">
        <v>1725</v>
      </c>
      <c r="C555" s="2" t="s">
        <v>26</v>
      </c>
      <c r="D555" s="2" t="s">
        <v>27</v>
      </c>
      <c r="E555" s="4">
        <v>-32000</v>
      </c>
      <c r="F555" s="3" t="s">
        <v>878</v>
      </c>
      <c r="G555" s="3" t="s">
        <v>214</v>
      </c>
      <c r="H555" s="2" t="s">
        <v>21</v>
      </c>
      <c r="I555" s="2" t="s">
        <v>1726</v>
      </c>
      <c r="J555" s="3" t="str">
        <f>HYPERLINK("https://www.boe.es/gazeta/dias/1812/05/20/pdfs/GMD-1812-141.pdf#page=2","Abrir facsímil")</f>
        <v>Abrir facsímil</v>
      </c>
      <c r="K555" s="3" t="s">
        <v>23</v>
      </c>
    </row>
    <row r="556" spans="1:11" ht="42" customHeight="1">
      <c r="A556" s="2" t="s">
        <v>1727</v>
      </c>
      <c r="B556" s="2" t="s">
        <v>1727</v>
      </c>
      <c r="C556" s="2" t="s">
        <v>67</v>
      </c>
      <c r="D556" s="2" t="s">
        <v>275</v>
      </c>
      <c r="E556" s="4">
        <v>-32001</v>
      </c>
      <c r="F556" s="3" t="s">
        <v>1728</v>
      </c>
      <c r="G556" s="3" t="s">
        <v>514</v>
      </c>
      <c r="H556" s="2" t="s">
        <v>21</v>
      </c>
      <c r="I556" s="2" t="s">
        <v>1729</v>
      </c>
      <c r="J556" s="3" t="str">
        <f>HYPERLINK("https://www.boe.es/gazeta/dias/1812/05/19/pdfs/GMD-1812-140.pdf#page=4","Abrir facsímil")</f>
        <v>Abrir facsímil</v>
      </c>
      <c r="K556" s="3" t="s">
        <v>23</v>
      </c>
    </row>
    <row r="557" spans="1:11" ht="42" customHeight="1">
      <c r="A557" s="2" t="s">
        <v>1730</v>
      </c>
      <c r="B557" s="2" t="s">
        <v>1731</v>
      </c>
      <c r="C557" s="2" t="s">
        <v>26</v>
      </c>
      <c r="D557" s="2" t="s">
        <v>27</v>
      </c>
      <c r="E557" s="4">
        <v>-31940</v>
      </c>
      <c r="F557" s="3" t="s">
        <v>187</v>
      </c>
      <c r="G557" s="3" t="s">
        <v>404</v>
      </c>
      <c r="H557" s="2" t="s">
        <v>30</v>
      </c>
      <c r="I557" s="2" t="s">
        <v>1732</v>
      </c>
      <c r="J557" s="3" t="str">
        <f>HYPERLINK("https://www.boe.es/gazeta/dias/1812/07/19/pdfs/GMD-1812-201.pdf#page=4","Abrir facsímil")</f>
        <v>Abrir facsímil</v>
      </c>
      <c r="K557" s="3" t="s">
        <v>32</v>
      </c>
    </row>
    <row r="558" spans="1:11" ht="42" customHeight="1">
      <c r="A558" s="2" t="s">
        <v>1733</v>
      </c>
      <c r="B558" s="2" t="s">
        <v>1734</v>
      </c>
      <c r="C558" s="2" t="s">
        <v>26</v>
      </c>
      <c r="D558" s="2" t="s">
        <v>27</v>
      </c>
      <c r="E558" s="4">
        <v>-31973</v>
      </c>
      <c r="F558" s="3" t="s">
        <v>1735</v>
      </c>
      <c r="G558" s="3" t="s">
        <v>599</v>
      </c>
      <c r="H558" s="2" t="s">
        <v>30</v>
      </c>
      <c r="I558" s="2" t="s">
        <v>1736</v>
      </c>
      <c r="J558" s="3" t="str">
        <f>HYPERLINK("https://www.boe.es/gazeta/dias/1812/06/16/pdfs/GRE-1812-74.pdf#page=1","Abrir facsímil")</f>
        <v>Abrir facsímil</v>
      </c>
      <c r="K558" s="3" t="s">
        <v>32</v>
      </c>
    </row>
    <row r="559" spans="1:11" ht="42" customHeight="1">
      <c r="A559" s="2" t="s">
        <v>1737</v>
      </c>
      <c r="B559" s="2" t="s">
        <v>1738</v>
      </c>
      <c r="C559" s="2" t="s">
        <v>17</v>
      </c>
      <c r="D559" s="2" t="s">
        <v>18</v>
      </c>
      <c r="E559" s="4">
        <v>-31983</v>
      </c>
      <c r="F559" s="3" t="s">
        <v>1437</v>
      </c>
      <c r="G559" s="3" t="s">
        <v>217</v>
      </c>
      <c r="H559" s="2" t="s">
        <v>30</v>
      </c>
      <c r="I559" s="2" t="s">
        <v>1739</v>
      </c>
      <c r="J559" s="3" t="str">
        <f>HYPERLINK("https://www.boe.es/gazeta/dias/1812/06/06/pdfs/GRE-F-1812-70.pdf#page=3","Abrir facsímil")</f>
        <v>Abrir facsímil</v>
      </c>
      <c r="K559" s="3" t="s">
        <v>32</v>
      </c>
    </row>
    <row r="560" spans="1:11" ht="42" customHeight="1">
      <c r="A560" s="2" t="s">
        <v>1737</v>
      </c>
      <c r="B560" s="2" t="s">
        <v>1738</v>
      </c>
      <c r="C560" s="2" t="s">
        <v>26</v>
      </c>
      <c r="D560" s="2" t="s">
        <v>27</v>
      </c>
      <c r="E560" s="4">
        <v>-31950</v>
      </c>
      <c r="F560" s="3" t="s">
        <v>1024</v>
      </c>
      <c r="G560" s="3" t="s">
        <v>1740</v>
      </c>
      <c r="H560" s="2" t="s">
        <v>30</v>
      </c>
      <c r="I560" s="2" t="s">
        <v>1741</v>
      </c>
      <c r="J560" s="3" t="str">
        <f>HYPERLINK("https://www.boe.es/gazeta/dias/1812/07/09/pdfs/GRE-1812-84.pdf#page=4","Abrir facsímil")</f>
        <v>Abrir facsímil</v>
      </c>
      <c r="K560" s="3" t="s">
        <v>32</v>
      </c>
    </row>
    <row r="561" spans="1:11" ht="42" customHeight="1">
      <c r="A561" s="2" t="s">
        <v>1742</v>
      </c>
      <c r="B561" s="2" t="s">
        <v>1743</v>
      </c>
      <c r="C561" s="2" t="s">
        <v>17</v>
      </c>
      <c r="D561" s="2" t="s">
        <v>27</v>
      </c>
      <c r="E561" s="4">
        <v>-32063</v>
      </c>
      <c r="F561" s="3" t="s">
        <v>384</v>
      </c>
      <c r="G561" s="3" t="s">
        <v>125</v>
      </c>
      <c r="H561" s="2" t="s">
        <v>30</v>
      </c>
      <c r="I561" s="2" t="s">
        <v>1744</v>
      </c>
      <c r="J561" s="3" t="str">
        <f>HYPERLINK("https://www.boe.es/gazeta/dias/1812/03/18/pdfs/GMD-1812-78.pdf#page=3","Abrir facsímil")</f>
        <v>Abrir facsímil</v>
      </c>
      <c r="K561" s="3" t="s">
        <v>32</v>
      </c>
    </row>
    <row r="562" spans="1:11" ht="42" customHeight="1">
      <c r="A562" s="2" t="s">
        <v>1742</v>
      </c>
      <c r="B562" s="2" t="s">
        <v>1743</v>
      </c>
      <c r="C562" s="2" t="s">
        <v>26</v>
      </c>
      <c r="D562" s="2" t="s">
        <v>27</v>
      </c>
      <c r="E562" s="4">
        <v>-31980</v>
      </c>
      <c r="F562" s="3" t="s">
        <v>40</v>
      </c>
      <c r="G562" s="3" t="s">
        <v>41</v>
      </c>
      <c r="H562" s="2" t="s">
        <v>30</v>
      </c>
      <c r="I562" s="2" t="s">
        <v>1745</v>
      </c>
      <c r="J562" s="3" t="str">
        <f>HYPERLINK("https://www.boe.es/gazeta/dias/1812/06/09/pdfs/GRE-1812-71.pdf#page=6","Abrir facsímil")</f>
        <v>Abrir facsímil</v>
      </c>
      <c r="K562" s="3" t="s">
        <v>32</v>
      </c>
    </row>
    <row r="563" spans="1:11" ht="42" customHeight="1">
      <c r="A563" s="2" t="s">
        <v>1746</v>
      </c>
      <c r="B563" s="2" t="s">
        <v>1747</v>
      </c>
      <c r="C563" s="2" t="s">
        <v>17</v>
      </c>
      <c r="D563" s="2" t="s">
        <v>27</v>
      </c>
      <c r="E563" s="4">
        <v>-32113</v>
      </c>
      <c r="F563" s="3" t="s">
        <v>121</v>
      </c>
      <c r="G563" s="3" t="s">
        <v>706</v>
      </c>
      <c r="H563" s="2" t="s">
        <v>30</v>
      </c>
      <c r="I563" s="2" t="s">
        <v>1748</v>
      </c>
      <c r="J563" s="3" t="str">
        <f>HYPERLINK("https://www.boe.es/gazeta/dias/1812/01/28/pdfs/GRE-1812-12.pdf#page=6","Abrir facsímil")</f>
        <v>Abrir facsímil</v>
      </c>
      <c r="K563" s="3" t="s">
        <v>32</v>
      </c>
    </row>
    <row r="564" spans="1:11" ht="42" customHeight="1">
      <c r="A564" s="2" t="s">
        <v>1749</v>
      </c>
      <c r="B564" s="2" t="s">
        <v>1750</v>
      </c>
      <c r="C564" s="2" t="s">
        <v>26</v>
      </c>
      <c r="D564" s="2" t="s">
        <v>27</v>
      </c>
      <c r="E564" s="4">
        <v>-31938</v>
      </c>
      <c r="F564" s="3" t="s">
        <v>324</v>
      </c>
      <c r="G564" s="3" t="s">
        <v>497</v>
      </c>
      <c r="H564" s="2" t="s">
        <v>30</v>
      </c>
      <c r="I564" s="2" t="s">
        <v>1751</v>
      </c>
      <c r="J564" s="3" t="str">
        <f>HYPERLINK("https://www.boe.es/gazeta/dias/1812/07/21/pdfs/GMD-1812-203.pdf#page=3","Abrir facsímil")</f>
        <v>Abrir facsímil</v>
      </c>
      <c r="K564" s="3" t="s">
        <v>32</v>
      </c>
    </row>
    <row r="565" spans="1:11" ht="42" customHeight="1">
      <c r="A565" s="2" t="s">
        <v>1752</v>
      </c>
      <c r="B565" s="2" t="s">
        <v>1753</v>
      </c>
      <c r="C565" s="2" t="s">
        <v>17</v>
      </c>
      <c r="D565" s="2" t="s">
        <v>18</v>
      </c>
      <c r="E565" s="4">
        <v>-32108</v>
      </c>
      <c r="F565" s="3" t="s">
        <v>1143</v>
      </c>
      <c r="G565" s="3" t="s">
        <v>45</v>
      </c>
      <c r="H565" s="2" t="s">
        <v>30</v>
      </c>
      <c r="I565" s="2" t="s">
        <v>1754</v>
      </c>
      <c r="J565" s="3" t="str">
        <f>HYPERLINK("https://www.boe.es/gazeta/dias/1812/02/02/pdfs/GMD-1812-33.pdf#page=4","Abrir facsímil")</f>
        <v>Abrir facsímil</v>
      </c>
      <c r="K565" s="3" t="s">
        <v>32</v>
      </c>
    </row>
    <row r="566" spans="1:11" ht="42" customHeight="1">
      <c r="A566" s="2" t="s">
        <v>1755</v>
      </c>
      <c r="B566" s="2" t="s">
        <v>1756</v>
      </c>
      <c r="C566" s="2" t="s">
        <v>26</v>
      </c>
      <c r="D566" s="2" t="s">
        <v>27</v>
      </c>
      <c r="E566" s="4">
        <v>-31980</v>
      </c>
      <c r="F566" s="3" t="s">
        <v>40</v>
      </c>
      <c r="G566" s="3" t="s">
        <v>41</v>
      </c>
      <c r="H566" s="2" t="s">
        <v>30</v>
      </c>
      <c r="I566" s="2" t="s">
        <v>1757</v>
      </c>
      <c r="J566" s="3" t="str">
        <f>HYPERLINK("https://www.boe.es/gazeta/dias/1812/06/09/pdfs/GRE-1812-71.pdf#page=6","Abrir facsímil")</f>
        <v>Abrir facsímil</v>
      </c>
      <c r="K566" s="3" t="s">
        <v>32</v>
      </c>
    </row>
    <row r="567" spans="1:11" ht="42" customHeight="1">
      <c r="A567" s="2" t="s">
        <v>1758</v>
      </c>
      <c r="B567" s="2" t="s">
        <v>1759</v>
      </c>
      <c r="C567" s="2" t="s">
        <v>26</v>
      </c>
      <c r="D567" s="2" t="s">
        <v>27</v>
      </c>
      <c r="E567" s="4">
        <v>-31967</v>
      </c>
      <c r="F567" s="3" t="s">
        <v>1635</v>
      </c>
      <c r="G567" s="3" t="s">
        <v>130</v>
      </c>
      <c r="H567" s="2" t="s">
        <v>30</v>
      </c>
      <c r="I567" s="2" t="s">
        <v>1760</v>
      </c>
      <c r="J567" s="3" t="str">
        <f>HYPERLINK("https://www.boe.es/gazeta/dias/1812/06/22/pdfs/GMD-1812-174.pdf#page=4","Abrir facsímil")</f>
        <v>Abrir facsímil</v>
      </c>
      <c r="K567" s="3" t="s">
        <v>32</v>
      </c>
    </row>
    <row r="568" spans="1:11" ht="42" customHeight="1">
      <c r="A568" s="2" t="s">
        <v>1761</v>
      </c>
      <c r="B568" s="2" t="s">
        <v>1762</v>
      </c>
      <c r="C568" s="2" t="s">
        <v>17</v>
      </c>
      <c r="D568" s="2" t="s">
        <v>18</v>
      </c>
      <c r="E568" s="4">
        <v>-31959</v>
      </c>
      <c r="F568" s="3" t="s">
        <v>1035</v>
      </c>
      <c r="G568" s="3" t="s">
        <v>130</v>
      </c>
      <c r="H568" s="2" t="s">
        <v>30</v>
      </c>
      <c r="I568" s="2" t="s">
        <v>1763</v>
      </c>
      <c r="J568" s="3" t="str">
        <f>HYPERLINK("https://www.boe.es/gazeta/dias/1812/06/30/pdfs/GRE-1812-80.pdf#page=4","Abrir facsímil")</f>
        <v>Abrir facsímil</v>
      </c>
      <c r="K568" s="3" t="s">
        <v>32</v>
      </c>
    </row>
    <row r="569" spans="1:11" ht="42" customHeight="1">
      <c r="A569" s="2" t="s">
        <v>1764</v>
      </c>
      <c r="B569" s="2" t="s">
        <v>1765</v>
      </c>
      <c r="C569" s="2" t="s">
        <v>17</v>
      </c>
      <c r="D569" s="2" t="s">
        <v>27</v>
      </c>
      <c r="E569" s="4">
        <v>-32029</v>
      </c>
      <c r="F569" s="3" t="s">
        <v>176</v>
      </c>
      <c r="G569" s="3" t="s">
        <v>1766</v>
      </c>
      <c r="H569" s="2" t="s">
        <v>30</v>
      </c>
      <c r="I569" s="2" t="s">
        <v>1767</v>
      </c>
      <c r="J569" s="3" t="str">
        <f>HYPERLINK("https://www.boe.es/gazeta/dias/1812/04/21/pdfs/GRE-1812-50.pdf#page=4","Abrir facsímil")</f>
        <v>Abrir facsímil</v>
      </c>
      <c r="K569" s="3" t="s">
        <v>32</v>
      </c>
    </row>
    <row r="570" spans="1:11" ht="42" customHeight="1">
      <c r="A570" s="2" t="s">
        <v>1768</v>
      </c>
      <c r="B570" s="2" t="s">
        <v>1769</v>
      </c>
      <c r="C570" s="2" t="s">
        <v>17</v>
      </c>
      <c r="D570" s="2" t="s">
        <v>18</v>
      </c>
      <c r="E570" s="4">
        <v>-31819</v>
      </c>
      <c r="F570" s="3" t="s">
        <v>1770</v>
      </c>
      <c r="G570" s="3" t="s">
        <v>1771</v>
      </c>
      <c r="H570" s="2" t="s">
        <v>30</v>
      </c>
      <c r="I570" s="2" t="s">
        <v>1772</v>
      </c>
      <c r="J570" s="3" t="str">
        <f>HYPERLINK("https://www.boe.es/gazeta/dias/1812/11/17/pdfs/GRE-1812-153.pdf#page=4","Abrir facsímil")</f>
        <v>Abrir facsímil</v>
      </c>
      <c r="K570" s="3" t="s">
        <v>32</v>
      </c>
    </row>
    <row r="571" spans="1:11" ht="42" customHeight="1">
      <c r="A571" s="2" t="s">
        <v>1773</v>
      </c>
      <c r="B571" s="2" t="s">
        <v>1774</v>
      </c>
      <c r="C571" s="2" t="s">
        <v>26</v>
      </c>
      <c r="D571" s="2" t="s">
        <v>27</v>
      </c>
      <c r="E571" s="4">
        <v>-32109</v>
      </c>
      <c r="F571" s="3" t="s">
        <v>62</v>
      </c>
      <c r="G571" s="3" t="s">
        <v>63</v>
      </c>
      <c r="H571" s="2" t="s">
        <v>21</v>
      </c>
      <c r="I571" s="2" t="s">
        <v>1775</v>
      </c>
      <c r="J571" s="3" t="str">
        <f>HYPERLINK("https://www.boe.es/gazeta/dias/1812/02/01/pdfs/GRE-1812-14.pdf#page=10","Abrir facsímil")</f>
        <v>Abrir facsímil</v>
      </c>
      <c r="K571" s="3" t="s">
        <v>23</v>
      </c>
    </row>
    <row r="572" spans="1:11" ht="42" customHeight="1">
      <c r="A572" s="2" t="s">
        <v>1776</v>
      </c>
      <c r="B572" s="2" t="s">
        <v>1776</v>
      </c>
      <c r="C572" s="2" t="s">
        <v>17</v>
      </c>
      <c r="D572" s="2" t="s">
        <v>27</v>
      </c>
      <c r="E572" s="4">
        <v>-32018</v>
      </c>
      <c r="F572" s="3" t="s">
        <v>365</v>
      </c>
      <c r="G572" s="3" t="s">
        <v>366</v>
      </c>
      <c r="H572" s="2" t="s">
        <v>21</v>
      </c>
      <c r="I572" s="2" t="s">
        <v>1777</v>
      </c>
      <c r="J572" s="3" t="str">
        <f>HYPERLINK("https://www.boe.es/gazeta/dias/1812/05/02/pdfs/GRE-1812-55.pdf#page=3","Abrir facsímil")</f>
        <v>Abrir facsímil</v>
      </c>
      <c r="K572" s="3" t="s">
        <v>23</v>
      </c>
    </row>
    <row r="573" spans="1:11" ht="42" customHeight="1">
      <c r="A573" s="2" t="s">
        <v>1778</v>
      </c>
      <c r="B573" s="2" t="s">
        <v>1779</v>
      </c>
      <c r="C573" s="2" t="s">
        <v>26</v>
      </c>
      <c r="D573" s="2" t="s">
        <v>27</v>
      </c>
      <c r="E573" s="4">
        <v>-32113</v>
      </c>
      <c r="F573" s="3" t="s">
        <v>121</v>
      </c>
      <c r="G573" s="3" t="s">
        <v>122</v>
      </c>
      <c r="H573" s="2" t="s">
        <v>21</v>
      </c>
      <c r="I573" s="2" t="s">
        <v>1780</v>
      </c>
      <c r="J573" s="3" t="str">
        <f>HYPERLINK("https://www.boe.es/gazeta/dias/1812/01/28/pdfs/GRE-1812-12.pdf#page=3","Abrir facsímil")</f>
        <v>Abrir facsímil</v>
      </c>
      <c r="K573" s="3" t="s">
        <v>23</v>
      </c>
    </row>
    <row r="574" spans="1:11" ht="42" customHeight="1">
      <c r="A574" s="2" t="s">
        <v>1781</v>
      </c>
      <c r="B574" s="2" t="s">
        <v>1782</v>
      </c>
      <c r="C574" s="2" t="s">
        <v>105</v>
      </c>
      <c r="D574" s="2" t="s">
        <v>27</v>
      </c>
      <c r="E574" s="4">
        <v>-32102</v>
      </c>
      <c r="F574" s="3" t="s">
        <v>1783</v>
      </c>
      <c r="G574" s="3" t="s">
        <v>514</v>
      </c>
      <c r="H574" s="2" t="s">
        <v>21</v>
      </c>
      <c r="I574" s="2" t="s">
        <v>1784</v>
      </c>
      <c r="J574" s="3" t="str">
        <f>HYPERLINK("https://www.boe.es/gazeta/dias/1812/02/08/pdfs/GRE-1812-17.pdf#page=3","Abrir facsímil")</f>
        <v>Abrir facsímil</v>
      </c>
      <c r="K574" s="3" t="s">
        <v>23</v>
      </c>
    </row>
    <row r="575" spans="1:11" ht="42" customHeight="1">
      <c r="A575" s="2" t="s">
        <v>1785</v>
      </c>
      <c r="B575" s="2" t="s">
        <v>1786</v>
      </c>
      <c r="C575" s="2" t="s">
        <v>26</v>
      </c>
      <c r="D575" s="2" t="s">
        <v>27</v>
      </c>
      <c r="E575" s="4">
        <v>-31963</v>
      </c>
      <c r="F575" s="3" t="s">
        <v>171</v>
      </c>
      <c r="G575" s="3" t="s">
        <v>1653</v>
      </c>
      <c r="H575" s="2" t="s">
        <v>21</v>
      </c>
      <c r="I575" s="2" t="s">
        <v>1787</v>
      </c>
      <c r="J575" s="3" t="str">
        <f>HYPERLINK("https://www.boe.es/gazeta/dias/1812/06/26/pdfs/GMD-1812-178.pdf#page=2","Abrir facsímil")</f>
        <v>Abrir facsímil</v>
      </c>
      <c r="K575" s="3" t="s">
        <v>23</v>
      </c>
    </row>
    <row r="576" spans="1:11" ht="42" customHeight="1">
      <c r="A576" s="2" t="s">
        <v>1788</v>
      </c>
      <c r="B576" s="2" t="s">
        <v>1789</v>
      </c>
      <c r="C576" s="2" t="s">
        <v>17</v>
      </c>
      <c r="D576" s="2" t="s">
        <v>18</v>
      </c>
      <c r="E576" s="4">
        <v>-31978</v>
      </c>
      <c r="F576" s="3" t="s">
        <v>1790</v>
      </c>
      <c r="G576" s="3" t="s">
        <v>1791</v>
      </c>
      <c r="H576" s="2" t="s">
        <v>30</v>
      </c>
      <c r="I576" s="2" t="s">
        <v>1792</v>
      </c>
      <c r="J576" s="3" t="str">
        <f>HYPERLINK("https://www.boe.es/gazeta/dias/1812/06/11/pdfs/GRE-1812-72.pdf#page=8","Abrir facsímil")</f>
        <v>Abrir facsímil</v>
      </c>
      <c r="K576" s="3" t="s">
        <v>32</v>
      </c>
    </row>
    <row r="577" spans="1:11" ht="42" customHeight="1">
      <c r="A577" s="2" t="s">
        <v>1793</v>
      </c>
      <c r="B577" s="2" t="s">
        <v>1794</v>
      </c>
      <c r="C577" s="2" t="s">
        <v>26</v>
      </c>
      <c r="D577" s="2" t="s">
        <v>27</v>
      </c>
      <c r="E577" s="4">
        <v>-32002</v>
      </c>
      <c r="F577" s="3" t="s">
        <v>619</v>
      </c>
      <c r="G577" s="3" t="s">
        <v>620</v>
      </c>
      <c r="H577" s="2" t="s">
        <v>21</v>
      </c>
      <c r="I577" s="2" t="s">
        <v>1795</v>
      </c>
      <c r="J577" s="3" t="str">
        <f>HYPERLINK("https://www.boe.es/gazeta/dias/1812/05/18/pdfs/GMD-1812-139.pdf#page=2","Abrir facsímil")</f>
        <v>Abrir facsímil</v>
      </c>
      <c r="K577" s="3" t="s">
        <v>23</v>
      </c>
    </row>
    <row r="578" spans="1:11" ht="42" customHeight="1">
      <c r="A578" s="2" t="s">
        <v>1796</v>
      </c>
      <c r="B578" s="2" t="s">
        <v>1797</v>
      </c>
      <c r="C578" s="2" t="s">
        <v>26</v>
      </c>
      <c r="D578" s="2" t="s">
        <v>27</v>
      </c>
      <c r="E578" s="4">
        <v>-31882</v>
      </c>
      <c r="F578" s="3" t="s">
        <v>1798</v>
      </c>
      <c r="G578" s="3" t="s">
        <v>1799</v>
      </c>
      <c r="H578" s="2" t="s">
        <v>21</v>
      </c>
      <c r="I578" s="2" t="s">
        <v>1800</v>
      </c>
      <c r="J578" s="3" t="str">
        <f>HYPERLINK("https://www.boe.es/gazeta/dias/1812/09/15/pdfs/GMR-1812-14.pdf#page=12","Abrir facsímil")</f>
        <v>Abrir facsímil</v>
      </c>
      <c r="K578" s="3" t="s">
        <v>23</v>
      </c>
    </row>
    <row r="579" spans="1:11" ht="42" customHeight="1">
      <c r="A579" s="2" t="s">
        <v>1801</v>
      </c>
      <c r="B579" s="2" t="s">
        <v>1802</v>
      </c>
      <c r="C579" s="2" t="s">
        <v>26</v>
      </c>
      <c r="D579" s="2" t="s">
        <v>27</v>
      </c>
      <c r="E579" s="4">
        <v>-32134</v>
      </c>
      <c r="F579" s="3" t="s">
        <v>50</v>
      </c>
      <c r="G579" s="3" t="s">
        <v>233</v>
      </c>
      <c r="H579" s="2" t="s">
        <v>21</v>
      </c>
      <c r="I579" s="2" t="s">
        <v>1803</v>
      </c>
      <c r="J579" s="3" t="str">
        <f>HYPERLINK("https://www.boe.es/gazeta/dias/1812/01/07/pdfs/GEI-1812-3.pdf#page=8","Abrir facsímil")</f>
        <v>Abrir facsímil</v>
      </c>
      <c r="K579" s="3" t="s">
        <v>23</v>
      </c>
    </row>
    <row r="580" spans="1:11" ht="42" customHeight="1">
      <c r="A580" s="2" t="s">
        <v>1804</v>
      </c>
      <c r="B580" s="2" t="s">
        <v>1804</v>
      </c>
      <c r="C580" s="2" t="s">
        <v>17</v>
      </c>
      <c r="D580" s="2" t="s">
        <v>27</v>
      </c>
      <c r="E580" s="4">
        <v>-31899</v>
      </c>
      <c r="F580" s="3" t="s">
        <v>1396</v>
      </c>
      <c r="G580" s="3" t="s">
        <v>1805</v>
      </c>
      <c r="H580" s="2" t="s">
        <v>21</v>
      </c>
      <c r="I580" s="2" t="s">
        <v>1806</v>
      </c>
      <c r="J580" s="3" t="str">
        <f>HYPERLINK("https://www.boe.es/gazeta/dias/1812/08/29/pdfs/GMR-1812-7.pdf#page=1","Abrir facsímil")</f>
        <v>Abrir facsímil</v>
      </c>
      <c r="K580" s="3" t="s">
        <v>23</v>
      </c>
    </row>
    <row r="581" spans="1:11" ht="42" customHeight="1">
      <c r="A581" s="2" t="s">
        <v>1807</v>
      </c>
      <c r="B581" s="2" t="s">
        <v>1807</v>
      </c>
      <c r="C581" s="2" t="s">
        <v>17</v>
      </c>
      <c r="D581" s="2" t="s">
        <v>27</v>
      </c>
      <c r="E581" s="4">
        <v>-31896</v>
      </c>
      <c r="F581" s="3" t="s">
        <v>1808</v>
      </c>
      <c r="G581" s="3" t="s">
        <v>237</v>
      </c>
      <c r="H581" s="2" t="s">
        <v>21</v>
      </c>
      <c r="I581" s="2" t="s">
        <v>1809</v>
      </c>
      <c r="J581" s="3" t="str">
        <f>HYPERLINK("https://www.boe.es/gazeta/dias/1812/09/01/pdfs/GMR-1812-8.pdf#page=1","Abrir facsímil")</f>
        <v>Abrir facsímil</v>
      </c>
      <c r="K581" s="3" t="s">
        <v>23</v>
      </c>
    </row>
    <row r="582" spans="1:11" ht="42" customHeight="1">
      <c r="A582" s="2" t="s">
        <v>1810</v>
      </c>
      <c r="B582" s="2" t="s">
        <v>1810</v>
      </c>
      <c r="C582" s="2" t="s">
        <v>17</v>
      </c>
      <c r="D582" s="2" t="s">
        <v>18</v>
      </c>
      <c r="E582" s="4">
        <v>-31885</v>
      </c>
      <c r="F582" s="3" t="s">
        <v>750</v>
      </c>
      <c r="G582" s="3" t="s">
        <v>58</v>
      </c>
      <c r="H582" s="2" t="s">
        <v>21</v>
      </c>
      <c r="I582" s="2" t="s">
        <v>1811</v>
      </c>
      <c r="J582" s="3" t="str">
        <f>HYPERLINK("https://www.boe.es/gazeta/dias/1812/09/12/pdfs/GMR-1812-13.pdf#page=4","Abrir facsímil")</f>
        <v>Abrir facsímil</v>
      </c>
      <c r="K582" s="3" t="s">
        <v>23</v>
      </c>
    </row>
    <row r="583" spans="1:11" ht="42" customHeight="1">
      <c r="A583" s="2" t="s">
        <v>1812</v>
      </c>
      <c r="B583" s="2" t="s">
        <v>1812</v>
      </c>
      <c r="C583" s="2" t="s">
        <v>17</v>
      </c>
      <c r="D583" s="2" t="s">
        <v>18</v>
      </c>
      <c r="E583" s="4">
        <v>-31980</v>
      </c>
      <c r="F583" s="3" t="s">
        <v>40</v>
      </c>
      <c r="G583" s="3" t="s">
        <v>1813</v>
      </c>
      <c r="H583" s="2" t="s">
        <v>21</v>
      </c>
      <c r="I583" s="2" t="s">
        <v>1814</v>
      </c>
      <c r="J583" s="3" t="str">
        <f>HYPERLINK("https://www.boe.es/gazeta/dias/1812/06/09/pdfs/GRE-1812-71.pdf#page=2","Abrir facsímil")</f>
        <v>Abrir facsímil</v>
      </c>
      <c r="K583" s="3" t="s">
        <v>23</v>
      </c>
    </row>
    <row r="584" spans="1:11" ht="42" customHeight="1">
      <c r="A584" s="2" t="s">
        <v>1812</v>
      </c>
      <c r="B584" s="2" t="s">
        <v>1812</v>
      </c>
      <c r="C584" s="2" t="s">
        <v>17</v>
      </c>
      <c r="D584" s="2" t="s">
        <v>18</v>
      </c>
      <c r="E584" s="4">
        <v>-31906</v>
      </c>
      <c r="F584" s="3" t="s">
        <v>1815</v>
      </c>
      <c r="G584" s="3" t="s">
        <v>36</v>
      </c>
      <c r="H584" s="2" t="s">
        <v>21</v>
      </c>
      <c r="I584" s="2" t="s">
        <v>1816</v>
      </c>
      <c r="J584" s="3" t="str">
        <f>HYPERLINK("https://www.boe.es/gazeta/dias/1812/08/22/pdfs/GMR-1812-3.pdf#page=3","Abrir facsímil")</f>
        <v>Abrir facsímil</v>
      </c>
      <c r="K584" s="3" t="s">
        <v>23</v>
      </c>
    </row>
    <row r="585" spans="1:11" ht="42" customHeight="1">
      <c r="A585" s="2" t="s">
        <v>1812</v>
      </c>
      <c r="B585" s="2" t="s">
        <v>1812</v>
      </c>
      <c r="C585" s="2" t="s">
        <v>17</v>
      </c>
      <c r="D585" s="2" t="s">
        <v>18</v>
      </c>
      <c r="E585" s="4">
        <v>-31901</v>
      </c>
      <c r="F585" s="3" t="s">
        <v>590</v>
      </c>
      <c r="G585" s="3" t="s">
        <v>591</v>
      </c>
      <c r="H585" s="2" t="s">
        <v>21</v>
      </c>
      <c r="I585" s="2" t="s">
        <v>1817</v>
      </c>
      <c r="J585" s="3" t="str">
        <f>HYPERLINK("https://www.boe.es/gazeta/dias/1812/08/27/pdfs/GMR-1812-6.pdf#page=1","Abrir facsímil")</f>
        <v>Abrir facsímil</v>
      </c>
      <c r="K585" s="3" t="s">
        <v>23</v>
      </c>
    </row>
    <row r="586" spans="1:11" ht="42" customHeight="1">
      <c r="A586" s="2" t="s">
        <v>1812</v>
      </c>
      <c r="B586" s="2" t="s">
        <v>1812</v>
      </c>
      <c r="C586" s="2" t="s">
        <v>17</v>
      </c>
      <c r="D586" s="2" t="s">
        <v>27</v>
      </c>
      <c r="E586" s="4">
        <v>-31899</v>
      </c>
      <c r="F586" s="3" t="s">
        <v>1396</v>
      </c>
      <c r="G586" s="3" t="s">
        <v>1805</v>
      </c>
      <c r="H586" s="2" t="s">
        <v>21</v>
      </c>
      <c r="I586" s="2" t="s">
        <v>1818</v>
      </c>
      <c r="J586" s="3" t="str">
        <f>HYPERLINK("https://www.boe.es/gazeta/dias/1812/08/29/pdfs/GMR-1812-7.pdf#page=1","Abrir facsímil")</f>
        <v>Abrir facsímil</v>
      </c>
      <c r="K586" s="3" t="s">
        <v>23</v>
      </c>
    </row>
    <row r="587" spans="1:11" ht="42" customHeight="1">
      <c r="A587" s="2" t="s">
        <v>1812</v>
      </c>
      <c r="B587" s="2" t="s">
        <v>1812</v>
      </c>
      <c r="C587" s="2" t="s">
        <v>17</v>
      </c>
      <c r="D587" s="2" t="s">
        <v>18</v>
      </c>
      <c r="E587" s="4">
        <v>-31896</v>
      </c>
      <c r="F587" s="3" t="s">
        <v>1808</v>
      </c>
      <c r="G587" s="3" t="s">
        <v>58</v>
      </c>
      <c r="H587" s="2" t="s">
        <v>21</v>
      </c>
      <c r="I587" s="2" t="s">
        <v>1819</v>
      </c>
      <c r="J587" s="3" t="str">
        <f>HYPERLINK("https://www.boe.es/gazeta/dias/1812/09/01/pdfs/GMR-1812-8.pdf#page=3","Abrir facsímil")</f>
        <v>Abrir facsímil</v>
      </c>
      <c r="K587" s="3" t="s">
        <v>23</v>
      </c>
    </row>
    <row r="588" spans="1:11" ht="42" customHeight="1">
      <c r="A588" s="2" t="s">
        <v>1812</v>
      </c>
      <c r="B588" s="2" t="s">
        <v>1812</v>
      </c>
      <c r="C588" s="2" t="s">
        <v>17</v>
      </c>
      <c r="D588" s="2" t="s">
        <v>27</v>
      </c>
      <c r="E588" s="4">
        <v>-31894</v>
      </c>
      <c r="F588" s="3" t="s">
        <v>793</v>
      </c>
      <c r="G588" s="3" t="s">
        <v>1820</v>
      </c>
      <c r="H588" s="2" t="s">
        <v>21</v>
      </c>
      <c r="I588" s="2" t="s">
        <v>1821</v>
      </c>
      <c r="J588" s="3" t="str">
        <f>HYPERLINK("https://www.boe.es/gazeta/dias/1812/09/03/pdfs/GRE-1812-119.pdf#page=2","Abrir facsímil")</f>
        <v>Abrir facsímil</v>
      </c>
      <c r="K588" s="3" t="s">
        <v>23</v>
      </c>
    </row>
    <row r="589" spans="1:11" ht="42" customHeight="1">
      <c r="A589" s="2" t="s">
        <v>1812</v>
      </c>
      <c r="B589" s="2" t="s">
        <v>1812</v>
      </c>
      <c r="C589" s="2" t="s">
        <v>17</v>
      </c>
      <c r="D589" s="2" t="s">
        <v>27</v>
      </c>
      <c r="E589" s="4">
        <v>-31894</v>
      </c>
      <c r="F589" s="3" t="s">
        <v>793</v>
      </c>
      <c r="G589" s="3" t="s">
        <v>1822</v>
      </c>
      <c r="H589" s="2" t="s">
        <v>21</v>
      </c>
      <c r="I589" s="2" t="s">
        <v>1823</v>
      </c>
      <c r="J589" s="3" t="str">
        <f>HYPERLINK("https://www.boe.es/gazeta/dias/1812/09/03/pdfs/GRE-1812-119.pdf#page=3","Abrir facsímil")</f>
        <v>Abrir facsímil</v>
      </c>
      <c r="K589" s="3" t="s">
        <v>23</v>
      </c>
    </row>
    <row r="590" spans="1:11" ht="42" customHeight="1">
      <c r="A590" s="2" t="s">
        <v>1812</v>
      </c>
      <c r="B590" s="2" t="s">
        <v>1812</v>
      </c>
      <c r="C590" s="2" t="s">
        <v>17</v>
      </c>
      <c r="D590" s="2" t="s">
        <v>18</v>
      </c>
      <c r="E590" s="4">
        <v>-31894</v>
      </c>
      <c r="F590" s="3" t="s">
        <v>793</v>
      </c>
      <c r="G590" s="3" t="s">
        <v>644</v>
      </c>
      <c r="H590" s="2" t="s">
        <v>21</v>
      </c>
      <c r="I590" s="2" t="s">
        <v>1824</v>
      </c>
      <c r="J590" s="3" t="str">
        <f>HYPERLINK("https://www.boe.es/gazeta/dias/1812/09/03/pdfs/GRE-1812-119.pdf#page=4","Abrir facsímil")</f>
        <v>Abrir facsímil</v>
      </c>
      <c r="K590" s="3" t="s">
        <v>23</v>
      </c>
    </row>
    <row r="591" spans="1:11" ht="42" customHeight="1">
      <c r="A591" s="2" t="s">
        <v>1812</v>
      </c>
      <c r="B591" s="2" t="s">
        <v>1812</v>
      </c>
      <c r="C591" s="2" t="s">
        <v>26</v>
      </c>
      <c r="D591" s="2" t="s">
        <v>27</v>
      </c>
      <c r="E591" s="4">
        <v>-31892</v>
      </c>
      <c r="F591" s="3" t="s">
        <v>1825</v>
      </c>
      <c r="G591" s="3" t="s">
        <v>1826</v>
      </c>
      <c r="H591" s="2" t="s">
        <v>21</v>
      </c>
      <c r="I591" s="2" t="s">
        <v>1827</v>
      </c>
      <c r="J591" s="3" t="str">
        <f>HYPERLINK("https://www.boe.es/gazeta/dias/1812/09/05/pdfs/GMR-1812-10.pdf#page=5","Abrir facsímil")</f>
        <v>Abrir facsímil</v>
      </c>
      <c r="K591" s="3" t="s">
        <v>23</v>
      </c>
    </row>
    <row r="592" spans="1:11" ht="42" customHeight="1">
      <c r="A592" s="2" t="s">
        <v>1812</v>
      </c>
      <c r="B592" s="2" t="s">
        <v>1812</v>
      </c>
      <c r="C592" s="2" t="s">
        <v>17</v>
      </c>
      <c r="D592" s="2" t="s">
        <v>18</v>
      </c>
      <c r="E592" s="4">
        <v>-31889</v>
      </c>
      <c r="F592" s="3" t="s">
        <v>699</v>
      </c>
      <c r="G592" s="3" t="s">
        <v>58</v>
      </c>
      <c r="H592" s="2" t="s">
        <v>21</v>
      </c>
      <c r="I592" s="2" t="s">
        <v>1828</v>
      </c>
      <c r="J592" s="3" t="str">
        <f>HYPERLINK("https://www.boe.es/gazeta/dias/1812/09/08/pdfs/GMR-1812-11.pdf#page=5","Abrir facsímil")</f>
        <v>Abrir facsímil</v>
      </c>
      <c r="K592" s="3" t="s">
        <v>23</v>
      </c>
    </row>
    <row r="593" spans="1:11" ht="42" customHeight="1">
      <c r="A593" s="2" t="s">
        <v>1812</v>
      </c>
      <c r="B593" s="2" t="s">
        <v>1812</v>
      </c>
      <c r="C593" s="2" t="s">
        <v>17</v>
      </c>
      <c r="D593" s="2" t="s">
        <v>18</v>
      </c>
      <c r="E593" s="4">
        <v>-31887</v>
      </c>
      <c r="F593" s="3" t="s">
        <v>701</v>
      </c>
      <c r="G593" s="3" t="s">
        <v>514</v>
      </c>
      <c r="H593" s="2" t="s">
        <v>21</v>
      </c>
      <c r="I593" s="2" t="s">
        <v>1829</v>
      </c>
      <c r="J593" s="3" t="str">
        <f>HYPERLINK("https://www.boe.es/gazeta/dias/1812/09/10/pdfs/GMR-1812-12.pdf#page=4","Abrir facsímil")</f>
        <v>Abrir facsímil</v>
      </c>
      <c r="K593" s="3" t="s">
        <v>23</v>
      </c>
    </row>
    <row r="594" spans="1:11" ht="42" customHeight="1">
      <c r="A594" s="2" t="s">
        <v>1812</v>
      </c>
      <c r="B594" s="2" t="s">
        <v>1812</v>
      </c>
      <c r="C594" s="2" t="s">
        <v>17</v>
      </c>
      <c r="D594" s="2" t="s">
        <v>27</v>
      </c>
      <c r="E594" s="4">
        <v>-31885</v>
      </c>
      <c r="F594" s="3" t="s">
        <v>750</v>
      </c>
      <c r="G594" s="3" t="s">
        <v>36</v>
      </c>
      <c r="H594" s="2" t="s">
        <v>21</v>
      </c>
      <c r="I594" s="2" t="s">
        <v>1830</v>
      </c>
      <c r="J594" s="3" t="str">
        <f>HYPERLINK("https://www.boe.es/gazeta/dias/1812/09/12/pdfs/GMR-1812-13.pdf#page=3","Abrir facsímil")</f>
        <v>Abrir facsímil</v>
      </c>
      <c r="K594" s="3" t="s">
        <v>23</v>
      </c>
    </row>
    <row r="595" spans="1:11" ht="42" customHeight="1">
      <c r="A595" s="2" t="s">
        <v>1812</v>
      </c>
      <c r="B595" s="2" t="s">
        <v>1812</v>
      </c>
      <c r="C595" s="2" t="s">
        <v>17</v>
      </c>
      <c r="D595" s="2" t="s">
        <v>27</v>
      </c>
      <c r="E595" s="4">
        <v>-31878</v>
      </c>
      <c r="F595" s="3" t="s">
        <v>1831</v>
      </c>
      <c r="G595" s="3" t="s">
        <v>20</v>
      </c>
      <c r="H595" s="2" t="s">
        <v>21</v>
      </c>
      <c r="I595" s="2" t="s">
        <v>1832</v>
      </c>
      <c r="J595" s="3" t="str">
        <f>HYPERLINK("https://www.boe.es/gazeta/dias/1812/09/19/pdfs/GMR-1812-16.pdf#page=2","Abrir facsímil")</f>
        <v>Abrir facsímil</v>
      </c>
      <c r="K595" s="3" t="s">
        <v>23</v>
      </c>
    </row>
    <row r="596" spans="1:11" ht="42" customHeight="1">
      <c r="A596" s="2" t="s">
        <v>1812</v>
      </c>
      <c r="B596" s="2" t="s">
        <v>1812</v>
      </c>
      <c r="C596" s="2" t="s">
        <v>17</v>
      </c>
      <c r="D596" s="2" t="s">
        <v>18</v>
      </c>
      <c r="E596" s="4">
        <v>-31868</v>
      </c>
      <c r="F596" s="3" t="s">
        <v>1833</v>
      </c>
      <c r="G596" s="3" t="s">
        <v>45</v>
      </c>
      <c r="H596" s="2" t="s">
        <v>21</v>
      </c>
      <c r="I596" s="2" t="s">
        <v>1834</v>
      </c>
      <c r="J596" s="3" t="str">
        <f>HYPERLINK("https://www.boe.es/gazeta/dias/1812/09/29/pdfs/GMR-1812-20.pdf#page=2","Abrir facsímil")</f>
        <v>Abrir facsímil</v>
      </c>
      <c r="K596" s="3" t="s">
        <v>23</v>
      </c>
    </row>
    <row r="597" spans="1:11" ht="42" customHeight="1">
      <c r="A597" s="2" t="s">
        <v>1812</v>
      </c>
      <c r="B597" s="2" t="s">
        <v>1812</v>
      </c>
      <c r="C597" s="2" t="s">
        <v>17</v>
      </c>
      <c r="D597" s="2" t="s">
        <v>18</v>
      </c>
      <c r="E597" s="4">
        <v>-31868</v>
      </c>
      <c r="F597" s="3" t="s">
        <v>1833</v>
      </c>
      <c r="G597" s="3" t="s">
        <v>58</v>
      </c>
      <c r="H597" s="2" t="s">
        <v>21</v>
      </c>
      <c r="I597" s="2" t="s">
        <v>1835</v>
      </c>
      <c r="J597" s="3" t="str">
        <f>HYPERLINK("https://www.boe.es/gazeta/dias/1812/09/29/pdfs/GMR-1812-20.pdf#page=3","Abrir facsímil")</f>
        <v>Abrir facsímil</v>
      </c>
      <c r="K597" s="3" t="s">
        <v>23</v>
      </c>
    </row>
    <row r="598" spans="1:11" ht="42" customHeight="1">
      <c r="A598" s="2" t="s">
        <v>1812</v>
      </c>
      <c r="B598" s="2" t="s">
        <v>1812</v>
      </c>
      <c r="C598" s="2" t="s">
        <v>17</v>
      </c>
      <c r="D598" s="2" t="s">
        <v>18</v>
      </c>
      <c r="E598" s="4">
        <v>-31861</v>
      </c>
      <c r="F598" s="3" t="s">
        <v>1080</v>
      </c>
      <c r="G598" s="3" t="s">
        <v>237</v>
      </c>
      <c r="H598" s="2" t="s">
        <v>21</v>
      </c>
      <c r="I598" s="2" t="s">
        <v>1836</v>
      </c>
      <c r="J598" s="3" t="str">
        <f>HYPERLINK("https://www.boe.es/gazeta/dias/1812/10/06/pdfs/GMR-1812-23.pdf#page=4","Abrir facsímil")</f>
        <v>Abrir facsímil</v>
      </c>
      <c r="K598" s="3" t="s">
        <v>23</v>
      </c>
    </row>
    <row r="599" spans="1:11" ht="42" customHeight="1">
      <c r="A599" s="2" t="s">
        <v>1812</v>
      </c>
      <c r="B599" s="2" t="s">
        <v>1812</v>
      </c>
      <c r="C599" s="2" t="s">
        <v>17</v>
      </c>
      <c r="D599" s="2" t="s">
        <v>18</v>
      </c>
      <c r="E599" s="4">
        <v>-31836</v>
      </c>
      <c r="F599" s="3" t="s">
        <v>729</v>
      </c>
      <c r="G599" s="3" t="s">
        <v>1837</v>
      </c>
      <c r="H599" s="2" t="s">
        <v>21</v>
      </c>
      <c r="I599" s="2" t="s">
        <v>1838</v>
      </c>
      <c r="J599" s="3" t="str">
        <f>HYPERLINK("https://www.boe.es/gazeta/dias/1812/10/31/pdfs/GRE-1812-146.pdf#page=2","Abrir facsímil")</f>
        <v>Abrir facsímil</v>
      </c>
      <c r="K599" s="3" t="s">
        <v>23</v>
      </c>
    </row>
    <row r="600" spans="1:11" ht="42" customHeight="1">
      <c r="A600" s="2" t="s">
        <v>1812</v>
      </c>
      <c r="B600" s="2" t="s">
        <v>1812</v>
      </c>
      <c r="C600" s="2" t="s">
        <v>17</v>
      </c>
      <c r="D600" s="2" t="s">
        <v>18</v>
      </c>
      <c r="E600" s="4">
        <v>-31830</v>
      </c>
      <c r="F600" s="3" t="s">
        <v>1839</v>
      </c>
      <c r="G600" s="3" t="s">
        <v>683</v>
      </c>
      <c r="H600" s="2" t="s">
        <v>21</v>
      </c>
      <c r="I600" s="2" t="s">
        <v>1840</v>
      </c>
      <c r="J600" s="3" t="str">
        <f>HYPERLINK("https://www.boe.es/gazeta/dias/1812/11/06/pdfs/GMD-1812-226.pdf#page=3","Abrir facsímil")</f>
        <v>Abrir facsímil</v>
      </c>
      <c r="K600" s="3" t="s">
        <v>23</v>
      </c>
    </row>
    <row r="601" spans="1:11" ht="42" customHeight="1">
      <c r="A601" s="2" t="s">
        <v>1812</v>
      </c>
      <c r="B601" s="2" t="s">
        <v>1812</v>
      </c>
      <c r="C601" s="2" t="s">
        <v>17</v>
      </c>
      <c r="D601" s="2" t="s">
        <v>18</v>
      </c>
      <c r="E601" s="4">
        <v>-31829</v>
      </c>
      <c r="F601" s="3" t="s">
        <v>328</v>
      </c>
      <c r="G601" s="3" t="s">
        <v>217</v>
      </c>
      <c r="H601" s="2" t="s">
        <v>21</v>
      </c>
      <c r="I601" s="2" t="s">
        <v>1841</v>
      </c>
      <c r="J601" s="3" t="str">
        <f>HYPERLINK("https://www.boe.es/gazeta/dias/1812/11/07/pdfs/GMD-1812-227.pdf#page=2","Abrir facsímil")</f>
        <v>Abrir facsímil</v>
      </c>
      <c r="K601" s="3" t="s">
        <v>23</v>
      </c>
    </row>
    <row r="602" spans="1:11" ht="42" customHeight="1">
      <c r="A602" s="2" t="s">
        <v>1812</v>
      </c>
      <c r="B602" s="2" t="s">
        <v>1812</v>
      </c>
      <c r="C602" s="2" t="s">
        <v>17</v>
      </c>
      <c r="D602" s="2" t="s">
        <v>27</v>
      </c>
      <c r="E602" s="4">
        <v>-31829</v>
      </c>
      <c r="F602" s="3" t="s">
        <v>328</v>
      </c>
      <c r="G602" s="3" t="s">
        <v>1842</v>
      </c>
      <c r="H602" s="2" t="s">
        <v>21</v>
      </c>
      <c r="I602" s="2" t="s">
        <v>1843</v>
      </c>
      <c r="J602" s="3" t="str">
        <f>HYPERLINK("https://www.boe.es/gazeta/dias/1812/11/07/pdfs/GMD-1812-227.pdf#page=3","Abrir facsímil")</f>
        <v>Abrir facsímil</v>
      </c>
      <c r="K602" s="3" t="s">
        <v>23</v>
      </c>
    </row>
    <row r="603" spans="1:11" ht="42" customHeight="1">
      <c r="A603" s="2" t="s">
        <v>1812</v>
      </c>
      <c r="B603" s="2" t="s">
        <v>1812</v>
      </c>
      <c r="C603" s="2" t="s">
        <v>26</v>
      </c>
      <c r="D603" s="2" t="s">
        <v>27</v>
      </c>
      <c r="E603" s="4">
        <v>-31829</v>
      </c>
      <c r="F603" s="3" t="s">
        <v>328</v>
      </c>
      <c r="G603" s="3" t="s">
        <v>20</v>
      </c>
      <c r="H603" s="2" t="s">
        <v>21</v>
      </c>
      <c r="I603" s="2" t="s">
        <v>1844</v>
      </c>
      <c r="J603" s="3" t="str">
        <f>HYPERLINK("https://www.boe.es/gazeta/dias/1812/11/07/pdfs/GMD-1812-227.pdf#page=4","Abrir facsímil")</f>
        <v>Abrir facsímil</v>
      </c>
      <c r="K603" s="3" t="s">
        <v>23</v>
      </c>
    </row>
    <row r="604" spans="1:11" ht="42" customHeight="1">
      <c r="A604" s="2" t="s">
        <v>1812</v>
      </c>
      <c r="B604" s="2" t="s">
        <v>1812</v>
      </c>
      <c r="C604" s="2" t="s">
        <v>17</v>
      </c>
      <c r="D604" s="2" t="s">
        <v>18</v>
      </c>
      <c r="E604" s="4">
        <v>-31805</v>
      </c>
      <c r="F604" s="3" t="s">
        <v>895</v>
      </c>
      <c r="G604" s="3" t="s">
        <v>1845</v>
      </c>
      <c r="H604" s="2" t="s">
        <v>21</v>
      </c>
      <c r="I604" s="2" t="s">
        <v>1846</v>
      </c>
      <c r="J604" s="3" t="str">
        <f>HYPERLINK("https://www.boe.es/gazeta/dias/1812/12/01/pdfs/GMR-1812-39.pdf#page=3","Abrir facsímil")</f>
        <v>Abrir facsímil</v>
      </c>
      <c r="K604" s="3" t="s">
        <v>23</v>
      </c>
    </row>
    <row r="605" spans="1:11" ht="42" customHeight="1">
      <c r="A605" s="2" t="s">
        <v>1812</v>
      </c>
      <c r="B605" s="2" t="s">
        <v>1812</v>
      </c>
      <c r="C605" s="2" t="s">
        <v>17</v>
      </c>
      <c r="D605" s="2" t="s">
        <v>18</v>
      </c>
      <c r="E605" s="4">
        <v>-31800</v>
      </c>
      <c r="F605" s="3" t="s">
        <v>593</v>
      </c>
      <c r="G605" s="3" t="s">
        <v>140</v>
      </c>
      <c r="H605" s="2" t="s">
        <v>21</v>
      </c>
      <c r="I605" s="2" t="s">
        <v>1847</v>
      </c>
      <c r="J605" s="3" t="str">
        <f>HYPERLINK("https://www.boe.es/gazeta/dias/1812/12/06/pdfs/GMD-1812-229.pdf#page=2","Abrir facsímil")</f>
        <v>Abrir facsímil</v>
      </c>
      <c r="K605" s="3" t="s">
        <v>23</v>
      </c>
    </row>
    <row r="606" spans="1:11" ht="42" customHeight="1">
      <c r="A606" s="2" t="s">
        <v>1812</v>
      </c>
      <c r="B606" s="2" t="s">
        <v>1812</v>
      </c>
      <c r="C606" s="2" t="s">
        <v>26</v>
      </c>
      <c r="D606" s="2" t="s">
        <v>27</v>
      </c>
      <c r="E606" s="4">
        <v>-31799</v>
      </c>
      <c r="F606" s="3" t="s">
        <v>736</v>
      </c>
      <c r="G606" s="3" t="s">
        <v>233</v>
      </c>
      <c r="H606" s="2" t="s">
        <v>21</v>
      </c>
      <c r="I606" s="2" t="s">
        <v>1848</v>
      </c>
      <c r="J606" s="3" t="str">
        <f>HYPERLINK("https://www.boe.es/gazeta/dias/1812/12/07/pdfs/GMD-1812-230.pdf#page=2","Abrir facsímil")</f>
        <v>Abrir facsímil</v>
      </c>
      <c r="K606" s="3" t="s">
        <v>23</v>
      </c>
    </row>
    <row r="607" spans="1:11" ht="42" customHeight="1">
      <c r="A607" s="2" t="s">
        <v>1812</v>
      </c>
      <c r="B607" s="2" t="s">
        <v>1812</v>
      </c>
      <c r="C607" s="2" t="s">
        <v>17</v>
      </c>
      <c r="D607" s="2" t="s">
        <v>27</v>
      </c>
      <c r="E607" s="4">
        <v>-31798</v>
      </c>
      <c r="F607" s="3" t="s">
        <v>1849</v>
      </c>
      <c r="G607" s="3" t="s">
        <v>1850</v>
      </c>
      <c r="H607" s="2" t="s">
        <v>21</v>
      </c>
      <c r="I607" s="2" t="s">
        <v>1851</v>
      </c>
      <c r="J607" s="3" t="str">
        <f>HYPERLINK("https://www.boe.es/gazeta/dias/1812/12/08/pdfs/GMD-1812-231.pdf#page=3","Abrir facsímil")</f>
        <v>Abrir facsímil</v>
      </c>
      <c r="K607" s="3" t="s">
        <v>23</v>
      </c>
    </row>
    <row r="608" spans="1:11" ht="42" customHeight="1">
      <c r="A608" s="2" t="s">
        <v>1812</v>
      </c>
      <c r="B608" s="2" t="s">
        <v>1812</v>
      </c>
      <c r="C608" s="2" t="s">
        <v>17</v>
      </c>
      <c r="D608" s="2" t="s">
        <v>27</v>
      </c>
      <c r="E608" s="4">
        <v>-31791</v>
      </c>
      <c r="F608" s="3" t="s">
        <v>1668</v>
      </c>
      <c r="G608" s="3" t="s">
        <v>1852</v>
      </c>
      <c r="H608" s="2" t="s">
        <v>21</v>
      </c>
      <c r="I608" s="2" t="s">
        <v>1853</v>
      </c>
      <c r="J608" s="3" t="str">
        <f>HYPERLINK("https://www.boe.es/gazeta/dias/1812/12/15/pdfs/GMD-1812-238.pdf#page=2","Abrir facsímil")</f>
        <v>Abrir facsímil</v>
      </c>
      <c r="K608" s="3" t="s">
        <v>23</v>
      </c>
    </row>
    <row r="609" spans="1:11" ht="42" customHeight="1">
      <c r="A609" s="2" t="s">
        <v>1812</v>
      </c>
      <c r="B609" s="2" t="s">
        <v>1812</v>
      </c>
      <c r="C609" s="2" t="s">
        <v>17</v>
      </c>
      <c r="D609" s="2" t="s">
        <v>18</v>
      </c>
      <c r="E609" s="4">
        <v>-31789</v>
      </c>
      <c r="F609" s="3" t="s">
        <v>873</v>
      </c>
      <c r="G609" s="3" t="s">
        <v>217</v>
      </c>
      <c r="H609" s="2" t="s">
        <v>21</v>
      </c>
      <c r="I609" s="2" t="s">
        <v>1854</v>
      </c>
      <c r="J609" s="3" t="str">
        <f>HYPERLINK("https://www.boe.es/gazeta/dias/1812/12/17/pdfs/GMD-1812-240.pdf#page=3","Abrir facsímil")</f>
        <v>Abrir facsímil</v>
      </c>
      <c r="K609" s="3" t="s">
        <v>23</v>
      </c>
    </row>
    <row r="610" spans="1:11" ht="42" customHeight="1">
      <c r="A610" s="2" t="s">
        <v>1855</v>
      </c>
      <c r="B610" s="2" t="s">
        <v>1855</v>
      </c>
      <c r="C610" s="2" t="s">
        <v>17</v>
      </c>
      <c r="D610" s="2" t="s">
        <v>27</v>
      </c>
      <c r="E610" s="4">
        <v>-31819</v>
      </c>
      <c r="F610" s="3" t="s">
        <v>1856</v>
      </c>
      <c r="G610" s="3" t="s">
        <v>20</v>
      </c>
      <c r="H610" s="2" t="s">
        <v>21</v>
      </c>
      <c r="I610" s="2" t="s">
        <v>1857</v>
      </c>
      <c r="J610" s="3" t="str">
        <f>HYPERLINK("https://www.boe.es/gazeta/dias/1812/11/17/pdfs/GMR-1812-35.pdf#page=2","Abrir facsímil")</f>
        <v>Abrir facsímil</v>
      </c>
      <c r="K610" s="3" t="s">
        <v>23</v>
      </c>
    </row>
    <row r="611" spans="1:11" ht="42" customHeight="1">
      <c r="A611" s="2" t="s">
        <v>1858</v>
      </c>
      <c r="B611" s="2" t="s">
        <v>1859</v>
      </c>
      <c r="C611" s="2" t="s">
        <v>26</v>
      </c>
      <c r="D611" s="2" t="s">
        <v>27</v>
      </c>
      <c r="E611" s="4">
        <v>-32020</v>
      </c>
      <c r="F611" s="3" t="s">
        <v>1860</v>
      </c>
      <c r="G611" s="3" t="s">
        <v>36</v>
      </c>
      <c r="H611" s="2" t="s">
        <v>21</v>
      </c>
      <c r="I611" s="2" t="s">
        <v>1861</v>
      </c>
      <c r="J611" s="3" t="str">
        <f>HYPERLINK("https://www.boe.es/gazeta/dias/1812/04/30/pdfs/GMD-1812-121.pdf#page=3","Abrir facsímil")</f>
        <v>Abrir facsímil</v>
      </c>
      <c r="K611" s="3" t="s">
        <v>23</v>
      </c>
    </row>
    <row r="612" spans="1:11" ht="42" customHeight="1">
      <c r="A612" s="2" t="s">
        <v>1862</v>
      </c>
      <c r="B612" s="2" t="s">
        <v>1863</v>
      </c>
      <c r="C612" s="2" t="s">
        <v>26</v>
      </c>
      <c r="D612" s="2" t="s">
        <v>27</v>
      </c>
      <c r="E612" s="4">
        <v>-31938</v>
      </c>
      <c r="F612" s="3" t="s">
        <v>324</v>
      </c>
      <c r="G612" s="3" t="s">
        <v>237</v>
      </c>
      <c r="H612" s="2" t="s">
        <v>21</v>
      </c>
      <c r="I612" s="2" t="s">
        <v>1864</v>
      </c>
      <c r="J612" s="3" t="str">
        <f>HYPERLINK("https://www.boe.es/gazeta/dias/1812/07/21/pdfs/GMD-1812-203.pdf#page=2","Abrir facsímil")</f>
        <v>Abrir facsímil</v>
      </c>
      <c r="K612" s="3" t="s">
        <v>23</v>
      </c>
    </row>
    <row r="613" spans="1:11" ht="42" customHeight="1">
      <c r="A613" s="2" t="s">
        <v>1865</v>
      </c>
      <c r="B613" s="2" t="s">
        <v>1865</v>
      </c>
      <c r="C613" s="2" t="s">
        <v>26</v>
      </c>
      <c r="D613" s="2" t="s">
        <v>27</v>
      </c>
      <c r="E613" s="4">
        <v>-32037</v>
      </c>
      <c r="F613" s="3" t="s">
        <v>1866</v>
      </c>
      <c r="G613" s="3" t="s">
        <v>404</v>
      </c>
      <c r="H613" s="2" t="s">
        <v>21</v>
      </c>
      <c r="I613" s="2" t="s">
        <v>1867</v>
      </c>
      <c r="J613" s="3" t="str">
        <f>HYPERLINK("https://www.boe.es/gazeta/dias/1812/04/13/pdfs/GMD-1812-104.pdf#page=2","Abrir facsímil")</f>
        <v>Abrir facsímil</v>
      </c>
      <c r="K613" s="3" t="s">
        <v>23</v>
      </c>
    </row>
    <row r="614" spans="1:11" ht="42" customHeight="1">
      <c r="A614" s="2" t="s">
        <v>1868</v>
      </c>
      <c r="B614" s="2" t="s">
        <v>1869</v>
      </c>
      <c r="C614" s="2" t="s">
        <v>17</v>
      </c>
      <c r="D614" s="2" t="s">
        <v>27</v>
      </c>
      <c r="E614" s="4">
        <v>-32002</v>
      </c>
      <c r="F614" s="3" t="s">
        <v>619</v>
      </c>
      <c r="G614" s="3" t="s">
        <v>620</v>
      </c>
      <c r="H614" s="2" t="s">
        <v>21</v>
      </c>
      <c r="I614" s="2" t="s">
        <v>1870</v>
      </c>
      <c r="J614" s="3" t="str">
        <f>HYPERLINK("https://www.boe.es/gazeta/dias/1812/05/18/pdfs/GMD-1812-139.pdf#page=2","Abrir facsímil")</f>
        <v>Abrir facsímil</v>
      </c>
      <c r="K614" s="3" t="s">
        <v>23</v>
      </c>
    </row>
    <row r="615" spans="1:11" ht="42" customHeight="1">
      <c r="A615" s="2" t="s">
        <v>1871</v>
      </c>
      <c r="B615" s="2" t="s">
        <v>1872</v>
      </c>
      <c r="C615" s="2" t="s">
        <v>186</v>
      </c>
      <c r="D615" s="2" t="s">
        <v>27</v>
      </c>
      <c r="E615" s="4">
        <v>-32044</v>
      </c>
      <c r="F615" s="3" t="s">
        <v>1031</v>
      </c>
      <c r="G615" s="3" t="s">
        <v>1873</v>
      </c>
      <c r="H615" s="2" t="s">
        <v>21</v>
      </c>
      <c r="I615" s="2" t="s">
        <v>1874</v>
      </c>
      <c r="J615" s="3" t="str">
        <f>HYPERLINK("https://www.boe.es/gazeta/dias/1812/04/06/pdfs/GMD-1812-97.pdf#page=4","Abrir facsímil")</f>
        <v>Abrir facsímil</v>
      </c>
      <c r="K615" s="3" t="s">
        <v>23</v>
      </c>
    </row>
    <row r="616" spans="1:11" ht="42" customHeight="1">
      <c r="A616" s="2" t="s">
        <v>1875</v>
      </c>
      <c r="B616" s="2" t="s">
        <v>1876</v>
      </c>
      <c r="C616" s="2" t="s">
        <v>17</v>
      </c>
      <c r="D616" s="2" t="s">
        <v>27</v>
      </c>
      <c r="E616" s="4">
        <v>-32085</v>
      </c>
      <c r="F616" s="3" t="s">
        <v>1877</v>
      </c>
      <c r="G616" s="3" t="s">
        <v>196</v>
      </c>
      <c r="H616" s="2" t="s">
        <v>21</v>
      </c>
      <c r="I616" s="2" t="s">
        <v>1878</v>
      </c>
      <c r="J616" s="3" t="str">
        <f>HYPERLINK("https://www.boe.es/gazeta/dias/1812/02/25/pdfs/GMD-1812-56.pdf#page=1","Abrir facsímil")</f>
        <v>Abrir facsímil</v>
      </c>
      <c r="K616" s="3" t="s">
        <v>23</v>
      </c>
    </row>
    <row r="617" spans="1:11" ht="42" customHeight="1">
      <c r="A617" s="2" t="s">
        <v>1879</v>
      </c>
      <c r="B617" s="2" t="s">
        <v>1880</v>
      </c>
      <c r="C617" s="2" t="s">
        <v>82</v>
      </c>
      <c r="D617" s="2" t="s">
        <v>27</v>
      </c>
      <c r="E617" s="4">
        <v>-31966</v>
      </c>
      <c r="F617" s="3" t="s">
        <v>387</v>
      </c>
      <c r="G617" s="3" t="s">
        <v>388</v>
      </c>
      <c r="H617" s="2" t="s">
        <v>21</v>
      </c>
      <c r="I617" s="2" t="s">
        <v>1881</v>
      </c>
      <c r="J617" s="3" t="str">
        <f>HYPERLINK("https://www.boe.es/gazeta/dias/1812/06/23/pdfs/GMD-1812-175.pdf#page=2","Abrir facsímil")</f>
        <v>Abrir facsímil</v>
      </c>
      <c r="K617" s="3" t="s">
        <v>23</v>
      </c>
    </row>
    <row r="618" spans="1:11" ht="42" customHeight="1">
      <c r="A618" s="2" t="s">
        <v>1882</v>
      </c>
      <c r="B618" s="2" t="s">
        <v>1882</v>
      </c>
      <c r="C618" s="2" t="s">
        <v>17</v>
      </c>
      <c r="D618" s="2" t="s">
        <v>27</v>
      </c>
      <c r="E618" s="4">
        <v>-31789</v>
      </c>
      <c r="F618" s="3" t="s">
        <v>873</v>
      </c>
      <c r="G618" s="3" t="s">
        <v>1883</v>
      </c>
      <c r="H618" s="2" t="s">
        <v>21</v>
      </c>
      <c r="I618" s="2" t="s">
        <v>1884</v>
      </c>
      <c r="J618" s="3" t="str">
        <f>HYPERLINK("https://www.boe.es/gazeta/dias/1812/12/17/pdfs/GMD-1812-240.pdf#page=2","Abrir facsímil")</f>
        <v>Abrir facsímil</v>
      </c>
      <c r="K618" s="3" t="s">
        <v>23</v>
      </c>
    </row>
    <row r="619" spans="1:11" ht="42" customHeight="1">
      <c r="A619" s="2" t="s">
        <v>1885</v>
      </c>
      <c r="B619" s="2" t="s">
        <v>1885</v>
      </c>
      <c r="C619" s="2" t="s">
        <v>26</v>
      </c>
      <c r="D619" s="2" t="s">
        <v>27</v>
      </c>
      <c r="E619" s="4">
        <v>-31936</v>
      </c>
      <c r="F619" s="3" t="s">
        <v>614</v>
      </c>
      <c r="G619" s="3" t="s">
        <v>1886</v>
      </c>
      <c r="H619" s="2" t="s">
        <v>21</v>
      </c>
      <c r="I619" s="2" t="s">
        <v>1887</v>
      </c>
      <c r="J619" s="3" t="str">
        <f>HYPERLINK("https://www.boe.es/gazeta/dias/1812/07/23/pdfs/GRE-1812-92.pdf#page=1","Abrir facsímil")</f>
        <v>Abrir facsímil</v>
      </c>
      <c r="K619" s="3" t="s">
        <v>23</v>
      </c>
    </row>
    <row r="620" spans="1:11" ht="42" customHeight="1">
      <c r="A620" s="2" t="s">
        <v>1888</v>
      </c>
      <c r="B620" s="2" t="s">
        <v>1888</v>
      </c>
      <c r="C620" s="2" t="s">
        <v>115</v>
      </c>
      <c r="D620" s="2" t="s">
        <v>18</v>
      </c>
      <c r="E620" s="4">
        <v>-31971</v>
      </c>
      <c r="F620" s="3" t="s">
        <v>587</v>
      </c>
      <c r="G620" s="3" t="s">
        <v>1889</v>
      </c>
      <c r="H620" s="2" t="s">
        <v>21</v>
      </c>
      <c r="I620" s="2" t="s">
        <v>1890</v>
      </c>
      <c r="J620" s="3" t="str">
        <f>HYPERLINK("https://www.boe.es/gazeta/dias/1812/06/18/pdfs/GMD-1812-170.pdf#page=2","Abrir facsímil")</f>
        <v>Abrir facsímil</v>
      </c>
      <c r="K620" s="3" t="s">
        <v>23</v>
      </c>
    </row>
    <row r="621" spans="1:11" ht="42" customHeight="1">
      <c r="A621" s="2" t="s">
        <v>1891</v>
      </c>
      <c r="B621" s="2" t="s">
        <v>1892</v>
      </c>
      <c r="C621" s="2" t="s">
        <v>17</v>
      </c>
      <c r="D621" s="2" t="s">
        <v>18</v>
      </c>
      <c r="E621" s="4">
        <v>-32095</v>
      </c>
      <c r="F621" s="3" t="s">
        <v>181</v>
      </c>
      <c r="G621" s="3" t="s">
        <v>777</v>
      </c>
      <c r="H621" s="2" t="s">
        <v>21</v>
      </c>
      <c r="I621" s="2" t="s">
        <v>1893</v>
      </c>
      <c r="J621" s="3" t="str">
        <f>HYPERLINK("https://www.boe.es/gazeta/dias/1812/02/15/pdfs/GMD-1812-47.pdf#page=3","Abrir facsímil")</f>
        <v>Abrir facsímil</v>
      </c>
      <c r="K621" s="3" t="s">
        <v>23</v>
      </c>
    </row>
    <row r="622" spans="1:11" ht="42" customHeight="1">
      <c r="A622" s="2" t="s">
        <v>1891</v>
      </c>
      <c r="B622" s="2" t="s">
        <v>1892</v>
      </c>
      <c r="C622" s="2" t="s">
        <v>17</v>
      </c>
      <c r="D622" s="2" t="s">
        <v>18</v>
      </c>
      <c r="E622" s="4">
        <v>-32094</v>
      </c>
      <c r="F622" s="3" t="s">
        <v>181</v>
      </c>
      <c r="G622" s="3" t="s">
        <v>777</v>
      </c>
      <c r="H622" s="2" t="s">
        <v>21</v>
      </c>
      <c r="I622" s="2" t="s">
        <v>1893</v>
      </c>
      <c r="J622" s="3" t="str">
        <f>HYPERLINK("https://www.boe.es/gazeta/dias/1812/02/16/pdfs/GMD-1812-47.pdf#page=3","Abrir facsímil")</f>
        <v>Abrir facsímil</v>
      </c>
      <c r="K622" s="3" t="s">
        <v>23</v>
      </c>
    </row>
    <row r="623" spans="1:11" ht="42" customHeight="1">
      <c r="A623" s="2" t="s">
        <v>1894</v>
      </c>
      <c r="B623" s="2" t="s">
        <v>1894</v>
      </c>
      <c r="C623" s="2" t="s">
        <v>26</v>
      </c>
      <c r="D623" s="2" t="s">
        <v>27</v>
      </c>
      <c r="E623" s="4">
        <v>-32092</v>
      </c>
      <c r="F623" s="3" t="s">
        <v>1621</v>
      </c>
      <c r="G623" s="3" t="s">
        <v>1650</v>
      </c>
      <c r="H623" s="2" t="s">
        <v>21</v>
      </c>
      <c r="I623" s="2" t="s">
        <v>1895</v>
      </c>
      <c r="J623" s="3" t="str">
        <f>HYPERLINK("https://www.boe.es/gazeta/dias/1812/02/18/pdfs/GRE-1812-21.pdf#page=7","Abrir facsímil")</f>
        <v>Abrir facsímil</v>
      </c>
      <c r="K623" s="3" t="s">
        <v>23</v>
      </c>
    </row>
    <row r="624" spans="1:11" ht="42" customHeight="1">
      <c r="A624" s="2" t="s">
        <v>1896</v>
      </c>
      <c r="B624" s="2" t="s">
        <v>1897</v>
      </c>
      <c r="C624" s="2" t="s">
        <v>17</v>
      </c>
      <c r="D624" s="2" t="s">
        <v>27</v>
      </c>
      <c r="E624" s="4">
        <v>-31963</v>
      </c>
      <c r="F624" s="3" t="s">
        <v>171</v>
      </c>
      <c r="G624" s="3" t="s">
        <v>1653</v>
      </c>
      <c r="H624" s="2" t="s">
        <v>21</v>
      </c>
      <c r="I624" s="2" t="s">
        <v>1898</v>
      </c>
      <c r="J624" s="3" t="str">
        <f>HYPERLINK("https://www.boe.es/gazeta/dias/1812/06/26/pdfs/GMD-1812-178.pdf#page=2","Abrir facsímil")</f>
        <v>Abrir facsímil</v>
      </c>
      <c r="K624" s="3" t="s">
        <v>23</v>
      </c>
    </row>
    <row r="625" spans="1:11" ht="42" customHeight="1">
      <c r="A625" s="2" t="s">
        <v>1899</v>
      </c>
      <c r="B625" s="2" t="s">
        <v>1900</v>
      </c>
      <c r="C625" s="2" t="s">
        <v>26</v>
      </c>
      <c r="D625" s="2" t="s">
        <v>27</v>
      </c>
      <c r="E625" s="4">
        <v>-32055</v>
      </c>
      <c r="F625" s="3" t="s">
        <v>459</v>
      </c>
      <c r="G625" s="3" t="s">
        <v>20</v>
      </c>
      <c r="H625" s="2" t="s">
        <v>21</v>
      </c>
      <c r="I625" s="2" t="s">
        <v>1901</v>
      </c>
      <c r="J625" s="3" t="str">
        <f>HYPERLINK("https://www.boe.es/gazeta/dias/1812/03/26/pdfs/GRE-1812-38.pdf#page=8","Abrir facsímil")</f>
        <v>Abrir facsímil</v>
      </c>
      <c r="K625" s="3" t="s">
        <v>23</v>
      </c>
    </row>
    <row r="626" spans="1:11" ht="42" customHeight="1">
      <c r="A626" s="2" t="s">
        <v>1902</v>
      </c>
      <c r="B626" s="2" t="s">
        <v>1903</v>
      </c>
      <c r="C626" s="2" t="s">
        <v>67</v>
      </c>
      <c r="D626" s="2" t="s">
        <v>27</v>
      </c>
      <c r="E626" s="4">
        <v>-32000</v>
      </c>
      <c r="F626" s="3" t="s">
        <v>878</v>
      </c>
      <c r="G626" s="3" t="s">
        <v>214</v>
      </c>
      <c r="H626" s="2" t="s">
        <v>21</v>
      </c>
      <c r="I626" s="2" t="s">
        <v>1904</v>
      </c>
      <c r="J626" s="3" t="str">
        <f>HYPERLINK("https://www.boe.es/gazeta/dias/1812/05/20/pdfs/GMD-1812-141.pdf#page=2","Abrir facsímil")</f>
        <v>Abrir facsímil</v>
      </c>
      <c r="K626" s="3" t="s">
        <v>23</v>
      </c>
    </row>
    <row r="627" spans="1:11" ht="42" customHeight="1">
      <c r="A627" s="2" t="s">
        <v>1905</v>
      </c>
      <c r="B627" s="2" t="s">
        <v>1905</v>
      </c>
      <c r="C627" s="2" t="s">
        <v>17</v>
      </c>
      <c r="D627" s="2" t="s">
        <v>27</v>
      </c>
      <c r="E627" s="4">
        <v>-32083</v>
      </c>
      <c r="F627" s="3" t="s">
        <v>1906</v>
      </c>
      <c r="G627" s="3" t="s">
        <v>1907</v>
      </c>
      <c r="H627" s="2" t="s">
        <v>21</v>
      </c>
      <c r="I627" s="2" t="s">
        <v>1908</v>
      </c>
      <c r="J627" s="3" t="str">
        <f>HYPERLINK("https://www.boe.es/gazeta/dias/1812/02/27/pdfs/GMD-1812-58.pdf#page=4","Abrir facsímil")</f>
        <v>Abrir facsímil</v>
      </c>
      <c r="K627" s="3" t="s">
        <v>23</v>
      </c>
    </row>
    <row r="628" spans="1:11" ht="42" customHeight="1">
      <c r="A628" s="2" t="s">
        <v>1909</v>
      </c>
      <c r="B628" s="2" t="s">
        <v>1909</v>
      </c>
      <c r="C628" s="2" t="s">
        <v>17</v>
      </c>
      <c r="D628" s="2" t="s">
        <v>18</v>
      </c>
      <c r="E628" s="4">
        <v>-32039</v>
      </c>
      <c r="F628" s="3" t="s">
        <v>1910</v>
      </c>
      <c r="G628" s="3" t="s">
        <v>1911</v>
      </c>
      <c r="H628" s="2" t="s">
        <v>21</v>
      </c>
      <c r="I628" s="2" t="s">
        <v>1912</v>
      </c>
      <c r="J628" s="3" t="str">
        <f>HYPERLINK("https://www.boe.es/gazeta/dias/1812/04/11/pdfs/GRE-1812-46.pdf#page=7","Abrir facsímil")</f>
        <v>Abrir facsímil</v>
      </c>
      <c r="K628" s="3" t="s">
        <v>23</v>
      </c>
    </row>
    <row r="629" spans="1:11" ht="42" customHeight="1">
      <c r="A629" s="2" t="s">
        <v>1913</v>
      </c>
      <c r="B629" s="2" t="s">
        <v>1913</v>
      </c>
      <c r="C629" s="2" t="s">
        <v>17</v>
      </c>
      <c r="D629" s="2" t="s">
        <v>27</v>
      </c>
      <c r="E629" s="4">
        <v>-31801</v>
      </c>
      <c r="F629" s="3" t="s">
        <v>1914</v>
      </c>
      <c r="G629" s="3" t="s">
        <v>1915</v>
      </c>
      <c r="H629" s="2" t="s">
        <v>21</v>
      </c>
      <c r="I629" s="2" t="s">
        <v>1916</v>
      </c>
      <c r="J629" s="3" t="str">
        <f>HYPERLINK("https://www.boe.es/gazeta/dias/1812/12/05/pdfs/GRE-1812-161.pdf#page=3","Abrir facsímil")</f>
        <v>Abrir facsímil</v>
      </c>
      <c r="K629" s="3" t="s">
        <v>23</v>
      </c>
    </row>
    <row r="630" spans="1:11" ht="42" customHeight="1">
      <c r="A630" s="2" t="s">
        <v>1917</v>
      </c>
      <c r="B630" s="2" t="s">
        <v>1917</v>
      </c>
      <c r="C630" s="2" t="s">
        <v>17</v>
      </c>
      <c r="D630" s="2" t="s">
        <v>27</v>
      </c>
      <c r="E630" s="4">
        <v>-32089</v>
      </c>
      <c r="F630" s="3" t="s">
        <v>1918</v>
      </c>
      <c r="G630" s="3" t="s">
        <v>1919</v>
      </c>
      <c r="H630" s="2" t="s">
        <v>21</v>
      </c>
      <c r="I630" s="2" t="s">
        <v>1920</v>
      </c>
      <c r="J630" s="3" t="str">
        <f>HYPERLINK("https://www.boe.es/gazeta/dias/1812/02/21/pdfs/GMD-1812-52.pdf#page=3","Abrir facsímil")</f>
        <v>Abrir facsímil</v>
      </c>
      <c r="K630" s="3" t="s">
        <v>23</v>
      </c>
    </row>
    <row r="631" spans="1:11" ht="42" customHeight="1">
      <c r="A631" s="2" t="s">
        <v>1917</v>
      </c>
      <c r="B631" s="2" t="s">
        <v>1917</v>
      </c>
      <c r="C631" s="2" t="s">
        <v>17</v>
      </c>
      <c r="D631" s="2" t="s">
        <v>18</v>
      </c>
      <c r="E631" s="4">
        <v>-32041</v>
      </c>
      <c r="F631" s="3" t="s">
        <v>35</v>
      </c>
      <c r="G631" s="3" t="s">
        <v>196</v>
      </c>
      <c r="H631" s="2" t="s">
        <v>21</v>
      </c>
      <c r="I631" s="2" t="s">
        <v>1921</v>
      </c>
      <c r="J631" s="3" t="str">
        <f>HYPERLINK("https://www.boe.es/gazeta/dias/1812/04/09/pdfs/GRE-1812-44.pdf#page=1","Abrir facsímil")</f>
        <v>Abrir facsímil</v>
      </c>
      <c r="K631" s="3" t="s">
        <v>23</v>
      </c>
    </row>
    <row r="632" spans="1:11" ht="42" customHeight="1">
      <c r="A632" s="2" t="s">
        <v>1922</v>
      </c>
      <c r="B632" s="2" t="s">
        <v>1922</v>
      </c>
      <c r="C632" s="2" t="s">
        <v>17</v>
      </c>
      <c r="D632" s="2" t="s">
        <v>27</v>
      </c>
      <c r="E632" s="4">
        <v>-32139</v>
      </c>
      <c r="F632" s="3" t="s">
        <v>518</v>
      </c>
      <c r="G632" s="3" t="s">
        <v>1923</v>
      </c>
      <c r="H632" s="2" t="s">
        <v>21</v>
      </c>
      <c r="I632" s="2" t="s">
        <v>1924</v>
      </c>
      <c r="J632" s="3" t="str">
        <f>HYPERLINK("https://www.boe.es/gazeta/dias/1812/01/02/pdfs/GEI-1812-1.pdf#page=1","Abrir facsímil")</f>
        <v>Abrir facsímil</v>
      </c>
      <c r="K632" s="3" t="s">
        <v>23</v>
      </c>
    </row>
    <row r="633" spans="1:11" ht="42" customHeight="1">
      <c r="A633" s="2" t="s">
        <v>1922</v>
      </c>
      <c r="B633" s="2" t="s">
        <v>1922</v>
      </c>
      <c r="C633" s="2" t="s">
        <v>17</v>
      </c>
      <c r="D633" s="2" t="s">
        <v>27</v>
      </c>
      <c r="E633" s="4">
        <v>-32139</v>
      </c>
      <c r="F633" s="3" t="s">
        <v>518</v>
      </c>
      <c r="G633" s="3" t="s">
        <v>514</v>
      </c>
      <c r="H633" s="2" t="s">
        <v>21</v>
      </c>
      <c r="I633" s="2" t="s">
        <v>1925</v>
      </c>
      <c r="J633" s="3" t="str">
        <f>HYPERLINK("https://www.boe.es/gazeta/dias/1812/01/02/pdfs/GEI-1812-1.pdf#page=5","Abrir facsímil")</f>
        <v>Abrir facsímil</v>
      </c>
      <c r="K633" s="3" t="s">
        <v>23</v>
      </c>
    </row>
    <row r="634" spans="1:11" ht="42" customHeight="1">
      <c r="A634" s="2" t="s">
        <v>1922</v>
      </c>
      <c r="B634" s="2" t="s">
        <v>1922</v>
      </c>
      <c r="C634" s="2" t="s">
        <v>17</v>
      </c>
      <c r="D634" s="2" t="s">
        <v>27</v>
      </c>
      <c r="E634" s="4">
        <v>-32139</v>
      </c>
      <c r="F634" s="3" t="s">
        <v>518</v>
      </c>
      <c r="G634" s="3" t="s">
        <v>58</v>
      </c>
      <c r="H634" s="2" t="s">
        <v>21</v>
      </c>
      <c r="I634" s="2" t="s">
        <v>1926</v>
      </c>
      <c r="J634" s="3" t="str">
        <f>HYPERLINK("https://www.boe.es/gazeta/dias/1812/01/02/pdfs/GEI-1812-1.pdf#page=6","Abrir facsímil")</f>
        <v>Abrir facsímil</v>
      </c>
      <c r="K634" s="3" t="s">
        <v>23</v>
      </c>
    </row>
    <row r="635" spans="1:11" ht="42" customHeight="1">
      <c r="A635" s="2" t="s">
        <v>1922</v>
      </c>
      <c r="B635" s="2" t="s">
        <v>1922</v>
      </c>
      <c r="C635" s="2" t="s">
        <v>17</v>
      </c>
      <c r="D635" s="2" t="s">
        <v>275</v>
      </c>
      <c r="E635" s="4">
        <v>-32128</v>
      </c>
      <c r="F635" s="3" t="s">
        <v>1927</v>
      </c>
      <c r="G635" s="3" t="s">
        <v>20</v>
      </c>
      <c r="H635" s="2" t="s">
        <v>21</v>
      </c>
      <c r="I635" s="2" t="s">
        <v>1928</v>
      </c>
      <c r="J635" s="3" t="str">
        <f>HYPERLINK("https://www.boe.es/gazeta/dias/1812/01/13/pdfs/GMD-1812-13.pdf#page=4","Abrir facsímil")</f>
        <v>Abrir facsímil</v>
      </c>
      <c r="K635" s="3" t="s">
        <v>23</v>
      </c>
    </row>
    <row r="636" spans="1:11" ht="42" customHeight="1">
      <c r="A636" s="2" t="s">
        <v>1922</v>
      </c>
      <c r="B636" s="2" t="s">
        <v>1922</v>
      </c>
      <c r="C636" s="2" t="s">
        <v>17</v>
      </c>
      <c r="D636" s="2" t="s">
        <v>27</v>
      </c>
      <c r="E636" s="4">
        <v>-32118</v>
      </c>
      <c r="F636" s="3" t="s">
        <v>1420</v>
      </c>
      <c r="G636" s="3" t="s">
        <v>336</v>
      </c>
      <c r="H636" s="2" t="s">
        <v>21</v>
      </c>
      <c r="I636" s="2" t="s">
        <v>1929</v>
      </c>
      <c r="J636" s="3" t="str">
        <f>HYPERLINK("https://www.boe.es/gazeta/dias/1812/01/23/pdfs/GEI-1812-10.pdf#page=1","Abrir facsímil")</f>
        <v>Abrir facsímil</v>
      </c>
      <c r="K636" s="3" t="s">
        <v>23</v>
      </c>
    </row>
    <row r="637" spans="1:11" ht="42" customHeight="1">
      <c r="A637" s="2" t="s">
        <v>1922</v>
      </c>
      <c r="B637" s="2" t="s">
        <v>1922</v>
      </c>
      <c r="C637" s="2" t="s">
        <v>17</v>
      </c>
      <c r="D637" s="2" t="s">
        <v>18</v>
      </c>
      <c r="E637" s="4">
        <v>-32078</v>
      </c>
      <c r="F637" s="3" t="s">
        <v>145</v>
      </c>
      <c r="G637" s="3" t="s">
        <v>1930</v>
      </c>
      <c r="H637" s="2" t="s">
        <v>21</v>
      </c>
      <c r="I637" s="2" t="s">
        <v>1931</v>
      </c>
      <c r="J637" s="3" t="str">
        <f>HYPERLINK("https://www.boe.es/gazeta/dias/1812/03/03/pdfs/GRE-1812-28.pdf#page=7","Abrir facsímil")</f>
        <v>Abrir facsímil</v>
      </c>
      <c r="K637" s="3" t="s">
        <v>23</v>
      </c>
    </row>
    <row r="638" spans="1:11" ht="42" customHeight="1">
      <c r="A638" s="2" t="s">
        <v>1922</v>
      </c>
      <c r="B638" s="2" t="s">
        <v>1922</v>
      </c>
      <c r="C638" s="2" t="s">
        <v>17</v>
      </c>
      <c r="D638" s="2" t="s">
        <v>27</v>
      </c>
      <c r="E638" s="4">
        <v>-32046</v>
      </c>
      <c r="F638" s="3" t="s">
        <v>1013</v>
      </c>
      <c r="G638" s="3" t="s">
        <v>125</v>
      </c>
      <c r="H638" s="2" t="s">
        <v>21</v>
      </c>
      <c r="I638" s="2" t="s">
        <v>1932</v>
      </c>
      <c r="J638" s="3" t="str">
        <f>HYPERLINK("https://www.boe.es/gazeta/dias/1812/04/04/pdfs/GRE-1812-42.pdf#page=8","Abrir facsímil")</f>
        <v>Abrir facsímil</v>
      </c>
      <c r="K638" s="3" t="s">
        <v>23</v>
      </c>
    </row>
    <row r="639" spans="1:11" ht="42" customHeight="1">
      <c r="A639" s="2" t="s">
        <v>1922</v>
      </c>
      <c r="B639" s="2" t="s">
        <v>1922</v>
      </c>
      <c r="C639" s="2" t="s">
        <v>17</v>
      </c>
      <c r="D639" s="2" t="s">
        <v>27</v>
      </c>
      <c r="E639" s="4">
        <v>-32029</v>
      </c>
      <c r="F639" s="3" t="s">
        <v>176</v>
      </c>
      <c r="G639" s="3" t="s">
        <v>1933</v>
      </c>
      <c r="H639" s="2" t="s">
        <v>21</v>
      </c>
      <c r="I639" s="2" t="s">
        <v>1934</v>
      </c>
      <c r="J639" s="3" t="str">
        <f>HYPERLINK("https://www.boe.es/gazeta/dias/1812/04/21/pdfs/GRE-1812-50.pdf#page=5","Abrir facsímil")</f>
        <v>Abrir facsímil</v>
      </c>
      <c r="K639" s="3" t="s">
        <v>23</v>
      </c>
    </row>
    <row r="640" spans="1:11" ht="42" customHeight="1">
      <c r="A640" s="2" t="s">
        <v>1922</v>
      </c>
      <c r="B640" s="2" t="s">
        <v>1922</v>
      </c>
      <c r="C640" s="2" t="s">
        <v>17</v>
      </c>
      <c r="D640" s="2" t="s">
        <v>18</v>
      </c>
      <c r="E640" s="4">
        <v>-32027</v>
      </c>
      <c r="F640" s="3" t="s">
        <v>803</v>
      </c>
      <c r="G640" s="3" t="s">
        <v>804</v>
      </c>
      <c r="H640" s="2" t="s">
        <v>21</v>
      </c>
      <c r="I640" s="2" t="s">
        <v>1935</v>
      </c>
      <c r="J640" s="3" t="str">
        <f>HYPERLINK("https://www.boe.es/gazeta/dias/1812/04/23/pdfs/GRE-1812-51.pdf#page=8","Abrir facsímil")</f>
        <v>Abrir facsímil</v>
      </c>
      <c r="K640" s="3" t="s">
        <v>23</v>
      </c>
    </row>
    <row r="641" spans="1:11" ht="42" customHeight="1">
      <c r="A641" s="2" t="s">
        <v>1922</v>
      </c>
      <c r="B641" s="2" t="s">
        <v>1922</v>
      </c>
      <c r="C641" s="2" t="s">
        <v>17</v>
      </c>
      <c r="D641" s="2" t="s">
        <v>18</v>
      </c>
      <c r="E641" s="4">
        <v>-32018</v>
      </c>
      <c r="F641" s="3" t="s">
        <v>365</v>
      </c>
      <c r="G641" s="3" t="s">
        <v>392</v>
      </c>
      <c r="H641" s="2" t="s">
        <v>21</v>
      </c>
      <c r="I641" s="2" t="s">
        <v>1936</v>
      </c>
      <c r="J641" s="3" t="str">
        <f>HYPERLINK("https://www.boe.es/gazeta/dias/1812/05/02/pdfs/GRE-1812-55.pdf#page=2","Abrir facsímil")</f>
        <v>Abrir facsímil</v>
      </c>
      <c r="K641" s="3" t="s">
        <v>23</v>
      </c>
    </row>
    <row r="642" spans="1:11" ht="42" customHeight="1">
      <c r="A642" s="2" t="s">
        <v>1922</v>
      </c>
      <c r="B642" s="2" t="s">
        <v>1922</v>
      </c>
      <c r="C642" s="2" t="s">
        <v>17</v>
      </c>
      <c r="D642" s="2" t="s">
        <v>18</v>
      </c>
      <c r="E642" s="4">
        <v>-32013</v>
      </c>
      <c r="F642" s="3" t="s">
        <v>849</v>
      </c>
      <c r="G642" s="3" t="s">
        <v>850</v>
      </c>
      <c r="H642" s="2" t="s">
        <v>21</v>
      </c>
      <c r="I642" s="2" t="s">
        <v>1937</v>
      </c>
      <c r="J642" s="3" t="str">
        <f>HYPERLINK("https://www.boe.es/gazeta/dias/1812/05/07/pdfs/GRE-1812-57.pdf#page=2","Abrir facsímil")</f>
        <v>Abrir facsímil</v>
      </c>
      <c r="K642" s="3" t="s">
        <v>23</v>
      </c>
    </row>
    <row r="643" spans="1:11" ht="42" customHeight="1">
      <c r="A643" s="2" t="s">
        <v>1922</v>
      </c>
      <c r="B643" s="2" t="s">
        <v>1922</v>
      </c>
      <c r="C643" s="2" t="s">
        <v>17</v>
      </c>
      <c r="D643" s="2" t="s">
        <v>27</v>
      </c>
      <c r="E643" s="4">
        <v>-32001</v>
      </c>
      <c r="F643" s="3" t="s">
        <v>1938</v>
      </c>
      <c r="G643" s="3" t="s">
        <v>1939</v>
      </c>
      <c r="H643" s="2" t="s">
        <v>21</v>
      </c>
      <c r="I643" s="2" t="s">
        <v>1940</v>
      </c>
      <c r="J643" s="3" t="str">
        <f>HYPERLINK("https://www.boe.es/gazeta/dias/1812/05/19/pdfs/GRE-1812-62.pdf#page=7","Abrir facsímil")</f>
        <v>Abrir facsímil</v>
      </c>
      <c r="K643" s="3" t="s">
        <v>23</v>
      </c>
    </row>
    <row r="644" spans="1:11" ht="42" customHeight="1">
      <c r="A644" s="2" t="s">
        <v>1922</v>
      </c>
      <c r="B644" s="2" t="s">
        <v>1922</v>
      </c>
      <c r="C644" s="2" t="s">
        <v>17</v>
      </c>
      <c r="D644" s="2" t="s">
        <v>27</v>
      </c>
      <c r="E644" s="4">
        <v>-31990</v>
      </c>
      <c r="F644" s="3" t="s">
        <v>629</v>
      </c>
      <c r="G644" s="3" t="s">
        <v>58</v>
      </c>
      <c r="H644" s="2" t="s">
        <v>21</v>
      </c>
      <c r="I644" s="2" t="s">
        <v>1941</v>
      </c>
      <c r="J644" s="3" t="str">
        <f>HYPERLINK("https://www.boe.es/gazeta/dias/1812/05/30/pdfs/GMD-1812-151.pdf#page=2","Abrir facsímil")</f>
        <v>Abrir facsímil</v>
      </c>
      <c r="K644" s="3" t="s">
        <v>23</v>
      </c>
    </row>
    <row r="645" spans="1:11" ht="42" customHeight="1">
      <c r="A645" s="2" t="s">
        <v>1922</v>
      </c>
      <c r="B645" s="2" t="s">
        <v>1922</v>
      </c>
      <c r="C645" s="2" t="s">
        <v>17</v>
      </c>
      <c r="D645" s="2" t="s">
        <v>27</v>
      </c>
      <c r="E645" s="4">
        <v>-31985</v>
      </c>
      <c r="F645" s="3" t="s">
        <v>1942</v>
      </c>
      <c r="G645" s="3" t="s">
        <v>1943</v>
      </c>
      <c r="H645" s="2" t="s">
        <v>21</v>
      </c>
      <c r="I645" s="2" t="s">
        <v>1944</v>
      </c>
      <c r="J645" s="3" t="str">
        <f>HYPERLINK("https://www.boe.es/gazeta/dias/1812/06/04/pdfs/GRE-1812-69.pdf#page=6","Abrir facsímil")</f>
        <v>Abrir facsímil</v>
      </c>
      <c r="K645" s="3" t="s">
        <v>23</v>
      </c>
    </row>
    <row r="646" spans="1:11" ht="42" customHeight="1">
      <c r="A646" s="2" t="s">
        <v>1922</v>
      </c>
      <c r="B646" s="2" t="s">
        <v>1922</v>
      </c>
      <c r="C646" s="2" t="s">
        <v>17</v>
      </c>
      <c r="D646" s="2" t="s">
        <v>18</v>
      </c>
      <c r="E646" s="4">
        <v>-31945</v>
      </c>
      <c r="F646" s="3" t="s">
        <v>1485</v>
      </c>
      <c r="G646" s="3" t="s">
        <v>1486</v>
      </c>
      <c r="H646" s="2" t="s">
        <v>21</v>
      </c>
      <c r="I646" s="2" t="s">
        <v>1945</v>
      </c>
      <c r="J646" s="3" t="str">
        <f>HYPERLINK("https://www.boe.es/gazeta/dias/1812/07/14/pdfs/GRE-1812-88.pdf#page=1","Abrir facsímil")</f>
        <v>Abrir facsímil</v>
      </c>
      <c r="K646" s="3" t="s">
        <v>23</v>
      </c>
    </row>
    <row r="647" spans="1:11" ht="42" customHeight="1">
      <c r="A647" s="2" t="s">
        <v>1922</v>
      </c>
      <c r="B647" s="2" t="s">
        <v>1922</v>
      </c>
      <c r="C647" s="2" t="s">
        <v>17</v>
      </c>
      <c r="D647" s="2" t="s">
        <v>27</v>
      </c>
      <c r="E647" s="4">
        <v>-31933</v>
      </c>
      <c r="F647" s="3" t="s">
        <v>1946</v>
      </c>
      <c r="G647" s="3" t="s">
        <v>58</v>
      </c>
      <c r="H647" s="2" t="s">
        <v>21</v>
      </c>
      <c r="I647" s="2" t="s">
        <v>1947</v>
      </c>
      <c r="J647" s="3" t="str">
        <f>HYPERLINK("https://www.boe.es/gazeta/dias/1812/07/26/pdfs/GMD-1812-208.pdf#page=2","Abrir facsímil")</f>
        <v>Abrir facsímil</v>
      </c>
      <c r="K647" s="3" t="s">
        <v>23</v>
      </c>
    </row>
    <row r="648" spans="1:11" ht="42" customHeight="1">
      <c r="A648" s="2" t="s">
        <v>1922</v>
      </c>
      <c r="B648" s="2" t="s">
        <v>1922</v>
      </c>
      <c r="C648" s="2" t="s">
        <v>17</v>
      </c>
      <c r="D648" s="2" t="s">
        <v>27</v>
      </c>
      <c r="E648" s="4">
        <v>-31924</v>
      </c>
      <c r="F648" s="3" t="s">
        <v>1948</v>
      </c>
      <c r="G648" s="3" t="s">
        <v>117</v>
      </c>
      <c r="H648" s="2" t="s">
        <v>21</v>
      </c>
      <c r="I648" s="2" t="s">
        <v>1949</v>
      </c>
      <c r="J648" s="3" t="str">
        <f>HYPERLINK("https://www.boe.es/gazeta/dias/1812/08/04/pdfs/GRE-1812-99.pdf#page=6","Abrir facsímil")</f>
        <v>Abrir facsímil</v>
      </c>
      <c r="K648" s="3" t="s">
        <v>23</v>
      </c>
    </row>
    <row r="649" spans="1:11" ht="42" customHeight="1">
      <c r="A649" s="2" t="s">
        <v>1922</v>
      </c>
      <c r="B649" s="2" t="s">
        <v>1922</v>
      </c>
      <c r="C649" s="2" t="s">
        <v>17</v>
      </c>
      <c r="D649" s="2" t="s">
        <v>27</v>
      </c>
      <c r="E649" s="4">
        <v>-31911</v>
      </c>
      <c r="F649" s="3" t="s">
        <v>1950</v>
      </c>
      <c r="G649" s="3" t="s">
        <v>20</v>
      </c>
      <c r="H649" s="2" t="s">
        <v>21</v>
      </c>
      <c r="I649" s="2" t="s">
        <v>1951</v>
      </c>
      <c r="J649" s="3" t="str">
        <f>HYPERLINK("https://www.boe.es/gazeta/dias/1812/08/17/pdfs/GMR-1812-1.pdf#page=4","Abrir facsímil")</f>
        <v>Abrir facsímil</v>
      </c>
      <c r="K649" s="3" t="s">
        <v>23</v>
      </c>
    </row>
    <row r="650" spans="1:11" ht="42" customHeight="1">
      <c r="A650" s="2" t="s">
        <v>1922</v>
      </c>
      <c r="B650" s="2" t="s">
        <v>1922</v>
      </c>
      <c r="C650" s="2" t="s">
        <v>17</v>
      </c>
      <c r="D650" s="2" t="s">
        <v>194</v>
      </c>
      <c r="E650" s="4">
        <v>-31898</v>
      </c>
      <c r="F650" s="3" t="s">
        <v>1952</v>
      </c>
      <c r="G650" s="3" t="s">
        <v>1953</v>
      </c>
      <c r="H650" s="2" t="s">
        <v>21</v>
      </c>
      <c r="I650" s="2" t="s">
        <v>1954</v>
      </c>
      <c r="J650" s="3" t="str">
        <f>HYPERLINK("https://www.boe.es/gazeta/dias/1812/08/30/pdfs/GRE-1812-116E.pdf#page=5","Abrir facsímil")</f>
        <v>Abrir facsímil</v>
      </c>
      <c r="K650" s="3" t="s">
        <v>23</v>
      </c>
    </row>
    <row r="651" spans="1:11" ht="42" customHeight="1">
      <c r="A651" s="2" t="s">
        <v>1922</v>
      </c>
      <c r="B651" s="2" t="s">
        <v>1922</v>
      </c>
      <c r="C651" s="2" t="s">
        <v>17</v>
      </c>
      <c r="D651" s="2" t="s">
        <v>18</v>
      </c>
      <c r="E651" s="4">
        <v>-31892</v>
      </c>
      <c r="F651" s="3" t="s">
        <v>1825</v>
      </c>
      <c r="G651" s="3" t="s">
        <v>1955</v>
      </c>
      <c r="H651" s="2" t="s">
        <v>21</v>
      </c>
      <c r="I651" s="2" t="s">
        <v>1956</v>
      </c>
      <c r="J651" s="3" t="str">
        <f>HYPERLINK("https://www.boe.es/gazeta/dias/1812/09/05/pdfs/GMR-1812-10.pdf#page=8","Abrir facsímil")</f>
        <v>Abrir facsímil</v>
      </c>
      <c r="K651" s="3" t="s">
        <v>23</v>
      </c>
    </row>
    <row r="652" spans="1:11" ht="42" customHeight="1">
      <c r="A652" s="2" t="s">
        <v>1922</v>
      </c>
      <c r="B652" s="2" t="s">
        <v>1922</v>
      </c>
      <c r="C652" s="2" t="s">
        <v>17</v>
      </c>
      <c r="D652" s="2" t="s">
        <v>18</v>
      </c>
      <c r="E652" s="4">
        <v>-31882</v>
      </c>
      <c r="F652" s="3" t="s">
        <v>1798</v>
      </c>
      <c r="G652" s="3" t="s">
        <v>237</v>
      </c>
      <c r="H652" s="2" t="s">
        <v>21</v>
      </c>
      <c r="I652" s="2" t="s">
        <v>1957</v>
      </c>
      <c r="J652" s="3" t="str">
        <f>HYPERLINK("https://www.boe.es/gazeta/dias/1812/09/15/pdfs/GMR-1812-14.pdf#page=8","Abrir facsímil")</f>
        <v>Abrir facsímil</v>
      </c>
      <c r="K652" s="3" t="s">
        <v>23</v>
      </c>
    </row>
    <row r="653" spans="1:11" ht="42" customHeight="1">
      <c r="A653" s="2" t="s">
        <v>1922</v>
      </c>
      <c r="B653" s="2" t="s">
        <v>1922</v>
      </c>
      <c r="C653" s="2" t="s">
        <v>17</v>
      </c>
      <c r="D653" s="2" t="s">
        <v>18</v>
      </c>
      <c r="E653" s="4">
        <v>-31868</v>
      </c>
      <c r="F653" s="3" t="s">
        <v>1833</v>
      </c>
      <c r="G653" s="3" t="s">
        <v>1958</v>
      </c>
      <c r="H653" s="2" t="s">
        <v>21</v>
      </c>
      <c r="I653" s="2" t="s">
        <v>1959</v>
      </c>
      <c r="J653" s="3" t="str">
        <f>HYPERLINK("https://www.boe.es/gazeta/dias/1812/09/29/pdfs/GMR-1812-20.pdf#page=5","Abrir facsímil")</f>
        <v>Abrir facsímil</v>
      </c>
      <c r="K653" s="3" t="s">
        <v>23</v>
      </c>
    </row>
    <row r="654" spans="1:11" ht="42" customHeight="1">
      <c r="A654" s="2" t="s">
        <v>1922</v>
      </c>
      <c r="B654" s="2" t="s">
        <v>1922</v>
      </c>
      <c r="C654" s="2" t="s">
        <v>17</v>
      </c>
      <c r="D654" s="2" t="s">
        <v>27</v>
      </c>
      <c r="E654" s="4">
        <v>-31838</v>
      </c>
      <c r="F654" s="3" t="s">
        <v>1960</v>
      </c>
      <c r="G654" s="3" t="s">
        <v>1961</v>
      </c>
      <c r="H654" s="2" t="s">
        <v>21</v>
      </c>
      <c r="I654" s="2" t="s">
        <v>1962</v>
      </c>
      <c r="J654" s="3" t="str">
        <f>HYPERLINK("https://www.boe.es/gazeta/dias/1812/10/29/pdfs/GRE-1812-145.pdf#page=2","Abrir facsímil")</f>
        <v>Abrir facsímil</v>
      </c>
      <c r="K654" s="3" t="s">
        <v>23</v>
      </c>
    </row>
    <row r="655" spans="1:11" ht="42" customHeight="1">
      <c r="A655" s="2" t="s">
        <v>1922</v>
      </c>
      <c r="B655" s="2" t="s">
        <v>1922</v>
      </c>
      <c r="C655" s="2" t="s">
        <v>17</v>
      </c>
      <c r="D655" s="2" t="s">
        <v>27</v>
      </c>
      <c r="E655" s="4">
        <v>-31831</v>
      </c>
      <c r="F655" s="3" t="s">
        <v>1963</v>
      </c>
      <c r="G655" s="3" t="s">
        <v>1964</v>
      </c>
      <c r="H655" s="2" t="s">
        <v>21</v>
      </c>
      <c r="I655" s="2" t="s">
        <v>1965</v>
      </c>
      <c r="J655" s="3" t="str">
        <f>HYPERLINK("https://www.boe.es/gazeta/dias/1812/11/05/pdfs/GRE-1812-148.pdf#page=4","Abrir facsímil")</f>
        <v>Abrir facsímil</v>
      </c>
      <c r="K655" s="3" t="s">
        <v>23</v>
      </c>
    </row>
    <row r="656" spans="1:11" ht="42" customHeight="1">
      <c r="A656" s="2" t="s">
        <v>1922</v>
      </c>
      <c r="B656" s="2" t="s">
        <v>1922</v>
      </c>
      <c r="C656" s="2" t="s">
        <v>17</v>
      </c>
      <c r="D656" s="2" t="s">
        <v>18</v>
      </c>
      <c r="E656" s="4">
        <v>-31778</v>
      </c>
      <c r="F656" s="3" t="s">
        <v>1966</v>
      </c>
      <c r="G656" s="3" t="s">
        <v>237</v>
      </c>
      <c r="H656" s="2" t="s">
        <v>21</v>
      </c>
      <c r="I656" s="2" t="s">
        <v>1967</v>
      </c>
      <c r="J656" s="3" t="str">
        <f>HYPERLINK("https://www.boe.es/gazeta/dias/1812/12/28/pdfs/GMD-1812-251.pdf#page=2","Abrir facsímil")</f>
        <v>Abrir facsímil</v>
      </c>
      <c r="K656" s="3" t="s">
        <v>23</v>
      </c>
    </row>
    <row r="657" spans="1:11" ht="42" customHeight="1">
      <c r="A657" s="2" t="s">
        <v>1922</v>
      </c>
      <c r="B657" s="2" t="s">
        <v>1922</v>
      </c>
      <c r="C657" s="2" t="s">
        <v>17</v>
      </c>
      <c r="D657" s="2" t="s">
        <v>27</v>
      </c>
      <c r="E657" s="4">
        <v>-31778</v>
      </c>
      <c r="F657" s="3" t="s">
        <v>1966</v>
      </c>
      <c r="G657" s="3" t="s">
        <v>217</v>
      </c>
      <c r="H657" s="2" t="s">
        <v>21</v>
      </c>
      <c r="I657" s="2" t="s">
        <v>1968</v>
      </c>
      <c r="J657" s="3" t="str">
        <f>HYPERLINK("https://www.boe.es/gazeta/dias/1812/12/28/pdfs/GMD-1812-251.pdf#page=3","Abrir facsímil")</f>
        <v>Abrir facsímil</v>
      </c>
      <c r="K657" s="3" t="s">
        <v>23</v>
      </c>
    </row>
    <row r="658" spans="1:11" ht="42" customHeight="1">
      <c r="A658" s="2" t="s">
        <v>1969</v>
      </c>
      <c r="B658" s="2" t="s">
        <v>1970</v>
      </c>
      <c r="C658" s="2" t="s">
        <v>17</v>
      </c>
      <c r="D658" s="2" t="s">
        <v>18</v>
      </c>
      <c r="E658" s="4">
        <v>-31955</v>
      </c>
      <c r="F658" s="3" t="s">
        <v>135</v>
      </c>
      <c r="G658" s="3" t="s">
        <v>172</v>
      </c>
      <c r="H658" s="2" t="s">
        <v>21</v>
      </c>
      <c r="I658" s="2" t="s">
        <v>1971</v>
      </c>
      <c r="J658" s="3" t="str">
        <f>HYPERLINK("https://www.boe.es/gazeta/dias/1812/07/04/pdfs/GRE-F-1812-82.pdf#page=1","Abrir facsímil")</f>
        <v>Abrir facsímil</v>
      </c>
      <c r="K658" s="3" t="s">
        <v>23</v>
      </c>
    </row>
    <row r="659" spans="1:11" ht="42" customHeight="1">
      <c r="A659" s="2" t="s">
        <v>1969</v>
      </c>
      <c r="B659" s="2" t="s">
        <v>1970</v>
      </c>
      <c r="C659" s="2" t="s">
        <v>17</v>
      </c>
      <c r="D659" s="2" t="s">
        <v>18</v>
      </c>
      <c r="E659" s="4">
        <v>-31892</v>
      </c>
      <c r="F659" s="3" t="s">
        <v>1825</v>
      </c>
      <c r="G659" s="3" t="s">
        <v>1955</v>
      </c>
      <c r="H659" s="2" t="s">
        <v>21</v>
      </c>
      <c r="I659" s="2" t="s">
        <v>1972</v>
      </c>
      <c r="J659" s="3" t="str">
        <f>HYPERLINK("https://www.boe.es/gazeta/dias/1812/09/05/pdfs/GMR-1812-10.pdf#page=8","Abrir facsímil")</f>
        <v>Abrir facsímil</v>
      </c>
      <c r="K659" s="3" t="s">
        <v>23</v>
      </c>
    </row>
    <row r="660" spans="1:11" ht="42" customHeight="1">
      <c r="A660" s="2" t="s">
        <v>1969</v>
      </c>
      <c r="B660" s="2" t="s">
        <v>1970</v>
      </c>
      <c r="C660" s="2" t="s">
        <v>17</v>
      </c>
      <c r="D660" s="2" t="s">
        <v>18</v>
      </c>
      <c r="E660" s="4">
        <v>-31889</v>
      </c>
      <c r="F660" s="3" t="s">
        <v>1973</v>
      </c>
      <c r="G660" s="3" t="s">
        <v>1974</v>
      </c>
      <c r="H660" s="2" t="s">
        <v>21</v>
      </c>
      <c r="I660" s="2" t="s">
        <v>1975</v>
      </c>
      <c r="J660" s="3" t="str">
        <f>HYPERLINK("https://www.boe.es/gazeta/dias/1812/09/08/pdfs/GRE-F-1812-121.pdf#page=4","Abrir facsímil")</f>
        <v>Abrir facsímil</v>
      </c>
      <c r="K660" s="3" t="s">
        <v>23</v>
      </c>
    </row>
    <row r="661" spans="1:11" ht="42" customHeight="1">
      <c r="A661" s="2" t="s">
        <v>1969</v>
      </c>
      <c r="B661" s="2" t="s">
        <v>1970</v>
      </c>
      <c r="C661" s="2" t="s">
        <v>26</v>
      </c>
      <c r="D661" s="2" t="s">
        <v>573</v>
      </c>
      <c r="E661" s="4">
        <v>-31874</v>
      </c>
      <c r="F661" s="3" t="s">
        <v>1697</v>
      </c>
      <c r="G661" s="3" t="s">
        <v>1976</v>
      </c>
      <c r="H661" s="2" t="s">
        <v>21</v>
      </c>
      <c r="I661" s="2" t="s">
        <v>1977</v>
      </c>
      <c r="J661" s="3" t="str">
        <f>HYPERLINK("https://www.boe.es/gazeta/dias/1812/09/23/pdfs/GRE-1812-129E.pdf#page=4","Abrir facsímil")</f>
        <v>Abrir facsímil</v>
      </c>
      <c r="K661" s="3" t="s">
        <v>23</v>
      </c>
    </row>
    <row r="662" spans="1:11" ht="42" customHeight="1">
      <c r="A662" s="2" t="s">
        <v>1969</v>
      </c>
      <c r="B662" s="2" t="s">
        <v>1970</v>
      </c>
      <c r="C662" s="2" t="s">
        <v>26</v>
      </c>
      <c r="D662" s="2" t="s">
        <v>27</v>
      </c>
      <c r="E662" s="4">
        <v>-31854</v>
      </c>
      <c r="F662" s="3" t="s">
        <v>1574</v>
      </c>
      <c r="G662" s="3" t="s">
        <v>58</v>
      </c>
      <c r="H662" s="2" t="s">
        <v>21</v>
      </c>
      <c r="I662" s="2" t="s">
        <v>1978</v>
      </c>
      <c r="J662" s="3" t="str">
        <f>HYPERLINK("https://www.boe.es/gazeta/dias/1812/10/13/pdfs/GMR-1812-26.pdf#page=5","Abrir facsímil")</f>
        <v>Abrir facsímil</v>
      </c>
      <c r="K662" s="3" t="s">
        <v>23</v>
      </c>
    </row>
    <row r="663" spans="1:11" ht="42" customHeight="1">
      <c r="A663" s="2" t="s">
        <v>1969</v>
      </c>
      <c r="B663" s="2" t="s">
        <v>1970</v>
      </c>
      <c r="C663" s="2" t="s">
        <v>17</v>
      </c>
      <c r="D663" s="2" t="s">
        <v>18</v>
      </c>
      <c r="E663" s="4">
        <v>-31821</v>
      </c>
      <c r="F663" s="3" t="s">
        <v>1979</v>
      </c>
      <c r="G663" s="3" t="s">
        <v>1980</v>
      </c>
      <c r="H663" s="2" t="s">
        <v>21</v>
      </c>
      <c r="I663" s="2" t="s">
        <v>1981</v>
      </c>
      <c r="J663" s="3" t="str">
        <f>HYPERLINK("https://www.boe.es/gazeta/dias/1812/11/15/pdfs/GMR-1812-34.pdf#page=3","Abrir facsímil")</f>
        <v>Abrir facsímil</v>
      </c>
      <c r="K663" s="3" t="s">
        <v>23</v>
      </c>
    </row>
    <row r="664" spans="1:11" ht="42" customHeight="1">
      <c r="A664" s="2" t="s">
        <v>1982</v>
      </c>
      <c r="B664" s="2" t="s">
        <v>1983</v>
      </c>
      <c r="C664" s="2" t="s">
        <v>17</v>
      </c>
      <c r="D664" s="2" t="s">
        <v>27</v>
      </c>
      <c r="E664" s="4">
        <v>-32125</v>
      </c>
      <c r="F664" s="3" t="s">
        <v>964</v>
      </c>
      <c r="G664" s="3" t="s">
        <v>237</v>
      </c>
      <c r="H664" s="2" t="s">
        <v>21</v>
      </c>
      <c r="I664" s="2" t="s">
        <v>1984</v>
      </c>
      <c r="J664" s="3" t="str">
        <f>HYPERLINK("https://www.boe.es/gazeta/dias/1812/01/16/pdfs/GEI-H-1812-7.pdf#page=2","Abrir facsímil")</f>
        <v>Abrir facsímil</v>
      </c>
      <c r="K664" s="3" t="s">
        <v>23</v>
      </c>
    </row>
    <row r="665" spans="1:11" ht="42" customHeight="1">
      <c r="A665" s="2" t="s">
        <v>1985</v>
      </c>
      <c r="B665" s="2" t="s">
        <v>1986</v>
      </c>
      <c r="C665" s="2" t="s">
        <v>26</v>
      </c>
      <c r="D665" s="2" t="s">
        <v>27</v>
      </c>
      <c r="E665" s="4">
        <v>-32034</v>
      </c>
      <c r="F665" s="3" t="s">
        <v>28</v>
      </c>
      <c r="G665" s="3" t="s">
        <v>45</v>
      </c>
      <c r="H665" s="2" t="s">
        <v>21</v>
      </c>
      <c r="I665" s="2" t="s">
        <v>1987</v>
      </c>
      <c r="J665" s="3" t="str">
        <f>HYPERLINK("https://www.boe.es/gazeta/dias/1812/04/16/pdfs/GMD-1812-107.pdf#page=5","Abrir facsímil")</f>
        <v>Abrir facsímil</v>
      </c>
      <c r="K665" s="3" t="s">
        <v>23</v>
      </c>
    </row>
    <row r="666" spans="1:11" ht="42" customHeight="1">
      <c r="A666" s="2" t="s">
        <v>1988</v>
      </c>
      <c r="B666" s="2" t="s">
        <v>1988</v>
      </c>
      <c r="C666" s="2" t="s">
        <v>17</v>
      </c>
      <c r="D666" s="2" t="s">
        <v>27</v>
      </c>
      <c r="E666" s="4">
        <v>-31950</v>
      </c>
      <c r="F666" s="3" t="s">
        <v>1024</v>
      </c>
      <c r="G666" s="3" t="s">
        <v>1989</v>
      </c>
      <c r="H666" s="2" t="s">
        <v>21</v>
      </c>
      <c r="I666" s="2" t="s">
        <v>1990</v>
      </c>
      <c r="J666" s="3" t="str">
        <f>HYPERLINK("https://www.boe.es/gazeta/dias/1812/07/09/pdfs/GRE-1812-84.pdf#page=2","Abrir facsímil")</f>
        <v>Abrir facsímil</v>
      </c>
      <c r="K666" s="3" t="s">
        <v>23</v>
      </c>
    </row>
    <row r="667" spans="1:11" ht="42" customHeight="1">
      <c r="A667" s="2" t="s">
        <v>1991</v>
      </c>
      <c r="B667" s="2" t="s">
        <v>1992</v>
      </c>
      <c r="C667" s="2" t="s">
        <v>17</v>
      </c>
      <c r="D667" s="2" t="s">
        <v>134</v>
      </c>
      <c r="E667" s="4">
        <v>-31983</v>
      </c>
      <c r="F667" s="3" t="s">
        <v>1437</v>
      </c>
      <c r="G667" s="3" t="s">
        <v>1438</v>
      </c>
      <c r="H667" s="2" t="s">
        <v>21</v>
      </c>
      <c r="I667" s="2" t="s">
        <v>1993</v>
      </c>
      <c r="J667" s="3" t="str">
        <f>HYPERLINK("https://www.boe.es/gazeta/dias/1812/06/06/pdfs/GRE-F-1812-70.pdf#page=4","Abrir facsímil")</f>
        <v>Abrir facsímil</v>
      </c>
      <c r="K667" s="3" t="s">
        <v>23</v>
      </c>
    </row>
    <row r="668" spans="1:11" ht="42" customHeight="1">
      <c r="A668" s="2" t="s">
        <v>1994</v>
      </c>
      <c r="B668" s="2" t="s">
        <v>1995</v>
      </c>
      <c r="C668" s="2" t="s">
        <v>49</v>
      </c>
      <c r="D668" s="2" t="s">
        <v>194</v>
      </c>
      <c r="E668" s="4">
        <v>-32103</v>
      </c>
      <c r="F668" s="3" t="s">
        <v>1996</v>
      </c>
      <c r="G668" s="3" t="s">
        <v>58</v>
      </c>
      <c r="H668" s="2" t="s">
        <v>21</v>
      </c>
      <c r="I668" s="2" t="s">
        <v>1997</v>
      </c>
      <c r="J668" s="3" t="str">
        <f>HYPERLINK("https://www.boe.es/gazeta/dias/1812/02/07/pdfs/GMD-1812-38.pdf#page=4","Abrir facsímil")</f>
        <v>Abrir facsímil</v>
      </c>
      <c r="K668" s="3" t="s">
        <v>23</v>
      </c>
    </row>
    <row r="669" spans="1:11" ht="42" customHeight="1">
      <c r="A669" s="2" t="s">
        <v>1998</v>
      </c>
      <c r="B669" s="2" t="s">
        <v>1998</v>
      </c>
      <c r="C669" s="2" t="s">
        <v>17</v>
      </c>
      <c r="D669" s="2" t="s">
        <v>275</v>
      </c>
      <c r="E669" s="4">
        <v>-32063</v>
      </c>
      <c r="F669" s="3" t="s">
        <v>384</v>
      </c>
      <c r="G669" s="3" t="s">
        <v>125</v>
      </c>
      <c r="H669" s="2" t="s">
        <v>21</v>
      </c>
      <c r="I669" s="2" t="s">
        <v>1999</v>
      </c>
      <c r="J669" s="3" t="str">
        <f>HYPERLINK("https://www.boe.es/gazeta/dias/1812/03/18/pdfs/GMD-1812-78.pdf#page=3","Abrir facsímil")</f>
        <v>Abrir facsímil</v>
      </c>
      <c r="K669" s="3" t="s">
        <v>23</v>
      </c>
    </row>
    <row r="670" spans="1:11" ht="42" customHeight="1">
      <c r="A670" s="2" t="s">
        <v>1998</v>
      </c>
      <c r="B670" s="2" t="s">
        <v>1998</v>
      </c>
      <c r="C670" s="2" t="s">
        <v>67</v>
      </c>
      <c r="D670" s="2" t="s">
        <v>27</v>
      </c>
      <c r="E670" s="4">
        <v>-32055</v>
      </c>
      <c r="F670" s="3" t="s">
        <v>1271</v>
      </c>
      <c r="G670" s="3" t="s">
        <v>130</v>
      </c>
      <c r="H670" s="2" t="s">
        <v>21</v>
      </c>
      <c r="I670" s="2" t="s">
        <v>2000</v>
      </c>
      <c r="J670" s="3" t="str">
        <f>HYPERLINK("https://www.boe.es/gazeta/dias/1812/03/26/pdfs/GMD-1812-86.pdf#page=4","Abrir facsímil")</f>
        <v>Abrir facsímil</v>
      </c>
      <c r="K670" s="3" t="s">
        <v>23</v>
      </c>
    </row>
    <row r="671" spans="1:11" ht="42" customHeight="1">
      <c r="A671" s="2" t="s">
        <v>1998</v>
      </c>
      <c r="B671" s="2" t="s">
        <v>1998</v>
      </c>
      <c r="C671" s="2" t="s">
        <v>26</v>
      </c>
      <c r="D671" s="2" t="s">
        <v>27</v>
      </c>
      <c r="E671" s="4">
        <v>-32010</v>
      </c>
      <c r="F671" s="3" t="s">
        <v>243</v>
      </c>
      <c r="G671" s="3" t="s">
        <v>45</v>
      </c>
      <c r="H671" s="2" t="s">
        <v>21</v>
      </c>
      <c r="I671" s="2" t="s">
        <v>2001</v>
      </c>
      <c r="J671" s="3" t="str">
        <f>HYPERLINK("https://www.boe.es/gazeta/dias/1812/05/10/pdfs/GMD-1812-131.pdf#page=3","Abrir facsímil")</f>
        <v>Abrir facsímil</v>
      </c>
      <c r="K671" s="3" t="s">
        <v>23</v>
      </c>
    </row>
    <row r="672" spans="1:11" ht="42" customHeight="1">
      <c r="A672" s="2" t="s">
        <v>1998</v>
      </c>
      <c r="B672" s="2" t="s">
        <v>1998</v>
      </c>
      <c r="C672" s="2" t="s">
        <v>26</v>
      </c>
      <c r="D672" s="2" t="s">
        <v>134</v>
      </c>
      <c r="E672" s="4">
        <v>-31955</v>
      </c>
      <c r="F672" s="3" t="s">
        <v>135</v>
      </c>
      <c r="G672" s="3" t="s">
        <v>514</v>
      </c>
      <c r="H672" s="2" t="s">
        <v>21</v>
      </c>
      <c r="I672" s="2" t="s">
        <v>2002</v>
      </c>
      <c r="J672" s="3" t="str">
        <f>HYPERLINK("https://www.boe.es/gazeta/dias/1812/07/04/pdfs/GRE-F-1812-82.pdf#page=7","Abrir facsímil")</f>
        <v>Abrir facsímil</v>
      </c>
      <c r="K672" s="3" t="s">
        <v>23</v>
      </c>
    </row>
    <row r="673" spans="1:11" ht="42" customHeight="1">
      <c r="A673" s="2" t="s">
        <v>2003</v>
      </c>
      <c r="B673" s="2" t="s">
        <v>2004</v>
      </c>
      <c r="C673" s="2" t="s">
        <v>17</v>
      </c>
      <c r="D673" s="2" t="s">
        <v>18</v>
      </c>
      <c r="E673" s="4">
        <v>-31866</v>
      </c>
      <c r="F673" s="3" t="s">
        <v>845</v>
      </c>
      <c r="G673" s="3" t="s">
        <v>1210</v>
      </c>
      <c r="H673" s="2" t="s">
        <v>21</v>
      </c>
      <c r="I673" s="2" t="s">
        <v>2005</v>
      </c>
      <c r="J673" s="3" t="str">
        <f>HYPERLINK("https://www.boe.es/gazeta/dias/1812/10/01/pdfs/GRE-1812-133.pdf#page=5","Abrir facsímil")</f>
        <v>Abrir facsímil</v>
      </c>
      <c r="K673" s="3" t="s">
        <v>23</v>
      </c>
    </row>
    <row r="674" spans="1:11" ht="42" customHeight="1">
      <c r="A674" s="2" t="s">
        <v>2006</v>
      </c>
      <c r="B674" s="2" t="s">
        <v>2006</v>
      </c>
      <c r="C674" s="2" t="s">
        <v>17</v>
      </c>
      <c r="D674" s="2" t="s">
        <v>18</v>
      </c>
      <c r="E674" s="4">
        <v>-32109</v>
      </c>
      <c r="F674" s="3" t="s">
        <v>62</v>
      </c>
      <c r="G674" s="3" t="s">
        <v>214</v>
      </c>
      <c r="H674" s="2" t="s">
        <v>21</v>
      </c>
      <c r="I674" s="2" t="s">
        <v>2007</v>
      </c>
      <c r="J674" s="3" t="str">
        <f>HYPERLINK("https://www.boe.es/gazeta/dias/1812/02/01/pdfs/GRE-1812-14.pdf#page=5","Abrir facsímil")</f>
        <v>Abrir facsímil</v>
      </c>
      <c r="K674" s="3" t="s">
        <v>23</v>
      </c>
    </row>
    <row r="675" spans="1:11" ht="42" customHeight="1">
      <c r="A675" s="2" t="s">
        <v>2006</v>
      </c>
      <c r="B675" s="2" t="s">
        <v>2006</v>
      </c>
      <c r="C675" s="2" t="s">
        <v>17</v>
      </c>
      <c r="D675" s="2" t="s">
        <v>27</v>
      </c>
      <c r="E675" s="4">
        <v>-32109</v>
      </c>
      <c r="F675" s="3" t="s">
        <v>62</v>
      </c>
      <c r="G675" s="3" t="s">
        <v>317</v>
      </c>
      <c r="H675" s="2" t="s">
        <v>21</v>
      </c>
      <c r="I675" s="2" t="s">
        <v>2008</v>
      </c>
      <c r="J675" s="3" t="str">
        <f>HYPERLINK("https://www.boe.es/gazeta/dias/1812/02/01/pdfs/GRE-1812-14.pdf#page=6","Abrir facsímil")</f>
        <v>Abrir facsímil</v>
      </c>
      <c r="K675" s="3" t="s">
        <v>23</v>
      </c>
    </row>
    <row r="676" spans="1:11" ht="42" customHeight="1">
      <c r="A676" s="2" t="s">
        <v>2009</v>
      </c>
      <c r="B676" s="2" t="s">
        <v>2010</v>
      </c>
      <c r="C676" s="2" t="s">
        <v>26</v>
      </c>
      <c r="D676" s="2" t="s">
        <v>194</v>
      </c>
      <c r="E676" s="4">
        <v>-31988</v>
      </c>
      <c r="F676" s="3" t="s">
        <v>1094</v>
      </c>
      <c r="G676" s="3" t="s">
        <v>1095</v>
      </c>
      <c r="H676" s="2" t="s">
        <v>21</v>
      </c>
      <c r="I676" s="2" t="s">
        <v>2011</v>
      </c>
      <c r="J676" s="3" t="str">
        <f>HYPERLINK("https://www.boe.es/gazeta/dias/1812/06/01/pdfs/GMD-1812-153.pdf#page=2","Abrir facsímil")</f>
        <v>Abrir facsímil</v>
      </c>
      <c r="K676" s="3" t="s">
        <v>23</v>
      </c>
    </row>
    <row r="677" spans="1:11" ht="42" customHeight="1">
      <c r="A677" s="2" t="s">
        <v>2012</v>
      </c>
      <c r="B677" s="2" t="s">
        <v>2012</v>
      </c>
      <c r="C677" s="2" t="s">
        <v>49</v>
      </c>
      <c r="D677" s="2" t="s">
        <v>27</v>
      </c>
      <c r="E677" s="4">
        <v>-31934</v>
      </c>
      <c r="F677" s="3" t="s">
        <v>509</v>
      </c>
      <c r="G677" s="3" t="s">
        <v>696</v>
      </c>
      <c r="H677" s="2" t="s">
        <v>21</v>
      </c>
      <c r="I677" s="2" t="s">
        <v>2013</v>
      </c>
      <c r="J677" s="3" t="str">
        <f>HYPERLINK("https://www.boe.es/gazeta/dias/1812/07/25/pdfs/GRE-1812-93.pdf#page=2","Abrir facsímil")</f>
        <v>Abrir facsímil</v>
      </c>
      <c r="K677" s="3" t="s">
        <v>23</v>
      </c>
    </row>
    <row r="678" spans="1:11" ht="42" customHeight="1">
      <c r="A678" s="2" t="s">
        <v>2014</v>
      </c>
      <c r="B678" s="2" t="s">
        <v>2015</v>
      </c>
      <c r="C678" s="2" t="s">
        <v>26</v>
      </c>
      <c r="D678" s="2" t="s">
        <v>27</v>
      </c>
      <c r="E678" s="4">
        <v>-32044</v>
      </c>
      <c r="F678" s="3" t="s">
        <v>1031</v>
      </c>
      <c r="G678" s="3" t="s">
        <v>1873</v>
      </c>
      <c r="H678" s="2" t="s">
        <v>21</v>
      </c>
      <c r="I678" s="2" t="s">
        <v>2016</v>
      </c>
      <c r="J678" s="3" t="str">
        <f>HYPERLINK("https://www.boe.es/gazeta/dias/1812/04/06/pdfs/GMD-1812-97.pdf#page=4","Abrir facsímil")</f>
        <v>Abrir facsímil</v>
      </c>
      <c r="K678" s="3" t="s">
        <v>23</v>
      </c>
    </row>
    <row r="679" spans="1:11" ht="42" customHeight="1">
      <c r="A679" s="2" t="s">
        <v>2017</v>
      </c>
      <c r="B679" s="2" t="s">
        <v>2017</v>
      </c>
      <c r="C679" s="2" t="s">
        <v>17</v>
      </c>
      <c r="D679" s="2" t="s">
        <v>18</v>
      </c>
      <c r="E679" s="4">
        <v>-32066</v>
      </c>
      <c r="F679" s="3" t="s">
        <v>291</v>
      </c>
      <c r="G679" s="3" t="s">
        <v>214</v>
      </c>
      <c r="H679" s="2" t="s">
        <v>21</v>
      </c>
      <c r="I679" s="2" t="s">
        <v>2018</v>
      </c>
      <c r="J679" s="3" t="str">
        <f>HYPERLINK("https://www.boe.es/gazeta/dias/1812/03/15/pdfs/GMD-1812-75.pdf#page=1","Abrir facsímil")</f>
        <v>Abrir facsímil</v>
      </c>
      <c r="K679" s="3" t="s">
        <v>23</v>
      </c>
    </row>
    <row r="680" spans="1:11" ht="42" customHeight="1">
      <c r="A680" s="2" t="s">
        <v>2019</v>
      </c>
      <c r="B680" s="2" t="s">
        <v>2019</v>
      </c>
      <c r="C680" s="2" t="s">
        <v>17</v>
      </c>
      <c r="D680" s="2" t="s">
        <v>18</v>
      </c>
      <c r="E680" s="4">
        <v>-31868</v>
      </c>
      <c r="F680" s="3" t="s">
        <v>1833</v>
      </c>
      <c r="G680" s="3" t="s">
        <v>58</v>
      </c>
      <c r="H680" s="2" t="s">
        <v>21</v>
      </c>
      <c r="I680" s="2" t="s">
        <v>2020</v>
      </c>
      <c r="J680" s="3" t="str">
        <f>HYPERLINK("https://www.boe.es/gazeta/dias/1812/09/29/pdfs/GMR-1812-20.pdf#page=3","Abrir facsímil")</f>
        <v>Abrir facsímil</v>
      </c>
      <c r="K680" s="3" t="s">
        <v>23</v>
      </c>
    </row>
    <row r="681" spans="1:11" ht="42" customHeight="1">
      <c r="A681" s="2" t="s">
        <v>2021</v>
      </c>
      <c r="B681" s="2" t="s">
        <v>2022</v>
      </c>
      <c r="C681" s="2" t="s">
        <v>186</v>
      </c>
      <c r="D681" s="2" t="s">
        <v>275</v>
      </c>
      <c r="E681" s="4">
        <v>-32020</v>
      </c>
      <c r="F681" s="3" t="s">
        <v>1860</v>
      </c>
      <c r="G681" s="3" t="s">
        <v>36</v>
      </c>
      <c r="H681" s="2" t="s">
        <v>21</v>
      </c>
      <c r="I681" s="2" t="s">
        <v>2023</v>
      </c>
      <c r="J681" s="3" t="str">
        <f>HYPERLINK("https://www.boe.es/gazeta/dias/1812/04/30/pdfs/GMD-1812-121.pdf#page=3","Abrir facsímil")</f>
        <v>Abrir facsímil</v>
      </c>
      <c r="K681" s="3" t="s">
        <v>23</v>
      </c>
    </row>
    <row r="682" spans="1:11" ht="42" customHeight="1">
      <c r="A682" s="2" t="s">
        <v>2024</v>
      </c>
      <c r="B682" s="2" t="s">
        <v>2024</v>
      </c>
      <c r="C682" s="2" t="s">
        <v>17</v>
      </c>
      <c r="D682" s="2" t="s">
        <v>27</v>
      </c>
      <c r="E682" s="4">
        <v>-31829</v>
      </c>
      <c r="F682" s="3" t="s">
        <v>328</v>
      </c>
      <c r="G682" s="3" t="s">
        <v>1842</v>
      </c>
      <c r="H682" s="2" t="s">
        <v>21</v>
      </c>
      <c r="I682" s="2" t="s">
        <v>2025</v>
      </c>
      <c r="J682" s="3" t="str">
        <f>HYPERLINK("https://www.boe.es/gazeta/dias/1812/11/07/pdfs/GMD-1812-227.pdf#page=3","Abrir facsímil")</f>
        <v>Abrir facsímil</v>
      </c>
      <c r="K682" s="3" t="s">
        <v>23</v>
      </c>
    </row>
    <row r="683" spans="1:11" ht="42" customHeight="1">
      <c r="A683" s="2" t="s">
        <v>2026</v>
      </c>
      <c r="B683" s="2" t="s">
        <v>2027</v>
      </c>
      <c r="C683" s="2" t="s">
        <v>26</v>
      </c>
      <c r="D683" s="2" t="s">
        <v>27</v>
      </c>
      <c r="E683" s="4">
        <v>-32050</v>
      </c>
      <c r="F683" s="3" t="s">
        <v>2028</v>
      </c>
      <c r="G683" s="3" t="s">
        <v>2029</v>
      </c>
      <c r="H683" s="2" t="s">
        <v>21</v>
      </c>
      <c r="I683" s="2" t="s">
        <v>2030</v>
      </c>
      <c r="J683" s="3" t="str">
        <f>HYPERLINK("https://www.boe.es/gazeta/dias/1812/03/31/pdfs/GMD-1812-91.pdf#page=1","Abrir facsímil")</f>
        <v>Abrir facsímil</v>
      </c>
      <c r="K683" s="3" t="s">
        <v>23</v>
      </c>
    </row>
    <row r="684" spans="1:11" ht="42" customHeight="1">
      <c r="A684" s="2" t="s">
        <v>2031</v>
      </c>
      <c r="B684" s="2" t="s">
        <v>2032</v>
      </c>
      <c r="C684" s="2" t="s">
        <v>17</v>
      </c>
      <c r="D684" s="2" t="s">
        <v>18</v>
      </c>
      <c r="E684" s="4">
        <v>-32050</v>
      </c>
      <c r="F684" s="3" t="s">
        <v>2028</v>
      </c>
      <c r="G684" s="3" t="s">
        <v>2029</v>
      </c>
      <c r="H684" s="2" t="s">
        <v>21</v>
      </c>
      <c r="I684" s="2" t="s">
        <v>2033</v>
      </c>
      <c r="J684" s="3" t="str">
        <f>HYPERLINK("https://www.boe.es/gazeta/dias/1812/03/31/pdfs/GMD-1812-91.pdf#page=1","Abrir facsímil")</f>
        <v>Abrir facsímil</v>
      </c>
      <c r="K684" s="3" t="s">
        <v>23</v>
      </c>
    </row>
    <row r="685" spans="1:11" ht="42" customHeight="1">
      <c r="A685" s="2" t="s">
        <v>2034</v>
      </c>
      <c r="B685" s="2" t="s">
        <v>2035</v>
      </c>
      <c r="C685" s="2" t="s">
        <v>26</v>
      </c>
      <c r="D685" s="2" t="s">
        <v>27</v>
      </c>
      <c r="E685" s="4">
        <v>-31941</v>
      </c>
      <c r="F685" s="3" t="s">
        <v>57</v>
      </c>
      <c r="G685" s="3" t="s">
        <v>125</v>
      </c>
      <c r="H685" s="2" t="s">
        <v>21</v>
      </c>
      <c r="I685" s="2" t="s">
        <v>2036</v>
      </c>
      <c r="J685" s="3" t="str">
        <f>HYPERLINK("https://www.boe.es/gazeta/dias/1812/07/18/pdfs/GMD-1812-200.pdf#page=3","Abrir facsímil")</f>
        <v>Abrir facsímil</v>
      </c>
      <c r="K685" s="3" t="s">
        <v>23</v>
      </c>
    </row>
    <row r="686" spans="1:11" ht="42" customHeight="1">
      <c r="A686" s="2" t="s">
        <v>2034</v>
      </c>
      <c r="B686" s="2" t="s">
        <v>2035</v>
      </c>
      <c r="C686" s="2" t="s">
        <v>82</v>
      </c>
      <c r="D686" s="2" t="s">
        <v>275</v>
      </c>
      <c r="E686" s="4">
        <v>-31922</v>
      </c>
      <c r="F686" s="3" t="s">
        <v>375</v>
      </c>
      <c r="G686" s="3" t="s">
        <v>376</v>
      </c>
      <c r="H686" s="2" t="s">
        <v>21</v>
      </c>
      <c r="I686" s="2" t="s">
        <v>2037</v>
      </c>
      <c r="J686" s="3" t="str">
        <f>HYPERLINK("https://www.boe.es/gazeta/dias/1812/08/06/pdfs/GRE-1812-100.pdf#page=7","Abrir facsímil")</f>
        <v>Abrir facsímil</v>
      </c>
      <c r="K686" s="3" t="s">
        <v>23</v>
      </c>
    </row>
    <row r="687" spans="1:11" ht="42" customHeight="1">
      <c r="A687" s="2" t="s">
        <v>2038</v>
      </c>
      <c r="B687" s="2" t="s">
        <v>2039</v>
      </c>
      <c r="C687" s="2" t="s">
        <v>26</v>
      </c>
      <c r="D687" s="2" t="s">
        <v>27</v>
      </c>
      <c r="E687" s="4">
        <v>-31901</v>
      </c>
      <c r="F687" s="3" t="s">
        <v>590</v>
      </c>
      <c r="G687" s="3" t="s">
        <v>742</v>
      </c>
      <c r="H687" s="2" t="s">
        <v>21</v>
      </c>
      <c r="I687" s="2" t="s">
        <v>2040</v>
      </c>
      <c r="J687" s="3" t="str">
        <f>HYPERLINK("https://www.boe.es/gazeta/dias/1812/08/27/pdfs/GMR-1812-6.pdf#page=5","Abrir facsímil")</f>
        <v>Abrir facsímil</v>
      </c>
      <c r="K687" s="3" t="s">
        <v>23</v>
      </c>
    </row>
    <row r="688" spans="1:11" ht="42" customHeight="1">
      <c r="A688" s="2" t="s">
        <v>2038</v>
      </c>
      <c r="B688" s="2" t="s">
        <v>2039</v>
      </c>
      <c r="C688" s="2" t="s">
        <v>186</v>
      </c>
      <c r="D688" s="2" t="s">
        <v>27</v>
      </c>
      <c r="E688" s="4">
        <v>-31821</v>
      </c>
      <c r="F688" s="3" t="s">
        <v>1979</v>
      </c>
      <c r="G688" s="3" t="s">
        <v>317</v>
      </c>
      <c r="H688" s="2" t="s">
        <v>21</v>
      </c>
      <c r="I688" s="2" t="s">
        <v>2041</v>
      </c>
      <c r="J688" s="3" t="str">
        <f>HYPERLINK("https://www.boe.es/gazeta/dias/1812/11/15/pdfs/GMR-1812-34.pdf#page=6","Abrir facsímil")</f>
        <v>Abrir facsímil</v>
      </c>
      <c r="K688" s="3" t="s">
        <v>23</v>
      </c>
    </row>
    <row r="689" spans="1:11" ht="42" customHeight="1">
      <c r="A689" s="2" t="s">
        <v>2042</v>
      </c>
      <c r="B689" s="2" t="s">
        <v>2043</v>
      </c>
      <c r="C689" s="2" t="s">
        <v>26</v>
      </c>
      <c r="D689" s="2" t="s">
        <v>27</v>
      </c>
      <c r="E689" s="4">
        <v>-32104</v>
      </c>
      <c r="F689" s="3" t="s">
        <v>996</v>
      </c>
      <c r="G689" s="3" t="s">
        <v>2044</v>
      </c>
      <c r="H689" s="2" t="s">
        <v>21</v>
      </c>
      <c r="I689" s="2" t="s">
        <v>2045</v>
      </c>
      <c r="J689" s="3" t="str">
        <f>HYPERLINK("https://www.boe.es/gazeta/dias/1812/02/06/pdfs/GRE-1812-16.pdf#page=3","Abrir facsímil")</f>
        <v>Abrir facsímil</v>
      </c>
      <c r="K689" s="3" t="s">
        <v>23</v>
      </c>
    </row>
    <row r="690" spans="1:11" ht="42" customHeight="1">
      <c r="A690" s="2" t="s">
        <v>2046</v>
      </c>
      <c r="B690" s="2" t="s">
        <v>2047</v>
      </c>
      <c r="C690" s="2" t="s">
        <v>67</v>
      </c>
      <c r="D690" s="2" t="s">
        <v>27</v>
      </c>
      <c r="E690" s="4">
        <v>-31941</v>
      </c>
      <c r="F690" s="3" t="s">
        <v>2048</v>
      </c>
      <c r="G690" s="3" t="s">
        <v>20</v>
      </c>
      <c r="H690" s="2" t="s">
        <v>21</v>
      </c>
      <c r="I690" s="2" t="s">
        <v>2049</v>
      </c>
      <c r="J690" s="3" t="str">
        <f>HYPERLINK("https://www.boe.es/gazeta/dias/1812/07/18/pdfs/GRE-1812-90.pdf#page=8","Abrir facsímil")</f>
        <v>Abrir facsímil</v>
      </c>
      <c r="K690" s="3" t="s">
        <v>23</v>
      </c>
    </row>
    <row r="691" spans="1:11" ht="42" customHeight="1">
      <c r="A691" s="2" t="s">
        <v>2050</v>
      </c>
      <c r="B691" s="2" t="s">
        <v>2051</v>
      </c>
      <c r="C691" s="2" t="s">
        <v>26</v>
      </c>
      <c r="D691" s="2" t="s">
        <v>27</v>
      </c>
      <c r="E691" s="4">
        <v>-32130</v>
      </c>
      <c r="F691" s="3" t="s">
        <v>927</v>
      </c>
      <c r="G691" s="3" t="s">
        <v>130</v>
      </c>
      <c r="H691" s="2" t="s">
        <v>21</v>
      </c>
      <c r="I691" s="2" t="s">
        <v>2052</v>
      </c>
      <c r="J691" s="3" t="str">
        <f>HYPERLINK("https://www.boe.es/gazeta/dias/1812/01/11/pdfs/GMD-1812-11.pdf#page=4","Abrir facsímil")</f>
        <v>Abrir facsímil</v>
      </c>
      <c r="K691" s="3" t="s">
        <v>23</v>
      </c>
    </row>
    <row r="692" spans="1:11" ht="42" customHeight="1">
      <c r="A692" s="2" t="s">
        <v>2053</v>
      </c>
      <c r="B692" s="2" t="s">
        <v>2054</v>
      </c>
      <c r="C692" s="2" t="s">
        <v>26</v>
      </c>
      <c r="D692" s="2" t="s">
        <v>27</v>
      </c>
      <c r="E692" s="4">
        <v>-32125</v>
      </c>
      <c r="F692" s="3" t="s">
        <v>335</v>
      </c>
      <c r="G692" s="3" t="s">
        <v>336</v>
      </c>
      <c r="H692" s="2" t="s">
        <v>21</v>
      </c>
      <c r="I692" s="2" t="s">
        <v>2055</v>
      </c>
      <c r="J692" s="3" t="str">
        <f>HYPERLINK("https://www.boe.es/gazeta/dias/1812/01/16/pdfs/GEI-1812-7.pdf#page=8","Abrir facsímil")</f>
        <v>Abrir facsímil</v>
      </c>
      <c r="K692" s="3" t="s">
        <v>23</v>
      </c>
    </row>
    <row r="693" spans="1:11" ht="42" customHeight="1">
      <c r="A693" s="2" t="s">
        <v>2056</v>
      </c>
      <c r="B693" s="2" t="s">
        <v>2057</v>
      </c>
      <c r="C693" s="2" t="s">
        <v>26</v>
      </c>
      <c r="D693" s="2" t="s">
        <v>27</v>
      </c>
      <c r="E693" s="4">
        <v>-31875</v>
      </c>
      <c r="F693" s="3" t="s">
        <v>708</v>
      </c>
      <c r="G693" s="3" t="s">
        <v>2058</v>
      </c>
      <c r="H693" s="2" t="s">
        <v>21</v>
      </c>
      <c r="I693" s="2" t="s">
        <v>2059</v>
      </c>
      <c r="J693" s="3" t="str">
        <f>HYPERLINK("https://www.boe.es/gazeta/dias/1812/09/22/pdfs/GMR-1812-17.pdf#page=11","Abrir facsímil")</f>
        <v>Abrir facsímil</v>
      </c>
      <c r="K693" s="3" t="s">
        <v>23</v>
      </c>
    </row>
    <row r="694" spans="1:11" ht="42" customHeight="1">
      <c r="A694" s="2" t="s">
        <v>2060</v>
      </c>
      <c r="B694" s="2" t="s">
        <v>2061</v>
      </c>
      <c r="C694" s="2" t="s">
        <v>26</v>
      </c>
      <c r="D694" s="2" t="s">
        <v>194</v>
      </c>
      <c r="E694" s="4">
        <v>-31939</v>
      </c>
      <c r="F694" s="3" t="s">
        <v>408</v>
      </c>
      <c r="G694" s="3" t="s">
        <v>409</v>
      </c>
      <c r="H694" s="2" t="s">
        <v>21</v>
      </c>
      <c r="I694" s="2" t="s">
        <v>2062</v>
      </c>
      <c r="J694" s="3" t="str">
        <f>HYPERLINK("https://www.boe.es/gazeta/dias/1812/07/20/pdfs/GMD-1812-202.pdf#page=3","Abrir facsímil")</f>
        <v>Abrir facsímil</v>
      </c>
      <c r="K694" s="3" t="s">
        <v>23</v>
      </c>
    </row>
    <row r="695" spans="1:11" ht="42" customHeight="1">
      <c r="A695" s="2" t="s">
        <v>2063</v>
      </c>
      <c r="B695" s="2" t="s">
        <v>2064</v>
      </c>
      <c r="C695" s="2" t="s">
        <v>26</v>
      </c>
      <c r="D695" s="2" t="s">
        <v>27</v>
      </c>
      <c r="E695" s="4">
        <v>-31901</v>
      </c>
      <c r="F695" s="3" t="s">
        <v>590</v>
      </c>
      <c r="G695" s="3" t="s">
        <v>674</v>
      </c>
      <c r="H695" s="2" t="s">
        <v>21</v>
      </c>
      <c r="I695" s="2" t="s">
        <v>2065</v>
      </c>
      <c r="J695" s="3" t="str">
        <f>HYPERLINK("https://www.boe.es/gazeta/dias/1812/08/27/pdfs/GMR-1812-6.pdf#page=6","Abrir facsímil")</f>
        <v>Abrir facsímil</v>
      </c>
      <c r="K695" s="3" t="s">
        <v>23</v>
      </c>
    </row>
    <row r="696" spans="1:11" ht="42" customHeight="1">
      <c r="A696" s="2" t="s">
        <v>2066</v>
      </c>
      <c r="B696" s="2" t="s">
        <v>2066</v>
      </c>
      <c r="C696" s="2" t="s">
        <v>26</v>
      </c>
      <c r="D696" s="2" t="s">
        <v>27</v>
      </c>
      <c r="E696" s="4">
        <v>-32086</v>
      </c>
      <c r="F696" s="3" t="s">
        <v>2067</v>
      </c>
      <c r="G696" s="3" t="s">
        <v>196</v>
      </c>
      <c r="H696" s="2" t="s">
        <v>21</v>
      </c>
      <c r="I696" s="2" t="s">
        <v>2068</v>
      </c>
      <c r="J696" s="3" t="str">
        <f>HYPERLINK("https://www.boe.es/gazeta/dias/1812/02/24/pdfs/GMD-1812-55.pdf#page=1","Abrir facsímil")</f>
        <v>Abrir facsímil</v>
      </c>
      <c r="K696" s="3" t="s">
        <v>23</v>
      </c>
    </row>
    <row r="697" spans="1:11" ht="42" customHeight="1">
      <c r="A697" s="2" t="s">
        <v>2069</v>
      </c>
      <c r="B697" s="2" t="s">
        <v>2069</v>
      </c>
      <c r="C697" s="2" t="s">
        <v>17</v>
      </c>
      <c r="D697" s="2" t="s">
        <v>27</v>
      </c>
      <c r="E697" s="4">
        <v>-32090</v>
      </c>
      <c r="F697" s="3" t="s">
        <v>142</v>
      </c>
      <c r="G697" s="3" t="s">
        <v>2070</v>
      </c>
      <c r="H697" s="2" t="s">
        <v>21</v>
      </c>
      <c r="I697" s="2" t="s">
        <v>2071</v>
      </c>
      <c r="J697" s="3" t="str">
        <f>HYPERLINK("https://www.boe.es/gazeta/dias/1812/02/20/pdfs/GRE-1812-22.pdf#page=5","Abrir facsímil")</f>
        <v>Abrir facsímil</v>
      </c>
      <c r="K697" s="3" t="s">
        <v>23</v>
      </c>
    </row>
    <row r="698" spans="1:11" ht="42" customHeight="1">
      <c r="A698" s="2" t="s">
        <v>2072</v>
      </c>
      <c r="B698" s="2" t="s">
        <v>2072</v>
      </c>
      <c r="C698" s="2" t="s">
        <v>17</v>
      </c>
      <c r="D698" s="2" t="s">
        <v>18</v>
      </c>
      <c r="E698" s="4">
        <v>-31954</v>
      </c>
      <c r="F698" s="3" t="s">
        <v>692</v>
      </c>
      <c r="G698" s="3" t="s">
        <v>214</v>
      </c>
      <c r="H698" s="2" t="s">
        <v>21</v>
      </c>
      <c r="I698" s="2" t="s">
        <v>2073</v>
      </c>
      <c r="J698" s="3" t="str">
        <f>HYPERLINK("https://www.boe.es/gazeta/dias/1812/07/05/pdfs/GMD-1812-187.pdf#page=1","Abrir facsímil")</f>
        <v>Abrir facsímil</v>
      </c>
      <c r="K698" s="3" t="s">
        <v>23</v>
      </c>
    </row>
    <row r="699" spans="1:11" ht="42" customHeight="1">
      <c r="A699" s="2" t="s">
        <v>2072</v>
      </c>
      <c r="B699" s="2" t="s">
        <v>2072</v>
      </c>
      <c r="C699" s="2" t="s">
        <v>17</v>
      </c>
      <c r="D699" s="2" t="s">
        <v>18</v>
      </c>
      <c r="E699" s="4">
        <v>-31783</v>
      </c>
      <c r="F699" s="3" t="s">
        <v>2074</v>
      </c>
      <c r="G699" s="3" t="s">
        <v>125</v>
      </c>
      <c r="H699" s="2" t="s">
        <v>21</v>
      </c>
      <c r="I699" s="2" t="s">
        <v>2075</v>
      </c>
      <c r="J699" s="3" t="str">
        <f>HYPERLINK("https://www.boe.es/gazeta/dias/1812/12/23/pdfs/GMD-1812-246.pdf#page=1","Abrir facsímil")</f>
        <v>Abrir facsímil</v>
      </c>
      <c r="K699" s="3" t="s">
        <v>23</v>
      </c>
    </row>
    <row r="700" spans="1:11" ht="42" customHeight="1">
      <c r="A700" s="2" t="s">
        <v>2076</v>
      </c>
      <c r="B700" s="2" t="s">
        <v>2077</v>
      </c>
      <c r="C700" s="2" t="s">
        <v>67</v>
      </c>
      <c r="D700" s="2" t="s">
        <v>27</v>
      </c>
      <c r="E700" s="4">
        <v>-32061</v>
      </c>
      <c r="F700" s="3" t="s">
        <v>798</v>
      </c>
      <c r="G700" s="3" t="s">
        <v>36</v>
      </c>
      <c r="H700" s="2" t="s">
        <v>21</v>
      </c>
      <c r="I700" s="2" t="s">
        <v>2078</v>
      </c>
      <c r="J700" s="3" t="str">
        <f>HYPERLINK("https://www.boe.es/gazeta/dias/1812/03/20/pdfs/GMD-1812-80.pdf#page=3","Abrir facsímil")</f>
        <v>Abrir facsímil</v>
      </c>
      <c r="K700" s="3" t="s">
        <v>23</v>
      </c>
    </row>
    <row r="701" spans="1:11" ht="42" customHeight="1">
      <c r="A701" s="2" t="s">
        <v>2079</v>
      </c>
      <c r="B701" s="2" t="s">
        <v>2080</v>
      </c>
      <c r="C701" s="2" t="s">
        <v>17</v>
      </c>
      <c r="D701" s="2" t="s">
        <v>27</v>
      </c>
      <c r="E701" s="4">
        <v>-31945</v>
      </c>
      <c r="F701" s="3" t="s">
        <v>1485</v>
      </c>
      <c r="G701" s="3" t="s">
        <v>1486</v>
      </c>
      <c r="H701" s="2" t="s">
        <v>21</v>
      </c>
      <c r="I701" s="2" t="s">
        <v>2081</v>
      </c>
      <c r="J701" s="3" t="str">
        <f>HYPERLINK("https://www.boe.es/gazeta/dias/1812/07/14/pdfs/GRE-1812-88.pdf#page=1","Abrir facsímil")</f>
        <v>Abrir facsímil</v>
      </c>
      <c r="K701" s="3" t="s">
        <v>23</v>
      </c>
    </row>
    <row r="702" spans="1:11" ht="42" customHeight="1">
      <c r="A702" s="2" t="s">
        <v>2082</v>
      </c>
      <c r="B702" s="2" t="s">
        <v>2083</v>
      </c>
      <c r="C702" s="2" t="s">
        <v>115</v>
      </c>
      <c r="D702" s="2" t="s">
        <v>27</v>
      </c>
      <c r="E702" s="4">
        <v>-32032</v>
      </c>
      <c r="F702" s="3" t="s">
        <v>531</v>
      </c>
      <c r="G702" s="3" t="s">
        <v>532</v>
      </c>
      <c r="H702" s="2" t="s">
        <v>21</v>
      </c>
      <c r="I702" s="2" t="s">
        <v>2084</v>
      </c>
      <c r="J702" s="3" t="str">
        <f>HYPERLINK("https://www.boe.es/gazeta/dias/1812/04/18/pdfs/GMD-1812-109.pdf#page=4","Abrir facsímil")</f>
        <v>Abrir facsímil</v>
      </c>
      <c r="K702" s="3" t="s">
        <v>23</v>
      </c>
    </row>
    <row r="703" spans="1:11" ht="42" customHeight="1">
      <c r="A703" s="2" t="s">
        <v>2085</v>
      </c>
      <c r="B703" s="2" t="s">
        <v>2085</v>
      </c>
      <c r="C703" s="2" t="s">
        <v>17</v>
      </c>
      <c r="D703" s="2" t="s">
        <v>27</v>
      </c>
      <c r="E703" s="4">
        <v>-32109</v>
      </c>
      <c r="F703" s="3" t="s">
        <v>62</v>
      </c>
      <c r="G703" s="3" t="s">
        <v>317</v>
      </c>
      <c r="H703" s="2" t="s">
        <v>21</v>
      </c>
      <c r="I703" s="2" t="s">
        <v>2086</v>
      </c>
      <c r="J703" s="3" t="str">
        <f>HYPERLINK("https://www.boe.es/gazeta/dias/1812/02/01/pdfs/GRE-1812-14.pdf#page=6","Abrir facsímil")</f>
        <v>Abrir facsímil</v>
      </c>
      <c r="K703" s="3" t="s">
        <v>23</v>
      </c>
    </row>
    <row r="704" spans="1:11" ht="42" customHeight="1">
      <c r="A704" s="2" t="s">
        <v>2087</v>
      </c>
      <c r="B704" s="2" t="s">
        <v>2088</v>
      </c>
      <c r="C704" s="2" t="s">
        <v>115</v>
      </c>
      <c r="D704" s="2" t="s">
        <v>27</v>
      </c>
      <c r="E704" s="4">
        <v>-32062</v>
      </c>
      <c r="F704" s="3" t="s">
        <v>280</v>
      </c>
      <c r="G704" s="3" t="s">
        <v>20</v>
      </c>
      <c r="H704" s="2" t="s">
        <v>21</v>
      </c>
      <c r="I704" s="2" t="s">
        <v>2089</v>
      </c>
      <c r="J704" s="3" t="str">
        <f>HYPERLINK("https://www.boe.es/gazeta/dias/1812/03/19/pdfs/GMD-1812-79.pdf#page=4","Abrir facsímil")</f>
        <v>Abrir facsímil</v>
      </c>
      <c r="K704" s="3" t="s">
        <v>23</v>
      </c>
    </row>
    <row r="705" spans="1:11" ht="42" customHeight="1">
      <c r="A705" s="2" t="s">
        <v>2090</v>
      </c>
      <c r="B705" s="2" t="s">
        <v>2091</v>
      </c>
      <c r="C705" s="2" t="s">
        <v>26</v>
      </c>
      <c r="D705" s="2" t="s">
        <v>27</v>
      </c>
      <c r="E705" s="4">
        <v>-31969</v>
      </c>
      <c r="F705" s="3" t="s">
        <v>83</v>
      </c>
      <c r="G705" s="3" t="s">
        <v>84</v>
      </c>
      <c r="H705" s="2" t="s">
        <v>21</v>
      </c>
      <c r="I705" s="2" t="s">
        <v>2092</v>
      </c>
      <c r="J705" s="3" t="str">
        <f>HYPERLINK("https://www.boe.es/gazeta/dias/1812/06/20/pdfs/GRE-1812-76.pdf#page=8","Abrir facsímil")</f>
        <v>Abrir facsímil</v>
      </c>
      <c r="K705" s="3" t="s">
        <v>23</v>
      </c>
    </row>
    <row r="706" spans="1:11" ht="42" customHeight="1">
      <c r="A706" s="2" t="s">
        <v>2093</v>
      </c>
      <c r="B706" s="2" t="s">
        <v>2094</v>
      </c>
      <c r="C706" s="2" t="s">
        <v>26</v>
      </c>
      <c r="D706" s="2" t="s">
        <v>27</v>
      </c>
      <c r="E706" s="4">
        <v>-31936</v>
      </c>
      <c r="F706" s="3" t="s">
        <v>614</v>
      </c>
      <c r="G706" s="3" t="s">
        <v>615</v>
      </c>
      <c r="H706" s="2" t="s">
        <v>21</v>
      </c>
      <c r="I706" s="2" t="s">
        <v>2095</v>
      </c>
      <c r="J706" s="3" t="str">
        <f>HYPERLINK("https://www.boe.es/gazeta/dias/1812/07/23/pdfs/GRE-1812-92.pdf#page=8","Abrir facsímil")</f>
        <v>Abrir facsímil</v>
      </c>
      <c r="K706" s="3" t="s">
        <v>23</v>
      </c>
    </row>
    <row r="707" spans="1:11" ht="42" customHeight="1">
      <c r="A707" s="2" t="s">
        <v>2096</v>
      </c>
      <c r="B707" s="2" t="s">
        <v>2097</v>
      </c>
      <c r="C707" s="2" t="s">
        <v>26</v>
      </c>
      <c r="D707" s="2" t="s">
        <v>27</v>
      </c>
      <c r="E707" s="4">
        <v>-31922</v>
      </c>
      <c r="F707" s="3" t="s">
        <v>375</v>
      </c>
      <c r="G707" s="3" t="s">
        <v>986</v>
      </c>
      <c r="H707" s="2" t="s">
        <v>21</v>
      </c>
      <c r="I707" s="2" t="s">
        <v>2098</v>
      </c>
      <c r="J707" s="3" t="str">
        <f>HYPERLINK("https://www.boe.es/gazeta/dias/1812/08/06/pdfs/GRE-1812-100.pdf#page=8","Abrir facsímil")</f>
        <v>Abrir facsímil</v>
      </c>
      <c r="K707" s="3" t="s">
        <v>23</v>
      </c>
    </row>
    <row r="708" spans="1:11" ht="42" customHeight="1">
      <c r="A708" s="2" t="s">
        <v>2099</v>
      </c>
      <c r="B708" s="2" t="s">
        <v>2100</v>
      </c>
      <c r="C708" s="2" t="s">
        <v>26</v>
      </c>
      <c r="D708" s="2" t="s">
        <v>27</v>
      </c>
      <c r="E708" s="4">
        <v>-31938</v>
      </c>
      <c r="F708" s="3" t="s">
        <v>324</v>
      </c>
      <c r="G708" s="3" t="s">
        <v>237</v>
      </c>
      <c r="H708" s="2" t="s">
        <v>21</v>
      </c>
      <c r="I708" s="2" t="s">
        <v>2101</v>
      </c>
      <c r="J708" s="3" t="str">
        <f>HYPERLINK("https://www.boe.es/gazeta/dias/1812/07/21/pdfs/GMD-1812-203.pdf#page=2","Abrir facsímil")</f>
        <v>Abrir facsímil</v>
      </c>
      <c r="K708" s="3" t="s">
        <v>23</v>
      </c>
    </row>
    <row r="709" spans="1:11" ht="42" customHeight="1">
      <c r="A709" s="2" t="s">
        <v>2102</v>
      </c>
      <c r="B709" s="2" t="s">
        <v>2103</v>
      </c>
      <c r="C709" s="2" t="s">
        <v>17</v>
      </c>
      <c r="D709" s="2" t="s">
        <v>275</v>
      </c>
      <c r="E709" s="4">
        <v>-31901</v>
      </c>
      <c r="F709" s="3" t="s">
        <v>590</v>
      </c>
      <c r="G709" s="3" t="s">
        <v>674</v>
      </c>
      <c r="H709" s="2" t="s">
        <v>21</v>
      </c>
      <c r="I709" s="2" t="s">
        <v>2104</v>
      </c>
      <c r="J709" s="3" t="str">
        <f>HYPERLINK("https://www.boe.es/gazeta/dias/1812/08/27/pdfs/GMR-1812-6.pdf#page=6","Abrir facsímil")</f>
        <v>Abrir facsímil</v>
      </c>
      <c r="K709" s="3" t="s">
        <v>23</v>
      </c>
    </row>
    <row r="710" spans="1:11" ht="42" customHeight="1">
      <c r="A710" s="2" t="s">
        <v>2105</v>
      </c>
      <c r="B710" s="2" t="s">
        <v>2105</v>
      </c>
      <c r="C710" s="2" t="s">
        <v>17</v>
      </c>
      <c r="D710" s="2" t="s">
        <v>18</v>
      </c>
      <c r="E710" s="4">
        <v>-32109</v>
      </c>
      <c r="F710" s="3" t="s">
        <v>62</v>
      </c>
      <c r="G710" s="3" t="s">
        <v>2106</v>
      </c>
      <c r="H710" s="2" t="s">
        <v>21</v>
      </c>
      <c r="I710" s="2" t="s">
        <v>2107</v>
      </c>
      <c r="J710" s="3" t="str">
        <f>HYPERLINK("https://www.boe.es/gazeta/dias/1812/02/01/pdfs/GRE-1812-14.pdf#page=8","Abrir facsímil")</f>
        <v>Abrir facsímil</v>
      </c>
      <c r="K710" s="3" t="s">
        <v>23</v>
      </c>
    </row>
    <row r="711" spans="1:11" ht="42" customHeight="1">
      <c r="A711" s="2" t="s">
        <v>2108</v>
      </c>
      <c r="B711" s="2" t="s">
        <v>2109</v>
      </c>
      <c r="C711" s="2" t="s">
        <v>17</v>
      </c>
      <c r="D711" s="2" t="s">
        <v>18</v>
      </c>
      <c r="E711" s="4">
        <v>-31900</v>
      </c>
      <c r="F711" s="3" t="s">
        <v>276</v>
      </c>
      <c r="G711" s="3" t="s">
        <v>794</v>
      </c>
      <c r="H711" s="2" t="s">
        <v>21</v>
      </c>
      <c r="I711" s="2" t="s">
        <v>2110</v>
      </c>
      <c r="J711" s="3" t="str">
        <f>HYPERLINK("https://www.boe.es/gazeta/dias/1812/08/28/pdfs/GRE-1812-113E.pdf#page=7","Abrir facsímil")</f>
        <v>Abrir facsímil</v>
      </c>
      <c r="K711" s="3" t="s">
        <v>23</v>
      </c>
    </row>
    <row r="712" spans="1:11" ht="42" customHeight="1">
      <c r="A712" s="2" t="s">
        <v>2111</v>
      </c>
      <c r="B712" s="2" t="s">
        <v>2112</v>
      </c>
      <c r="C712" s="2" t="s">
        <v>26</v>
      </c>
      <c r="D712" s="2" t="s">
        <v>27</v>
      </c>
      <c r="E712" s="4">
        <v>-32018</v>
      </c>
      <c r="F712" s="3" t="s">
        <v>365</v>
      </c>
      <c r="G712" s="3" t="s">
        <v>1639</v>
      </c>
      <c r="H712" s="2" t="s">
        <v>21</v>
      </c>
      <c r="I712" s="2" t="s">
        <v>2113</v>
      </c>
      <c r="J712" s="3" t="str">
        <f>HYPERLINK("https://www.boe.es/gazeta/dias/1812/05/02/pdfs/GRE-1812-55.pdf#page=6","Abrir facsímil")</f>
        <v>Abrir facsímil</v>
      </c>
      <c r="K712" s="3" t="s">
        <v>23</v>
      </c>
    </row>
    <row r="713" spans="1:11" ht="42" customHeight="1">
      <c r="A713" s="2" t="s">
        <v>2114</v>
      </c>
      <c r="B713" s="2" t="s">
        <v>2115</v>
      </c>
      <c r="C713" s="2" t="s">
        <v>17</v>
      </c>
      <c r="D713" s="2" t="s">
        <v>27</v>
      </c>
      <c r="E713" s="4">
        <v>-31906</v>
      </c>
      <c r="F713" s="3" t="s">
        <v>124</v>
      </c>
      <c r="G713" s="3" t="s">
        <v>125</v>
      </c>
      <c r="H713" s="2" t="s">
        <v>21</v>
      </c>
      <c r="I713" s="2" t="s">
        <v>2116</v>
      </c>
      <c r="J713" s="3" t="str">
        <f>HYPERLINK("https://www.boe.es/gazeta/dias/1812/08/22/pdfs/GRE-1812-109.pdf#page=7","Abrir facsímil")</f>
        <v>Abrir facsímil</v>
      </c>
      <c r="K713" s="3" t="s">
        <v>23</v>
      </c>
    </row>
    <row r="714" spans="1:11" ht="42" customHeight="1">
      <c r="A714" s="2" t="s">
        <v>2117</v>
      </c>
      <c r="B714" s="2" t="s">
        <v>2118</v>
      </c>
      <c r="C714" s="2" t="s">
        <v>26</v>
      </c>
      <c r="D714" s="2" t="s">
        <v>27</v>
      </c>
      <c r="E714" s="4">
        <v>-32034</v>
      </c>
      <c r="F714" s="3" t="s">
        <v>28</v>
      </c>
      <c r="G714" s="3" t="s">
        <v>130</v>
      </c>
      <c r="H714" s="2" t="s">
        <v>21</v>
      </c>
      <c r="I714" s="2" t="s">
        <v>2119</v>
      </c>
      <c r="J714" s="3" t="str">
        <f>HYPERLINK("https://www.boe.es/gazeta/dias/1812/04/16/pdfs/GMD-1812-107.pdf#page=4","Abrir facsímil")</f>
        <v>Abrir facsímil</v>
      </c>
      <c r="K714" s="3" t="s">
        <v>23</v>
      </c>
    </row>
    <row r="715" spans="1:11" ht="42" customHeight="1">
      <c r="A715" s="2" t="s">
        <v>2117</v>
      </c>
      <c r="B715" s="2" t="s">
        <v>2118</v>
      </c>
      <c r="C715" s="2" t="s">
        <v>26</v>
      </c>
      <c r="D715" s="2" t="s">
        <v>27</v>
      </c>
      <c r="E715" s="4">
        <v>-31859</v>
      </c>
      <c r="F715" s="3" t="s">
        <v>158</v>
      </c>
      <c r="G715" s="3" t="s">
        <v>159</v>
      </c>
      <c r="H715" s="2" t="s">
        <v>21</v>
      </c>
      <c r="I715" s="2" t="s">
        <v>2120</v>
      </c>
      <c r="J715" s="3" t="str">
        <f>HYPERLINK("https://www.boe.es/gazeta/dias/1812/10/08/pdfs/GMR-1812-24.pdf#page=9","Abrir facsímil")</f>
        <v>Abrir facsímil</v>
      </c>
      <c r="K715" s="3" t="s">
        <v>23</v>
      </c>
    </row>
    <row r="716" spans="1:11" ht="42" customHeight="1">
      <c r="A716" s="2" t="s">
        <v>2121</v>
      </c>
      <c r="B716" s="2" t="s">
        <v>2122</v>
      </c>
      <c r="C716" s="2" t="s">
        <v>26</v>
      </c>
      <c r="D716" s="2" t="s">
        <v>27</v>
      </c>
      <c r="E716" s="4">
        <v>-31822</v>
      </c>
      <c r="F716" s="3" t="s">
        <v>541</v>
      </c>
      <c r="G716" s="3" t="s">
        <v>1297</v>
      </c>
      <c r="H716" s="2" t="s">
        <v>30</v>
      </c>
      <c r="I716" s="2" t="s">
        <v>2123</v>
      </c>
      <c r="J716" s="3" t="str">
        <f>HYPERLINK("https://www.boe.es/gazeta/dias/1812/11/14/pdfs/GRE-1812-152.pdf#page=4","Abrir facsímil")</f>
        <v>Abrir facsímil</v>
      </c>
      <c r="K716" s="3" t="s">
        <v>32</v>
      </c>
    </row>
    <row r="717" spans="1:11" ht="42" customHeight="1">
      <c r="A717" s="2" t="s">
        <v>2124</v>
      </c>
      <c r="B717" s="2" t="s">
        <v>2124</v>
      </c>
      <c r="C717" s="2" t="s">
        <v>17</v>
      </c>
      <c r="D717" s="2" t="s">
        <v>18</v>
      </c>
      <c r="E717" s="4">
        <v>-32137</v>
      </c>
      <c r="F717" s="3" t="s">
        <v>355</v>
      </c>
      <c r="G717" s="3" t="s">
        <v>620</v>
      </c>
      <c r="H717" s="2" t="s">
        <v>21</v>
      </c>
      <c r="I717" s="2" t="s">
        <v>2125</v>
      </c>
      <c r="J717" s="3" t="str">
        <f>HYPERLINK("https://www.boe.es/gazeta/dias/1812/01/04/pdfs/GEI-1812-2.pdf#page=3","Abrir facsímil")</f>
        <v>Abrir facsímil</v>
      </c>
      <c r="K717" s="3" t="s">
        <v>23</v>
      </c>
    </row>
    <row r="718" spans="1:11" ht="42" customHeight="1">
      <c r="A718" s="2" t="s">
        <v>2126</v>
      </c>
      <c r="B718" s="2" t="s">
        <v>2127</v>
      </c>
      <c r="C718" s="2" t="s">
        <v>26</v>
      </c>
      <c r="D718" s="2" t="s">
        <v>27</v>
      </c>
      <c r="E718" s="4">
        <v>-32139</v>
      </c>
      <c r="F718" s="3" t="s">
        <v>518</v>
      </c>
      <c r="G718" s="3" t="s">
        <v>125</v>
      </c>
      <c r="H718" s="2" t="s">
        <v>21</v>
      </c>
      <c r="I718" s="2" t="s">
        <v>2128</v>
      </c>
      <c r="J718" s="3" t="str">
        <f>HYPERLINK("https://www.boe.es/gazeta/dias/1812/01/02/pdfs/GEI-1812-1.pdf#page=8","Abrir facsímil")</f>
        <v>Abrir facsímil</v>
      </c>
      <c r="K718" s="3" t="s">
        <v>23</v>
      </c>
    </row>
    <row r="719" spans="1:11" ht="42" customHeight="1">
      <c r="A719" s="2" t="s">
        <v>2129</v>
      </c>
      <c r="B719" s="2" t="s">
        <v>2130</v>
      </c>
      <c r="C719" s="2" t="s">
        <v>17</v>
      </c>
      <c r="D719" s="2" t="s">
        <v>27</v>
      </c>
      <c r="E719" s="4">
        <v>-31913</v>
      </c>
      <c r="F719" s="3" t="s">
        <v>450</v>
      </c>
      <c r="G719" s="3" t="s">
        <v>2131</v>
      </c>
      <c r="H719" s="2" t="s">
        <v>21</v>
      </c>
      <c r="I719" s="2" t="s">
        <v>2132</v>
      </c>
      <c r="J719" s="3" t="str">
        <f>HYPERLINK("https://www.boe.es/gazeta/dias/1812/08/15/pdfs/GRE-1812-105.pdf#page=5","Abrir facsímil")</f>
        <v>Abrir facsímil</v>
      </c>
      <c r="K719" s="3" t="s">
        <v>23</v>
      </c>
    </row>
    <row r="720" spans="1:11" ht="42" customHeight="1">
      <c r="A720" s="2" t="s">
        <v>2133</v>
      </c>
      <c r="B720" s="2" t="s">
        <v>2134</v>
      </c>
      <c r="C720" s="2" t="s">
        <v>17</v>
      </c>
      <c r="D720" s="2" t="s">
        <v>27</v>
      </c>
      <c r="E720" s="4">
        <v>-31945</v>
      </c>
      <c r="F720" s="3" t="s">
        <v>1485</v>
      </c>
      <c r="G720" s="3" t="s">
        <v>1486</v>
      </c>
      <c r="H720" s="2" t="s">
        <v>21</v>
      </c>
      <c r="I720" s="2" t="s">
        <v>2135</v>
      </c>
      <c r="J720" s="3" t="str">
        <f>HYPERLINK("https://www.boe.es/gazeta/dias/1812/07/14/pdfs/GRE-1812-88.pdf#page=1","Abrir facsímil")</f>
        <v>Abrir facsímil</v>
      </c>
      <c r="K720" s="3" t="s">
        <v>23</v>
      </c>
    </row>
    <row r="721" spans="1:11" ht="42" customHeight="1">
      <c r="A721" s="2" t="s">
        <v>2136</v>
      </c>
      <c r="B721" s="2" t="s">
        <v>2136</v>
      </c>
      <c r="C721" s="2" t="s">
        <v>26</v>
      </c>
      <c r="D721" s="2" t="s">
        <v>27</v>
      </c>
      <c r="E721" s="4">
        <v>-31936</v>
      </c>
      <c r="F721" s="3" t="s">
        <v>614</v>
      </c>
      <c r="G721" s="3" t="s">
        <v>615</v>
      </c>
      <c r="H721" s="2" t="s">
        <v>21</v>
      </c>
      <c r="I721" s="2" t="s">
        <v>2137</v>
      </c>
      <c r="J721" s="3" t="str">
        <f>HYPERLINK("https://www.boe.es/gazeta/dias/1812/07/23/pdfs/GRE-1812-92.pdf#page=8","Abrir facsímil")</f>
        <v>Abrir facsímil</v>
      </c>
      <c r="K721" s="3" t="s">
        <v>23</v>
      </c>
    </row>
    <row r="722" spans="1:11" ht="42" customHeight="1">
      <c r="A722" s="2" t="s">
        <v>2136</v>
      </c>
      <c r="B722" s="2" t="s">
        <v>2136</v>
      </c>
      <c r="C722" s="2" t="s">
        <v>26</v>
      </c>
      <c r="D722" s="2" t="s">
        <v>27</v>
      </c>
      <c r="E722" s="4">
        <v>-31775</v>
      </c>
      <c r="F722" s="3" t="s">
        <v>660</v>
      </c>
      <c r="G722" s="3" t="s">
        <v>2138</v>
      </c>
      <c r="H722" s="2" t="s">
        <v>21</v>
      </c>
      <c r="I722" s="2" t="s">
        <v>2139</v>
      </c>
      <c r="J722" s="3" t="str">
        <f>HYPERLINK("https://www.boe.es/gazeta/dias/1812/12/31/pdfs/GRE-1812-172.pdf#page=8","Abrir facsímil")</f>
        <v>Abrir facsímil</v>
      </c>
      <c r="K722" s="3" t="s">
        <v>23</v>
      </c>
    </row>
    <row r="723" spans="1:11" ht="42" customHeight="1">
      <c r="A723" s="2" t="s">
        <v>2140</v>
      </c>
      <c r="B723" s="2" t="s">
        <v>2140</v>
      </c>
      <c r="C723" s="2" t="s">
        <v>17</v>
      </c>
      <c r="D723" s="2" t="s">
        <v>18</v>
      </c>
      <c r="E723" s="4">
        <v>-32063</v>
      </c>
      <c r="F723" s="3" t="s">
        <v>384</v>
      </c>
      <c r="G723" s="3" t="s">
        <v>125</v>
      </c>
      <c r="H723" s="2" t="s">
        <v>21</v>
      </c>
      <c r="I723" s="2" t="s">
        <v>2141</v>
      </c>
      <c r="J723" s="3" t="str">
        <f>HYPERLINK("https://www.boe.es/gazeta/dias/1812/03/18/pdfs/GMD-1812-78.pdf#page=3","Abrir facsímil")</f>
        <v>Abrir facsímil</v>
      </c>
      <c r="K723" s="3" t="s">
        <v>23</v>
      </c>
    </row>
    <row r="724" spans="1:11" ht="42" customHeight="1">
      <c r="A724" s="2" t="s">
        <v>2140</v>
      </c>
      <c r="B724" s="2" t="s">
        <v>2140</v>
      </c>
      <c r="C724" s="2" t="s">
        <v>17</v>
      </c>
      <c r="D724" s="2" t="s">
        <v>18</v>
      </c>
      <c r="E724" s="4">
        <v>-32063</v>
      </c>
      <c r="F724" s="3" t="s">
        <v>384</v>
      </c>
      <c r="G724" s="3" t="s">
        <v>20</v>
      </c>
      <c r="H724" s="2" t="s">
        <v>21</v>
      </c>
      <c r="I724" s="2" t="s">
        <v>2142</v>
      </c>
      <c r="J724" s="3" t="str">
        <f>HYPERLINK("https://www.boe.es/gazeta/dias/1812/03/18/pdfs/GMD-1812-78.pdf#page=4","Abrir facsímil")</f>
        <v>Abrir facsímil</v>
      </c>
      <c r="K724" s="3" t="s">
        <v>23</v>
      </c>
    </row>
    <row r="725" spans="1:11" ht="42" customHeight="1">
      <c r="A725" s="2" t="s">
        <v>2143</v>
      </c>
      <c r="B725" s="2" t="s">
        <v>2144</v>
      </c>
      <c r="C725" s="2" t="s">
        <v>26</v>
      </c>
      <c r="D725" s="2" t="s">
        <v>27</v>
      </c>
      <c r="E725" s="4">
        <v>-31852</v>
      </c>
      <c r="F725" s="3" t="s">
        <v>2145</v>
      </c>
      <c r="G725" s="3" t="s">
        <v>2146</v>
      </c>
      <c r="H725" s="2" t="s">
        <v>21</v>
      </c>
      <c r="I725" s="2" t="s">
        <v>2147</v>
      </c>
      <c r="J725" s="3" t="str">
        <f>HYPERLINK("https://www.boe.es/gazeta/dias/1812/10/15/pdfs/GRE-1812-139.pdf#page=7","Abrir facsímil")</f>
        <v>Abrir facsímil</v>
      </c>
      <c r="K725" s="3" t="s">
        <v>23</v>
      </c>
    </row>
    <row r="726" spans="1:11" ht="42" customHeight="1">
      <c r="A726" s="2" t="s">
        <v>2148</v>
      </c>
      <c r="B726" s="2" t="s">
        <v>2148</v>
      </c>
      <c r="C726" s="2" t="s">
        <v>17</v>
      </c>
      <c r="D726" s="2" t="s">
        <v>134</v>
      </c>
      <c r="E726" s="4">
        <v>-31910</v>
      </c>
      <c r="F726" s="3" t="s">
        <v>2149</v>
      </c>
      <c r="G726" s="3" t="s">
        <v>196</v>
      </c>
      <c r="H726" s="2" t="s">
        <v>21</v>
      </c>
      <c r="I726" s="2" t="s">
        <v>2150</v>
      </c>
      <c r="J726" s="3" t="str">
        <f>HYPERLINK("https://www.boe.es/gazeta/dias/1812/08/18/pdfs/GRE-F-1812-106.pdf#page=1","Abrir facsímil")</f>
        <v>Abrir facsímil</v>
      </c>
      <c r="K726" s="3" t="s">
        <v>23</v>
      </c>
    </row>
    <row r="727" spans="1:11" ht="42" customHeight="1">
      <c r="A727" s="2" t="s">
        <v>2151</v>
      </c>
      <c r="B727" s="2" t="s">
        <v>2151</v>
      </c>
      <c r="C727" s="2" t="s">
        <v>17</v>
      </c>
      <c r="D727" s="2" t="s">
        <v>134</v>
      </c>
      <c r="E727" s="4">
        <v>-31910</v>
      </c>
      <c r="F727" s="3" t="s">
        <v>2149</v>
      </c>
      <c r="G727" s="3" t="s">
        <v>196</v>
      </c>
      <c r="H727" s="2" t="s">
        <v>21</v>
      </c>
      <c r="I727" s="2" t="s">
        <v>2152</v>
      </c>
      <c r="J727" s="3" t="str">
        <f>HYPERLINK("https://www.boe.es/gazeta/dias/1812/08/18/pdfs/GRE-F-1812-106.pdf#page=1","Abrir facsímil")</f>
        <v>Abrir facsímil</v>
      </c>
      <c r="K727" s="3" t="s">
        <v>23</v>
      </c>
    </row>
    <row r="728" spans="1:11" ht="42" customHeight="1">
      <c r="A728" s="2" t="s">
        <v>2153</v>
      </c>
      <c r="B728" s="2" t="s">
        <v>2153</v>
      </c>
      <c r="C728" s="2" t="s">
        <v>17</v>
      </c>
      <c r="D728" s="2" t="s">
        <v>27</v>
      </c>
      <c r="E728" s="4">
        <v>-31892</v>
      </c>
      <c r="F728" s="3" t="s">
        <v>1825</v>
      </c>
      <c r="G728" s="3" t="s">
        <v>1955</v>
      </c>
      <c r="H728" s="2" t="s">
        <v>21</v>
      </c>
      <c r="I728" s="2" t="s">
        <v>2154</v>
      </c>
      <c r="J728" s="3" t="str">
        <f>HYPERLINK("https://www.boe.es/gazeta/dias/1812/09/05/pdfs/GMR-1812-10.pdf#page=8","Abrir facsímil")</f>
        <v>Abrir facsímil</v>
      </c>
      <c r="K728" s="3" t="s">
        <v>23</v>
      </c>
    </row>
    <row r="729" spans="1:11" ht="42" customHeight="1">
      <c r="A729" s="2" t="s">
        <v>2155</v>
      </c>
      <c r="B729" s="2" t="s">
        <v>2155</v>
      </c>
      <c r="C729" s="2" t="s">
        <v>17</v>
      </c>
      <c r="D729" s="2" t="s">
        <v>18</v>
      </c>
      <c r="E729" s="4">
        <v>-31892</v>
      </c>
      <c r="F729" s="3" t="s">
        <v>1825</v>
      </c>
      <c r="G729" s="3" t="s">
        <v>2156</v>
      </c>
      <c r="H729" s="2" t="s">
        <v>21</v>
      </c>
      <c r="I729" s="2" t="s">
        <v>2157</v>
      </c>
      <c r="J729" s="3" t="str">
        <f>HYPERLINK("https://www.boe.es/gazeta/dias/1812/09/05/pdfs/GMR-1812-10.pdf#page=10","Abrir facsímil")</f>
        <v>Abrir facsímil</v>
      </c>
      <c r="K729" s="3" t="s">
        <v>23</v>
      </c>
    </row>
    <row r="730" spans="1:11" ht="42" customHeight="1">
      <c r="A730" s="2" t="s">
        <v>2155</v>
      </c>
      <c r="B730" s="2" t="s">
        <v>2155</v>
      </c>
      <c r="C730" s="2" t="s">
        <v>17</v>
      </c>
      <c r="D730" s="2" t="s">
        <v>18</v>
      </c>
      <c r="E730" s="4">
        <v>-31889</v>
      </c>
      <c r="F730" s="3" t="s">
        <v>699</v>
      </c>
      <c r="G730" s="3" t="s">
        <v>125</v>
      </c>
      <c r="H730" s="2" t="s">
        <v>21</v>
      </c>
      <c r="I730" s="2" t="s">
        <v>2158</v>
      </c>
      <c r="J730" s="3" t="str">
        <f>HYPERLINK("https://www.boe.es/gazeta/dias/1812/09/08/pdfs/GMR-1812-11.pdf#page=7","Abrir facsímil")</f>
        <v>Abrir facsímil</v>
      </c>
      <c r="K730" s="3" t="s">
        <v>23</v>
      </c>
    </row>
    <row r="731" spans="1:11" ht="42" customHeight="1">
      <c r="A731" s="2" t="s">
        <v>2155</v>
      </c>
      <c r="B731" s="2" t="s">
        <v>2155</v>
      </c>
      <c r="C731" s="2" t="s">
        <v>17</v>
      </c>
      <c r="D731" s="2" t="s">
        <v>18</v>
      </c>
      <c r="E731" s="4">
        <v>-31887</v>
      </c>
      <c r="F731" s="3" t="s">
        <v>701</v>
      </c>
      <c r="G731" s="3" t="s">
        <v>317</v>
      </c>
      <c r="H731" s="2" t="s">
        <v>21</v>
      </c>
      <c r="I731" s="2" t="s">
        <v>2159</v>
      </c>
      <c r="J731" s="3" t="str">
        <f>HYPERLINK("https://www.boe.es/gazeta/dias/1812/09/10/pdfs/GMR-1812-12.pdf#page=6","Abrir facsímil")</f>
        <v>Abrir facsímil</v>
      </c>
      <c r="K731" s="3" t="s">
        <v>23</v>
      </c>
    </row>
    <row r="732" spans="1:11" ht="42" customHeight="1">
      <c r="A732" s="2" t="s">
        <v>2160</v>
      </c>
      <c r="B732" s="2" t="s">
        <v>2160</v>
      </c>
      <c r="C732" s="2" t="s">
        <v>17</v>
      </c>
      <c r="D732" s="2" t="s">
        <v>18</v>
      </c>
      <c r="E732" s="4">
        <v>-31861</v>
      </c>
      <c r="F732" s="3" t="s">
        <v>1080</v>
      </c>
      <c r="G732" s="3" t="s">
        <v>233</v>
      </c>
      <c r="H732" s="2" t="s">
        <v>21</v>
      </c>
      <c r="I732" s="2" t="s">
        <v>2161</v>
      </c>
      <c r="J732" s="3" t="str">
        <f>HYPERLINK("https://www.boe.es/gazeta/dias/1812/10/06/pdfs/GMR-1812-23.pdf#page=12","Abrir facsímil")</f>
        <v>Abrir facsímil</v>
      </c>
      <c r="K732" s="3" t="s">
        <v>23</v>
      </c>
    </row>
    <row r="733" spans="1:11" ht="42" customHeight="1">
      <c r="A733" s="2" t="s">
        <v>2162</v>
      </c>
      <c r="B733" s="2" t="s">
        <v>2163</v>
      </c>
      <c r="C733" s="2" t="s">
        <v>26</v>
      </c>
      <c r="D733" s="2" t="s">
        <v>27</v>
      </c>
      <c r="E733" s="4">
        <v>-32034</v>
      </c>
      <c r="F733" s="3" t="s">
        <v>28</v>
      </c>
      <c r="G733" s="3" t="s">
        <v>317</v>
      </c>
      <c r="H733" s="2" t="s">
        <v>30</v>
      </c>
      <c r="I733" s="2" t="s">
        <v>2164</v>
      </c>
      <c r="J733" s="3" t="str">
        <f>HYPERLINK("https://www.boe.es/gazeta/dias/1812/04/16/pdfs/GMD-1812-107.pdf#page=6","Abrir facsímil")</f>
        <v>Abrir facsímil</v>
      </c>
      <c r="K733" s="3" t="s">
        <v>32</v>
      </c>
    </row>
    <row r="734" spans="1:11" ht="42" customHeight="1">
      <c r="A734" s="2" t="s">
        <v>2165</v>
      </c>
      <c r="B734" s="2" t="s">
        <v>2165</v>
      </c>
      <c r="C734" s="2" t="s">
        <v>17</v>
      </c>
      <c r="D734" s="2" t="s">
        <v>27</v>
      </c>
      <c r="E734" s="4">
        <v>-32060</v>
      </c>
      <c r="F734" s="3" t="s">
        <v>1403</v>
      </c>
      <c r="G734" s="3" t="s">
        <v>1432</v>
      </c>
      <c r="H734" s="2" t="s">
        <v>21</v>
      </c>
      <c r="I734" s="2" t="s">
        <v>2166</v>
      </c>
      <c r="J734" s="3" t="str">
        <f>HYPERLINK("https://www.boe.es/gazeta/dias/1812/03/21/pdfs/GRE-1812-36.pdf#page=2","Abrir facsímil")</f>
        <v>Abrir facsímil</v>
      </c>
      <c r="K734" s="3" t="s">
        <v>23</v>
      </c>
    </row>
    <row r="735" spans="1:11" ht="42" customHeight="1">
      <c r="A735" s="2" t="s">
        <v>2167</v>
      </c>
      <c r="B735" s="2" t="s">
        <v>2167</v>
      </c>
      <c r="C735" s="2" t="s">
        <v>17</v>
      </c>
      <c r="D735" s="2" t="s">
        <v>18</v>
      </c>
      <c r="E735" s="4">
        <v>-32062</v>
      </c>
      <c r="F735" s="3" t="s">
        <v>2168</v>
      </c>
      <c r="G735" s="3" t="s">
        <v>2169</v>
      </c>
      <c r="H735" s="2" t="s">
        <v>21</v>
      </c>
      <c r="I735" s="2" t="s">
        <v>2170</v>
      </c>
      <c r="J735" s="3" t="str">
        <f>HYPERLINK("https://www.boe.es/gazeta/dias/1812/03/19/pdfs/GRE-1812-35.pdf#page=4","Abrir facsímil")</f>
        <v>Abrir facsímil</v>
      </c>
      <c r="K735" s="3" t="s">
        <v>23</v>
      </c>
    </row>
    <row r="736" spans="1:11" ht="42" customHeight="1">
      <c r="A736" s="2" t="s">
        <v>2167</v>
      </c>
      <c r="B736" s="2" t="s">
        <v>2167</v>
      </c>
      <c r="C736" s="2" t="s">
        <v>17</v>
      </c>
      <c r="D736" s="2" t="s">
        <v>27</v>
      </c>
      <c r="E736" s="4">
        <v>-32018</v>
      </c>
      <c r="F736" s="3" t="s">
        <v>365</v>
      </c>
      <c r="G736" s="3" t="s">
        <v>2171</v>
      </c>
      <c r="H736" s="2" t="s">
        <v>21</v>
      </c>
      <c r="I736" s="2" t="s">
        <v>2172</v>
      </c>
      <c r="J736" s="3" t="str">
        <f>HYPERLINK("https://www.boe.es/gazeta/dias/1812/05/02/pdfs/GRE-1812-55.pdf#page=7","Abrir facsímil")</f>
        <v>Abrir facsímil</v>
      </c>
      <c r="K736" s="3" t="s">
        <v>23</v>
      </c>
    </row>
    <row r="737" spans="1:11" ht="42" customHeight="1">
      <c r="A737" s="2" t="s">
        <v>2167</v>
      </c>
      <c r="B737" s="2" t="s">
        <v>2167</v>
      </c>
      <c r="C737" s="2" t="s">
        <v>17</v>
      </c>
      <c r="D737" s="2" t="s">
        <v>27</v>
      </c>
      <c r="E737" s="4">
        <v>-31957</v>
      </c>
      <c r="F737" s="3" t="s">
        <v>2173</v>
      </c>
      <c r="G737" s="3" t="s">
        <v>2174</v>
      </c>
      <c r="H737" s="2" t="s">
        <v>21</v>
      </c>
      <c r="I737" s="2" t="s">
        <v>2175</v>
      </c>
      <c r="J737" s="3" t="str">
        <f>HYPERLINK("https://www.boe.es/gazeta/dias/1812/07/02/pdfs/GRE-1812-81.pdf#page=6","Abrir facsímil")</f>
        <v>Abrir facsímil</v>
      </c>
      <c r="K737" s="3" t="s">
        <v>23</v>
      </c>
    </row>
    <row r="738" spans="1:11" ht="42" customHeight="1">
      <c r="A738" s="2" t="s">
        <v>2167</v>
      </c>
      <c r="B738" s="2" t="s">
        <v>2167</v>
      </c>
      <c r="C738" s="2" t="s">
        <v>17</v>
      </c>
      <c r="D738" s="2" t="s">
        <v>275</v>
      </c>
      <c r="E738" s="4">
        <v>-31857</v>
      </c>
      <c r="F738" s="3" t="s">
        <v>2176</v>
      </c>
      <c r="G738" s="3" t="s">
        <v>58</v>
      </c>
      <c r="H738" s="2" t="s">
        <v>21</v>
      </c>
      <c r="I738" s="2" t="s">
        <v>2177</v>
      </c>
      <c r="J738" s="3" t="str">
        <f>HYPERLINK("https://www.boe.es/gazeta/dias/1812/10/10/pdfs/GMR-1812-25.pdf#page=4","Abrir facsímil")</f>
        <v>Abrir facsímil</v>
      </c>
      <c r="K738" s="3" t="s">
        <v>23</v>
      </c>
    </row>
    <row r="739" spans="1:11" ht="42" customHeight="1">
      <c r="A739" s="2" t="s">
        <v>2167</v>
      </c>
      <c r="B739" s="2" t="s">
        <v>2167</v>
      </c>
      <c r="C739" s="2" t="s">
        <v>17</v>
      </c>
      <c r="D739" s="2" t="s">
        <v>18</v>
      </c>
      <c r="E739" s="4">
        <v>-31850</v>
      </c>
      <c r="F739" s="3" t="s">
        <v>2178</v>
      </c>
      <c r="G739" s="3" t="s">
        <v>2179</v>
      </c>
      <c r="H739" s="2" t="s">
        <v>21</v>
      </c>
      <c r="I739" s="2" t="s">
        <v>2180</v>
      </c>
      <c r="J739" s="3" t="str">
        <f>HYPERLINK("https://www.boe.es/gazeta/dias/1812/10/17/pdfs/GRE-1812-140.pdf#page=3","Abrir facsímil")</f>
        <v>Abrir facsímil</v>
      </c>
      <c r="K739" s="3" t="s">
        <v>23</v>
      </c>
    </row>
    <row r="740" spans="1:11" ht="42" customHeight="1">
      <c r="A740" s="2" t="s">
        <v>2167</v>
      </c>
      <c r="B740" s="2" t="s">
        <v>2167</v>
      </c>
      <c r="C740" s="2" t="s">
        <v>17</v>
      </c>
      <c r="D740" s="2" t="s">
        <v>18</v>
      </c>
      <c r="E740" s="4">
        <v>-31840</v>
      </c>
      <c r="F740" s="3" t="s">
        <v>2181</v>
      </c>
      <c r="G740" s="3" t="s">
        <v>1076</v>
      </c>
      <c r="H740" s="2" t="s">
        <v>21</v>
      </c>
      <c r="I740" s="2" t="s">
        <v>2182</v>
      </c>
      <c r="J740" s="3" t="str">
        <f>HYPERLINK("https://www.boe.es/gazeta/dias/1812/10/27/pdfs/GMR-1812-32.pdf#page=6","Abrir facsímil")</f>
        <v>Abrir facsímil</v>
      </c>
      <c r="K740" s="3" t="s">
        <v>23</v>
      </c>
    </row>
    <row r="741" spans="1:11" ht="42" customHeight="1">
      <c r="A741" s="2" t="s">
        <v>2167</v>
      </c>
      <c r="B741" s="2" t="s">
        <v>2167</v>
      </c>
      <c r="C741" s="2" t="s">
        <v>17</v>
      </c>
      <c r="D741" s="2" t="s">
        <v>18</v>
      </c>
      <c r="E741" s="4">
        <v>-31821</v>
      </c>
      <c r="F741" s="3" t="s">
        <v>1979</v>
      </c>
      <c r="G741" s="3" t="s">
        <v>794</v>
      </c>
      <c r="H741" s="2" t="s">
        <v>21</v>
      </c>
      <c r="I741" s="2" t="s">
        <v>2183</v>
      </c>
      <c r="J741" s="3" t="str">
        <f>HYPERLINK("https://www.boe.es/gazeta/dias/1812/11/15/pdfs/GMR-1812-34.pdf#page=7","Abrir facsímil")</f>
        <v>Abrir facsímil</v>
      </c>
      <c r="K741" s="3" t="s">
        <v>23</v>
      </c>
    </row>
    <row r="742" spans="1:11" ht="42" customHeight="1">
      <c r="A742" s="2" t="s">
        <v>2184</v>
      </c>
      <c r="B742" s="2" t="s">
        <v>2184</v>
      </c>
      <c r="C742" s="2" t="s">
        <v>17</v>
      </c>
      <c r="D742" s="2" t="s">
        <v>18</v>
      </c>
      <c r="E742" s="4">
        <v>-31831</v>
      </c>
      <c r="F742" s="3" t="s">
        <v>1963</v>
      </c>
      <c r="G742" s="3" t="s">
        <v>2185</v>
      </c>
      <c r="H742" s="2" t="s">
        <v>21</v>
      </c>
      <c r="I742" s="2" t="s">
        <v>2186</v>
      </c>
      <c r="J742" s="3" t="str">
        <f>HYPERLINK("https://www.boe.es/gazeta/dias/1812/11/05/pdfs/GRE-1812-148.pdf#page=5","Abrir facsímil")</f>
        <v>Abrir facsímil</v>
      </c>
      <c r="K742" s="3" t="s">
        <v>23</v>
      </c>
    </row>
    <row r="743" spans="1:11" ht="42" customHeight="1">
      <c r="A743" s="2" t="s">
        <v>2187</v>
      </c>
      <c r="B743" s="2" t="s">
        <v>2188</v>
      </c>
      <c r="C743" s="2" t="s">
        <v>26</v>
      </c>
      <c r="D743" s="2" t="s">
        <v>27</v>
      </c>
      <c r="E743" s="4">
        <v>-32139</v>
      </c>
      <c r="F743" s="3" t="s">
        <v>518</v>
      </c>
      <c r="G743" s="3" t="s">
        <v>125</v>
      </c>
      <c r="H743" s="2" t="s">
        <v>21</v>
      </c>
      <c r="I743" s="2" t="s">
        <v>2189</v>
      </c>
      <c r="J743" s="3" t="str">
        <f>HYPERLINK("https://www.boe.es/gazeta/dias/1812/01/02/pdfs/GEI-1812-1.pdf#page=8","Abrir facsímil")</f>
        <v>Abrir facsímil</v>
      </c>
      <c r="K743" s="3" t="s">
        <v>23</v>
      </c>
    </row>
    <row r="744" spans="1:11" ht="42" customHeight="1">
      <c r="A744" s="2" t="s">
        <v>2190</v>
      </c>
      <c r="B744" s="2" t="s">
        <v>2190</v>
      </c>
      <c r="C744" s="2" t="s">
        <v>26</v>
      </c>
      <c r="D744" s="2" t="s">
        <v>27</v>
      </c>
      <c r="E744" s="4">
        <v>-32058</v>
      </c>
      <c r="F744" s="3" t="s">
        <v>1075</v>
      </c>
      <c r="G744" s="3" t="s">
        <v>36</v>
      </c>
      <c r="H744" s="2" t="s">
        <v>21</v>
      </c>
      <c r="I744" s="2" t="s">
        <v>2191</v>
      </c>
      <c r="J744" s="3" t="str">
        <f>HYPERLINK("https://www.boe.es/gazeta/dias/1812/03/23/pdfs/GMD-1812-83.pdf#page=3","Abrir facsímil")</f>
        <v>Abrir facsímil</v>
      </c>
      <c r="K744" s="3" t="s">
        <v>23</v>
      </c>
    </row>
    <row r="745" spans="1:11" ht="42" customHeight="1">
      <c r="A745" s="2" t="s">
        <v>2192</v>
      </c>
      <c r="B745" s="2" t="s">
        <v>2193</v>
      </c>
      <c r="C745" s="2" t="s">
        <v>26</v>
      </c>
      <c r="D745" s="2" t="s">
        <v>27</v>
      </c>
      <c r="E745" s="4">
        <v>-31798</v>
      </c>
      <c r="F745" s="3" t="s">
        <v>2194</v>
      </c>
      <c r="G745" s="3" t="s">
        <v>2195</v>
      </c>
      <c r="H745" s="2" t="s">
        <v>21</v>
      </c>
      <c r="I745" s="2" t="s">
        <v>2196</v>
      </c>
      <c r="J745" s="3" t="str">
        <f>HYPERLINK("https://www.boe.es/gazeta/dias/1812/12/08/pdfs/GRE-1812-162.pdf#page=8","Abrir facsímil")</f>
        <v>Abrir facsímil</v>
      </c>
      <c r="K745" s="3" t="s">
        <v>23</v>
      </c>
    </row>
    <row r="746" spans="1:11" ht="42" customHeight="1">
      <c r="A746" s="2" t="s">
        <v>2197</v>
      </c>
      <c r="B746" s="2" t="s">
        <v>2198</v>
      </c>
      <c r="C746" s="2" t="s">
        <v>67</v>
      </c>
      <c r="D746" s="2" t="s">
        <v>275</v>
      </c>
      <c r="E746" s="4">
        <v>-31901</v>
      </c>
      <c r="F746" s="3" t="s">
        <v>2199</v>
      </c>
      <c r="G746" s="3" t="s">
        <v>2200</v>
      </c>
      <c r="H746" s="2" t="s">
        <v>21</v>
      </c>
      <c r="I746" s="2" t="s">
        <v>2201</v>
      </c>
      <c r="J746" s="3" t="str">
        <f>HYPERLINK("https://www.boe.es/gazeta/dias/1812/08/27/pdfs/GRE-1812-111.pdf#page=8","Abrir facsímil")</f>
        <v>Abrir facsímil</v>
      </c>
      <c r="K746" s="3" t="s">
        <v>23</v>
      </c>
    </row>
    <row r="747" spans="1:11" ht="42" customHeight="1">
      <c r="A747" s="2" t="s">
        <v>2202</v>
      </c>
      <c r="B747" s="2" t="s">
        <v>2203</v>
      </c>
      <c r="C747" s="2" t="s">
        <v>26</v>
      </c>
      <c r="D747" s="2" t="s">
        <v>27</v>
      </c>
      <c r="E747" s="4">
        <v>-31939</v>
      </c>
      <c r="F747" s="3" t="s">
        <v>408</v>
      </c>
      <c r="G747" s="3" t="s">
        <v>20</v>
      </c>
      <c r="H747" s="2" t="s">
        <v>21</v>
      </c>
      <c r="I747" s="2" t="s">
        <v>2204</v>
      </c>
      <c r="J747" s="3" t="str">
        <f>HYPERLINK("https://www.boe.es/gazeta/dias/1812/07/20/pdfs/GMD-1812-202.pdf#page=4","Abrir facsímil")</f>
        <v>Abrir facsímil</v>
      </c>
      <c r="K747" s="3" t="s">
        <v>23</v>
      </c>
    </row>
    <row r="748" spans="1:11" ht="42" customHeight="1">
      <c r="A748" s="2" t="s">
        <v>2205</v>
      </c>
      <c r="B748" s="2" t="s">
        <v>2206</v>
      </c>
      <c r="C748" s="2" t="s">
        <v>26</v>
      </c>
      <c r="D748" s="2" t="s">
        <v>27</v>
      </c>
      <c r="E748" s="4">
        <v>-32034</v>
      </c>
      <c r="F748" s="3" t="s">
        <v>28</v>
      </c>
      <c r="G748" s="3" t="s">
        <v>45</v>
      </c>
      <c r="H748" s="2" t="s">
        <v>21</v>
      </c>
      <c r="I748" s="2" t="s">
        <v>2207</v>
      </c>
      <c r="J748" s="3" t="str">
        <f>HYPERLINK("https://www.boe.es/gazeta/dias/1812/04/16/pdfs/GMD-1812-107.pdf#page=5","Abrir facsímil")</f>
        <v>Abrir facsímil</v>
      </c>
      <c r="K748" s="3" t="s">
        <v>23</v>
      </c>
    </row>
    <row r="749" spans="1:11" ht="42" customHeight="1">
      <c r="A749" s="2" t="s">
        <v>2208</v>
      </c>
      <c r="B749" s="2" t="s">
        <v>2209</v>
      </c>
      <c r="C749" s="2" t="s">
        <v>17</v>
      </c>
      <c r="D749" s="2" t="s">
        <v>18</v>
      </c>
      <c r="E749" s="4">
        <v>-32069</v>
      </c>
      <c r="F749" s="3" t="s">
        <v>445</v>
      </c>
      <c r="G749" s="3" t="s">
        <v>446</v>
      </c>
      <c r="H749" s="2" t="s">
        <v>21</v>
      </c>
      <c r="I749" s="2" t="s">
        <v>2210</v>
      </c>
      <c r="J749" s="3" t="str">
        <f>HYPERLINK("https://www.boe.es/gazeta/dias/1812/03/12/pdfs/GRE-1812-32.pdf#page=8","Abrir facsímil")</f>
        <v>Abrir facsímil</v>
      </c>
      <c r="K749" s="3" t="s">
        <v>23</v>
      </c>
    </row>
    <row r="750" spans="1:11" ht="42" customHeight="1">
      <c r="A750" s="2" t="s">
        <v>2211</v>
      </c>
      <c r="B750" s="2" t="s">
        <v>2212</v>
      </c>
      <c r="C750" s="2" t="s">
        <v>26</v>
      </c>
      <c r="D750" s="2" t="s">
        <v>27</v>
      </c>
      <c r="E750" s="4">
        <v>-32000</v>
      </c>
      <c r="F750" s="3" t="s">
        <v>878</v>
      </c>
      <c r="G750" s="3" t="s">
        <v>214</v>
      </c>
      <c r="H750" s="2" t="s">
        <v>21</v>
      </c>
      <c r="I750" s="2" t="s">
        <v>2213</v>
      </c>
      <c r="J750" s="3" t="str">
        <f>HYPERLINK("https://www.boe.es/gazeta/dias/1812/05/20/pdfs/GMD-1812-141.pdf#page=2","Abrir facsímil")</f>
        <v>Abrir facsímil</v>
      </c>
      <c r="K750" s="3" t="s">
        <v>23</v>
      </c>
    </row>
    <row r="751" spans="1:11" ht="42" customHeight="1">
      <c r="A751" s="2" t="s">
        <v>2214</v>
      </c>
      <c r="B751" s="2" t="s">
        <v>2214</v>
      </c>
      <c r="C751" s="2" t="s">
        <v>26</v>
      </c>
      <c r="D751" s="2" t="s">
        <v>194</v>
      </c>
      <c r="E751" s="4">
        <v>-32037</v>
      </c>
      <c r="F751" s="3" t="s">
        <v>1866</v>
      </c>
      <c r="G751" s="3" t="s">
        <v>404</v>
      </c>
      <c r="H751" s="2" t="s">
        <v>21</v>
      </c>
      <c r="I751" s="2" t="s">
        <v>2215</v>
      </c>
      <c r="J751" s="3" t="str">
        <f>HYPERLINK("https://www.boe.es/gazeta/dias/1812/04/13/pdfs/GMD-1812-104.pdf#page=2","Abrir facsímil")</f>
        <v>Abrir facsímil</v>
      </c>
      <c r="K751" s="3" t="s">
        <v>23</v>
      </c>
    </row>
    <row r="752" spans="1:11" ht="42" customHeight="1">
      <c r="A752" s="2" t="s">
        <v>2216</v>
      </c>
      <c r="B752" s="2" t="s">
        <v>2217</v>
      </c>
      <c r="C752" s="2" t="s">
        <v>26</v>
      </c>
      <c r="D752" s="2" t="s">
        <v>27</v>
      </c>
      <c r="E752" s="4">
        <v>-31939</v>
      </c>
      <c r="F752" s="3" t="s">
        <v>408</v>
      </c>
      <c r="G752" s="3" t="s">
        <v>20</v>
      </c>
      <c r="H752" s="2" t="s">
        <v>21</v>
      </c>
      <c r="I752" s="2" t="s">
        <v>2218</v>
      </c>
      <c r="J752" s="3" t="str">
        <f>HYPERLINK("https://www.boe.es/gazeta/dias/1812/07/20/pdfs/GMD-1812-202.pdf#page=4","Abrir facsímil")</f>
        <v>Abrir facsímil</v>
      </c>
      <c r="K752" s="3" t="s">
        <v>23</v>
      </c>
    </row>
    <row r="753" spans="1:11" ht="42" customHeight="1">
      <c r="A753" s="2" t="s">
        <v>2219</v>
      </c>
      <c r="B753" s="2" t="s">
        <v>2220</v>
      </c>
      <c r="C753" s="2" t="s">
        <v>26</v>
      </c>
      <c r="D753" s="2" t="s">
        <v>27</v>
      </c>
      <c r="E753" s="4">
        <v>-32065</v>
      </c>
      <c r="F753" s="3" t="s">
        <v>259</v>
      </c>
      <c r="G753" s="3" t="s">
        <v>20</v>
      </c>
      <c r="H753" s="2" t="s">
        <v>21</v>
      </c>
      <c r="I753" s="2" t="s">
        <v>2221</v>
      </c>
      <c r="J753" s="3" t="str">
        <f>HYPERLINK("https://www.boe.es/gazeta/dias/1812/03/16/pdfs/GMD-1812-76.pdf#page=4","Abrir facsímil")</f>
        <v>Abrir facsímil</v>
      </c>
      <c r="K753" s="3" t="s">
        <v>23</v>
      </c>
    </row>
    <row r="754" spans="1:11" ht="42" customHeight="1">
      <c r="A754" s="2" t="s">
        <v>2222</v>
      </c>
      <c r="B754" s="2" t="s">
        <v>2223</v>
      </c>
      <c r="C754" s="2" t="s">
        <v>17</v>
      </c>
      <c r="D754" s="2" t="s">
        <v>27</v>
      </c>
      <c r="E754" s="4">
        <v>-32050</v>
      </c>
      <c r="F754" s="3" t="s">
        <v>864</v>
      </c>
      <c r="G754" s="3" t="s">
        <v>29</v>
      </c>
      <c r="H754" s="2" t="s">
        <v>21</v>
      </c>
      <c r="I754" s="2" t="s">
        <v>2224</v>
      </c>
      <c r="J754" s="3" t="str">
        <f>HYPERLINK("https://www.boe.es/gazeta/dias/1812/03/31/pdfs/GRE-1812-40.pdf#page=8","Abrir facsímil")</f>
        <v>Abrir facsímil</v>
      </c>
      <c r="K754" s="3" t="s">
        <v>23</v>
      </c>
    </row>
    <row r="755" spans="1:11" ht="42" customHeight="1">
      <c r="A755" s="2" t="s">
        <v>2225</v>
      </c>
      <c r="B755" s="2" t="s">
        <v>2225</v>
      </c>
      <c r="C755" s="2" t="s">
        <v>17</v>
      </c>
      <c r="D755" s="2" t="s">
        <v>194</v>
      </c>
      <c r="E755" s="4">
        <v>-32030</v>
      </c>
      <c r="F755" s="3" t="s">
        <v>2226</v>
      </c>
      <c r="G755" s="3" t="s">
        <v>1883</v>
      </c>
      <c r="H755" s="2" t="s">
        <v>21</v>
      </c>
      <c r="I755" s="2" t="s">
        <v>2227</v>
      </c>
      <c r="J755" s="3" t="str">
        <f>HYPERLINK("https://www.boe.es/gazeta/dias/1812/04/20/pdfs/GMD-1812-111.pdf#page=1","Abrir facsímil")</f>
        <v>Abrir facsímil</v>
      </c>
      <c r="K755" s="3" t="s">
        <v>23</v>
      </c>
    </row>
    <row r="756" spans="1:11" ht="42" customHeight="1">
      <c r="A756" s="2" t="s">
        <v>2228</v>
      </c>
      <c r="B756" s="2" t="s">
        <v>2229</v>
      </c>
      <c r="C756" s="2" t="s">
        <v>17</v>
      </c>
      <c r="D756" s="2" t="s">
        <v>18</v>
      </c>
      <c r="E756" s="4">
        <v>-32139</v>
      </c>
      <c r="F756" s="3" t="s">
        <v>288</v>
      </c>
      <c r="G756" s="3" t="s">
        <v>20</v>
      </c>
      <c r="H756" s="2" t="s">
        <v>21</v>
      </c>
      <c r="I756" s="2" t="s">
        <v>2230</v>
      </c>
      <c r="J756" s="3" t="str">
        <f>HYPERLINK("https://www.boe.es/gazeta/dias/1812/01/02/pdfs/GMD-1812-2.pdf#page=3","Abrir facsímil")</f>
        <v>Abrir facsímil</v>
      </c>
      <c r="K756" s="3" t="s">
        <v>23</v>
      </c>
    </row>
    <row r="757" spans="1:11" ht="42" customHeight="1">
      <c r="A757" s="2" t="s">
        <v>2228</v>
      </c>
      <c r="B757" s="2" t="s">
        <v>2229</v>
      </c>
      <c r="C757" s="2" t="s">
        <v>26</v>
      </c>
      <c r="D757" s="2" t="s">
        <v>27</v>
      </c>
      <c r="E757" s="4">
        <v>-32121</v>
      </c>
      <c r="F757" s="3" t="s">
        <v>1237</v>
      </c>
      <c r="G757" s="3" t="s">
        <v>404</v>
      </c>
      <c r="H757" s="2" t="s">
        <v>21</v>
      </c>
      <c r="I757" s="2" t="s">
        <v>2231</v>
      </c>
      <c r="J757" s="3" t="str">
        <f>HYPERLINK("https://www.boe.es/gazeta/dias/1812/01/20/pdfs/GMD-1812-20.pdf#page=4","Abrir facsímil")</f>
        <v>Abrir facsímil</v>
      </c>
      <c r="K757" s="3" t="s">
        <v>23</v>
      </c>
    </row>
    <row r="758" spans="1:11" ht="42" customHeight="1">
      <c r="A758" s="2" t="s">
        <v>2228</v>
      </c>
      <c r="B758" s="2" t="s">
        <v>2229</v>
      </c>
      <c r="C758" s="2" t="s">
        <v>17</v>
      </c>
      <c r="D758" s="2" t="s">
        <v>27</v>
      </c>
      <c r="E758" s="4">
        <v>-32063</v>
      </c>
      <c r="F758" s="3" t="s">
        <v>384</v>
      </c>
      <c r="G758" s="3" t="s">
        <v>125</v>
      </c>
      <c r="H758" s="2" t="s">
        <v>21</v>
      </c>
      <c r="I758" s="2" t="s">
        <v>2232</v>
      </c>
      <c r="J758" s="3" t="str">
        <f>HYPERLINK("https://www.boe.es/gazeta/dias/1812/03/18/pdfs/GMD-1812-78.pdf#page=3","Abrir facsímil")</f>
        <v>Abrir facsímil</v>
      </c>
      <c r="K758" s="3" t="s">
        <v>23</v>
      </c>
    </row>
    <row r="759" spans="1:11" ht="42" customHeight="1">
      <c r="A759" s="2" t="s">
        <v>2228</v>
      </c>
      <c r="B759" s="2" t="s">
        <v>2229</v>
      </c>
      <c r="C759" s="2" t="s">
        <v>115</v>
      </c>
      <c r="D759" s="2" t="s">
        <v>27</v>
      </c>
      <c r="E759" s="4">
        <v>-32056</v>
      </c>
      <c r="F759" s="3" t="s">
        <v>2233</v>
      </c>
      <c r="G759" s="3" t="s">
        <v>130</v>
      </c>
      <c r="H759" s="2" t="s">
        <v>21</v>
      </c>
      <c r="I759" s="2" t="s">
        <v>2234</v>
      </c>
      <c r="J759" s="3" t="str">
        <f>HYPERLINK("https://www.boe.es/gazeta/dias/1812/03/25/pdfs/GMD-1812-85.pdf#page=4","Abrir facsímil")</f>
        <v>Abrir facsímil</v>
      </c>
      <c r="K759" s="3" t="s">
        <v>23</v>
      </c>
    </row>
    <row r="760" spans="1:11" ht="42" customHeight="1">
      <c r="A760" s="2" t="s">
        <v>2228</v>
      </c>
      <c r="B760" s="2" t="s">
        <v>2229</v>
      </c>
      <c r="C760" s="2" t="s">
        <v>26</v>
      </c>
      <c r="D760" s="2" t="s">
        <v>27</v>
      </c>
      <c r="E760" s="4">
        <v>-32040</v>
      </c>
      <c r="F760" s="3" t="s">
        <v>682</v>
      </c>
      <c r="G760" s="3" t="s">
        <v>514</v>
      </c>
      <c r="H760" s="2" t="s">
        <v>21</v>
      </c>
      <c r="I760" s="2" t="s">
        <v>2235</v>
      </c>
      <c r="J760" s="3" t="str">
        <f>HYPERLINK("https://www.boe.es/gazeta/dias/1812/04/10/pdfs/GMD-1812-101.pdf#page=4","Abrir facsímil")</f>
        <v>Abrir facsímil</v>
      </c>
      <c r="K760" s="3" t="s">
        <v>23</v>
      </c>
    </row>
    <row r="761" spans="1:11" ht="42" customHeight="1">
      <c r="A761" s="2" t="s">
        <v>2228</v>
      </c>
      <c r="B761" s="2" t="s">
        <v>2229</v>
      </c>
      <c r="C761" s="2" t="s">
        <v>105</v>
      </c>
      <c r="D761" s="2" t="s">
        <v>27</v>
      </c>
      <c r="E761" s="4">
        <v>-32021</v>
      </c>
      <c r="F761" s="3" t="s">
        <v>2236</v>
      </c>
      <c r="G761" s="3" t="s">
        <v>2237</v>
      </c>
      <c r="H761" s="2" t="s">
        <v>21</v>
      </c>
      <c r="I761" s="2" t="s">
        <v>2238</v>
      </c>
      <c r="J761" s="3" t="str">
        <f>HYPERLINK("https://www.boe.es/gazeta/dias/1812/04/29/pdfs/GMD-1812-120.pdf#page=4","Abrir facsímil")</f>
        <v>Abrir facsímil</v>
      </c>
      <c r="K761" s="3" t="s">
        <v>23</v>
      </c>
    </row>
    <row r="762" spans="1:11" ht="42" customHeight="1">
      <c r="A762" s="2" t="s">
        <v>2228</v>
      </c>
      <c r="B762" s="2" t="s">
        <v>2229</v>
      </c>
      <c r="C762" s="2" t="s">
        <v>26</v>
      </c>
      <c r="D762" s="2" t="s">
        <v>27</v>
      </c>
      <c r="E762" s="4">
        <v>-31992</v>
      </c>
      <c r="F762" s="3" t="s">
        <v>2239</v>
      </c>
      <c r="G762" s="3" t="s">
        <v>20</v>
      </c>
      <c r="H762" s="2" t="s">
        <v>21</v>
      </c>
      <c r="I762" s="2" t="s">
        <v>2240</v>
      </c>
      <c r="J762" s="3" t="str">
        <f>HYPERLINK("https://www.boe.es/gazeta/dias/1812/05/28/pdfs/GMD-1812-149.pdf#page=4","Abrir facsímil")</f>
        <v>Abrir facsímil</v>
      </c>
      <c r="K762" s="3" t="s">
        <v>23</v>
      </c>
    </row>
    <row r="763" spans="1:11" ht="42" customHeight="1">
      <c r="A763" s="2" t="s">
        <v>2228</v>
      </c>
      <c r="B763" s="2" t="s">
        <v>2229</v>
      </c>
      <c r="C763" s="2" t="s">
        <v>26</v>
      </c>
      <c r="D763" s="2" t="s">
        <v>27</v>
      </c>
      <c r="E763" s="4">
        <v>-31965</v>
      </c>
      <c r="F763" s="3" t="s">
        <v>1180</v>
      </c>
      <c r="G763" s="3" t="s">
        <v>58</v>
      </c>
      <c r="H763" s="2" t="s">
        <v>21</v>
      </c>
      <c r="I763" s="2" t="s">
        <v>2241</v>
      </c>
      <c r="J763" s="3" t="str">
        <f>HYPERLINK("https://www.boe.es/gazeta/dias/1812/06/24/pdfs/GMD-1812-176.pdf#page=4","Abrir facsímil")</f>
        <v>Abrir facsímil</v>
      </c>
      <c r="K763" s="3" t="s">
        <v>23</v>
      </c>
    </row>
    <row r="764" spans="1:11" ht="42" customHeight="1">
      <c r="A764" s="2" t="s">
        <v>2228</v>
      </c>
      <c r="B764" s="2" t="s">
        <v>2229</v>
      </c>
      <c r="C764" s="2" t="s">
        <v>26</v>
      </c>
      <c r="D764" s="2" t="s">
        <v>27</v>
      </c>
      <c r="E764" s="4">
        <v>-31937</v>
      </c>
      <c r="F764" s="3" t="s">
        <v>1198</v>
      </c>
      <c r="G764" s="3" t="s">
        <v>140</v>
      </c>
      <c r="H764" s="2" t="s">
        <v>21</v>
      </c>
      <c r="I764" s="2" t="s">
        <v>2242</v>
      </c>
      <c r="J764" s="3" t="str">
        <f>HYPERLINK("https://www.boe.es/gazeta/dias/1812/07/22/pdfs/GMD-1812-204.pdf#page=2","Abrir facsímil")</f>
        <v>Abrir facsímil</v>
      </c>
      <c r="K764" s="3" t="s">
        <v>23</v>
      </c>
    </row>
    <row r="765" spans="1:11" ht="42" customHeight="1">
      <c r="A765" s="2" t="s">
        <v>2228</v>
      </c>
      <c r="B765" s="2" t="s">
        <v>2229</v>
      </c>
      <c r="C765" s="2" t="s">
        <v>26</v>
      </c>
      <c r="D765" s="2" t="s">
        <v>27</v>
      </c>
      <c r="E765" s="4">
        <v>-31937</v>
      </c>
      <c r="F765" s="3" t="s">
        <v>1198</v>
      </c>
      <c r="G765" s="3" t="s">
        <v>237</v>
      </c>
      <c r="H765" s="2" t="s">
        <v>21</v>
      </c>
      <c r="I765" s="2" t="s">
        <v>2243</v>
      </c>
      <c r="J765" s="3" t="str">
        <f>HYPERLINK("https://www.boe.es/gazeta/dias/1812/07/22/pdfs/GMD-1812-204.pdf#page=4","Abrir facsímil")</f>
        <v>Abrir facsímil</v>
      </c>
      <c r="K765" s="3" t="s">
        <v>23</v>
      </c>
    </row>
    <row r="766" spans="1:11" ht="42" customHeight="1">
      <c r="A766" s="2" t="s">
        <v>2244</v>
      </c>
      <c r="B766" s="2" t="s">
        <v>2245</v>
      </c>
      <c r="C766" s="2" t="s">
        <v>17</v>
      </c>
      <c r="D766" s="2" t="s">
        <v>275</v>
      </c>
      <c r="E766" s="4">
        <v>-31812</v>
      </c>
      <c r="F766" s="3" t="s">
        <v>1533</v>
      </c>
      <c r="G766" s="3" t="s">
        <v>644</v>
      </c>
      <c r="H766" s="2" t="s">
        <v>21</v>
      </c>
      <c r="I766" s="2" t="s">
        <v>2246</v>
      </c>
      <c r="J766" s="3" t="str">
        <f>HYPERLINK("https://www.boe.es/gazeta/dias/1812/11/24/pdfs/GMR-1812-37.pdf#page=4","Abrir facsímil")</f>
        <v>Abrir facsímil</v>
      </c>
      <c r="K766" s="3" t="s">
        <v>23</v>
      </c>
    </row>
    <row r="767" spans="1:11" ht="42" customHeight="1">
      <c r="A767" s="2" t="s">
        <v>2247</v>
      </c>
      <c r="B767" s="2" t="s">
        <v>2247</v>
      </c>
      <c r="C767" s="2" t="s">
        <v>17</v>
      </c>
      <c r="D767" s="2" t="s">
        <v>18</v>
      </c>
      <c r="E767" s="4">
        <v>-31952</v>
      </c>
      <c r="F767" s="3" t="s">
        <v>210</v>
      </c>
      <c r="G767" s="3" t="s">
        <v>1907</v>
      </c>
      <c r="H767" s="2" t="s">
        <v>21</v>
      </c>
      <c r="I767" s="2" t="s">
        <v>2248</v>
      </c>
      <c r="J767" s="3" t="str">
        <f>HYPERLINK("https://www.boe.es/gazeta/dias/1812/07/07/pdfs/GRE-1812-83.pdf#page=3","Abrir facsímil")</f>
        <v>Abrir facsímil</v>
      </c>
      <c r="K767" s="3" t="s">
        <v>23</v>
      </c>
    </row>
    <row r="768" spans="1:11" ht="42" customHeight="1">
      <c r="A768" s="2" t="s">
        <v>2249</v>
      </c>
      <c r="B768" s="2" t="s">
        <v>2249</v>
      </c>
      <c r="C768" s="2" t="s">
        <v>105</v>
      </c>
      <c r="D768" s="2" t="s">
        <v>27</v>
      </c>
      <c r="E768" s="4">
        <v>-31976</v>
      </c>
      <c r="F768" s="3" t="s">
        <v>2250</v>
      </c>
      <c r="G768" s="3" t="s">
        <v>2251</v>
      </c>
      <c r="H768" s="2" t="s">
        <v>21</v>
      </c>
      <c r="I768" s="2" t="s">
        <v>2252</v>
      </c>
      <c r="J768" s="3" t="str">
        <f>HYPERLINK("https://www.boe.es/gazeta/dias/1812/06/13/pdfs/GMD-1812-165.pdf#page=3","Abrir facsímil")</f>
        <v>Abrir facsímil</v>
      </c>
      <c r="K768" s="3" t="s">
        <v>23</v>
      </c>
    </row>
    <row r="769" spans="1:11" ht="42" customHeight="1">
      <c r="A769" s="2" t="s">
        <v>2253</v>
      </c>
      <c r="B769" s="2" t="s">
        <v>2254</v>
      </c>
      <c r="C769" s="2" t="s">
        <v>49</v>
      </c>
      <c r="D769" s="2" t="s">
        <v>27</v>
      </c>
      <c r="E769" s="4">
        <v>-32109</v>
      </c>
      <c r="F769" s="3" t="s">
        <v>62</v>
      </c>
      <c r="G769" s="3" t="s">
        <v>63</v>
      </c>
      <c r="H769" s="2" t="s">
        <v>21</v>
      </c>
      <c r="I769" s="2" t="s">
        <v>2255</v>
      </c>
      <c r="J769" s="3" t="str">
        <f>HYPERLINK("https://www.boe.es/gazeta/dias/1812/02/01/pdfs/GRE-1812-14.pdf#page=10","Abrir facsímil")</f>
        <v>Abrir facsímil</v>
      </c>
      <c r="K769" s="3" t="s">
        <v>23</v>
      </c>
    </row>
    <row r="770" spans="1:11" ht="42" customHeight="1">
      <c r="A770" s="2" t="s">
        <v>2256</v>
      </c>
      <c r="B770" s="2" t="s">
        <v>2257</v>
      </c>
      <c r="C770" s="2" t="s">
        <v>17</v>
      </c>
      <c r="D770" s="2" t="s">
        <v>275</v>
      </c>
      <c r="E770" s="4">
        <v>-31955</v>
      </c>
      <c r="F770" s="3" t="s">
        <v>135</v>
      </c>
      <c r="G770" s="3" t="s">
        <v>58</v>
      </c>
      <c r="H770" s="2" t="s">
        <v>21</v>
      </c>
      <c r="I770" s="2" t="s">
        <v>2258</v>
      </c>
      <c r="J770" s="3" t="str">
        <f>HYPERLINK("https://www.boe.es/gazeta/dias/1812/07/04/pdfs/GRE-F-1812-82.pdf#page=6","Abrir facsímil")</f>
        <v>Abrir facsímil</v>
      </c>
      <c r="K770" s="3" t="s">
        <v>23</v>
      </c>
    </row>
    <row r="771" spans="1:11" ht="42" customHeight="1">
      <c r="A771" s="2" t="s">
        <v>2259</v>
      </c>
      <c r="B771" s="2" t="s">
        <v>2259</v>
      </c>
      <c r="C771" s="2" t="s">
        <v>17</v>
      </c>
      <c r="D771" s="2" t="s">
        <v>18</v>
      </c>
      <c r="E771" s="4">
        <v>-31847</v>
      </c>
      <c r="F771" s="3" t="s">
        <v>219</v>
      </c>
      <c r="G771" s="3" t="s">
        <v>2260</v>
      </c>
      <c r="H771" s="2" t="s">
        <v>21</v>
      </c>
      <c r="I771" s="2" t="s">
        <v>2261</v>
      </c>
      <c r="J771" s="3" t="str">
        <f>HYPERLINK("https://www.boe.es/gazeta/dias/1812/10/20/pdfs/GRE-1812-141.pdf#page=4","Abrir facsímil")</f>
        <v>Abrir facsímil</v>
      </c>
      <c r="K771" s="3" t="s">
        <v>23</v>
      </c>
    </row>
    <row r="772" spans="1:11" ht="42" customHeight="1">
      <c r="A772" s="2" t="s">
        <v>2259</v>
      </c>
      <c r="B772" s="2" t="s">
        <v>2259</v>
      </c>
      <c r="C772" s="2" t="s">
        <v>17</v>
      </c>
      <c r="D772" s="2" t="s">
        <v>27</v>
      </c>
      <c r="E772" s="4">
        <v>-31847</v>
      </c>
      <c r="F772" s="3" t="s">
        <v>219</v>
      </c>
      <c r="G772" s="3" t="s">
        <v>2262</v>
      </c>
      <c r="H772" s="2" t="s">
        <v>21</v>
      </c>
      <c r="I772" s="2" t="s">
        <v>2263</v>
      </c>
      <c r="J772" s="3" t="str">
        <f>HYPERLINK("https://www.boe.es/gazeta/dias/1812/10/20/pdfs/GRE-1812-141.pdf#page=5","Abrir facsímil")</f>
        <v>Abrir facsímil</v>
      </c>
      <c r="K772" s="3" t="s">
        <v>23</v>
      </c>
    </row>
    <row r="773" spans="1:11" ht="42" customHeight="1">
      <c r="A773" s="2" t="s">
        <v>2264</v>
      </c>
      <c r="B773" s="2" t="s">
        <v>2265</v>
      </c>
      <c r="C773" s="2" t="s">
        <v>26</v>
      </c>
      <c r="D773" s="2" t="s">
        <v>27</v>
      </c>
      <c r="E773" s="4">
        <v>-31940</v>
      </c>
      <c r="F773" s="3" t="s">
        <v>187</v>
      </c>
      <c r="G773" s="3" t="s">
        <v>45</v>
      </c>
      <c r="H773" s="2" t="s">
        <v>21</v>
      </c>
      <c r="I773" s="2" t="s">
        <v>2266</v>
      </c>
      <c r="J773" s="3" t="str">
        <f>HYPERLINK("https://www.boe.es/gazeta/dias/1812/07/19/pdfs/GMD-1812-201.pdf#page=2","Abrir facsímil")</f>
        <v>Abrir facsímil</v>
      </c>
      <c r="K773" s="3" t="s">
        <v>23</v>
      </c>
    </row>
    <row r="774" spans="1:11" ht="42" customHeight="1">
      <c r="A774" s="2" t="s">
        <v>2267</v>
      </c>
      <c r="B774" s="2" t="s">
        <v>2268</v>
      </c>
      <c r="C774" s="2" t="s">
        <v>82</v>
      </c>
      <c r="D774" s="2" t="s">
        <v>27</v>
      </c>
      <c r="E774" s="4">
        <v>-32081</v>
      </c>
      <c r="F774" s="3" t="s">
        <v>232</v>
      </c>
      <c r="G774" s="3" t="s">
        <v>233</v>
      </c>
      <c r="H774" s="2" t="s">
        <v>21</v>
      </c>
      <c r="I774" s="2" t="s">
        <v>2269</v>
      </c>
      <c r="J774" s="3" t="str">
        <f>HYPERLINK("https://www.boe.es/gazeta/dias/1812/02/29/pdfs/GRE-1812-27.pdf#page=8","Abrir facsímil")</f>
        <v>Abrir facsímil</v>
      </c>
      <c r="K774" s="3" t="s">
        <v>23</v>
      </c>
    </row>
    <row r="775" spans="1:11" ht="42" customHeight="1">
      <c r="A775" s="2" t="s">
        <v>2270</v>
      </c>
      <c r="B775" s="2" t="s">
        <v>2271</v>
      </c>
      <c r="C775" s="2" t="s">
        <v>26</v>
      </c>
      <c r="D775" s="2" t="s">
        <v>275</v>
      </c>
      <c r="E775" s="4">
        <v>-32034</v>
      </c>
      <c r="F775" s="3" t="s">
        <v>28</v>
      </c>
      <c r="G775" s="3" t="s">
        <v>794</v>
      </c>
      <c r="H775" s="2" t="s">
        <v>21</v>
      </c>
      <c r="I775" s="2" t="s">
        <v>2272</v>
      </c>
      <c r="J775" s="3" t="str">
        <f>HYPERLINK("https://www.boe.es/gazeta/dias/1812/04/16/pdfs/GMD-1812-107.pdf#page=7","Abrir facsímil")</f>
        <v>Abrir facsímil</v>
      </c>
      <c r="K775" s="3" t="s">
        <v>23</v>
      </c>
    </row>
    <row r="776" spans="1:11" ht="42" customHeight="1">
      <c r="A776" s="2" t="s">
        <v>2273</v>
      </c>
      <c r="B776" s="2" t="s">
        <v>2273</v>
      </c>
      <c r="C776" s="2" t="s">
        <v>17</v>
      </c>
      <c r="D776" s="2" t="s">
        <v>18</v>
      </c>
      <c r="E776" s="4">
        <v>-31922</v>
      </c>
      <c r="F776" s="3" t="s">
        <v>375</v>
      </c>
      <c r="G776" s="3" t="s">
        <v>136</v>
      </c>
      <c r="H776" s="2" t="s">
        <v>21</v>
      </c>
      <c r="I776" s="2" t="s">
        <v>2274</v>
      </c>
      <c r="J776" s="3" t="str">
        <f>HYPERLINK("https://www.boe.es/gazeta/dias/1812/08/06/pdfs/GRE-1812-100.pdf#page=2","Abrir facsímil")</f>
        <v>Abrir facsímil</v>
      </c>
      <c r="K776" s="3" t="s">
        <v>23</v>
      </c>
    </row>
    <row r="777" spans="1:11" ht="42" customHeight="1">
      <c r="A777" s="2" t="s">
        <v>2275</v>
      </c>
      <c r="B777" s="2" t="s">
        <v>2276</v>
      </c>
      <c r="C777" s="2" t="s">
        <v>26</v>
      </c>
      <c r="D777" s="2" t="s">
        <v>27</v>
      </c>
      <c r="E777" s="4">
        <v>-32139</v>
      </c>
      <c r="F777" s="3" t="s">
        <v>288</v>
      </c>
      <c r="G777" s="3" t="s">
        <v>130</v>
      </c>
      <c r="H777" s="2" t="s">
        <v>21</v>
      </c>
      <c r="I777" s="2" t="s">
        <v>2277</v>
      </c>
      <c r="J777" s="3" t="str">
        <f>HYPERLINK("https://www.boe.es/gazeta/dias/1812/01/02/pdfs/GMD-1812-2.pdf#page=4","Abrir facsímil")</f>
        <v>Abrir facsímil</v>
      </c>
      <c r="K777" s="3" t="s">
        <v>23</v>
      </c>
    </row>
    <row r="778" spans="1:11" ht="42" customHeight="1">
      <c r="A778" s="2" t="s">
        <v>2278</v>
      </c>
      <c r="B778" s="2" t="s">
        <v>2279</v>
      </c>
      <c r="C778" s="2" t="s">
        <v>17</v>
      </c>
      <c r="D778" s="2" t="s">
        <v>18</v>
      </c>
      <c r="E778" s="4">
        <v>-31798</v>
      </c>
      <c r="F778" s="3" t="s">
        <v>1849</v>
      </c>
      <c r="G778" s="3" t="s">
        <v>2280</v>
      </c>
      <c r="H778" s="2" t="s">
        <v>21</v>
      </c>
      <c r="I778" s="2" t="s">
        <v>2281</v>
      </c>
      <c r="J778" s="3" t="str">
        <f>HYPERLINK("https://www.boe.es/gazeta/dias/1812/12/08/pdfs/GMD-1812-231.pdf#page=4","Abrir facsímil")</f>
        <v>Abrir facsímil</v>
      </c>
      <c r="K778" s="3" t="s">
        <v>23</v>
      </c>
    </row>
    <row r="779" spans="1:11" ht="42" customHeight="1">
      <c r="A779" s="2" t="s">
        <v>2282</v>
      </c>
      <c r="B779" s="2" t="s">
        <v>2282</v>
      </c>
      <c r="C779" s="2" t="s">
        <v>17</v>
      </c>
      <c r="D779" s="2" t="s">
        <v>18</v>
      </c>
      <c r="E779" s="4">
        <v>-32088</v>
      </c>
      <c r="F779" s="3" t="s">
        <v>250</v>
      </c>
      <c r="G779" s="3" t="s">
        <v>2283</v>
      </c>
      <c r="H779" s="2" t="s">
        <v>21</v>
      </c>
      <c r="I779" s="2" t="s">
        <v>2284</v>
      </c>
      <c r="J779" s="3" t="str">
        <f>HYPERLINK("https://www.boe.es/gazeta/dias/1812/02/22/pdfs/GRE-1812-23.pdf#page=2","Abrir facsímil")</f>
        <v>Abrir facsímil</v>
      </c>
      <c r="K779" s="3" t="s">
        <v>23</v>
      </c>
    </row>
    <row r="780" spans="1:11" ht="42" customHeight="1">
      <c r="A780" s="2" t="s">
        <v>2285</v>
      </c>
      <c r="B780" s="2" t="s">
        <v>2286</v>
      </c>
      <c r="C780" s="2" t="s">
        <v>26</v>
      </c>
      <c r="D780" s="2" t="s">
        <v>134</v>
      </c>
      <c r="E780" s="4">
        <v>-32085</v>
      </c>
      <c r="F780" s="3" t="s">
        <v>2287</v>
      </c>
      <c r="G780" s="3" t="s">
        <v>2288</v>
      </c>
      <c r="H780" s="2" t="s">
        <v>21</v>
      </c>
      <c r="I780" s="2" t="s">
        <v>2289</v>
      </c>
      <c r="J780" s="3" t="str">
        <f>HYPERLINK("https://www.boe.es/gazeta/dias/1812/02/25/pdfs/GRE-F-1812-25.pdf#page=1","Abrir facsímil")</f>
        <v>Abrir facsímil</v>
      </c>
      <c r="K780" s="3" t="s">
        <v>23</v>
      </c>
    </row>
    <row r="781" spans="1:11" ht="42" customHeight="1">
      <c r="A781" s="2" t="s">
        <v>2290</v>
      </c>
      <c r="B781" s="2" t="s">
        <v>2290</v>
      </c>
      <c r="C781" s="2" t="s">
        <v>17</v>
      </c>
      <c r="D781" s="2" t="s">
        <v>18</v>
      </c>
      <c r="E781" s="4">
        <v>-31949</v>
      </c>
      <c r="F781" s="3" t="s">
        <v>2291</v>
      </c>
      <c r="G781" s="3" t="s">
        <v>20</v>
      </c>
      <c r="H781" s="2" t="s">
        <v>21</v>
      </c>
      <c r="I781" s="2" t="s">
        <v>2292</v>
      </c>
      <c r="J781" s="3" t="str">
        <f>HYPERLINK("https://www.boe.es/gazeta/dias/1812/07/10/pdfs/GMD-1812-192.pdf#page=4","Abrir facsímil")</f>
        <v>Abrir facsímil</v>
      </c>
      <c r="K781" s="3" t="s">
        <v>23</v>
      </c>
    </row>
    <row r="782" spans="1:11" ht="42" customHeight="1">
      <c r="A782" s="2" t="s">
        <v>2293</v>
      </c>
      <c r="B782" s="2" t="s">
        <v>2294</v>
      </c>
      <c r="C782" s="2" t="s">
        <v>26</v>
      </c>
      <c r="D782" s="2" t="s">
        <v>27</v>
      </c>
      <c r="E782" s="4">
        <v>-31938</v>
      </c>
      <c r="F782" s="3" t="s">
        <v>324</v>
      </c>
      <c r="G782" s="3" t="s">
        <v>404</v>
      </c>
      <c r="H782" s="2" t="s">
        <v>21</v>
      </c>
      <c r="I782" s="2" t="s">
        <v>2295</v>
      </c>
      <c r="J782" s="3" t="str">
        <f>HYPERLINK("https://www.boe.es/gazeta/dias/1812/07/21/pdfs/GMD-1812-203.pdf#page=4","Abrir facsímil")</f>
        <v>Abrir facsímil</v>
      </c>
      <c r="K782" s="3" t="s">
        <v>23</v>
      </c>
    </row>
    <row r="783" spans="1:11" ht="42" customHeight="1">
      <c r="A783" s="2" t="s">
        <v>2296</v>
      </c>
      <c r="B783" s="2" t="s">
        <v>2297</v>
      </c>
      <c r="C783" s="2" t="s">
        <v>26</v>
      </c>
      <c r="D783" s="2" t="s">
        <v>275</v>
      </c>
      <c r="E783" s="4">
        <v>-31964</v>
      </c>
      <c r="F783" s="3" t="s">
        <v>305</v>
      </c>
      <c r="G783" s="3" t="s">
        <v>58</v>
      </c>
      <c r="H783" s="2" t="s">
        <v>21</v>
      </c>
      <c r="I783" s="2" t="s">
        <v>2298</v>
      </c>
      <c r="J783" s="3" t="str">
        <f>HYPERLINK("https://www.boe.es/gazeta/dias/1812/06/25/pdfs/GMD-1812-177.pdf#page=2","Abrir facsímil")</f>
        <v>Abrir facsímil</v>
      </c>
      <c r="K783" s="3" t="s">
        <v>23</v>
      </c>
    </row>
    <row r="784" spans="1:11" ht="42" customHeight="1">
      <c r="A784" s="2" t="s">
        <v>2299</v>
      </c>
      <c r="B784" s="2" t="s">
        <v>2299</v>
      </c>
      <c r="C784" s="2" t="s">
        <v>17</v>
      </c>
      <c r="D784" s="2" t="s">
        <v>27</v>
      </c>
      <c r="E784" s="4">
        <v>-32058</v>
      </c>
      <c r="F784" s="3" t="s">
        <v>1075</v>
      </c>
      <c r="G784" s="3" t="s">
        <v>36</v>
      </c>
      <c r="H784" s="2" t="s">
        <v>21</v>
      </c>
      <c r="I784" s="2" t="s">
        <v>2300</v>
      </c>
      <c r="J784" s="3" t="str">
        <f>HYPERLINK("https://www.boe.es/gazeta/dias/1812/03/23/pdfs/GMD-1812-83.pdf#page=3","Abrir facsímil")</f>
        <v>Abrir facsímil</v>
      </c>
      <c r="K784" s="3" t="s">
        <v>23</v>
      </c>
    </row>
    <row r="785" spans="1:11" ht="42" customHeight="1">
      <c r="A785" s="2" t="s">
        <v>2301</v>
      </c>
      <c r="B785" s="2" t="s">
        <v>2302</v>
      </c>
      <c r="C785" s="2" t="s">
        <v>26</v>
      </c>
      <c r="D785" s="2" t="s">
        <v>27</v>
      </c>
      <c r="E785" s="4">
        <v>-31992</v>
      </c>
      <c r="F785" s="3" t="s">
        <v>1292</v>
      </c>
      <c r="G785" s="3" t="s">
        <v>1424</v>
      </c>
      <c r="H785" s="2" t="s">
        <v>21</v>
      </c>
      <c r="I785" s="2" t="s">
        <v>2303</v>
      </c>
      <c r="J785" s="3" t="str">
        <f>HYPERLINK("https://www.boe.es/gazeta/dias/1812/05/28/pdfs/GRE-1812-66.pdf#page=5","Abrir facsímil")</f>
        <v>Abrir facsímil</v>
      </c>
      <c r="K785" s="3" t="s">
        <v>23</v>
      </c>
    </row>
    <row r="786" spans="1:11" ht="42" customHeight="1">
      <c r="A786" s="2" t="s">
        <v>2304</v>
      </c>
      <c r="B786" s="2" t="s">
        <v>2304</v>
      </c>
      <c r="C786" s="2" t="s">
        <v>17</v>
      </c>
      <c r="D786" s="2" t="s">
        <v>27</v>
      </c>
      <c r="E786" s="4">
        <v>-31810</v>
      </c>
      <c r="F786" s="3" t="s">
        <v>2305</v>
      </c>
      <c r="G786" s="3" t="s">
        <v>2306</v>
      </c>
      <c r="H786" s="2" t="s">
        <v>21</v>
      </c>
      <c r="I786" s="2" t="s">
        <v>2307</v>
      </c>
      <c r="J786" s="3" t="str">
        <f>HYPERLINK("https://www.boe.es/gazeta/dias/1812/11/26/pdfs/GRE-1812-157.pdf#page=2","Abrir facsímil")</f>
        <v>Abrir facsímil</v>
      </c>
      <c r="K786" s="3" t="s">
        <v>23</v>
      </c>
    </row>
    <row r="787" spans="1:11" ht="42" customHeight="1">
      <c r="A787" s="2" t="s">
        <v>2308</v>
      </c>
      <c r="B787" s="2" t="s">
        <v>2308</v>
      </c>
      <c r="C787" s="2" t="s">
        <v>26</v>
      </c>
      <c r="D787" s="2" t="s">
        <v>27</v>
      </c>
      <c r="E787" s="4">
        <v>-31987</v>
      </c>
      <c r="F787" s="3" t="s">
        <v>2309</v>
      </c>
      <c r="G787" s="3" t="s">
        <v>2310</v>
      </c>
      <c r="H787" s="2" t="s">
        <v>21</v>
      </c>
      <c r="I787" s="2" t="s">
        <v>2311</v>
      </c>
      <c r="J787" s="3" t="str">
        <f>HYPERLINK("https://www.boe.es/gazeta/dias/1812/06/02/pdfs/GMD-1812-154.pdf#page=2","Abrir facsímil")</f>
        <v>Abrir facsímil</v>
      </c>
      <c r="K787" s="3" t="s">
        <v>23</v>
      </c>
    </row>
    <row r="788" spans="1:11" ht="42" customHeight="1">
      <c r="A788" s="2" t="s">
        <v>2312</v>
      </c>
      <c r="B788" s="2" t="s">
        <v>2312</v>
      </c>
      <c r="C788" s="2" t="s">
        <v>17</v>
      </c>
      <c r="D788" s="2" t="s">
        <v>27</v>
      </c>
      <c r="E788" s="4">
        <v>-32137</v>
      </c>
      <c r="F788" s="3" t="s">
        <v>355</v>
      </c>
      <c r="G788" s="3" t="s">
        <v>2313</v>
      </c>
      <c r="H788" s="2" t="s">
        <v>21</v>
      </c>
      <c r="I788" s="2" t="s">
        <v>2314</v>
      </c>
      <c r="J788" s="3" t="str">
        <f>HYPERLINK("https://www.boe.es/gazeta/dias/1812/01/04/pdfs/GEI-1812-2.pdf#page=4","Abrir facsímil")</f>
        <v>Abrir facsímil</v>
      </c>
      <c r="K788" s="3" t="s">
        <v>23</v>
      </c>
    </row>
    <row r="789" spans="1:11" ht="42" customHeight="1">
      <c r="A789" s="2" t="s">
        <v>2315</v>
      </c>
      <c r="B789" s="2" t="s">
        <v>2316</v>
      </c>
      <c r="C789" s="2" t="s">
        <v>26</v>
      </c>
      <c r="D789" s="2" t="s">
        <v>275</v>
      </c>
      <c r="E789" s="4">
        <v>-32034</v>
      </c>
      <c r="F789" s="3" t="s">
        <v>28</v>
      </c>
      <c r="G789" s="3" t="s">
        <v>317</v>
      </c>
      <c r="H789" s="2" t="s">
        <v>21</v>
      </c>
      <c r="I789" s="2" t="s">
        <v>2317</v>
      </c>
      <c r="J789" s="3" t="str">
        <f>HYPERLINK("https://www.boe.es/gazeta/dias/1812/04/16/pdfs/GMD-1812-107.pdf#page=6","Abrir facsímil")</f>
        <v>Abrir facsímil</v>
      </c>
      <c r="K789" s="3" t="s">
        <v>23</v>
      </c>
    </row>
    <row r="790" spans="1:11" ht="42" customHeight="1">
      <c r="A790" s="2" t="s">
        <v>2318</v>
      </c>
      <c r="B790" s="2" t="s">
        <v>2319</v>
      </c>
      <c r="C790" s="2" t="s">
        <v>17</v>
      </c>
      <c r="D790" s="2" t="s">
        <v>27</v>
      </c>
      <c r="E790" s="4">
        <v>-31978</v>
      </c>
      <c r="F790" s="3" t="s">
        <v>1790</v>
      </c>
      <c r="G790" s="3" t="s">
        <v>2320</v>
      </c>
      <c r="H790" s="2" t="s">
        <v>21</v>
      </c>
      <c r="I790" s="2" t="s">
        <v>2321</v>
      </c>
      <c r="J790" s="3" t="str">
        <f>HYPERLINK("https://www.boe.es/gazeta/dias/1812/06/11/pdfs/GRE-1812-72.pdf#page=7","Abrir facsímil")</f>
        <v>Abrir facsímil</v>
      </c>
      <c r="K790" s="3" t="s">
        <v>23</v>
      </c>
    </row>
    <row r="791" spans="1:11" ht="42" customHeight="1">
      <c r="A791" s="2" t="s">
        <v>2322</v>
      </c>
      <c r="B791" s="2" t="s">
        <v>2322</v>
      </c>
      <c r="C791" s="2" t="s">
        <v>17</v>
      </c>
      <c r="D791" s="2" t="s">
        <v>27</v>
      </c>
      <c r="E791" s="4">
        <v>-32025</v>
      </c>
      <c r="F791" s="3" t="s">
        <v>2323</v>
      </c>
      <c r="G791" s="3" t="s">
        <v>45</v>
      </c>
      <c r="H791" s="2" t="s">
        <v>21</v>
      </c>
      <c r="I791" s="2" t="s">
        <v>2324</v>
      </c>
      <c r="J791" s="3" t="str">
        <f>HYPERLINK("https://www.boe.es/gazeta/dias/1812/04/25/pdfs/GRE-1812-52.pdf#page=6","Abrir facsímil")</f>
        <v>Abrir facsímil</v>
      </c>
      <c r="K791" s="3" t="s">
        <v>23</v>
      </c>
    </row>
    <row r="792" spans="1:11" ht="42" customHeight="1">
      <c r="A792" s="2" t="s">
        <v>2325</v>
      </c>
      <c r="B792" s="2" t="s">
        <v>2326</v>
      </c>
      <c r="C792" s="2" t="s">
        <v>549</v>
      </c>
      <c r="D792" s="2" t="s">
        <v>194</v>
      </c>
      <c r="E792" s="4">
        <v>-31994</v>
      </c>
      <c r="F792" s="3" t="s">
        <v>207</v>
      </c>
      <c r="G792" s="3" t="s">
        <v>1176</v>
      </c>
      <c r="H792" s="2" t="s">
        <v>21</v>
      </c>
      <c r="I792" s="2" t="s">
        <v>2327</v>
      </c>
      <c r="J792" s="3" t="str">
        <f>HYPERLINK("https://www.boe.es/gazeta/dias/1812/05/26/pdfs/GRE-1812-65.pdf#page=8","Abrir facsímil")</f>
        <v>Abrir facsímil</v>
      </c>
      <c r="K792" s="3" t="s">
        <v>23</v>
      </c>
    </row>
    <row r="793" spans="1:11" ht="42" customHeight="1">
      <c r="A793" s="2" t="s">
        <v>2328</v>
      </c>
      <c r="B793" s="2" t="s">
        <v>2328</v>
      </c>
      <c r="C793" s="2" t="s">
        <v>17</v>
      </c>
      <c r="D793" s="2" t="s">
        <v>18</v>
      </c>
      <c r="E793" s="4">
        <v>-31819</v>
      </c>
      <c r="F793" s="3" t="s">
        <v>1856</v>
      </c>
      <c r="G793" s="3" t="s">
        <v>2329</v>
      </c>
      <c r="H793" s="2" t="s">
        <v>21</v>
      </c>
      <c r="I793" s="2" t="s">
        <v>2330</v>
      </c>
      <c r="J793" s="3" t="str">
        <f>HYPERLINK("https://www.boe.es/gazeta/dias/1812/11/17/pdfs/GMR-1812-35.pdf#page=5","Abrir facsímil")</f>
        <v>Abrir facsímil</v>
      </c>
      <c r="K793" s="3" t="s">
        <v>23</v>
      </c>
    </row>
    <row r="794" spans="1:11" ht="42" customHeight="1">
      <c r="A794" s="2" t="s">
        <v>2331</v>
      </c>
      <c r="B794" s="2" t="s">
        <v>2331</v>
      </c>
      <c r="C794" s="2" t="s">
        <v>17</v>
      </c>
      <c r="D794" s="2" t="s">
        <v>27</v>
      </c>
      <c r="E794" s="4">
        <v>-32057</v>
      </c>
      <c r="F794" s="3" t="s">
        <v>677</v>
      </c>
      <c r="G794" s="3" t="s">
        <v>2332</v>
      </c>
      <c r="H794" s="2" t="s">
        <v>21</v>
      </c>
      <c r="I794" s="2" t="s">
        <v>2333</v>
      </c>
      <c r="J794" s="3" t="str">
        <f>HYPERLINK("https://www.boe.es/gazeta/dias/1812/03/24/pdfs/GRE-1812-37.pdf#page=7","Abrir facsímil")</f>
        <v>Abrir facsímil</v>
      </c>
      <c r="K794" s="3" t="s">
        <v>23</v>
      </c>
    </row>
    <row r="795" spans="1:11" ht="42" customHeight="1">
      <c r="A795" s="2" t="s">
        <v>2334</v>
      </c>
      <c r="B795" s="2" t="s">
        <v>2335</v>
      </c>
      <c r="C795" s="2" t="s">
        <v>186</v>
      </c>
      <c r="D795" s="2" t="s">
        <v>573</v>
      </c>
      <c r="E795" s="4">
        <v>-31900</v>
      </c>
      <c r="F795" s="3" t="s">
        <v>276</v>
      </c>
      <c r="G795" s="3" t="s">
        <v>794</v>
      </c>
      <c r="H795" s="2" t="s">
        <v>21</v>
      </c>
      <c r="I795" s="2" t="s">
        <v>2336</v>
      </c>
      <c r="J795" s="3" t="str">
        <f>HYPERLINK("https://www.boe.es/gazeta/dias/1812/08/28/pdfs/GRE-1812-113E.pdf#page=7","Abrir facsímil")</f>
        <v>Abrir facsímil</v>
      </c>
      <c r="K795" s="3" t="s">
        <v>23</v>
      </c>
    </row>
    <row r="796" spans="1:11" ht="42" customHeight="1">
      <c r="A796" s="2" t="s">
        <v>2337</v>
      </c>
      <c r="B796" s="2" t="s">
        <v>2338</v>
      </c>
      <c r="C796" s="2" t="s">
        <v>26</v>
      </c>
      <c r="D796" s="2" t="s">
        <v>27</v>
      </c>
      <c r="E796" s="4">
        <v>-31963</v>
      </c>
      <c r="F796" s="3" t="s">
        <v>171</v>
      </c>
      <c r="G796" s="3" t="s">
        <v>172</v>
      </c>
      <c r="H796" s="2" t="s">
        <v>21</v>
      </c>
      <c r="I796" s="2" t="s">
        <v>2339</v>
      </c>
      <c r="J796" s="3" t="str">
        <f>HYPERLINK("https://www.boe.es/gazeta/dias/1812/06/26/pdfs/GMD-1812-178.pdf#page=3","Abrir facsímil")</f>
        <v>Abrir facsímil</v>
      </c>
      <c r="K796" s="3" t="s">
        <v>23</v>
      </c>
    </row>
    <row r="797" spans="1:11" ht="42" customHeight="1">
      <c r="A797" s="2" t="s">
        <v>2340</v>
      </c>
      <c r="B797" s="2" t="s">
        <v>2341</v>
      </c>
      <c r="C797" s="2" t="s">
        <v>26</v>
      </c>
      <c r="D797" s="2" t="s">
        <v>27</v>
      </c>
      <c r="E797" s="4">
        <v>-31963</v>
      </c>
      <c r="F797" s="3" t="s">
        <v>171</v>
      </c>
      <c r="G797" s="3" t="s">
        <v>172</v>
      </c>
      <c r="H797" s="2" t="s">
        <v>21</v>
      </c>
      <c r="I797" s="2" t="s">
        <v>2342</v>
      </c>
      <c r="J797" s="3" t="str">
        <f>HYPERLINK("https://www.boe.es/gazeta/dias/1812/06/26/pdfs/GMD-1812-178.pdf#page=3","Abrir facsímil")</f>
        <v>Abrir facsímil</v>
      </c>
      <c r="K797" s="3" t="s">
        <v>23</v>
      </c>
    </row>
    <row r="798" spans="1:11" ht="42" customHeight="1">
      <c r="A798" s="2" t="s">
        <v>2343</v>
      </c>
      <c r="B798" s="2" t="s">
        <v>2343</v>
      </c>
      <c r="C798" s="2" t="s">
        <v>26</v>
      </c>
      <c r="D798" s="2" t="s">
        <v>27</v>
      </c>
      <c r="E798" s="4">
        <v>-31795</v>
      </c>
      <c r="F798" s="3" t="s">
        <v>2344</v>
      </c>
      <c r="G798" s="3" t="s">
        <v>2280</v>
      </c>
      <c r="H798" s="2" t="s">
        <v>21</v>
      </c>
      <c r="I798" s="2" t="s">
        <v>2345</v>
      </c>
      <c r="J798" s="3" t="str">
        <f>HYPERLINK("https://www.boe.es/gazeta/dias/1812/12/11/pdfs/GMD-1812-234.pdf#page=1","Abrir facsímil")</f>
        <v>Abrir facsímil</v>
      </c>
      <c r="K798" s="3" t="s">
        <v>23</v>
      </c>
    </row>
    <row r="799" spans="1:11" ht="42" customHeight="1">
      <c r="A799" s="2" t="s">
        <v>2346</v>
      </c>
      <c r="B799" s="2" t="s">
        <v>2346</v>
      </c>
      <c r="C799" s="2" t="s">
        <v>17</v>
      </c>
      <c r="D799" s="2" t="s">
        <v>27</v>
      </c>
      <c r="E799" s="4">
        <v>-32053</v>
      </c>
      <c r="F799" s="3" t="s">
        <v>910</v>
      </c>
      <c r="G799" s="3" t="s">
        <v>620</v>
      </c>
      <c r="H799" s="2" t="s">
        <v>21</v>
      </c>
      <c r="I799" s="2" t="s">
        <v>2347</v>
      </c>
      <c r="J799" s="3" t="str">
        <f>HYPERLINK("https://www.boe.es/gazeta/dias/1812/03/28/pdfs/GRE-1812-39.pdf#page=3","Abrir facsímil")</f>
        <v>Abrir facsímil</v>
      </c>
      <c r="K799" s="3" t="s">
        <v>23</v>
      </c>
    </row>
    <row r="800" spans="1:11" ht="42" customHeight="1">
      <c r="A800" s="2" t="s">
        <v>2346</v>
      </c>
      <c r="B800" s="2" t="s">
        <v>2346</v>
      </c>
      <c r="C800" s="2" t="s">
        <v>49</v>
      </c>
      <c r="D800" s="2" t="s">
        <v>18</v>
      </c>
      <c r="E800" s="4">
        <v>-32040</v>
      </c>
      <c r="F800" s="3" t="s">
        <v>682</v>
      </c>
      <c r="G800" s="3" t="s">
        <v>45</v>
      </c>
      <c r="H800" s="2" t="s">
        <v>21</v>
      </c>
      <c r="I800" s="2" t="s">
        <v>2348</v>
      </c>
      <c r="J800" s="3" t="str">
        <f>HYPERLINK("https://www.boe.es/gazeta/dias/1812/04/10/pdfs/GMD-1812-101.pdf#page=2","Abrir facsímil")</f>
        <v>Abrir facsímil</v>
      </c>
      <c r="K800" s="3" t="s">
        <v>23</v>
      </c>
    </row>
    <row r="801" spans="1:11" ht="42" customHeight="1">
      <c r="A801" s="2" t="s">
        <v>2349</v>
      </c>
      <c r="B801" s="2" t="s">
        <v>2349</v>
      </c>
      <c r="C801" s="2" t="s">
        <v>17</v>
      </c>
      <c r="D801" s="2" t="s">
        <v>194</v>
      </c>
      <c r="E801" s="4">
        <v>-31931</v>
      </c>
      <c r="F801" s="3" t="s">
        <v>2350</v>
      </c>
      <c r="G801" s="3" t="s">
        <v>2351</v>
      </c>
      <c r="H801" s="2" t="s">
        <v>21</v>
      </c>
      <c r="I801" s="2" t="s">
        <v>2352</v>
      </c>
      <c r="J801" s="3" t="str">
        <f>HYPERLINK("https://www.boe.es/gazeta/dias/1812/07/28/pdfs/GMD-1812-210.pdf#page=2","Abrir facsímil")</f>
        <v>Abrir facsímil</v>
      </c>
      <c r="K801" s="3" t="s">
        <v>23</v>
      </c>
    </row>
    <row r="802" spans="1:11" ht="42" customHeight="1">
      <c r="A802" s="2" t="s">
        <v>2353</v>
      </c>
      <c r="B802" s="2" t="s">
        <v>2353</v>
      </c>
      <c r="C802" s="2" t="s">
        <v>17</v>
      </c>
      <c r="D802" s="2" t="s">
        <v>27</v>
      </c>
      <c r="E802" s="4">
        <v>-32103</v>
      </c>
      <c r="F802" s="3" t="s">
        <v>1996</v>
      </c>
      <c r="G802" s="3" t="s">
        <v>2354</v>
      </c>
      <c r="H802" s="2" t="s">
        <v>21</v>
      </c>
      <c r="I802" s="2" t="s">
        <v>2355</v>
      </c>
      <c r="J802" s="3" t="str">
        <f>HYPERLINK("https://www.boe.es/gazeta/dias/1812/02/07/pdfs/GMD-1812-38.pdf#page=3","Abrir facsímil")</f>
        <v>Abrir facsímil</v>
      </c>
      <c r="K802" s="3" t="s">
        <v>23</v>
      </c>
    </row>
    <row r="803" spans="1:11" ht="42" customHeight="1">
      <c r="A803" s="2" t="s">
        <v>2356</v>
      </c>
      <c r="B803" s="2" t="s">
        <v>2357</v>
      </c>
      <c r="C803" s="2" t="s">
        <v>26</v>
      </c>
      <c r="D803" s="2" t="s">
        <v>27</v>
      </c>
      <c r="E803" s="4">
        <v>-31866</v>
      </c>
      <c r="F803" s="3" t="s">
        <v>845</v>
      </c>
      <c r="G803" s="3" t="s">
        <v>2358</v>
      </c>
      <c r="H803" s="2" t="s">
        <v>21</v>
      </c>
      <c r="I803" s="2" t="s">
        <v>2359</v>
      </c>
      <c r="J803" s="3" t="str">
        <f>HYPERLINK("https://www.boe.es/gazeta/dias/1812/10/01/pdfs/GRE-1812-133.pdf#page=4","Abrir facsímil")</f>
        <v>Abrir facsímil</v>
      </c>
      <c r="K803" s="3" t="s">
        <v>23</v>
      </c>
    </row>
    <row r="804" spans="1:11" ht="42" customHeight="1">
      <c r="A804" s="2" t="s">
        <v>2360</v>
      </c>
      <c r="B804" s="2" t="s">
        <v>2361</v>
      </c>
      <c r="C804" s="2" t="s">
        <v>26</v>
      </c>
      <c r="D804" s="2" t="s">
        <v>27</v>
      </c>
      <c r="E804" s="4">
        <v>-32100</v>
      </c>
      <c r="F804" s="3" t="s">
        <v>492</v>
      </c>
      <c r="G804" s="3" t="s">
        <v>493</v>
      </c>
      <c r="H804" s="2" t="s">
        <v>21</v>
      </c>
      <c r="I804" s="2" t="s">
        <v>2362</v>
      </c>
      <c r="J804" s="3" t="str">
        <f>HYPERLINK("https://www.boe.es/gazeta/dias/1812/02/10/pdfs/GRE-1812-31.pdf#page=8","Abrir facsímil")</f>
        <v>Abrir facsímil</v>
      </c>
      <c r="K804" s="3" t="s">
        <v>23</v>
      </c>
    </row>
    <row r="805" spans="1:11" ht="42" customHeight="1">
      <c r="A805" s="2" t="s">
        <v>2360</v>
      </c>
      <c r="B805" s="2" t="s">
        <v>2361</v>
      </c>
      <c r="C805" s="2" t="s">
        <v>26</v>
      </c>
      <c r="D805" s="2" t="s">
        <v>27</v>
      </c>
      <c r="E805" s="4">
        <v>-32071</v>
      </c>
      <c r="F805" s="3" t="s">
        <v>492</v>
      </c>
      <c r="G805" s="3" t="s">
        <v>493</v>
      </c>
      <c r="H805" s="2" t="s">
        <v>21</v>
      </c>
      <c r="I805" s="2" t="s">
        <v>2362</v>
      </c>
      <c r="J805" s="3" t="str">
        <f>HYPERLINK("https://www.boe.es/gazeta/dias/1812/03/10/pdfs/GRE-1812-31.pdf#page=8","Abrir facsímil")</f>
        <v>Abrir facsímil</v>
      </c>
      <c r="K805" s="3" t="s">
        <v>23</v>
      </c>
    </row>
    <row r="806" spans="1:11" ht="42" customHeight="1">
      <c r="A806" s="2" t="s">
        <v>2363</v>
      </c>
      <c r="B806" s="2" t="s">
        <v>2364</v>
      </c>
      <c r="C806" s="2" t="s">
        <v>26</v>
      </c>
      <c r="D806" s="2" t="s">
        <v>27</v>
      </c>
      <c r="E806" s="4">
        <v>-31992</v>
      </c>
      <c r="F806" s="3" t="s">
        <v>1292</v>
      </c>
      <c r="G806" s="3" t="s">
        <v>1424</v>
      </c>
      <c r="H806" s="2" t="s">
        <v>21</v>
      </c>
      <c r="I806" s="2" t="s">
        <v>2365</v>
      </c>
      <c r="J806" s="3" t="str">
        <f>HYPERLINK("https://www.boe.es/gazeta/dias/1812/05/28/pdfs/GRE-1812-66.pdf#page=5","Abrir facsímil")</f>
        <v>Abrir facsímil</v>
      </c>
      <c r="K806" s="3" t="s">
        <v>23</v>
      </c>
    </row>
    <row r="807" spans="1:11" ht="42" customHeight="1">
      <c r="A807" s="2" t="s">
        <v>2366</v>
      </c>
      <c r="B807" s="2" t="s">
        <v>2366</v>
      </c>
      <c r="C807" s="2" t="s">
        <v>17</v>
      </c>
      <c r="D807" s="2" t="s">
        <v>18</v>
      </c>
      <c r="E807" s="4">
        <v>-31805</v>
      </c>
      <c r="F807" s="3" t="s">
        <v>895</v>
      </c>
      <c r="G807" s="3" t="s">
        <v>2367</v>
      </c>
      <c r="H807" s="2" t="s">
        <v>21</v>
      </c>
      <c r="I807" s="2" t="s">
        <v>2368</v>
      </c>
      <c r="J807" s="3" t="str">
        <f>HYPERLINK("https://www.boe.es/gazeta/dias/1812/12/01/pdfs/GMR-1812-39.pdf#page=4","Abrir facsímil")</f>
        <v>Abrir facsímil</v>
      </c>
      <c r="K807" s="3" t="s">
        <v>23</v>
      </c>
    </row>
    <row r="808" spans="1:11" ht="42" customHeight="1">
      <c r="A808" s="2" t="s">
        <v>2369</v>
      </c>
      <c r="B808" s="2" t="s">
        <v>2370</v>
      </c>
      <c r="C808" s="2" t="s">
        <v>49</v>
      </c>
      <c r="D808" s="2" t="s">
        <v>27</v>
      </c>
      <c r="E808" s="4">
        <v>-31956</v>
      </c>
      <c r="F808" s="3" t="s">
        <v>19</v>
      </c>
      <c r="G808" s="3" t="s">
        <v>20</v>
      </c>
      <c r="H808" s="2" t="s">
        <v>21</v>
      </c>
      <c r="I808" s="2" t="s">
        <v>2371</v>
      </c>
      <c r="J808" s="3" t="str">
        <f>HYPERLINK("https://www.boe.es/gazeta/dias/1812/07/03/pdfs/GMD-1812-185.pdf#page=2","Abrir facsímil")</f>
        <v>Abrir facsímil</v>
      </c>
      <c r="K808" s="3" t="s">
        <v>23</v>
      </c>
    </row>
    <row r="809" spans="1:11" ht="42" customHeight="1">
      <c r="A809" s="2" t="s">
        <v>2372</v>
      </c>
      <c r="B809" s="2" t="s">
        <v>2372</v>
      </c>
      <c r="C809" s="2" t="s">
        <v>17</v>
      </c>
      <c r="D809" s="2" t="s">
        <v>27</v>
      </c>
      <c r="E809" s="4">
        <v>-31875</v>
      </c>
      <c r="F809" s="3" t="s">
        <v>110</v>
      </c>
      <c r="G809" s="3" t="s">
        <v>2373</v>
      </c>
      <c r="H809" s="2" t="s">
        <v>21</v>
      </c>
      <c r="I809" s="2" t="s">
        <v>2374</v>
      </c>
      <c r="J809" s="3" t="str">
        <f>HYPERLINK("https://www.boe.es/gazeta/dias/1812/09/22/pdfs/GRE-1812-128.pdf#page=5","Abrir facsímil")</f>
        <v>Abrir facsímil</v>
      </c>
      <c r="K809" s="3" t="s">
        <v>23</v>
      </c>
    </row>
    <row r="810" spans="1:11" ht="42" customHeight="1">
      <c r="A810" s="2" t="s">
        <v>2375</v>
      </c>
      <c r="B810" s="2" t="s">
        <v>2375</v>
      </c>
      <c r="C810" s="2" t="s">
        <v>17</v>
      </c>
      <c r="D810" s="2" t="s">
        <v>18</v>
      </c>
      <c r="E810" s="4">
        <v>-31992</v>
      </c>
      <c r="F810" s="3" t="s">
        <v>1292</v>
      </c>
      <c r="G810" s="3" t="s">
        <v>1424</v>
      </c>
      <c r="H810" s="2" t="s">
        <v>21</v>
      </c>
      <c r="I810" s="2" t="s">
        <v>2376</v>
      </c>
      <c r="J810" s="3" t="str">
        <f>HYPERLINK("https://www.boe.es/gazeta/dias/1812/05/28/pdfs/GRE-1812-66.pdf#page=5","Abrir facsímil")</f>
        <v>Abrir facsímil</v>
      </c>
      <c r="K810" s="3" t="s">
        <v>23</v>
      </c>
    </row>
    <row r="811" spans="1:11" ht="42" customHeight="1">
      <c r="A811" s="2" t="s">
        <v>2377</v>
      </c>
      <c r="B811" s="2" t="s">
        <v>2377</v>
      </c>
      <c r="C811" s="2" t="s">
        <v>49</v>
      </c>
      <c r="D811" s="2" t="s">
        <v>18</v>
      </c>
      <c r="E811" s="4">
        <v>-31896</v>
      </c>
      <c r="F811" s="3" t="s">
        <v>1808</v>
      </c>
      <c r="G811" s="3" t="s">
        <v>58</v>
      </c>
      <c r="H811" s="2" t="s">
        <v>21</v>
      </c>
      <c r="I811" s="2" t="s">
        <v>2378</v>
      </c>
      <c r="J811" s="3" t="str">
        <f>HYPERLINK("https://www.boe.es/gazeta/dias/1812/09/01/pdfs/GMR-1812-8.pdf#page=3","Abrir facsímil")</f>
        <v>Abrir facsímil</v>
      </c>
      <c r="K811" s="3" t="s">
        <v>23</v>
      </c>
    </row>
    <row r="812" spans="1:11" ht="42" customHeight="1">
      <c r="A812" s="2" t="s">
        <v>2377</v>
      </c>
      <c r="B812" s="2" t="s">
        <v>2377</v>
      </c>
      <c r="C812" s="2" t="s">
        <v>17</v>
      </c>
      <c r="D812" s="2" t="s">
        <v>194</v>
      </c>
      <c r="E812" s="4">
        <v>-31782</v>
      </c>
      <c r="F812" s="3" t="s">
        <v>860</v>
      </c>
      <c r="G812" s="3" t="s">
        <v>2379</v>
      </c>
      <c r="H812" s="2" t="s">
        <v>21</v>
      </c>
      <c r="I812" s="2" t="s">
        <v>2380</v>
      </c>
      <c r="J812" s="3" t="str">
        <f>HYPERLINK("https://www.boe.es/gazeta/dias/1812/12/24/pdfs/GRE-1812-169.pdf#page=1","Abrir facsímil")</f>
        <v>Abrir facsímil</v>
      </c>
      <c r="K812" s="3" t="s">
        <v>23</v>
      </c>
    </row>
    <row r="813" spans="1:11" ht="42" customHeight="1">
      <c r="A813" s="2" t="s">
        <v>2377</v>
      </c>
      <c r="B813" s="2" t="s">
        <v>2377</v>
      </c>
      <c r="C813" s="2" t="s">
        <v>17</v>
      </c>
      <c r="D813" s="2" t="s">
        <v>27</v>
      </c>
      <c r="E813" s="4">
        <v>-31782</v>
      </c>
      <c r="F813" s="3" t="s">
        <v>860</v>
      </c>
      <c r="G813" s="3" t="s">
        <v>2381</v>
      </c>
      <c r="H813" s="2" t="s">
        <v>21</v>
      </c>
      <c r="I813" s="2" t="s">
        <v>2382</v>
      </c>
      <c r="J813" s="3" t="str">
        <f>HYPERLINK("https://www.boe.es/gazeta/dias/1812/12/24/pdfs/GRE-1812-169.pdf#page=4","Abrir facsímil")</f>
        <v>Abrir facsímil</v>
      </c>
      <c r="K813" s="3" t="s">
        <v>23</v>
      </c>
    </row>
    <row r="814" spans="1:11" ht="42" customHeight="1">
      <c r="A814" s="2" t="s">
        <v>2383</v>
      </c>
      <c r="B814" s="2" t="s">
        <v>2384</v>
      </c>
      <c r="C814" s="2" t="s">
        <v>26</v>
      </c>
      <c r="D814" s="2" t="s">
        <v>27</v>
      </c>
      <c r="E814" s="4">
        <v>-31939</v>
      </c>
      <c r="F814" s="3" t="s">
        <v>408</v>
      </c>
      <c r="G814" s="3" t="s">
        <v>20</v>
      </c>
      <c r="H814" s="2" t="s">
        <v>21</v>
      </c>
      <c r="I814" s="2" t="s">
        <v>2385</v>
      </c>
      <c r="J814" s="3" t="str">
        <f>HYPERLINK("https://www.boe.es/gazeta/dias/1812/07/20/pdfs/GMD-1812-202.pdf#page=4","Abrir facsímil")</f>
        <v>Abrir facsímil</v>
      </c>
      <c r="K814" s="3" t="s">
        <v>23</v>
      </c>
    </row>
    <row r="815" spans="1:11" ht="42" customHeight="1">
      <c r="A815" s="2" t="s">
        <v>2386</v>
      </c>
      <c r="B815" s="2" t="s">
        <v>2387</v>
      </c>
      <c r="C815" s="2" t="s">
        <v>26</v>
      </c>
      <c r="D815" s="2" t="s">
        <v>27</v>
      </c>
      <c r="E815" s="4">
        <v>-31857</v>
      </c>
      <c r="F815" s="3" t="s">
        <v>1000</v>
      </c>
      <c r="G815" s="3" t="s">
        <v>1001</v>
      </c>
      <c r="H815" s="2" t="s">
        <v>21</v>
      </c>
      <c r="I815" s="2" t="s">
        <v>2388</v>
      </c>
      <c r="J815" s="3" t="str">
        <f>HYPERLINK("https://www.boe.es/gazeta/dias/1812/10/10/pdfs/GRE-1812-137.pdf#page=7","Abrir facsímil")</f>
        <v>Abrir facsímil</v>
      </c>
      <c r="K815" s="3" t="s">
        <v>23</v>
      </c>
    </row>
    <row r="816" spans="1:11" ht="42" customHeight="1">
      <c r="A816" s="2" t="s">
        <v>2389</v>
      </c>
      <c r="B816" s="2" t="s">
        <v>2389</v>
      </c>
      <c r="C816" s="2" t="s">
        <v>26</v>
      </c>
      <c r="D816" s="2" t="s">
        <v>27</v>
      </c>
      <c r="E816" s="4">
        <v>-32116</v>
      </c>
      <c r="F816" s="3" t="s">
        <v>964</v>
      </c>
      <c r="G816" s="3" t="s">
        <v>125</v>
      </c>
      <c r="H816" s="2" t="s">
        <v>21</v>
      </c>
      <c r="I816" s="2" t="s">
        <v>2390</v>
      </c>
      <c r="J816" s="3" t="str">
        <f>HYPERLINK("https://www.boe.es/gazeta/dias/1812/01/25/pdfs/GEI-H-1812-11.pdf#page=1","Abrir facsímil")</f>
        <v>Abrir facsímil</v>
      </c>
      <c r="K816" s="3" t="s">
        <v>23</v>
      </c>
    </row>
    <row r="817" spans="1:11" ht="42" customHeight="1">
      <c r="A817" s="2" t="s">
        <v>2389</v>
      </c>
      <c r="B817" s="2" t="s">
        <v>2389</v>
      </c>
      <c r="C817" s="2" t="s">
        <v>17</v>
      </c>
      <c r="D817" s="2" t="s">
        <v>18</v>
      </c>
      <c r="E817" s="4">
        <v>-32116</v>
      </c>
      <c r="F817" s="3" t="s">
        <v>964</v>
      </c>
      <c r="G817" s="3" t="s">
        <v>2391</v>
      </c>
      <c r="H817" s="2" t="s">
        <v>21</v>
      </c>
      <c r="I817" s="2" t="s">
        <v>2392</v>
      </c>
      <c r="J817" s="3" t="str">
        <f>HYPERLINK("https://www.boe.es/gazeta/dias/1812/01/25/pdfs/GEI-H-1812-11.pdf#page=2","Abrir facsímil")</f>
        <v>Abrir facsímil</v>
      </c>
      <c r="K817" s="3" t="s">
        <v>23</v>
      </c>
    </row>
    <row r="818" spans="1:11" ht="42" customHeight="1">
      <c r="A818" s="2" t="s">
        <v>2393</v>
      </c>
      <c r="B818" s="2" t="s">
        <v>2394</v>
      </c>
      <c r="C818" s="2" t="s">
        <v>17</v>
      </c>
      <c r="D818" s="2" t="s">
        <v>27</v>
      </c>
      <c r="E818" s="4">
        <v>-32121</v>
      </c>
      <c r="F818" s="3" t="s">
        <v>1237</v>
      </c>
      <c r="G818" s="3" t="s">
        <v>404</v>
      </c>
      <c r="H818" s="2" t="s">
        <v>21</v>
      </c>
      <c r="I818" s="2" t="s">
        <v>2395</v>
      </c>
      <c r="J818" s="3" t="str">
        <f>HYPERLINK("https://www.boe.es/gazeta/dias/1812/01/20/pdfs/GMD-1812-20.pdf#page=4","Abrir facsímil")</f>
        <v>Abrir facsímil</v>
      </c>
      <c r="K818" s="3" t="s">
        <v>23</v>
      </c>
    </row>
    <row r="819" spans="1:11" ht="42" customHeight="1">
      <c r="A819" s="2" t="s">
        <v>2393</v>
      </c>
      <c r="B819" s="2" t="s">
        <v>2394</v>
      </c>
      <c r="C819" s="2" t="s">
        <v>26</v>
      </c>
      <c r="D819" s="2" t="s">
        <v>27</v>
      </c>
      <c r="E819" s="4">
        <v>-32095</v>
      </c>
      <c r="F819" s="3" t="s">
        <v>1099</v>
      </c>
      <c r="G819" s="3" t="s">
        <v>438</v>
      </c>
      <c r="H819" s="2" t="s">
        <v>21</v>
      </c>
      <c r="I819" s="2" t="s">
        <v>2396</v>
      </c>
      <c r="J819" s="3" t="str">
        <f>HYPERLINK("https://www.boe.es/gazeta/dias/1812/02/15/pdfs/GMD-1812-46.pdf#page=4","Abrir facsímil")</f>
        <v>Abrir facsímil</v>
      </c>
      <c r="K819" s="3" t="s">
        <v>23</v>
      </c>
    </row>
    <row r="820" spans="1:11" ht="42" customHeight="1">
      <c r="A820" s="2" t="s">
        <v>2397</v>
      </c>
      <c r="B820" s="2" t="s">
        <v>2398</v>
      </c>
      <c r="C820" s="2" t="s">
        <v>26</v>
      </c>
      <c r="D820" s="2" t="s">
        <v>27</v>
      </c>
      <c r="E820" s="4">
        <v>-32109</v>
      </c>
      <c r="F820" s="3" t="s">
        <v>62</v>
      </c>
      <c r="G820" s="3" t="s">
        <v>63</v>
      </c>
      <c r="H820" s="2" t="s">
        <v>21</v>
      </c>
      <c r="I820" s="2" t="s">
        <v>2399</v>
      </c>
      <c r="J820" s="3" t="str">
        <f>HYPERLINK("https://www.boe.es/gazeta/dias/1812/02/01/pdfs/GRE-1812-14.pdf#page=10","Abrir facsímil")</f>
        <v>Abrir facsímil</v>
      </c>
      <c r="K820" s="3" t="s">
        <v>23</v>
      </c>
    </row>
    <row r="821" spans="1:11" ht="42" customHeight="1">
      <c r="A821" s="2" t="s">
        <v>2400</v>
      </c>
      <c r="B821" s="2" t="s">
        <v>2400</v>
      </c>
      <c r="C821" s="2" t="s">
        <v>49</v>
      </c>
      <c r="D821" s="2" t="s">
        <v>18</v>
      </c>
      <c r="E821" s="4">
        <v>-31861</v>
      </c>
      <c r="F821" s="3" t="s">
        <v>1080</v>
      </c>
      <c r="G821" s="3" t="s">
        <v>2401</v>
      </c>
      <c r="H821" s="2" t="s">
        <v>21</v>
      </c>
      <c r="I821" s="2" t="s">
        <v>2402</v>
      </c>
      <c r="J821" s="3" t="str">
        <f>HYPERLINK("https://www.boe.es/gazeta/dias/1812/10/06/pdfs/GMR-1812-23.pdf#page=13","Abrir facsímil")</f>
        <v>Abrir facsímil</v>
      </c>
      <c r="K821" s="3" t="s">
        <v>23</v>
      </c>
    </row>
    <row r="822" spans="1:11" ht="42" customHeight="1">
      <c r="A822" s="2" t="s">
        <v>2400</v>
      </c>
      <c r="B822" s="2" t="s">
        <v>2400</v>
      </c>
      <c r="C822" s="2" t="s">
        <v>17</v>
      </c>
      <c r="D822" s="2" t="s">
        <v>18</v>
      </c>
      <c r="E822" s="4">
        <v>-31861</v>
      </c>
      <c r="F822" s="3" t="s">
        <v>1080</v>
      </c>
      <c r="G822" s="3" t="s">
        <v>2403</v>
      </c>
      <c r="H822" s="2" t="s">
        <v>21</v>
      </c>
      <c r="I822" s="2" t="s">
        <v>2404</v>
      </c>
      <c r="J822" s="3" t="str">
        <f>HYPERLINK("https://www.boe.es/gazeta/dias/1812/10/06/pdfs/GMR-1812-23.pdf#page=14","Abrir facsímil")</f>
        <v>Abrir facsímil</v>
      </c>
      <c r="K822" s="3" t="s">
        <v>23</v>
      </c>
    </row>
    <row r="823" spans="1:11" ht="42" customHeight="1">
      <c r="A823" s="2" t="s">
        <v>2400</v>
      </c>
      <c r="B823" s="2" t="s">
        <v>2400</v>
      </c>
      <c r="C823" s="2" t="s">
        <v>17</v>
      </c>
      <c r="D823" s="2" t="s">
        <v>18</v>
      </c>
      <c r="E823" s="4">
        <v>-31861</v>
      </c>
      <c r="F823" s="3" t="s">
        <v>1080</v>
      </c>
      <c r="G823" s="3" t="s">
        <v>404</v>
      </c>
      <c r="H823" s="2" t="s">
        <v>21</v>
      </c>
      <c r="I823" s="2" t="s">
        <v>2405</v>
      </c>
      <c r="J823" s="3" t="str">
        <f>HYPERLINK("https://www.boe.es/gazeta/dias/1812/10/06/pdfs/GMR-1812-23.pdf#page=15","Abrir facsímil")</f>
        <v>Abrir facsímil</v>
      </c>
      <c r="K823" s="3" t="s">
        <v>23</v>
      </c>
    </row>
    <row r="824" spans="1:11" ht="42" customHeight="1">
      <c r="A824" s="2" t="s">
        <v>2400</v>
      </c>
      <c r="B824" s="2" t="s">
        <v>2400</v>
      </c>
      <c r="C824" s="2" t="s">
        <v>17</v>
      </c>
      <c r="D824" s="2" t="s">
        <v>18</v>
      </c>
      <c r="E824" s="4">
        <v>-31861</v>
      </c>
      <c r="F824" s="3" t="s">
        <v>1080</v>
      </c>
      <c r="G824" s="3" t="s">
        <v>1081</v>
      </c>
      <c r="H824" s="2" t="s">
        <v>21</v>
      </c>
      <c r="I824" s="2" t="s">
        <v>2406</v>
      </c>
      <c r="J824" s="3" t="str">
        <f>HYPERLINK("https://www.boe.es/gazeta/dias/1812/10/06/pdfs/GMR-1812-23.pdf#page=16","Abrir facsímil")</f>
        <v>Abrir facsímil</v>
      </c>
      <c r="K824" s="3" t="s">
        <v>23</v>
      </c>
    </row>
    <row r="825" spans="1:11" ht="42" customHeight="1">
      <c r="A825" s="2" t="s">
        <v>2407</v>
      </c>
      <c r="B825" s="2" t="s">
        <v>2407</v>
      </c>
      <c r="C825" s="2" t="s">
        <v>105</v>
      </c>
      <c r="D825" s="2" t="s">
        <v>27</v>
      </c>
      <c r="E825" s="4">
        <v>-32055</v>
      </c>
      <c r="F825" s="3" t="s">
        <v>459</v>
      </c>
      <c r="G825" s="3" t="s">
        <v>20</v>
      </c>
      <c r="H825" s="2" t="s">
        <v>21</v>
      </c>
      <c r="I825" s="2" t="s">
        <v>2408</v>
      </c>
      <c r="J825" s="3" t="str">
        <f>HYPERLINK("https://www.boe.es/gazeta/dias/1812/03/26/pdfs/GRE-1812-38.pdf#page=8","Abrir facsímil")</f>
        <v>Abrir facsímil</v>
      </c>
      <c r="K825" s="3" t="s">
        <v>23</v>
      </c>
    </row>
    <row r="826" spans="1:11" ht="42" customHeight="1">
      <c r="A826" s="2" t="s">
        <v>2407</v>
      </c>
      <c r="B826" s="2" t="s">
        <v>2407</v>
      </c>
      <c r="C826" s="2" t="s">
        <v>26</v>
      </c>
      <c r="D826" s="2" t="s">
        <v>27</v>
      </c>
      <c r="E826" s="4">
        <v>-32032</v>
      </c>
      <c r="F826" s="3" t="s">
        <v>421</v>
      </c>
      <c r="G826" s="3" t="s">
        <v>777</v>
      </c>
      <c r="H826" s="2" t="s">
        <v>21</v>
      </c>
      <c r="I826" s="2" t="s">
        <v>2409</v>
      </c>
      <c r="J826" s="3" t="str">
        <f>HYPERLINK("https://www.boe.es/gazeta/dias/1812/04/18/pdfs/GRE-1812-49.pdf#page=3","Abrir facsímil")</f>
        <v>Abrir facsímil</v>
      </c>
      <c r="K826" s="3" t="s">
        <v>23</v>
      </c>
    </row>
    <row r="827" spans="1:11" ht="42" customHeight="1">
      <c r="A827" s="2" t="s">
        <v>2407</v>
      </c>
      <c r="B827" s="2" t="s">
        <v>2407</v>
      </c>
      <c r="C827" s="2" t="s">
        <v>82</v>
      </c>
      <c r="D827" s="2" t="s">
        <v>27</v>
      </c>
      <c r="E827" s="4">
        <v>-31936</v>
      </c>
      <c r="F827" s="3" t="s">
        <v>603</v>
      </c>
      <c r="G827" s="3" t="s">
        <v>2410</v>
      </c>
      <c r="H827" s="2" t="s">
        <v>21</v>
      </c>
      <c r="I827" s="2" t="s">
        <v>2411</v>
      </c>
      <c r="J827" s="3" t="str">
        <f>HYPERLINK("https://www.boe.es/gazeta/dias/1812/07/23/pdfs/GMD-1812-205.pdf#page=4","Abrir facsímil")</f>
        <v>Abrir facsímil</v>
      </c>
      <c r="K827" s="3" t="s">
        <v>23</v>
      </c>
    </row>
    <row r="828" spans="1:11" ht="42" customHeight="1">
      <c r="A828" s="2" t="s">
        <v>2407</v>
      </c>
      <c r="B828" s="2" t="s">
        <v>2407</v>
      </c>
      <c r="C828" s="2" t="s">
        <v>17</v>
      </c>
      <c r="D828" s="2" t="s">
        <v>27</v>
      </c>
      <c r="E828" s="4">
        <v>-31857</v>
      </c>
      <c r="F828" s="3" t="s">
        <v>1000</v>
      </c>
      <c r="G828" s="3" t="s">
        <v>136</v>
      </c>
      <c r="H828" s="2" t="s">
        <v>21</v>
      </c>
      <c r="I828" s="2" t="s">
        <v>2412</v>
      </c>
      <c r="J828" s="3" t="str">
        <f>HYPERLINK("https://www.boe.es/gazeta/dias/1812/10/10/pdfs/GRE-1812-137.pdf#page=8","Abrir facsímil")</f>
        <v>Abrir facsímil</v>
      </c>
      <c r="K828" s="3" t="s">
        <v>23</v>
      </c>
    </row>
    <row r="829" spans="1:11" ht="42" customHeight="1">
      <c r="A829" s="2" t="s">
        <v>2413</v>
      </c>
      <c r="B829" s="2" t="s">
        <v>2413</v>
      </c>
      <c r="C829" s="2" t="s">
        <v>17</v>
      </c>
      <c r="D829" s="2" t="s">
        <v>18</v>
      </c>
      <c r="E829" s="4">
        <v>-31781</v>
      </c>
      <c r="F829" s="3" t="s">
        <v>2414</v>
      </c>
      <c r="G829" s="3" t="s">
        <v>2415</v>
      </c>
      <c r="H829" s="2" t="s">
        <v>21</v>
      </c>
      <c r="I829" s="2" t="s">
        <v>2416</v>
      </c>
      <c r="J829" s="3" t="str">
        <f>HYPERLINK("https://www.boe.es/gazeta/dias/1812/12/25/pdfs/GMD-1812-248.pdf#page=4","Abrir facsímil")</f>
        <v>Abrir facsímil</v>
      </c>
      <c r="K829" s="3" t="s">
        <v>23</v>
      </c>
    </row>
    <row r="830" spans="1:11" ht="42" customHeight="1">
      <c r="A830" s="2" t="s">
        <v>2417</v>
      </c>
      <c r="B830" s="2" t="s">
        <v>2418</v>
      </c>
      <c r="C830" s="2" t="s">
        <v>26</v>
      </c>
      <c r="D830" s="2" t="s">
        <v>27</v>
      </c>
      <c r="E830" s="4">
        <v>-32074</v>
      </c>
      <c r="F830" s="3" t="s">
        <v>816</v>
      </c>
      <c r="G830" s="3" t="s">
        <v>777</v>
      </c>
      <c r="H830" s="2" t="s">
        <v>21</v>
      </c>
      <c r="I830" s="2" t="s">
        <v>2419</v>
      </c>
      <c r="J830" s="3" t="str">
        <f>HYPERLINK("https://www.boe.es/gazeta/dias/1812/03/07/pdfs/GRE-1812-30.pdf#page=8","Abrir facsímil")</f>
        <v>Abrir facsímil</v>
      </c>
      <c r="K830" s="3" t="s">
        <v>23</v>
      </c>
    </row>
    <row r="831" spans="1:11" ht="42" customHeight="1">
      <c r="A831" s="2" t="s">
        <v>2420</v>
      </c>
      <c r="B831" s="2" t="s">
        <v>2421</v>
      </c>
      <c r="C831" s="2" t="s">
        <v>26</v>
      </c>
      <c r="D831" s="2" t="s">
        <v>27</v>
      </c>
      <c r="E831" s="4">
        <v>-32034</v>
      </c>
      <c r="F831" s="3" t="s">
        <v>1008</v>
      </c>
      <c r="G831" s="3" t="s">
        <v>1009</v>
      </c>
      <c r="H831" s="2" t="s">
        <v>21</v>
      </c>
      <c r="I831" s="2" t="s">
        <v>2422</v>
      </c>
      <c r="J831" s="3" t="str">
        <f>HYPERLINK("https://www.boe.es/gazeta/dias/1812/04/16/pdfs/GRE-1812-48.pdf#page=8","Abrir facsímil")</f>
        <v>Abrir facsímil</v>
      </c>
      <c r="K831" s="3" t="s">
        <v>23</v>
      </c>
    </row>
    <row r="832" spans="1:11" ht="42" customHeight="1">
      <c r="A832" s="2" t="s">
        <v>2423</v>
      </c>
      <c r="B832" s="2" t="s">
        <v>2424</v>
      </c>
      <c r="C832" s="2" t="s">
        <v>26</v>
      </c>
      <c r="D832" s="2" t="s">
        <v>27</v>
      </c>
      <c r="E832" s="4">
        <v>-32127</v>
      </c>
      <c r="F832" s="3" t="s">
        <v>88</v>
      </c>
      <c r="G832" s="3" t="s">
        <v>89</v>
      </c>
      <c r="H832" s="2" t="s">
        <v>21</v>
      </c>
      <c r="I832" s="2" t="s">
        <v>2425</v>
      </c>
      <c r="J832" s="3" t="str">
        <f>HYPERLINK("https://www.boe.es/gazeta/dias/1812/01/14/pdfs/GEI-1812-6.pdf#page=8","Abrir facsímil")</f>
        <v>Abrir facsímil</v>
      </c>
      <c r="K832" s="3" t="s">
        <v>23</v>
      </c>
    </row>
    <row r="833" spans="1:11" ht="42" customHeight="1">
      <c r="A833" s="2" t="s">
        <v>2426</v>
      </c>
      <c r="B833" s="2" t="s">
        <v>2426</v>
      </c>
      <c r="C833" s="2" t="s">
        <v>17</v>
      </c>
      <c r="D833" s="2" t="s">
        <v>27</v>
      </c>
      <c r="E833" s="4">
        <v>-31995</v>
      </c>
      <c r="F833" s="3" t="s">
        <v>100</v>
      </c>
      <c r="G833" s="3" t="s">
        <v>237</v>
      </c>
      <c r="H833" s="2" t="s">
        <v>21</v>
      </c>
      <c r="I833" s="2" t="s">
        <v>2427</v>
      </c>
      <c r="J833" s="3" t="str">
        <f>HYPERLINK("https://www.boe.es/gazeta/dias/1812/05/25/pdfs/GMD-1812-146.pdf#page=3","Abrir facsímil")</f>
        <v>Abrir facsímil</v>
      </c>
      <c r="K833" s="3" t="s">
        <v>23</v>
      </c>
    </row>
    <row r="834" spans="1:11" ht="42" customHeight="1">
      <c r="A834" s="2" t="s">
        <v>2428</v>
      </c>
      <c r="B834" s="2" t="s">
        <v>2428</v>
      </c>
      <c r="C834" s="2" t="s">
        <v>17</v>
      </c>
      <c r="D834" s="2" t="s">
        <v>194</v>
      </c>
      <c r="E834" s="4">
        <v>-32069</v>
      </c>
      <c r="F834" s="3" t="s">
        <v>445</v>
      </c>
      <c r="G834" s="3" t="s">
        <v>2429</v>
      </c>
      <c r="H834" s="2" t="s">
        <v>21</v>
      </c>
      <c r="I834" s="2" t="s">
        <v>2430</v>
      </c>
      <c r="J834" s="3" t="str">
        <f>HYPERLINK("https://www.boe.es/gazeta/dias/1812/03/12/pdfs/GRE-1812-32.pdf#page=1","Abrir facsímil")</f>
        <v>Abrir facsímil</v>
      </c>
      <c r="K834" s="3" t="s">
        <v>23</v>
      </c>
    </row>
    <row r="835" spans="1:11" ht="42" customHeight="1">
      <c r="A835" s="2" t="s">
        <v>2428</v>
      </c>
      <c r="B835" s="2" t="s">
        <v>2428</v>
      </c>
      <c r="C835" s="2" t="s">
        <v>17</v>
      </c>
      <c r="D835" s="2" t="s">
        <v>27</v>
      </c>
      <c r="E835" s="4">
        <v>-32057</v>
      </c>
      <c r="F835" s="3" t="s">
        <v>225</v>
      </c>
      <c r="G835" s="3" t="s">
        <v>140</v>
      </c>
      <c r="H835" s="2" t="s">
        <v>21</v>
      </c>
      <c r="I835" s="2" t="s">
        <v>2431</v>
      </c>
      <c r="J835" s="3" t="str">
        <f>HYPERLINK("https://www.boe.es/gazeta/dias/1812/03/24/pdfs/GMD-1812-84.pdf#page=2","Abrir facsímil")</f>
        <v>Abrir facsímil</v>
      </c>
      <c r="K835" s="3" t="s">
        <v>23</v>
      </c>
    </row>
    <row r="836" spans="1:11" ht="42" customHeight="1">
      <c r="A836" s="2" t="s">
        <v>2428</v>
      </c>
      <c r="B836" s="2" t="s">
        <v>2428</v>
      </c>
      <c r="C836" s="2" t="s">
        <v>17</v>
      </c>
      <c r="D836" s="2" t="s">
        <v>27</v>
      </c>
      <c r="E836" s="4">
        <v>-32046</v>
      </c>
      <c r="F836" s="3" t="s">
        <v>1013</v>
      </c>
      <c r="G836" s="3" t="s">
        <v>125</v>
      </c>
      <c r="H836" s="2" t="s">
        <v>21</v>
      </c>
      <c r="I836" s="2" t="s">
        <v>2432</v>
      </c>
      <c r="J836" s="3" t="str">
        <f>HYPERLINK("https://www.boe.es/gazeta/dias/1812/04/04/pdfs/GRE-1812-42.pdf#page=8","Abrir facsímil")</f>
        <v>Abrir facsímil</v>
      </c>
      <c r="K836" s="3" t="s">
        <v>23</v>
      </c>
    </row>
    <row r="837" spans="1:11" ht="42" customHeight="1">
      <c r="A837" s="2" t="s">
        <v>2428</v>
      </c>
      <c r="B837" s="2" t="s">
        <v>2428</v>
      </c>
      <c r="C837" s="2" t="s">
        <v>17</v>
      </c>
      <c r="D837" s="2" t="s">
        <v>27</v>
      </c>
      <c r="E837" s="4">
        <v>-31937</v>
      </c>
      <c r="F837" s="3" t="s">
        <v>1198</v>
      </c>
      <c r="G837" s="3" t="s">
        <v>2433</v>
      </c>
      <c r="H837" s="2" t="s">
        <v>21</v>
      </c>
      <c r="I837" s="2" t="s">
        <v>2434</v>
      </c>
      <c r="J837" s="3" t="str">
        <f>HYPERLINK("https://www.boe.es/gazeta/dias/1812/07/22/pdfs/GMD-1812-204.pdf#page=3","Abrir facsímil")</f>
        <v>Abrir facsímil</v>
      </c>
      <c r="K837" s="3" t="s">
        <v>23</v>
      </c>
    </row>
    <row r="838" spans="1:11" ht="42" customHeight="1">
      <c r="A838" s="2" t="s">
        <v>2428</v>
      </c>
      <c r="B838" s="2" t="s">
        <v>2428</v>
      </c>
      <c r="C838" s="2" t="s">
        <v>17</v>
      </c>
      <c r="D838" s="2" t="s">
        <v>18</v>
      </c>
      <c r="E838" s="4">
        <v>-31925</v>
      </c>
      <c r="F838" s="3" t="s">
        <v>2435</v>
      </c>
      <c r="G838" s="3" t="s">
        <v>217</v>
      </c>
      <c r="H838" s="2" t="s">
        <v>21</v>
      </c>
      <c r="I838" s="2" t="s">
        <v>2436</v>
      </c>
      <c r="J838" s="3" t="str">
        <f>HYPERLINK("https://www.boe.es/gazeta/dias/1812/08/03/pdfs/GRE-1812-98E.pdf#page=3","Abrir facsímil")</f>
        <v>Abrir facsímil</v>
      </c>
      <c r="K838" s="3" t="s">
        <v>23</v>
      </c>
    </row>
    <row r="839" spans="1:11" ht="42" customHeight="1">
      <c r="A839" s="2" t="s">
        <v>2428</v>
      </c>
      <c r="B839" s="2" t="s">
        <v>2428</v>
      </c>
      <c r="C839" s="2" t="s">
        <v>17</v>
      </c>
      <c r="D839" s="2" t="s">
        <v>27</v>
      </c>
      <c r="E839" s="4">
        <v>-31871</v>
      </c>
      <c r="F839" s="3" t="s">
        <v>1399</v>
      </c>
      <c r="G839" s="3" t="s">
        <v>20</v>
      </c>
      <c r="H839" s="2" t="s">
        <v>21</v>
      </c>
      <c r="I839" s="2" t="s">
        <v>2437</v>
      </c>
      <c r="J839" s="3" t="str">
        <f>HYPERLINK("https://www.boe.es/gazeta/dias/1812/09/26/pdfs/GMR-1812-19.pdf#page=4","Abrir facsímil")</f>
        <v>Abrir facsímil</v>
      </c>
      <c r="K839" s="3" t="s">
        <v>23</v>
      </c>
    </row>
    <row r="840" spans="1:11" ht="42" customHeight="1">
      <c r="A840" s="2" t="s">
        <v>2428</v>
      </c>
      <c r="B840" s="2" t="s">
        <v>2428</v>
      </c>
      <c r="C840" s="2" t="s">
        <v>26</v>
      </c>
      <c r="D840" s="2" t="s">
        <v>275</v>
      </c>
      <c r="E840" s="4">
        <v>-31866</v>
      </c>
      <c r="F840" s="3" t="s">
        <v>2438</v>
      </c>
      <c r="G840" s="3" t="s">
        <v>237</v>
      </c>
      <c r="H840" s="2" t="s">
        <v>21</v>
      </c>
      <c r="I840" s="2" t="s">
        <v>2439</v>
      </c>
      <c r="J840" s="3" t="str">
        <f>HYPERLINK("https://www.boe.es/gazeta/dias/1812/10/01/pdfs/GMR-1812-21.pdf#page=6","Abrir facsímil")</f>
        <v>Abrir facsímil</v>
      </c>
      <c r="K840" s="3" t="s">
        <v>23</v>
      </c>
    </row>
    <row r="841" spans="1:11" ht="42" customHeight="1">
      <c r="A841" s="2" t="s">
        <v>2440</v>
      </c>
      <c r="B841" s="2" t="s">
        <v>2441</v>
      </c>
      <c r="C841" s="2" t="s">
        <v>26</v>
      </c>
      <c r="D841" s="2" t="s">
        <v>573</v>
      </c>
      <c r="E841" s="4">
        <v>-31921</v>
      </c>
      <c r="F841" s="3" t="s">
        <v>785</v>
      </c>
      <c r="G841" s="3" t="s">
        <v>1128</v>
      </c>
      <c r="H841" s="2" t="s">
        <v>21</v>
      </c>
      <c r="I841" s="2" t="s">
        <v>2442</v>
      </c>
      <c r="J841" s="3" t="str">
        <f>HYPERLINK("https://www.boe.es/gazeta/dias/1812/08/07/pdfs/GRE-1812-101E.pdf#page=7","Abrir facsímil")</f>
        <v>Abrir facsímil</v>
      </c>
      <c r="K841" s="3" t="s">
        <v>23</v>
      </c>
    </row>
    <row r="842" spans="1:11" ht="42" customHeight="1">
      <c r="A842" s="2" t="s">
        <v>2443</v>
      </c>
      <c r="B842" s="2" t="s">
        <v>2444</v>
      </c>
      <c r="C842" s="2" t="s">
        <v>26</v>
      </c>
      <c r="D842" s="2" t="s">
        <v>27</v>
      </c>
      <c r="E842" s="4">
        <v>-32025</v>
      </c>
      <c r="F842" s="3" t="s">
        <v>2323</v>
      </c>
      <c r="G842" s="3" t="s">
        <v>2445</v>
      </c>
      <c r="H842" s="2" t="s">
        <v>21</v>
      </c>
      <c r="I842" s="2" t="s">
        <v>2446</v>
      </c>
      <c r="J842" s="3" t="str">
        <f>HYPERLINK("https://www.boe.es/gazeta/dias/1812/04/25/pdfs/GRE-1812-52.pdf#page=5","Abrir facsímil")</f>
        <v>Abrir facsímil</v>
      </c>
      <c r="K842" s="3" t="s">
        <v>23</v>
      </c>
    </row>
    <row r="843" spans="1:11" ht="42" customHeight="1">
      <c r="A843" s="2" t="s">
        <v>2447</v>
      </c>
      <c r="B843" s="2" t="s">
        <v>2447</v>
      </c>
      <c r="C843" s="2" t="s">
        <v>115</v>
      </c>
      <c r="D843" s="2" t="s">
        <v>27</v>
      </c>
      <c r="E843" s="4">
        <v>-32053</v>
      </c>
      <c r="F843" s="3" t="s">
        <v>910</v>
      </c>
      <c r="G843" s="3" t="s">
        <v>2448</v>
      </c>
      <c r="H843" s="2" t="s">
        <v>21</v>
      </c>
      <c r="I843" s="2" t="s">
        <v>2449</v>
      </c>
      <c r="J843" s="3" t="str">
        <f>HYPERLINK("https://www.boe.es/gazeta/dias/1812/03/28/pdfs/GRE-1812-39.pdf#page=1","Abrir facsímil")</f>
        <v>Abrir facsímil</v>
      </c>
      <c r="K843" s="3" t="s">
        <v>23</v>
      </c>
    </row>
    <row r="844" spans="1:11" ht="42" customHeight="1">
      <c r="A844" s="2" t="s">
        <v>2450</v>
      </c>
      <c r="B844" s="2" t="s">
        <v>2451</v>
      </c>
      <c r="C844" s="2" t="s">
        <v>17</v>
      </c>
      <c r="D844" s="2" t="s">
        <v>27</v>
      </c>
      <c r="E844" s="4">
        <v>-31936</v>
      </c>
      <c r="F844" s="3" t="s">
        <v>614</v>
      </c>
      <c r="G844" s="3" t="s">
        <v>615</v>
      </c>
      <c r="H844" s="2" t="s">
        <v>21</v>
      </c>
      <c r="I844" s="2" t="s">
        <v>2452</v>
      </c>
      <c r="J844" s="3" t="str">
        <f>HYPERLINK("https://www.boe.es/gazeta/dias/1812/07/23/pdfs/GRE-1812-92.pdf#page=8","Abrir facsímil")</f>
        <v>Abrir facsímil</v>
      </c>
      <c r="K844" s="3" t="s">
        <v>23</v>
      </c>
    </row>
    <row r="845" spans="1:11" ht="42" customHeight="1">
      <c r="A845" s="2" t="s">
        <v>2453</v>
      </c>
      <c r="B845" s="2" t="s">
        <v>2454</v>
      </c>
      <c r="C845" s="2" t="s">
        <v>115</v>
      </c>
      <c r="D845" s="2" t="s">
        <v>27</v>
      </c>
      <c r="E845" s="4">
        <v>-31805</v>
      </c>
      <c r="F845" s="3" t="s">
        <v>895</v>
      </c>
      <c r="G845" s="3" t="s">
        <v>2455</v>
      </c>
      <c r="H845" s="2" t="s">
        <v>21</v>
      </c>
      <c r="I845" s="2" t="s">
        <v>2456</v>
      </c>
      <c r="J845" s="3" t="str">
        <f>HYPERLINK("https://www.boe.es/gazeta/dias/1812/12/01/pdfs/GMR-1812-39.pdf#page=14","Abrir facsímil")</f>
        <v>Abrir facsímil</v>
      </c>
      <c r="K845" s="3" t="s">
        <v>23</v>
      </c>
    </row>
    <row r="846" spans="1:11" ht="42" customHeight="1">
      <c r="A846" s="2" t="s">
        <v>2457</v>
      </c>
      <c r="B846" s="2" t="s">
        <v>2458</v>
      </c>
      <c r="C846" s="2" t="s">
        <v>26</v>
      </c>
      <c r="D846" s="2" t="s">
        <v>27</v>
      </c>
      <c r="E846" s="4">
        <v>-32034</v>
      </c>
      <c r="F846" s="3" t="s">
        <v>28</v>
      </c>
      <c r="G846" s="3" t="s">
        <v>130</v>
      </c>
      <c r="H846" s="2" t="s">
        <v>21</v>
      </c>
      <c r="I846" s="2" t="s">
        <v>2459</v>
      </c>
      <c r="J846" s="3" t="str">
        <f>HYPERLINK("https://www.boe.es/gazeta/dias/1812/04/16/pdfs/GMD-1812-107.pdf#page=4","Abrir facsímil")</f>
        <v>Abrir facsímil</v>
      </c>
      <c r="K846" s="3" t="s">
        <v>23</v>
      </c>
    </row>
    <row r="847" spans="1:11" ht="42" customHeight="1">
      <c r="A847" s="2" t="s">
        <v>2460</v>
      </c>
      <c r="B847" s="2" t="s">
        <v>2461</v>
      </c>
      <c r="C847" s="2" t="s">
        <v>26</v>
      </c>
      <c r="D847" s="2" t="s">
        <v>275</v>
      </c>
      <c r="E847" s="4">
        <v>-31964</v>
      </c>
      <c r="F847" s="3" t="s">
        <v>305</v>
      </c>
      <c r="G847" s="3" t="s">
        <v>58</v>
      </c>
      <c r="H847" s="2" t="s">
        <v>21</v>
      </c>
      <c r="I847" s="2" t="s">
        <v>2462</v>
      </c>
      <c r="J847" s="3" t="str">
        <f>HYPERLINK("https://www.boe.es/gazeta/dias/1812/06/25/pdfs/GMD-1812-177.pdf#page=2","Abrir facsímil")</f>
        <v>Abrir facsímil</v>
      </c>
      <c r="K847" s="3" t="s">
        <v>23</v>
      </c>
    </row>
    <row r="848" spans="1:11" ht="42" customHeight="1">
      <c r="A848" s="2" t="s">
        <v>2463</v>
      </c>
      <c r="B848" s="2" t="s">
        <v>2464</v>
      </c>
      <c r="C848" s="2" t="s">
        <v>26</v>
      </c>
      <c r="D848" s="2" t="s">
        <v>27</v>
      </c>
      <c r="E848" s="4">
        <v>-31939</v>
      </c>
      <c r="F848" s="3" t="s">
        <v>408</v>
      </c>
      <c r="G848" s="3" t="s">
        <v>20</v>
      </c>
      <c r="H848" s="2" t="s">
        <v>21</v>
      </c>
      <c r="I848" s="2" t="s">
        <v>2465</v>
      </c>
      <c r="J848" s="3" t="str">
        <f>HYPERLINK("https://www.boe.es/gazeta/dias/1812/07/20/pdfs/GMD-1812-202.pdf#page=4","Abrir facsímil")</f>
        <v>Abrir facsímil</v>
      </c>
      <c r="K848" s="3" t="s">
        <v>23</v>
      </c>
    </row>
    <row r="849" spans="1:11" ht="42" customHeight="1">
      <c r="A849" s="2" t="s">
        <v>2466</v>
      </c>
      <c r="B849" s="2" t="s">
        <v>2467</v>
      </c>
      <c r="C849" s="2" t="s">
        <v>549</v>
      </c>
      <c r="D849" s="2" t="s">
        <v>27</v>
      </c>
      <c r="E849" s="4">
        <v>-32095</v>
      </c>
      <c r="F849" s="3" t="s">
        <v>284</v>
      </c>
      <c r="G849" s="3" t="s">
        <v>29</v>
      </c>
      <c r="H849" s="2" t="s">
        <v>21</v>
      </c>
      <c r="I849" s="2" t="s">
        <v>2468</v>
      </c>
      <c r="J849" s="3" t="str">
        <f>HYPERLINK("https://www.boe.es/gazeta/dias/1812/02/15/pdfs/GRE-1812-20.pdf#page=8","Abrir facsímil")</f>
        <v>Abrir facsímil</v>
      </c>
      <c r="K849" s="3" t="s">
        <v>23</v>
      </c>
    </row>
    <row r="850" spans="1:11" ht="42" customHeight="1">
      <c r="A850" s="2" t="s">
        <v>2469</v>
      </c>
      <c r="B850" s="2" t="s">
        <v>2470</v>
      </c>
      <c r="C850" s="2" t="s">
        <v>49</v>
      </c>
      <c r="D850" s="2" t="s">
        <v>275</v>
      </c>
      <c r="E850" s="4">
        <v>-31878</v>
      </c>
      <c r="F850" s="3" t="s">
        <v>1831</v>
      </c>
      <c r="G850" s="3" t="s">
        <v>2262</v>
      </c>
      <c r="H850" s="2" t="s">
        <v>21</v>
      </c>
      <c r="I850" s="2" t="s">
        <v>2471</v>
      </c>
      <c r="J850" s="3" t="str">
        <f>HYPERLINK("https://www.boe.es/gazeta/dias/1812/09/19/pdfs/GMR-1812-16.pdf#page=5","Abrir facsímil")</f>
        <v>Abrir facsímil</v>
      </c>
      <c r="K850" s="3" t="s">
        <v>23</v>
      </c>
    </row>
    <row r="851" spans="1:11" ht="42" customHeight="1">
      <c r="A851" s="2" t="s">
        <v>2472</v>
      </c>
      <c r="B851" s="2" t="s">
        <v>2473</v>
      </c>
      <c r="C851" s="2" t="s">
        <v>26</v>
      </c>
      <c r="D851" s="2" t="s">
        <v>27</v>
      </c>
      <c r="E851" s="4">
        <v>-32044</v>
      </c>
      <c r="F851" s="3" t="s">
        <v>1031</v>
      </c>
      <c r="G851" s="3" t="s">
        <v>1873</v>
      </c>
      <c r="H851" s="2" t="s">
        <v>30</v>
      </c>
      <c r="I851" s="2" t="s">
        <v>2474</v>
      </c>
      <c r="J851" s="3" t="str">
        <f>HYPERLINK("https://www.boe.es/gazeta/dias/1812/04/06/pdfs/GMD-1812-97.pdf#page=4","Abrir facsímil")</f>
        <v>Abrir facsímil</v>
      </c>
      <c r="K851" s="3" t="s">
        <v>32</v>
      </c>
    </row>
    <row r="852" spans="1:11" ht="42" customHeight="1">
      <c r="A852" s="2" t="s">
        <v>2475</v>
      </c>
      <c r="B852" s="2" t="s">
        <v>2476</v>
      </c>
      <c r="C852" s="2" t="s">
        <v>105</v>
      </c>
      <c r="D852" s="2" t="s">
        <v>27</v>
      </c>
      <c r="E852" s="4">
        <v>-31988</v>
      </c>
      <c r="F852" s="3" t="s">
        <v>1094</v>
      </c>
      <c r="G852" s="3" t="s">
        <v>1095</v>
      </c>
      <c r="H852" s="2" t="s">
        <v>21</v>
      </c>
      <c r="I852" s="2" t="s">
        <v>2477</v>
      </c>
      <c r="J852" s="3" t="str">
        <f>HYPERLINK("https://www.boe.es/gazeta/dias/1812/06/01/pdfs/GMD-1812-153.pdf#page=2","Abrir facsímil")</f>
        <v>Abrir facsímil</v>
      </c>
      <c r="K852" s="3" t="s">
        <v>23</v>
      </c>
    </row>
    <row r="853" spans="1:11" ht="42" customHeight="1">
      <c r="A853" s="2" t="s">
        <v>2478</v>
      </c>
      <c r="B853" s="2" t="s">
        <v>2479</v>
      </c>
      <c r="C853" s="2" t="s">
        <v>26</v>
      </c>
      <c r="D853" s="2" t="s">
        <v>27</v>
      </c>
      <c r="E853" s="4">
        <v>-31929</v>
      </c>
      <c r="F853" s="3" t="s">
        <v>1148</v>
      </c>
      <c r="G853" s="3" t="s">
        <v>1301</v>
      </c>
      <c r="H853" s="2" t="s">
        <v>21</v>
      </c>
      <c r="I853" s="2" t="s">
        <v>2480</v>
      </c>
      <c r="J853" s="3" t="str">
        <f>HYPERLINK("https://www.boe.es/gazeta/dias/1812/07/30/pdfs/GRE-1812-95.pdf#page=8","Abrir facsímil")</f>
        <v>Abrir facsímil</v>
      </c>
      <c r="K853" s="3" t="s">
        <v>23</v>
      </c>
    </row>
    <row r="854" spans="1:11" ht="42" customHeight="1">
      <c r="A854" s="2" t="s">
        <v>2481</v>
      </c>
      <c r="B854" s="2" t="s">
        <v>2481</v>
      </c>
      <c r="C854" s="2" t="s">
        <v>17</v>
      </c>
      <c r="D854" s="2" t="s">
        <v>27</v>
      </c>
      <c r="E854" s="4">
        <v>-31949</v>
      </c>
      <c r="F854" s="3" t="s">
        <v>2291</v>
      </c>
      <c r="G854" s="3" t="s">
        <v>20</v>
      </c>
      <c r="H854" s="2" t="s">
        <v>21</v>
      </c>
      <c r="I854" s="2" t="s">
        <v>2482</v>
      </c>
      <c r="J854" s="3" t="str">
        <f>HYPERLINK("https://www.boe.es/gazeta/dias/1812/07/10/pdfs/GMD-1812-192.pdf#page=4","Abrir facsímil")</f>
        <v>Abrir facsímil</v>
      </c>
      <c r="K854" s="3" t="s">
        <v>23</v>
      </c>
    </row>
    <row r="855" spans="1:11" ht="42" customHeight="1">
      <c r="A855" s="2" t="s">
        <v>2483</v>
      </c>
      <c r="B855" s="2" t="s">
        <v>2483</v>
      </c>
      <c r="C855" s="2" t="s">
        <v>26</v>
      </c>
      <c r="D855" s="2" t="s">
        <v>27</v>
      </c>
      <c r="E855" s="4">
        <v>-32081</v>
      </c>
      <c r="F855" s="3" t="s">
        <v>232</v>
      </c>
      <c r="G855" s="3" t="s">
        <v>233</v>
      </c>
      <c r="H855" s="2" t="s">
        <v>21</v>
      </c>
      <c r="I855" s="2" t="s">
        <v>2484</v>
      </c>
      <c r="J855" s="3" t="str">
        <f>HYPERLINK("https://www.boe.es/gazeta/dias/1812/02/29/pdfs/GRE-1812-27.pdf#page=8","Abrir facsímil")</f>
        <v>Abrir facsímil</v>
      </c>
      <c r="K855" s="3" t="s">
        <v>23</v>
      </c>
    </row>
    <row r="856" spans="1:11" ht="42" customHeight="1">
      <c r="A856" s="2" t="s">
        <v>2485</v>
      </c>
      <c r="B856" s="2" t="s">
        <v>2485</v>
      </c>
      <c r="C856" s="2" t="s">
        <v>17</v>
      </c>
      <c r="D856" s="2" t="s">
        <v>27</v>
      </c>
      <c r="E856" s="4">
        <v>-32076</v>
      </c>
      <c r="F856" s="3" t="s">
        <v>2486</v>
      </c>
      <c r="G856" s="3" t="s">
        <v>674</v>
      </c>
      <c r="H856" s="2" t="s">
        <v>21</v>
      </c>
      <c r="I856" s="2" t="s">
        <v>2487</v>
      </c>
      <c r="J856" s="3" t="str">
        <f>HYPERLINK("https://www.boe.es/gazeta/dias/1812/03/05/pdfs/GRE-1812-29.pdf#page=6","Abrir facsímil")</f>
        <v>Abrir facsímil</v>
      </c>
      <c r="K856" s="3" t="s">
        <v>23</v>
      </c>
    </row>
    <row r="857" spans="1:11" ht="42" customHeight="1">
      <c r="A857" s="2" t="s">
        <v>2488</v>
      </c>
      <c r="B857" s="2" t="s">
        <v>2489</v>
      </c>
      <c r="C857" s="2" t="s">
        <v>17</v>
      </c>
      <c r="D857" s="2" t="s">
        <v>18</v>
      </c>
      <c r="E857" s="4">
        <v>-32076</v>
      </c>
      <c r="F857" s="3" t="s">
        <v>2486</v>
      </c>
      <c r="G857" s="3" t="s">
        <v>674</v>
      </c>
      <c r="H857" s="2" t="s">
        <v>21</v>
      </c>
      <c r="I857" s="2" t="s">
        <v>2490</v>
      </c>
      <c r="J857" s="3" t="str">
        <f>HYPERLINK("https://www.boe.es/gazeta/dias/1812/03/05/pdfs/GRE-1812-29.pdf#page=6","Abrir facsímil")</f>
        <v>Abrir facsímil</v>
      </c>
      <c r="K857" s="3" t="s">
        <v>23</v>
      </c>
    </row>
    <row r="858" spans="1:11" ht="42" customHeight="1">
      <c r="A858" s="2" t="s">
        <v>2491</v>
      </c>
      <c r="B858" s="2" t="s">
        <v>2491</v>
      </c>
      <c r="C858" s="2" t="s">
        <v>17</v>
      </c>
      <c r="D858" s="2" t="s">
        <v>18</v>
      </c>
      <c r="E858" s="4">
        <v>-31880</v>
      </c>
      <c r="F858" s="3" t="s">
        <v>705</v>
      </c>
      <c r="G858" s="3" t="s">
        <v>20</v>
      </c>
      <c r="H858" s="2" t="s">
        <v>21</v>
      </c>
      <c r="I858" s="2" t="s">
        <v>2492</v>
      </c>
      <c r="J858" s="3" t="str">
        <f>HYPERLINK("https://www.boe.es/gazeta/dias/1812/09/17/pdfs/GMR-1812-15.pdf#page=8","Abrir facsímil")</f>
        <v>Abrir facsímil</v>
      </c>
      <c r="K858" s="3" t="s">
        <v>23</v>
      </c>
    </row>
    <row r="859" spans="1:11" ht="42" customHeight="1">
      <c r="A859" s="2" t="s">
        <v>2491</v>
      </c>
      <c r="B859" s="2" t="s">
        <v>2491</v>
      </c>
      <c r="C859" s="2" t="s">
        <v>26</v>
      </c>
      <c r="D859" s="2" t="s">
        <v>194</v>
      </c>
      <c r="E859" s="4">
        <v>-31875</v>
      </c>
      <c r="F859" s="3" t="s">
        <v>708</v>
      </c>
      <c r="G859" s="3" t="s">
        <v>130</v>
      </c>
      <c r="H859" s="2" t="s">
        <v>21</v>
      </c>
      <c r="I859" s="2" t="s">
        <v>2493</v>
      </c>
      <c r="J859" s="3" t="str">
        <f>HYPERLINK("https://www.boe.es/gazeta/dias/1812/09/22/pdfs/GMR-1812-17.pdf#page=4","Abrir facsímil")</f>
        <v>Abrir facsímil</v>
      </c>
      <c r="K859" s="3" t="s">
        <v>23</v>
      </c>
    </row>
    <row r="860" spans="1:11" ht="42" customHeight="1">
      <c r="A860" s="2" t="s">
        <v>2491</v>
      </c>
      <c r="B860" s="2" t="s">
        <v>2491</v>
      </c>
      <c r="C860" s="2" t="s">
        <v>26</v>
      </c>
      <c r="D860" s="2" t="s">
        <v>27</v>
      </c>
      <c r="E860" s="4">
        <v>-31850</v>
      </c>
      <c r="F860" s="3" t="s">
        <v>2178</v>
      </c>
      <c r="G860" s="3" t="s">
        <v>196</v>
      </c>
      <c r="H860" s="2" t="s">
        <v>21</v>
      </c>
      <c r="I860" s="2" t="s">
        <v>2494</v>
      </c>
      <c r="J860" s="3" t="str">
        <f>HYPERLINK("https://www.boe.es/gazeta/dias/1812/10/17/pdfs/GRE-1812-140.pdf#page=1","Abrir facsímil")</f>
        <v>Abrir facsímil</v>
      </c>
      <c r="K860" s="3" t="s">
        <v>23</v>
      </c>
    </row>
    <row r="861" spans="1:11" ht="42" customHeight="1">
      <c r="A861" s="2" t="s">
        <v>2491</v>
      </c>
      <c r="B861" s="2" t="s">
        <v>2491</v>
      </c>
      <c r="C861" s="2" t="s">
        <v>26</v>
      </c>
      <c r="D861" s="2" t="s">
        <v>27</v>
      </c>
      <c r="E861" s="4">
        <v>-31847</v>
      </c>
      <c r="F861" s="3" t="s">
        <v>219</v>
      </c>
      <c r="G861" s="3" t="s">
        <v>1468</v>
      </c>
      <c r="H861" s="2" t="s">
        <v>21</v>
      </c>
      <c r="I861" s="2" t="s">
        <v>2495</v>
      </c>
      <c r="J861" s="3" t="str">
        <f>HYPERLINK("https://www.boe.es/gazeta/dias/1812/10/20/pdfs/GRE-1812-141.pdf#page=3","Abrir facsímil")</f>
        <v>Abrir facsímil</v>
      </c>
      <c r="K861" s="3" t="s">
        <v>23</v>
      </c>
    </row>
    <row r="862" spans="1:11" ht="42" customHeight="1">
      <c r="A862" s="2" t="s">
        <v>2491</v>
      </c>
      <c r="B862" s="2" t="s">
        <v>2491</v>
      </c>
      <c r="C862" s="2" t="s">
        <v>105</v>
      </c>
      <c r="D862" s="2" t="s">
        <v>27</v>
      </c>
      <c r="E862" s="4">
        <v>-31845</v>
      </c>
      <c r="F862" s="3" t="s">
        <v>723</v>
      </c>
      <c r="G862" s="3" t="s">
        <v>125</v>
      </c>
      <c r="H862" s="2" t="s">
        <v>21</v>
      </c>
      <c r="I862" s="2" t="s">
        <v>2496</v>
      </c>
      <c r="J862" s="3" t="str">
        <f>HYPERLINK("https://www.boe.es/gazeta/dias/1812/10/22/pdfs/GMR-1812-30.pdf#page=2","Abrir facsímil")</f>
        <v>Abrir facsímil</v>
      </c>
      <c r="K862" s="3" t="s">
        <v>23</v>
      </c>
    </row>
    <row r="863" spans="1:11" ht="42" customHeight="1">
      <c r="A863" s="2" t="s">
        <v>2491</v>
      </c>
      <c r="B863" s="2" t="s">
        <v>2491</v>
      </c>
      <c r="C863" s="2" t="s">
        <v>17</v>
      </c>
      <c r="D863" s="2" t="s">
        <v>27</v>
      </c>
      <c r="E863" s="4">
        <v>-31816</v>
      </c>
      <c r="F863" s="3" t="s">
        <v>270</v>
      </c>
      <c r="G863" s="3" t="s">
        <v>2497</v>
      </c>
      <c r="H863" s="2" t="s">
        <v>21</v>
      </c>
      <c r="I863" s="2" t="s">
        <v>2498</v>
      </c>
      <c r="J863" s="3" t="str">
        <f>HYPERLINK("https://www.boe.es/gazeta/dias/1812/11/20/pdfs/GMR-1812-36.pdf#page=4","Abrir facsímil")</f>
        <v>Abrir facsímil</v>
      </c>
      <c r="K863" s="3" t="s">
        <v>23</v>
      </c>
    </row>
    <row r="864" spans="1:11" ht="42" customHeight="1">
      <c r="A864" s="2" t="s">
        <v>2499</v>
      </c>
      <c r="B864" s="2" t="s">
        <v>2500</v>
      </c>
      <c r="C864" s="2" t="s">
        <v>26</v>
      </c>
      <c r="D864" s="2" t="s">
        <v>27</v>
      </c>
      <c r="E864" s="4">
        <v>-31812</v>
      </c>
      <c r="F864" s="3" t="s">
        <v>1533</v>
      </c>
      <c r="G864" s="3" t="s">
        <v>965</v>
      </c>
      <c r="H864" s="2" t="s">
        <v>21</v>
      </c>
      <c r="I864" s="2" t="s">
        <v>2501</v>
      </c>
      <c r="J864" s="3" t="str">
        <f>HYPERLINK("https://www.boe.es/gazeta/dias/1812/11/24/pdfs/GMR-1812-37.pdf#page=5","Abrir facsímil")</f>
        <v>Abrir facsímil</v>
      </c>
      <c r="K864" s="3" t="s">
        <v>23</v>
      </c>
    </row>
    <row r="865" spans="1:11" ht="42" customHeight="1">
      <c r="A865" s="2" t="s">
        <v>2502</v>
      </c>
      <c r="B865" s="2" t="s">
        <v>2503</v>
      </c>
      <c r="C865" s="2" t="s">
        <v>26</v>
      </c>
      <c r="D865" s="2" t="s">
        <v>27</v>
      </c>
      <c r="E865" s="4">
        <v>-31955</v>
      </c>
      <c r="F865" s="3" t="s">
        <v>789</v>
      </c>
      <c r="G865" s="3" t="s">
        <v>237</v>
      </c>
      <c r="H865" s="2" t="s">
        <v>21</v>
      </c>
      <c r="I865" s="2" t="s">
        <v>2504</v>
      </c>
      <c r="J865" s="3" t="str">
        <f>HYPERLINK("https://www.boe.es/gazeta/dias/1812/07/04/pdfs/GRE-1812-82.pdf#page=8","Abrir facsímil")</f>
        <v>Abrir facsímil</v>
      </c>
      <c r="K865" s="3" t="s">
        <v>23</v>
      </c>
    </row>
    <row r="866" spans="1:11" ht="42" customHeight="1">
      <c r="A866" s="2" t="s">
        <v>2505</v>
      </c>
      <c r="B866" s="2" t="s">
        <v>2505</v>
      </c>
      <c r="C866" s="2" t="s">
        <v>26</v>
      </c>
      <c r="D866" s="2" t="s">
        <v>134</v>
      </c>
      <c r="E866" s="4">
        <v>-31896</v>
      </c>
      <c r="F866" s="3" t="s">
        <v>2506</v>
      </c>
      <c r="G866" s="3" t="s">
        <v>514</v>
      </c>
      <c r="H866" s="2" t="s">
        <v>21</v>
      </c>
      <c r="I866" s="2" t="s">
        <v>2507</v>
      </c>
      <c r="J866" s="3" t="str">
        <f>HYPERLINK("https://www.boe.es/gazeta/dias/1812/09/01/pdfs/GRE-F-1812-117.pdf#page=2","Abrir facsímil")</f>
        <v>Abrir facsímil</v>
      </c>
      <c r="K866" s="3" t="s">
        <v>23</v>
      </c>
    </row>
    <row r="867" spans="1:11" ht="42" customHeight="1">
      <c r="A867" s="2" t="s">
        <v>2508</v>
      </c>
      <c r="B867" s="2" t="s">
        <v>2508</v>
      </c>
      <c r="C867" s="2" t="s">
        <v>17</v>
      </c>
      <c r="D867" s="2" t="s">
        <v>18</v>
      </c>
      <c r="E867" s="4">
        <v>-32063</v>
      </c>
      <c r="F867" s="3" t="s">
        <v>384</v>
      </c>
      <c r="G867" s="3" t="s">
        <v>125</v>
      </c>
      <c r="H867" s="2" t="s">
        <v>21</v>
      </c>
      <c r="I867" s="2" t="s">
        <v>2509</v>
      </c>
      <c r="J867" s="3" t="str">
        <f>HYPERLINK("https://www.boe.es/gazeta/dias/1812/03/18/pdfs/GMD-1812-78.pdf#page=3","Abrir facsímil")</f>
        <v>Abrir facsímil</v>
      </c>
      <c r="K867" s="3" t="s">
        <v>23</v>
      </c>
    </row>
    <row r="868" spans="1:11" ht="42" customHeight="1">
      <c r="A868" s="2" t="s">
        <v>2510</v>
      </c>
      <c r="B868" s="2" t="s">
        <v>2511</v>
      </c>
      <c r="C868" s="2" t="s">
        <v>26</v>
      </c>
      <c r="D868" s="2" t="s">
        <v>27</v>
      </c>
      <c r="E868" s="4">
        <v>-31850</v>
      </c>
      <c r="F868" s="3" t="s">
        <v>719</v>
      </c>
      <c r="G868" s="3" t="s">
        <v>237</v>
      </c>
      <c r="H868" s="2" t="s">
        <v>21</v>
      </c>
      <c r="I868" s="2" t="s">
        <v>2512</v>
      </c>
      <c r="J868" s="3" t="str">
        <f>HYPERLINK("https://www.boe.es/gazeta/dias/1812/10/17/pdfs/GMR-1812-28.pdf#page=8","Abrir facsímil")</f>
        <v>Abrir facsímil</v>
      </c>
      <c r="K868" s="3" t="s">
        <v>23</v>
      </c>
    </row>
    <row r="869" spans="1:11" ht="42" customHeight="1">
      <c r="A869" s="2" t="s">
        <v>2513</v>
      </c>
      <c r="B869" s="2" t="s">
        <v>2514</v>
      </c>
      <c r="C869" s="2" t="s">
        <v>186</v>
      </c>
      <c r="D869" s="2" t="s">
        <v>275</v>
      </c>
      <c r="E869" s="4">
        <v>-32100</v>
      </c>
      <c r="F869" s="3" t="s">
        <v>492</v>
      </c>
      <c r="G869" s="3" t="s">
        <v>493</v>
      </c>
      <c r="H869" s="2" t="s">
        <v>21</v>
      </c>
      <c r="I869" s="2" t="s">
        <v>2515</v>
      </c>
      <c r="J869" s="3" t="str">
        <f>HYPERLINK("https://www.boe.es/gazeta/dias/1812/02/10/pdfs/GRE-1812-31.pdf#page=8","Abrir facsímil")</f>
        <v>Abrir facsímil</v>
      </c>
      <c r="K869" s="3" t="s">
        <v>23</v>
      </c>
    </row>
    <row r="870" spans="1:11" ht="42" customHeight="1">
      <c r="A870" s="2" t="s">
        <v>2513</v>
      </c>
      <c r="B870" s="2" t="s">
        <v>2514</v>
      </c>
      <c r="C870" s="2" t="s">
        <v>186</v>
      </c>
      <c r="D870" s="2" t="s">
        <v>275</v>
      </c>
      <c r="E870" s="4">
        <v>-32071</v>
      </c>
      <c r="F870" s="3" t="s">
        <v>492</v>
      </c>
      <c r="G870" s="3" t="s">
        <v>493</v>
      </c>
      <c r="H870" s="2" t="s">
        <v>21</v>
      </c>
      <c r="I870" s="2" t="s">
        <v>2515</v>
      </c>
      <c r="J870" s="3" t="str">
        <f>HYPERLINK("https://www.boe.es/gazeta/dias/1812/03/10/pdfs/GRE-1812-31.pdf#page=8","Abrir facsímil")</f>
        <v>Abrir facsímil</v>
      </c>
      <c r="K870" s="3" t="s">
        <v>23</v>
      </c>
    </row>
    <row r="871" spans="1:11" ht="42" customHeight="1">
      <c r="A871" s="2" t="s">
        <v>2516</v>
      </c>
      <c r="B871" s="2" t="s">
        <v>2516</v>
      </c>
      <c r="C871" s="2" t="s">
        <v>67</v>
      </c>
      <c r="D871" s="2" t="s">
        <v>27</v>
      </c>
      <c r="E871" s="4">
        <v>-31977</v>
      </c>
      <c r="F871" s="3" t="s">
        <v>1566</v>
      </c>
      <c r="G871" s="3" t="s">
        <v>1567</v>
      </c>
      <c r="H871" s="2" t="s">
        <v>21</v>
      </c>
      <c r="I871" s="2" t="s">
        <v>2517</v>
      </c>
      <c r="J871" s="3" t="str">
        <f>HYPERLINK("https://www.boe.es/gazeta/dias/1812/06/12/pdfs/GMD-1812-164.pdf#page=1","Abrir facsímil")</f>
        <v>Abrir facsímil</v>
      </c>
      <c r="K871" s="3" t="s">
        <v>23</v>
      </c>
    </row>
    <row r="872" spans="1:11" ht="42" customHeight="1">
      <c r="A872" s="2" t="s">
        <v>2518</v>
      </c>
      <c r="B872" s="2" t="s">
        <v>2519</v>
      </c>
      <c r="C872" s="2" t="s">
        <v>105</v>
      </c>
      <c r="D872" s="2" t="s">
        <v>27</v>
      </c>
      <c r="E872" s="4">
        <v>-32109</v>
      </c>
      <c r="F872" s="3" t="s">
        <v>62</v>
      </c>
      <c r="G872" s="3" t="s">
        <v>106</v>
      </c>
      <c r="H872" s="2" t="s">
        <v>21</v>
      </c>
      <c r="I872" s="2" t="s">
        <v>2520</v>
      </c>
      <c r="J872" s="3" t="str">
        <f>HYPERLINK("https://www.boe.es/gazeta/dias/1812/02/01/pdfs/GRE-1812-14.pdf#page=11","Abrir facsímil")</f>
        <v>Abrir facsímil</v>
      </c>
      <c r="K872" s="3" t="s">
        <v>23</v>
      </c>
    </row>
    <row r="873" spans="1:11" ht="42" customHeight="1">
      <c r="A873" s="2" t="s">
        <v>2521</v>
      </c>
      <c r="B873" s="2" t="s">
        <v>2522</v>
      </c>
      <c r="C873" s="2" t="s">
        <v>26</v>
      </c>
      <c r="D873" s="2" t="s">
        <v>27</v>
      </c>
      <c r="E873" s="4">
        <v>-32109</v>
      </c>
      <c r="F873" s="3" t="s">
        <v>62</v>
      </c>
      <c r="G873" s="3" t="s">
        <v>472</v>
      </c>
      <c r="H873" s="2" t="s">
        <v>21</v>
      </c>
      <c r="I873" s="2" t="s">
        <v>2523</v>
      </c>
      <c r="J873" s="3" t="str">
        <f>HYPERLINK("https://www.boe.es/gazeta/dias/1812/02/01/pdfs/GRE-1812-14.pdf#page=12","Abrir facsímil")</f>
        <v>Abrir facsímil</v>
      </c>
      <c r="K873" s="3" t="s">
        <v>23</v>
      </c>
    </row>
    <row r="874" spans="1:11" ht="42" customHeight="1">
      <c r="A874" s="2" t="s">
        <v>2524</v>
      </c>
      <c r="B874" s="2" t="s">
        <v>2525</v>
      </c>
      <c r="C874" s="2" t="s">
        <v>26</v>
      </c>
      <c r="D874" s="2" t="s">
        <v>27</v>
      </c>
      <c r="E874" s="4">
        <v>-31994</v>
      </c>
      <c r="F874" s="3" t="s">
        <v>207</v>
      </c>
      <c r="G874" s="3" t="s">
        <v>1176</v>
      </c>
      <c r="H874" s="2" t="s">
        <v>21</v>
      </c>
      <c r="I874" s="2" t="s">
        <v>2526</v>
      </c>
      <c r="J874" s="3" t="str">
        <f>HYPERLINK("https://www.boe.es/gazeta/dias/1812/05/26/pdfs/GRE-1812-65.pdf#page=8","Abrir facsímil")</f>
        <v>Abrir facsímil</v>
      </c>
      <c r="K874" s="3" t="s">
        <v>23</v>
      </c>
    </row>
    <row r="875" spans="1:11" ht="42" customHeight="1">
      <c r="A875" s="2" t="s">
        <v>2527</v>
      </c>
      <c r="B875" s="2" t="s">
        <v>2527</v>
      </c>
      <c r="C875" s="2" t="s">
        <v>17</v>
      </c>
      <c r="D875" s="2" t="s">
        <v>27</v>
      </c>
      <c r="E875" s="4">
        <v>-31995</v>
      </c>
      <c r="F875" s="3" t="s">
        <v>100</v>
      </c>
      <c r="G875" s="3" t="s">
        <v>237</v>
      </c>
      <c r="H875" s="2" t="s">
        <v>21</v>
      </c>
      <c r="I875" s="2" t="s">
        <v>2528</v>
      </c>
      <c r="J875" s="3" t="str">
        <f>HYPERLINK("https://www.boe.es/gazeta/dias/1812/05/25/pdfs/GMD-1812-146.pdf#page=3","Abrir facsímil")</f>
        <v>Abrir facsímil</v>
      </c>
      <c r="K875" s="3" t="s">
        <v>23</v>
      </c>
    </row>
    <row r="876" spans="1:11" ht="42" customHeight="1">
      <c r="A876" s="2" t="s">
        <v>2529</v>
      </c>
      <c r="B876" s="2" t="s">
        <v>2529</v>
      </c>
      <c r="C876" s="2" t="s">
        <v>17</v>
      </c>
      <c r="D876" s="2" t="s">
        <v>27</v>
      </c>
      <c r="E876" s="4">
        <v>-32067</v>
      </c>
      <c r="F876" s="3" t="s">
        <v>199</v>
      </c>
      <c r="G876" s="3" t="s">
        <v>317</v>
      </c>
      <c r="H876" s="2" t="s">
        <v>21</v>
      </c>
      <c r="I876" s="2" t="s">
        <v>2530</v>
      </c>
      <c r="J876" s="3" t="str">
        <f>HYPERLINK("https://www.boe.es/gazeta/dias/1812/03/14/pdfs/GRE-1812-33.pdf#page=6","Abrir facsímil")</f>
        <v>Abrir facsímil</v>
      </c>
      <c r="K876" s="3" t="s">
        <v>23</v>
      </c>
    </row>
    <row r="877" spans="1:11" ht="42" customHeight="1">
      <c r="A877" s="2" t="s">
        <v>2529</v>
      </c>
      <c r="B877" s="2" t="s">
        <v>2529</v>
      </c>
      <c r="C877" s="2" t="s">
        <v>17</v>
      </c>
      <c r="D877" s="2" t="s">
        <v>27</v>
      </c>
      <c r="E877" s="4">
        <v>-32059</v>
      </c>
      <c r="F877" s="3" t="s">
        <v>2531</v>
      </c>
      <c r="G877" s="3" t="s">
        <v>2532</v>
      </c>
      <c r="H877" s="2" t="s">
        <v>21</v>
      </c>
      <c r="I877" s="2" t="s">
        <v>2533</v>
      </c>
      <c r="J877" s="3" t="str">
        <f>HYPERLINK("https://www.boe.es/gazeta/dias/1812/03/22/pdfs/GMD-1812-82.pdf#page=4","Abrir facsímil")</f>
        <v>Abrir facsímil</v>
      </c>
      <c r="K877" s="3" t="s">
        <v>23</v>
      </c>
    </row>
    <row r="878" spans="1:11" ht="42" customHeight="1">
      <c r="A878" s="2" t="s">
        <v>2529</v>
      </c>
      <c r="B878" s="2" t="s">
        <v>2529</v>
      </c>
      <c r="C878" s="2" t="s">
        <v>17</v>
      </c>
      <c r="D878" s="2" t="s">
        <v>275</v>
      </c>
      <c r="E878" s="4">
        <v>-32051</v>
      </c>
      <c r="F878" s="3" t="s">
        <v>2534</v>
      </c>
      <c r="G878" s="3" t="s">
        <v>125</v>
      </c>
      <c r="H878" s="2" t="s">
        <v>21</v>
      </c>
      <c r="I878" s="2" t="s">
        <v>2535</v>
      </c>
      <c r="J878" s="3" t="str">
        <f>HYPERLINK("https://www.boe.es/gazeta/dias/1812/03/30/pdfs/GMD-1812-90.pdf#page=4","Abrir facsímil")</f>
        <v>Abrir facsímil</v>
      </c>
      <c r="K878" s="3" t="s">
        <v>23</v>
      </c>
    </row>
    <row r="879" spans="1:11" ht="42" customHeight="1">
      <c r="A879" s="2" t="s">
        <v>2536</v>
      </c>
      <c r="B879" s="2" t="s">
        <v>2537</v>
      </c>
      <c r="C879" s="2" t="s">
        <v>17</v>
      </c>
      <c r="D879" s="2" t="s">
        <v>27</v>
      </c>
      <c r="E879" s="4">
        <v>-32130</v>
      </c>
      <c r="F879" s="3" t="s">
        <v>2538</v>
      </c>
      <c r="G879" s="3" t="s">
        <v>2539</v>
      </c>
      <c r="H879" s="2" t="s">
        <v>21</v>
      </c>
      <c r="I879" s="2" t="s">
        <v>2540</v>
      </c>
      <c r="J879" s="3" t="str">
        <f>HYPERLINK("https://www.boe.es/gazeta/dias/1812/01/11/pdfs/GEI-1812-5.pdf#page=4","Abrir facsímil")</f>
        <v>Abrir facsímil</v>
      </c>
      <c r="K879" s="3" t="s">
        <v>23</v>
      </c>
    </row>
    <row r="880" spans="1:11" ht="42" customHeight="1">
      <c r="A880" s="2" t="s">
        <v>2541</v>
      </c>
      <c r="B880" s="2" t="s">
        <v>2542</v>
      </c>
      <c r="C880" s="2" t="s">
        <v>17</v>
      </c>
      <c r="D880" s="2" t="s">
        <v>18</v>
      </c>
      <c r="E880" s="4">
        <v>-32018</v>
      </c>
      <c r="F880" s="3" t="s">
        <v>1287</v>
      </c>
      <c r="G880" s="3" t="s">
        <v>1288</v>
      </c>
      <c r="H880" s="2" t="s">
        <v>21</v>
      </c>
      <c r="I880" s="2" t="s">
        <v>2543</v>
      </c>
      <c r="J880" s="3" t="str">
        <f>HYPERLINK("https://www.boe.es/gazeta/dias/1812/05/02/pdfs/GMD-1812-123.pdf#page=2","Abrir facsímil")</f>
        <v>Abrir facsímil</v>
      </c>
      <c r="K880" s="3" t="s">
        <v>23</v>
      </c>
    </row>
    <row r="881" spans="1:11" ht="42" customHeight="1">
      <c r="A881" s="2" t="s">
        <v>2544</v>
      </c>
      <c r="B881" s="2" t="s">
        <v>2544</v>
      </c>
      <c r="C881" s="2" t="s">
        <v>105</v>
      </c>
      <c r="D881" s="2" t="s">
        <v>27</v>
      </c>
      <c r="E881" s="4">
        <v>-32122</v>
      </c>
      <c r="F881" s="3" t="s">
        <v>1389</v>
      </c>
      <c r="G881" s="3" t="s">
        <v>125</v>
      </c>
      <c r="H881" s="2" t="s">
        <v>21</v>
      </c>
      <c r="I881" s="2" t="s">
        <v>2545</v>
      </c>
      <c r="J881" s="3" t="str">
        <f>HYPERLINK("https://www.boe.es/gazeta/dias/1812/01/19/pdfs/GMD-1812-19.pdf#page=2","Abrir facsímil")</f>
        <v>Abrir facsímil</v>
      </c>
      <c r="K881" s="3" t="s">
        <v>23</v>
      </c>
    </row>
    <row r="882" spans="1:11" ht="42" customHeight="1">
      <c r="A882" s="2" t="s">
        <v>2546</v>
      </c>
      <c r="B882" s="2" t="s">
        <v>2547</v>
      </c>
      <c r="C882" s="2" t="s">
        <v>26</v>
      </c>
      <c r="D882" s="2" t="s">
        <v>27</v>
      </c>
      <c r="E882" s="4">
        <v>-31964</v>
      </c>
      <c r="F882" s="3" t="s">
        <v>93</v>
      </c>
      <c r="G882" s="3" t="s">
        <v>2548</v>
      </c>
      <c r="H882" s="2" t="s">
        <v>21</v>
      </c>
      <c r="I882" s="2" t="s">
        <v>2549</v>
      </c>
      <c r="J882" s="3" t="str">
        <f>HYPERLINK("https://www.boe.es/gazeta/dias/1812/06/25/pdfs/GRE-1812-78.pdf#page=5","Abrir facsímil")</f>
        <v>Abrir facsímil</v>
      </c>
      <c r="K882" s="3" t="s">
        <v>23</v>
      </c>
    </row>
    <row r="883" spans="1:11" ht="42" customHeight="1">
      <c r="A883" s="2" t="s">
        <v>2550</v>
      </c>
      <c r="B883" s="2" t="s">
        <v>2550</v>
      </c>
      <c r="C883" s="2" t="s">
        <v>17</v>
      </c>
      <c r="D883" s="2" t="s">
        <v>18</v>
      </c>
      <c r="E883" s="4">
        <v>-31791</v>
      </c>
      <c r="F883" s="3" t="s">
        <v>905</v>
      </c>
      <c r="G883" s="3" t="s">
        <v>2551</v>
      </c>
      <c r="H883" s="2" t="s">
        <v>21</v>
      </c>
      <c r="I883" s="2" t="s">
        <v>2552</v>
      </c>
      <c r="J883" s="3" t="str">
        <f>HYPERLINK("https://www.boe.es/gazeta/dias/1812/12/15/pdfs/GRE-1812-165.pdf#page=3","Abrir facsímil")</f>
        <v>Abrir facsímil</v>
      </c>
      <c r="K883" s="3" t="s">
        <v>23</v>
      </c>
    </row>
    <row r="884" spans="1:11" ht="42" customHeight="1">
      <c r="A884" s="2" t="s">
        <v>2553</v>
      </c>
      <c r="B884" s="2" t="s">
        <v>2554</v>
      </c>
      <c r="C884" s="2" t="s">
        <v>26</v>
      </c>
      <c r="D884" s="2" t="s">
        <v>275</v>
      </c>
      <c r="E884" s="4">
        <v>-31938</v>
      </c>
      <c r="F884" s="3" t="s">
        <v>324</v>
      </c>
      <c r="G884" s="3" t="s">
        <v>404</v>
      </c>
      <c r="H884" s="2" t="s">
        <v>21</v>
      </c>
      <c r="I884" s="2" t="s">
        <v>2555</v>
      </c>
      <c r="J884" s="3" t="str">
        <f>HYPERLINK("https://www.boe.es/gazeta/dias/1812/07/21/pdfs/GMD-1812-203.pdf#page=4","Abrir facsímil")</f>
        <v>Abrir facsímil</v>
      </c>
      <c r="K884" s="3" t="s">
        <v>23</v>
      </c>
    </row>
    <row r="885" spans="1:11" ht="42" customHeight="1">
      <c r="A885" s="2" t="s">
        <v>2556</v>
      </c>
      <c r="B885" s="2" t="s">
        <v>2557</v>
      </c>
      <c r="C885" s="2" t="s">
        <v>67</v>
      </c>
      <c r="D885" s="2" t="s">
        <v>27</v>
      </c>
      <c r="E885" s="4">
        <v>-32006</v>
      </c>
      <c r="F885" s="3" t="s">
        <v>1153</v>
      </c>
      <c r="G885" s="3" t="s">
        <v>1154</v>
      </c>
      <c r="H885" s="2" t="s">
        <v>21</v>
      </c>
      <c r="I885" s="2" t="s">
        <v>2558</v>
      </c>
      <c r="J885" s="3" t="str">
        <f>HYPERLINK("https://www.boe.es/gazeta/dias/1812/05/14/pdfs/GMD-1812-135.pdf#page=3","Abrir facsímil")</f>
        <v>Abrir facsímil</v>
      </c>
      <c r="K885" s="3" t="s">
        <v>23</v>
      </c>
    </row>
    <row r="886" spans="1:11" ht="42" customHeight="1">
      <c r="A886" s="2" t="s">
        <v>2559</v>
      </c>
      <c r="B886" s="2" t="s">
        <v>2560</v>
      </c>
      <c r="C886" s="2" t="s">
        <v>17</v>
      </c>
      <c r="D886" s="2" t="s">
        <v>27</v>
      </c>
      <c r="E886" s="4">
        <v>-32130</v>
      </c>
      <c r="F886" s="3" t="s">
        <v>927</v>
      </c>
      <c r="G886" s="3" t="s">
        <v>130</v>
      </c>
      <c r="H886" s="2" t="s">
        <v>21</v>
      </c>
      <c r="I886" s="2" t="s">
        <v>2561</v>
      </c>
      <c r="J886" s="3" t="str">
        <f>HYPERLINK("https://www.boe.es/gazeta/dias/1812/01/11/pdfs/GMD-1812-11.pdf#page=4","Abrir facsímil")</f>
        <v>Abrir facsímil</v>
      </c>
      <c r="K886" s="3" t="s">
        <v>23</v>
      </c>
    </row>
    <row r="887" spans="1:11" ht="42" customHeight="1">
      <c r="A887" s="2" t="s">
        <v>2562</v>
      </c>
      <c r="B887" s="2" t="s">
        <v>2563</v>
      </c>
      <c r="C887" s="2" t="s">
        <v>26</v>
      </c>
      <c r="D887" s="2" t="s">
        <v>27</v>
      </c>
      <c r="E887" s="4">
        <v>-32125</v>
      </c>
      <c r="F887" s="3" t="s">
        <v>335</v>
      </c>
      <c r="G887" s="3" t="s">
        <v>336</v>
      </c>
      <c r="H887" s="2" t="s">
        <v>21</v>
      </c>
      <c r="I887" s="2" t="s">
        <v>2564</v>
      </c>
      <c r="J887" s="3" t="str">
        <f>HYPERLINK("https://www.boe.es/gazeta/dias/1812/01/16/pdfs/GEI-1812-7.pdf#page=8","Abrir facsímil")</f>
        <v>Abrir facsímil</v>
      </c>
      <c r="K887" s="3" t="s">
        <v>23</v>
      </c>
    </row>
    <row r="888" spans="1:11" ht="42" customHeight="1">
      <c r="A888" s="2" t="s">
        <v>2565</v>
      </c>
      <c r="B888" s="2" t="s">
        <v>2565</v>
      </c>
      <c r="C888" s="2" t="s">
        <v>17</v>
      </c>
      <c r="D888" s="2" t="s">
        <v>27</v>
      </c>
      <c r="E888" s="4">
        <v>-32099</v>
      </c>
      <c r="F888" s="3" t="s">
        <v>2566</v>
      </c>
      <c r="G888" s="3" t="s">
        <v>2567</v>
      </c>
      <c r="H888" s="2" t="s">
        <v>21</v>
      </c>
      <c r="I888" s="2" t="s">
        <v>2568</v>
      </c>
      <c r="J888" s="3" t="str">
        <f>HYPERLINK("https://www.boe.es/gazeta/dias/1812/02/11/pdfs/GRE-1812-18.pdf#page=4","Abrir facsímil")</f>
        <v>Abrir facsímil</v>
      </c>
      <c r="K888" s="3" t="s">
        <v>23</v>
      </c>
    </row>
    <row r="889" spans="1:11" ht="42" customHeight="1">
      <c r="A889" s="2" t="s">
        <v>2569</v>
      </c>
      <c r="B889" s="2" t="s">
        <v>2569</v>
      </c>
      <c r="C889" s="2" t="s">
        <v>17</v>
      </c>
      <c r="D889" s="2" t="s">
        <v>18</v>
      </c>
      <c r="E889" s="4">
        <v>-31793</v>
      </c>
      <c r="F889" s="3" t="s">
        <v>2570</v>
      </c>
      <c r="G889" s="3" t="s">
        <v>2571</v>
      </c>
      <c r="H889" s="2" t="s">
        <v>21</v>
      </c>
      <c r="I889" s="2" t="s">
        <v>2572</v>
      </c>
      <c r="J889" s="3" t="str">
        <f>HYPERLINK("https://www.boe.es/gazeta/dias/1812/12/13/pdfs/GMD-1812-236.pdf#page=1","Abrir facsímil")</f>
        <v>Abrir facsímil</v>
      </c>
      <c r="K889" s="3" t="s">
        <v>23</v>
      </c>
    </row>
    <row r="890" spans="1:11" ht="42" customHeight="1">
      <c r="A890" s="2" t="s">
        <v>2573</v>
      </c>
      <c r="B890" s="2" t="s">
        <v>2573</v>
      </c>
      <c r="C890" s="2" t="s">
        <v>17</v>
      </c>
      <c r="D890" s="2" t="s">
        <v>18</v>
      </c>
      <c r="E890" s="4">
        <v>-31793</v>
      </c>
      <c r="F890" s="3" t="s">
        <v>2570</v>
      </c>
      <c r="G890" s="3" t="s">
        <v>217</v>
      </c>
      <c r="H890" s="2" t="s">
        <v>21</v>
      </c>
      <c r="I890" s="2" t="s">
        <v>2574</v>
      </c>
      <c r="J890" s="3" t="str">
        <f>HYPERLINK("https://www.boe.es/gazeta/dias/1812/12/13/pdfs/GMD-1812-236.pdf#page=4","Abrir facsímil")</f>
        <v>Abrir facsímil</v>
      </c>
      <c r="K890" s="3" t="s">
        <v>23</v>
      </c>
    </row>
    <row r="891" spans="1:11" ht="42" customHeight="1">
      <c r="A891" s="2" t="s">
        <v>2575</v>
      </c>
      <c r="B891" s="2" t="s">
        <v>2576</v>
      </c>
      <c r="C891" s="2" t="s">
        <v>26</v>
      </c>
      <c r="D891" s="2" t="s">
        <v>27</v>
      </c>
      <c r="E891" s="4">
        <v>-31852</v>
      </c>
      <c r="F891" s="3" t="s">
        <v>2145</v>
      </c>
      <c r="G891" s="3" t="s">
        <v>58</v>
      </c>
      <c r="H891" s="2" t="s">
        <v>21</v>
      </c>
      <c r="I891" s="2" t="s">
        <v>2577</v>
      </c>
      <c r="J891" s="3" t="str">
        <f>HYPERLINK("https://www.boe.es/gazeta/dias/1812/10/15/pdfs/GRE-1812-139.pdf#page=2","Abrir facsímil")</f>
        <v>Abrir facsímil</v>
      </c>
      <c r="K891" s="3" t="s">
        <v>23</v>
      </c>
    </row>
    <row r="892" spans="1:11" ht="42" customHeight="1">
      <c r="A892" s="2" t="s">
        <v>2578</v>
      </c>
      <c r="B892" s="2" t="s">
        <v>2578</v>
      </c>
      <c r="C892" s="2" t="s">
        <v>17</v>
      </c>
      <c r="D892" s="2" t="s">
        <v>18</v>
      </c>
      <c r="E892" s="4">
        <v>-31950</v>
      </c>
      <c r="F892" s="3" t="s">
        <v>1024</v>
      </c>
      <c r="G892" s="3" t="s">
        <v>1025</v>
      </c>
      <c r="H892" s="2" t="s">
        <v>21</v>
      </c>
      <c r="I892" s="2" t="s">
        <v>2579</v>
      </c>
      <c r="J892" s="3" t="str">
        <f>HYPERLINK("https://www.boe.es/gazeta/dias/1812/07/09/pdfs/GRE-1812-84.pdf#page=7","Abrir facsímil")</f>
        <v>Abrir facsímil</v>
      </c>
      <c r="K892" s="3" t="s">
        <v>23</v>
      </c>
    </row>
    <row r="893" spans="1:11" ht="42" customHeight="1">
      <c r="A893" s="2" t="s">
        <v>2580</v>
      </c>
      <c r="B893" s="2" t="s">
        <v>2581</v>
      </c>
      <c r="C893" s="2" t="s">
        <v>17</v>
      </c>
      <c r="D893" s="2" t="s">
        <v>18</v>
      </c>
      <c r="E893" s="4">
        <v>-32139</v>
      </c>
      <c r="F893" s="3" t="s">
        <v>288</v>
      </c>
      <c r="G893" s="3" t="s">
        <v>20</v>
      </c>
      <c r="H893" s="2" t="s">
        <v>21</v>
      </c>
      <c r="I893" s="2" t="s">
        <v>2582</v>
      </c>
      <c r="J893" s="3" t="str">
        <f>HYPERLINK("https://www.boe.es/gazeta/dias/1812/01/02/pdfs/GMD-1812-2.pdf#page=3","Abrir facsímil")</f>
        <v>Abrir facsímil</v>
      </c>
      <c r="K893" s="3" t="s">
        <v>23</v>
      </c>
    </row>
    <row r="894" spans="1:11" ht="42" customHeight="1">
      <c r="A894" s="2" t="s">
        <v>2583</v>
      </c>
      <c r="B894" s="2" t="s">
        <v>2583</v>
      </c>
      <c r="C894" s="2" t="s">
        <v>17</v>
      </c>
      <c r="D894" s="2" t="s">
        <v>18</v>
      </c>
      <c r="E894" s="4">
        <v>-31955</v>
      </c>
      <c r="F894" s="3" t="s">
        <v>1195</v>
      </c>
      <c r="G894" s="3" t="s">
        <v>2584</v>
      </c>
      <c r="H894" s="2" t="s">
        <v>21</v>
      </c>
      <c r="I894" s="2" t="s">
        <v>2585</v>
      </c>
      <c r="J894" s="3" t="str">
        <f>HYPERLINK("https://www.boe.es/gazeta/dias/1812/07/04/pdfs/GMD-1812-186.pdf#page=1","Abrir facsímil")</f>
        <v>Abrir facsímil</v>
      </c>
      <c r="K894" s="3" t="s">
        <v>23</v>
      </c>
    </row>
    <row r="895" spans="1:11" ht="42" customHeight="1">
      <c r="A895" s="2" t="s">
        <v>2586</v>
      </c>
      <c r="B895" s="2" t="s">
        <v>2586</v>
      </c>
      <c r="C895" s="2" t="s">
        <v>17</v>
      </c>
      <c r="D895" s="2" t="s">
        <v>194</v>
      </c>
      <c r="E895" s="4">
        <v>-32030</v>
      </c>
      <c r="F895" s="3" t="s">
        <v>2226</v>
      </c>
      <c r="G895" s="3" t="s">
        <v>1883</v>
      </c>
      <c r="H895" s="2" t="s">
        <v>21</v>
      </c>
      <c r="I895" s="2" t="s">
        <v>2587</v>
      </c>
      <c r="J895" s="3" t="str">
        <f>HYPERLINK("https://www.boe.es/gazeta/dias/1812/04/20/pdfs/GMD-1812-111.pdf#page=1","Abrir facsímil")</f>
        <v>Abrir facsímil</v>
      </c>
      <c r="K895" s="3" t="s">
        <v>23</v>
      </c>
    </row>
    <row r="896" spans="1:11" ht="42" customHeight="1">
      <c r="A896" s="2" t="s">
        <v>2588</v>
      </c>
      <c r="B896" s="2" t="s">
        <v>2589</v>
      </c>
      <c r="C896" s="2" t="s">
        <v>26</v>
      </c>
      <c r="D896" s="2" t="s">
        <v>27</v>
      </c>
      <c r="E896" s="4">
        <v>-31833</v>
      </c>
      <c r="F896" s="3" t="s">
        <v>267</v>
      </c>
      <c r="G896" s="3" t="s">
        <v>268</v>
      </c>
      <c r="H896" s="2" t="s">
        <v>21</v>
      </c>
      <c r="I896" s="2" t="s">
        <v>2590</v>
      </c>
      <c r="J896" s="3" t="str">
        <f>HYPERLINK("https://www.boe.es/gazeta/dias/1812/11/03/pdfs/GRE-1812-147.pdf#page=8","Abrir facsímil")</f>
        <v>Abrir facsímil</v>
      </c>
      <c r="K896" s="3" t="s">
        <v>23</v>
      </c>
    </row>
    <row r="897" spans="1:11" ht="42" customHeight="1">
      <c r="A897" s="2" t="s">
        <v>2591</v>
      </c>
      <c r="B897" s="2" t="s">
        <v>2591</v>
      </c>
      <c r="C897" s="2" t="s">
        <v>17</v>
      </c>
      <c r="D897" s="2" t="s">
        <v>27</v>
      </c>
      <c r="E897" s="4">
        <v>-32099</v>
      </c>
      <c r="F897" s="3" t="s">
        <v>2566</v>
      </c>
      <c r="G897" s="3" t="s">
        <v>2567</v>
      </c>
      <c r="H897" s="2" t="s">
        <v>21</v>
      </c>
      <c r="I897" s="2" t="s">
        <v>2592</v>
      </c>
      <c r="J897" s="3" t="str">
        <f>HYPERLINK("https://www.boe.es/gazeta/dias/1812/02/11/pdfs/GRE-1812-18.pdf#page=4","Abrir facsímil")</f>
        <v>Abrir facsímil</v>
      </c>
      <c r="K897" s="3" t="s">
        <v>23</v>
      </c>
    </row>
    <row r="898" spans="1:11" ht="42" customHeight="1">
      <c r="A898" s="2" t="s">
        <v>2593</v>
      </c>
      <c r="B898" s="2" t="s">
        <v>2594</v>
      </c>
      <c r="C898" s="2" t="s">
        <v>26</v>
      </c>
      <c r="D898" s="2" t="s">
        <v>27</v>
      </c>
      <c r="E898" s="4">
        <v>-32134</v>
      </c>
      <c r="F898" s="3" t="s">
        <v>50</v>
      </c>
      <c r="G898" s="3" t="s">
        <v>233</v>
      </c>
      <c r="H898" s="2" t="s">
        <v>21</v>
      </c>
      <c r="I898" s="2" t="s">
        <v>2595</v>
      </c>
      <c r="J898" s="3" t="str">
        <f>HYPERLINK("https://www.boe.es/gazeta/dias/1812/01/07/pdfs/GEI-1812-3.pdf#page=8","Abrir facsímil")</f>
        <v>Abrir facsímil</v>
      </c>
      <c r="K898" s="3" t="s">
        <v>23</v>
      </c>
    </row>
    <row r="899" spans="1:11" ht="42" customHeight="1">
      <c r="A899" s="2" t="s">
        <v>2596</v>
      </c>
      <c r="B899" s="2" t="s">
        <v>2597</v>
      </c>
      <c r="C899" s="2" t="s">
        <v>17</v>
      </c>
      <c r="D899" s="2" t="s">
        <v>18</v>
      </c>
      <c r="E899" s="4">
        <v>-32099</v>
      </c>
      <c r="F899" s="3" t="s">
        <v>2566</v>
      </c>
      <c r="G899" s="3" t="s">
        <v>2567</v>
      </c>
      <c r="H899" s="2" t="s">
        <v>21</v>
      </c>
      <c r="I899" s="2" t="s">
        <v>2598</v>
      </c>
      <c r="J899" s="3" t="str">
        <f>HYPERLINK("https://www.boe.es/gazeta/dias/1812/02/11/pdfs/GRE-1812-18.pdf#page=4","Abrir facsímil")</f>
        <v>Abrir facsímil</v>
      </c>
      <c r="K899" s="3" t="s">
        <v>23</v>
      </c>
    </row>
    <row r="900" spans="1:11" ht="42" customHeight="1">
      <c r="A900" s="2" t="s">
        <v>2599</v>
      </c>
      <c r="B900" s="2" t="s">
        <v>2600</v>
      </c>
      <c r="C900" s="2" t="s">
        <v>186</v>
      </c>
      <c r="D900" s="2" t="s">
        <v>27</v>
      </c>
      <c r="E900" s="4">
        <v>-32060</v>
      </c>
      <c r="F900" s="3" t="s">
        <v>399</v>
      </c>
      <c r="G900" s="3" t="s">
        <v>136</v>
      </c>
      <c r="H900" s="2" t="s">
        <v>21</v>
      </c>
      <c r="I900" s="2" t="s">
        <v>2601</v>
      </c>
      <c r="J900" s="3" t="str">
        <f>HYPERLINK("https://www.boe.es/gazeta/dias/1812/03/21/pdfs/GMD-1812-81.pdf#page=4","Abrir facsímil")</f>
        <v>Abrir facsímil</v>
      </c>
      <c r="K900" s="3" t="s">
        <v>23</v>
      </c>
    </row>
    <row r="901" spans="1:11" ht="42" customHeight="1">
      <c r="A901" s="2" t="s">
        <v>2602</v>
      </c>
      <c r="B901" s="2" t="s">
        <v>2602</v>
      </c>
      <c r="C901" s="2" t="s">
        <v>17</v>
      </c>
      <c r="D901" s="2" t="s">
        <v>18</v>
      </c>
      <c r="E901" s="4">
        <v>-31781</v>
      </c>
      <c r="F901" s="3" t="s">
        <v>2414</v>
      </c>
      <c r="G901" s="3" t="s">
        <v>2415</v>
      </c>
      <c r="H901" s="2" t="s">
        <v>21</v>
      </c>
      <c r="I901" s="2" t="s">
        <v>2603</v>
      </c>
      <c r="J901" s="3" t="str">
        <f>HYPERLINK("https://www.boe.es/gazeta/dias/1812/12/25/pdfs/GMD-1812-248.pdf#page=4","Abrir facsímil")</f>
        <v>Abrir facsímil</v>
      </c>
      <c r="K901" s="3" t="s">
        <v>23</v>
      </c>
    </row>
    <row r="902" spans="1:11" ht="42" customHeight="1">
      <c r="A902" s="2" t="s">
        <v>2604</v>
      </c>
      <c r="B902" s="2" t="s">
        <v>2604</v>
      </c>
      <c r="C902" s="2" t="s">
        <v>17</v>
      </c>
      <c r="D902" s="2" t="s">
        <v>27</v>
      </c>
      <c r="E902" s="4">
        <v>-32111</v>
      </c>
      <c r="F902" s="3" t="s">
        <v>951</v>
      </c>
      <c r="G902" s="3" t="s">
        <v>2605</v>
      </c>
      <c r="H902" s="2" t="s">
        <v>21</v>
      </c>
      <c r="I902" s="2" t="s">
        <v>2606</v>
      </c>
      <c r="J902" s="3" t="str">
        <f>HYPERLINK("https://www.boe.es/gazeta/dias/1812/01/30/pdfs/GMD-1812-30.pdf#page=1","Abrir facsímil")</f>
        <v>Abrir facsímil</v>
      </c>
      <c r="K902" s="3" t="s">
        <v>23</v>
      </c>
    </row>
    <row r="903" spans="1:11" ht="42" customHeight="1">
      <c r="A903" s="2" t="s">
        <v>2607</v>
      </c>
      <c r="B903" s="2" t="s">
        <v>2607</v>
      </c>
      <c r="C903" s="2" t="s">
        <v>17</v>
      </c>
      <c r="D903" s="2" t="s">
        <v>27</v>
      </c>
      <c r="E903" s="4">
        <v>-32068</v>
      </c>
      <c r="F903" s="3" t="s">
        <v>2608</v>
      </c>
      <c r="G903" s="3" t="s">
        <v>404</v>
      </c>
      <c r="H903" s="2" t="s">
        <v>21</v>
      </c>
      <c r="I903" s="2" t="s">
        <v>2609</v>
      </c>
      <c r="J903" s="3" t="str">
        <f>HYPERLINK("https://www.boe.es/gazeta/dias/1812/03/13/pdfs/GMD-1812-73.pdf#page=3","Abrir facsímil")</f>
        <v>Abrir facsímil</v>
      </c>
      <c r="K903" s="3" t="s">
        <v>23</v>
      </c>
    </row>
    <row r="904" spans="1:11" ht="42" customHeight="1">
      <c r="A904" s="2" t="s">
        <v>2607</v>
      </c>
      <c r="B904" s="2" t="s">
        <v>2607</v>
      </c>
      <c r="C904" s="2" t="s">
        <v>17</v>
      </c>
      <c r="D904" s="2" t="s">
        <v>27</v>
      </c>
      <c r="E904" s="4">
        <v>-32052</v>
      </c>
      <c r="F904" s="3" t="s">
        <v>2610</v>
      </c>
      <c r="G904" s="3" t="s">
        <v>140</v>
      </c>
      <c r="H904" s="2" t="s">
        <v>21</v>
      </c>
      <c r="I904" s="2" t="s">
        <v>2611</v>
      </c>
      <c r="J904" s="3" t="str">
        <f>HYPERLINK("https://www.boe.es/gazeta/dias/1812/03/29/pdfs/GMD-1812-89.pdf#page=2","Abrir facsímil")</f>
        <v>Abrir facsímil</v>
      </c>
      <c r="K904" s="3" t="s">
        <v>23</v>
      </c>
    </row>
    <row r="905" spans="1:11" ht="42" customHeight="1">
      <c r="A905" s="2" t="s">
        <v>2607</v>
      </c>
      <c r="B905" s="2" t="s">
        <v>2607</v>
      </c>
      <c r="C905" s="2" t="s">
        <v>17</v>
      </c>
      <c r="D905" s="2" t="s">
        <v>27</v>
      </c>
      <c r="E905" s="4">
        <v>-32046</v>
      </c>
      <c r="F905" s="3" t="s">
        <v>2612</v>
      </c>
      <c r="G905" s="3" t="s">
        <v>404</v>
      </c>
      <c r="H905" s="2" t="s">
        <v>21</v>
      </c>
      <c r="I905" s="2" t="s">
        <v>2613</v>
      </c>
      <c r="J905" s="3" t="str">
        <f>HYPERLINK("https://www.boe.es/gazeta/dias/1812/04/04/pdfs/GMD-1812-95.pdf#page=1","Abrir facsímil")</f>
        <v>Abrir facsímil</v>
      </c>
      <c r="K905" s="3" t="s">
        <v>23</v>
      </c>
    </row>
    <row r="906" spans="1:11" ht="42" customHeight="1">
      <c r="A906" s="2" t="s">
        <v>2607</v>
      </c>
      <c r="B906" s="2" t="s">
        <v>2607</v>
      </c>
      <c r="C906" s="2" t="s">
        <v>17</v>
      </c>
      <c r="D906" s="2" t="s">
        <v>18</v>
      </c>
      <c r="E906" s="4">
        <v>-31921</v>
      </c>
      <c r="F906" s="3" t="s">
        <v>785</v>
      </c>
      <c r="G906" s="3" t="s">
        <v>1128</v>
      </c>
      <c r="H906" s="2" t="s">
        <v>21</v>
      </c>
      <c r="I906" s="2" t="s">
        <v>2614</v>
      </c>
      <c r="J906" s="3" t="str">
        <f>HYPERLINK("https://www.boe.es/gazeta/dias/1812/08/07/pdfs/GRE-1812-101E.pdf#page=7","Abrir facsímil")</f>
        <v>Abrir facsímil</v>
      </c>
      <c r="K906" s="3" t="s">
        <v>23</v>
      </c>
    </row>
    <row r="907" spans="1:11" ht="42" customHeight="1">
      <c r="A907" s="2" t="s">
        <v>2607</v>
      </c>
      <c r="B907" s="2" t="s">
        <v>2607</v>
      </c>
      <c r="C907" s="2" t="s">
        <v>17</v>
      </c>
      <c r="D907" s="2" t="s">
        <v>18</v>
      </c>
      <c r="E907" s="4">
        <v>-31905</v>
      </c>
      <c r="F907" s="3" t="s">
        <v>855</v>
      </c>
      <c r="G907" s="3" t="s">
        <v>1826</v>
      </c>
      <c r="H907" s="2" t="s">
        <v>21</v>
      </c>
      <c r="I907" s="2" t="s">
        <v>2615</v>
      </c>
      <c r="J907" s="3" t="str">
        <f>HYPERLINK("https://www.boe.es/gazeta/dias/1812/08/23/pdfs/GMR-1812-4.pdf#page=7","Abrir facsímil")</f>
        <v>Abrir facsímil</v>
      </c>
      <c r="K907" s="3" t="s">
        <v>23</v>
      </c>
    </row>
    <row r="908" spans="1:11" ht="42" customHeight="1">
      <c r="A908" s="2" t="s">
        <v>2616</v>
      </c>
      <c r="B908" s="2" t="s">
        <v>2616</v>
      </c>
      <c r="C908" s="2" t="s">
        <v>17</v>
      </c>
      <c r="D908" s="2" t="s">
        <v>27</v>
      </c>
      <c r="E908" s="4">
        <v>-32046</v>
      </c>
      <c r="F908" s="3" t="s">
        <v>2612</v>
      </c>
      <c r="G908" s="3" t="s">
        <v>1380</v>
      </c>
      <c r="H908" s="2" t="s">
        <v>21</v>
      </c>
      <c r="I908" s="2" t="s">
        <v>2617</v>
      </c>
      <c r="J908" s="3" t="str">
        <f>HYPERLINK("https://www.boe.es/gazeta/dias/1812/04/04/pdfs/GMD-1812-95.pdf#page=2","Abrir facsímil")</f>
        <v>Abrir facsímil</v>
      </c>
      <c r="K908" s="3" t="s">
        <v>23</v>
      </c>
    </row>
    <row r="909" spans="1:11" ht="42" customHeight="1">
      <c r="A909" s="2" t="s">
        <v>2618</v>
      </c>
      <c r="B909" s="2" t="s">
        <v>2618</v>
      </c>
      <c r="C909" s="2" t="s">
        <v>17</v>
      </c>
      <c r="D909" s="2" t="s">
        <v>27</v>
      </c>
      <c r="E909" s="4">
        <v>-32114</v>
      </c>
      <c r="F909" s="3" t="s">
        <v>480</v>
      </c>
      <c r="G909" s="3" t="s">
        <v>140</v>
      </c>
      <c r="H909" s="2" t="s">
        <v>21</v>
      </c>
      <c r="I909" s="2" t="s">
        <v>2619</v>
      </c>
      <c r="J909" s="3" t="str">
        <f>HYPERLINK("https://www.boe.es/gazeta/dias/1812/01/27/pdfs/GMD-1812-27.pdf#page=2","Abrir facsímil")</f>
        <v>Abrir facsímil</v>
      </c>
      <c r="K909" s="3" t="s">
        <v>23</v>
      </c>
    </row>
    <row r="910" spans="1:11" ht="42" customHeight="1">
      <c r="A910" s="2" t="s">
        <v>2620</v>
      </c>
      <c r="B910" s="2" t="s">
        <v>2621</v>
      </c>
      <c r="C910" s="2" t="s">
        <v>26</v>
      </c>
      <c r="D910" s="2" t="s">
        <v>27</v>
      </c>
      <c r="E910" s="4">
        <v>-32044</v>
      </c>
      <c r="F910" s="3" t="s">
        <v>1031</v>
      </c>
      <c r="G910" s="3" t="s">
        <v>1873</v>
      </c>
      <c r="H910" s="2" t="s">
        <v>21</v>
      </c>
      <c r="I910" s="2" t="s">
        <v>2622</v>
      </c>
      <c r="J910" s="3" t="str">
        <f>HYPERLINK("https://www.boe.es/gazeta/dias/1812/04/06/pdfs/GMD-1812-97.pdf#page=4","Abrir facsímil")</f>
        <v>Abrir facsímil</v>
      </c>
      <c r="K910" s="3" t="s">
        <v>23</v>
      </c>
    </row>
    <row r="911" spans="1:11" ht="42" customHeight="1">
      <c r="A911" s="2" t="s">
        <v>2623</v>
      </c>
      <c r="B911" s="2" t="s">
        <v>2623</v>
      </c>
      <c r="C911" s="2" t="s">
        <v>17</v>
      </c>
      <c r="D911" s="2" t="s">
        <v>27</v>
      </c>
      <c r="E911" s="4">
        <v>-32109</v>
      </c>
      <c r="F911" s="3" t="s">
        <v>62</v>
      </c>
      <c r="G911" s="3" t="s">
        <v>2624</v>
      </c>
      <c r="H911" s="2" t="s">
        <v>21</v>
      </c>
      <c r="I911" s="2" t="s">
        <v>2625</v>
      </c>
      <c r="J911" s="3" t="str">
        <f>HYPERLINK("https://www.boe.es/gazeta/dias/1812/02/01/pdfs/GRE-1812-14.pdf#page=7","Abrir facsímil")</f>
        <v>Abrir facsímil</v>
      </c>
      <c r="K911" s="3" t="s">
        <v>23</v>
      </c>
    </row>
    <row r="912" spans="1:11" ht="42" customHeight="1">
      <c r="A912" s="2" t="s">
        <v>2626</v>
      </c>
      <c r="B912" s="2" t="s">
        <v>2626</v>
      </c>
      <c r="C912" s="2" t="s">
        <v>49</v>
      </c>
      <c r="D912" s="2" t="s">
        <v>27</v>
      </c>
      <c r="E912" s="4">
        <v>-32062</v>
      </c>
      <c r="F912" s="3" t="s">
        <v>280</v>
      </c>
      <c r="G912" s="3" t="s">
        <v>514</v>
      </c>
      <c r="H912" s="2" t="s">
        <v>21</v>
      </c>
      <c r="I912" s="2" t="s">
        <v>2627</v>
      </c>
      <c r="J912" s="3" t="str">
        <f>HYPERLINK("https://www.boe.es/gazeta/dias/1812/03/19/pdfs/GMD-1812-79.pdf#page=2","Abrir facsímil")</f>
        <v>Abrir facsímil</v>
      </c>
      <c r="K912" s="3" t="s">
        <v>23</v>
      </c>
    </row>
    <row r="913" spans="1:11" ht="42" customHeight="1">
      <c r="A913" s="2" t="s">
        <v>2628</v>
      </c>
      <c r="B913" s="2" t="s">
        <v>2628</v>
      </c>
      <c r="C913" s="2" t="s">
        <v>17</v>
      </c>
      <c r="D913" s="2" t="s">
        <v>27</v>
      </c>
      <c r="E913" s="4">
        <v>-32110</v>
      </c>
      <c r="F913" s="3" t="s">
        <v>68</v>
      </c>
      <c r="G913" s="3" t="s">
        <v>506</v>
      </c>
      <c r="H913" s="2" t="s">
        <v>21</v>
      </c>
      <c r="I913" s="2" t="s">
        <v>2629</v>
      </c>
      <c r="J913" s="3" t="str">
        <f>HYPERLINK("https://www.boe.es/gazeta/dias/1812/01/31/pdfs/GMD-1812-31.pdf#page=2","Abrir facsímil")</f>
        <v>Abrir facsímil</v>
      </c>
      <c r="K913" s="3" t="s">
        <v>23</v>
      </c>
    </row>
    <row r="914" spans="1:11" ht="42" customHeight="1">
      <c r="A914" s="2" t="s">
        <v>2630</v>
      </c>
      <c r="B914" s="2" t="s">
        <v>2631</v>
      </c>
      <c r="C914" s="2" t="s">
        <v>26</v>
      </c>
      <c r="D914" s="2" t="s">
        <v>27</v>
      </c>
      <c r="E914" s="4">
        <v>-31922</v>
      </c>
      <c r="F914" s="3" t="s">
        <v>622</v>
      </c>
      <c r="G914" s="3" t="s">
        <v>623</v>
      </c>
      <c r="H914" s="2" t="s">
        <v>21</v>
      </c>
      <c r="I914" s="2" t="s">
        <v>2632</v>
      </c>
      <c r="J914" s="3" t="str">
        <f>HYPERLINK("https://www.boe.es/gazeta/dias/1812/08/06/pdfs/GMD-1812-219.pdf#page=1","Abrir facsímil")</f>
        <v>Abrir facsímil</v>
      </c>
      <c r="K914" s="3" t="s">
        <v>23</v>
      </c>
    </row>
    <row r="915" spans="1:11" ht="42" customHeight="1">
      <c r="A915" s="2" t="s">
        <v>2633</v>
      </c>
      <c r="B915" s="2" t="s">
        <v>2634</v>
      </c>
      <c r="C915" s="2" t="s">
        <v>186</v>
      </c>
      <c r="D915" s="2" t="s">
        <v>275</v>
      </c>
      <c r="E915" s="4">
        <v>-32036</v>
      </c>
      <c r="F915" s="3" t="s">
        <v>781</v>
      </c>
      <c r="G915" s="3" t="s">
        <v>782</v>
      </c>
      <c r="H915" s="2" t="s">
        <v>21</v>
      </c>
      <c r="I915" s="2" t="s">
        <v>2635</v>
      </c>
      <c r="J915" s="3" t="str">
        <f>HYPERLINK("https://www.boe.es/gazeta/dias/1812/04/14/pdfs/GRE-1812-47.pdf#page=8","Abrir facsímil")</f>
        <v>Abrir facsímil</v>
      </c>
      <c r="K915" s="3" t="s">
        <v>23</v>
      </c>
    </row>
    <row r="916" spans="1:11" ht="42" customHeight="1">
      <c r="A916" s="2" t="s">
        <v>2636</v>
      </c>
      <c r="B916" s="2" t="s">
        <v>2636</v>
      </c>
      <c r="C916" s="2" t="s">
        <v>26</v>
      </c>
      <c r="D916" s="2" t="s">
        <v>27</v>
      </c>
      <c r="E916" s="4">
        <v>-32109</v>
      </c>
      <c r="F916" s="3" t="s">
        <v>2637</v>
      </c>
      <c r="G916" s="3" t="s">
        <v>58</v>
      </c>
      <c r="H916" s="2" t="s">
        <v>21</v>
      </c>
      <c r="I916" s="2" t="s">
        <v>2638</v>
      </c>
      <c r="J916" s="3" t="str">
        <f>HYPERLINK("https://www.boe.es/gazeta/dias/1812/02/01/pdfs/GMD-1812-32.pdf#page=2","Abrir facsímil")</f>
        <v>Abrir facsímil</v>
      </c>
      <c r="K916" s="3" t="s">
        <v>23</v>
      </c>
    </row>
    <row r="917" spans="1:11" ht="42" customHeight="1">
      <c r="A917" s="2" t="s">
        <v>2636</v>
      </c>
      <c r="B917" s="2" t="s">
        <v>2636</v>
      </c>
      <c r="C917" s="2" t="s">
        <v>17</v>
      </c>
      <c r="D917" s="2" t="s">
        <v>275</v>
      </c>
      <c r="E917" s="4">
        <v>-32044</v>
      </c>
      <c r="F917" s="3" t="s">
        <v>1031</v>
      </c>
      <c r="G917" s="3" t="s">
        <v>20</v>
      </c>
      <c r="H917" s="2" t="s">
        <v>21</v>
      </c>
      <c r="I917" s="2" t="s">
        <v>2639</v>
      </c>
      <c r="J917" s="3" t="str">
        <f>HYPERLINK("https://www.boe.es/gazeta/dias/1812/04/06/pdfs/GMD-1812-97.pdf#page=3","Abrir facsímil")</f>
        <v>Abrir facsímil</v>
      </c>
      <c r="K917" s="3" t="s">
        <v>23</v>
      </c>
    </row>
    <row r="918" spans="1:11" ht="42" customHeight="1">
      <c r="A918" s="2" t="s">
        <v>2636</v>
      </c>
      <c r="B918" s="2" t="s">
        <v>2636</v>
      </c>
      <c r="C918" s="2" t="s">
        <v>17</v>
      </c>
      <c r="D918" s="2" t="s">
        <v>27</v>
      </c>
      <c r="E918" s="4">
        <v>-31966</v>
      </c>
      <c r="F918" s="3" t="s">
        <v>387</v>
      </c>
      <c r="G918" s="3" t="s">
        <v>667</v>
      </c>
      <c r="H918" s="2" t="s">
        <v>21</v>
      </c>
      <c r="I918" s="2" t="s">
        <v>2640</v>
      </c>
      <c r="J918" s="3" t="str">
        <f>HYPERLINK("https://www.boe.es/gazeta/dias/1812/06/23/pdfs/GMD-1812-175.pdf#page=1","Abrir facsímil")</f>
        <v>Abrir facsímil</v>
      </c>
      <c r="K918" s="3" t="s">
        <v>23</v>
      </c>
    </row>
    <row r="919" spans="1:11" ht="42" customHeight="1">
      <c r="A919" s="2" t="s">
        <v>2641</v>
      </c>
      <c r="B919" s="2" t="s">
        <v>2641</v>
      </c>
      <c r="C919" s="2" t="s">
        <v>17</v>
      </c>
      <c r="D919" s="2" t="s">
        <v>27</v>
      </c>
      <c r="E919" s="4">
        <v>-32123</v>
      </c>
      <c r="F919" s="3" t="s">
        <v>2642</v>
      </c>
      <c r="G919" s="3" t="s">
        <v>20</v>
      </c>
      <c r="H919" s="2" t="s">
        <v>21</v>
      </c>
      <c r="I919" s="2" t="s">
        <v>2643</v>
      </c>
      <c r="J919" s="3" t="str">
        <f>HYPERLINK("https://www.boe.es/gazeta/dias/1812/01/18/pdfs/GMD-1812-18.pdf#page=4","Abrir facsímil")</f>
        <v>Abrir facsímil</v>
      </c>
      <c r="K919" s="3" t="s">
        <v>23</v>
      </c>
    </row>
    <row r="920" spans="1:11" ht="42" customHeight="1">
      <c r="A920" s="2" t="s">
        <v>2641</v>
      </c>
      <c r="B920" s="2" t="s">
        <v>2641</v>
      </c>
      <c r="C920" s="2" t="s">
        <v>17</v>
      </c>
      <c r="D920" s="2" t="s">
        <v>18</v>
      </c>
      <c r="E920" s="4">
        <v>-32099</v>
      </c>
      <c r="F920" s="3" t="s">
        <v>2566</v>
      </c>
      <c r="G920" s="3" t="s">
        <v>2644</v>
      </c>
      <c r="H920" s="2" t="s">
        <v>21</v>
      </c>
      <c r="I920" s="2" t="s">
        <v>2645</v>
      </c>
      <c r="J920" s="3" t="str">
        <f>HYPERLINK("https://www.boe.es/gazeta/dias/1812/02/11/pdfs/GRE-1812-18.pdf#page=5","Abrir facsímil")</f>
        <v>Abrir facsímil</v>
      </c>
      <c r="K920" s="3" t="s">
        <v>23</v>
      </c>
    </row>
    <row r="921" spans="1:11" ht="42" customHeight="1">
      <c r="A921" s="2" t="s">
        <v>2641</v>
      </c>
      <c r="B921" s="2" t="s">
        <v>2641</v>
      </c>
      <c r="C921" s="2" t="s">
        <v>17</v>
      </c>
      <c r="D921" s="2" t="s">
        <v>18</v>
      </c>
      <c r="E921" s="4">
        <v>-32035</v>
      </c>
      <c r="F921" s="3" t="s">
        <v>2646</v>
      </c>
      <c r="G921" s="3" t="s">
        <v>1176</v>
      </c>
      <c r="H921" s="2" t="s">
        <v>21</v>
      </c>
      <c r="I921" s="2" t="s">
        <v>2647</v>
      </c>
      <c r="J921" s="3" t="str">
        <f>HYPERLINK("https://www.boe.es/gazeta/dias/1812/04/15/pdfs/GMD-1812-106.pdf#page=2","Abrir facsímil")</f>
        <v>Abrir facsímil</v>
      </c>
      <c r="K921" s="3" t="s">
        <v>23</v>
      </c>
    </row>
    <row r="922" spans="1:11" ht="42" customHeight="1">
      <c r="A922" s="2" t="s">
        <v>2641</v>
      </c>
      <c r="B922" s="2" t="s">
        <v>2641</v>
      </c>
      <c r="C922" s="2" t="s">
        <v>17</v>
      </c>
      <c r="D922" s="2" t="s">
        <v>27</v>
      </c>
      <c r="E922" s="4">
        <v>-32031</v>
      </c>
      <c r="F922" s="3" t="s">
        <v>1343</v>
      </c>
      <c r="G922" s="3" t="s">
        <v>36</v>
      </c>
      <c r="H922" s="2" t="s">
        <v>21</v>
      </c>
      <c r="I922" s="2" t="s">
        <v>2648</v>
      </c>
      <c r="J922" s="3" t="str">
        <f>HYPERLINK("https://www.boe.es/gazeta/dias/1812/04/19/pdfs/GMD-1812-110.pdf#page=3","Abrir facsímil")</f>
        <v>Abrir facsímil</v>
      </c>
      <c r="K922" s="3" t="s">
        <v>23</v>
      </c>
    </row>
    <row r="923" spans="1:11" ht="42" customHeight="1">
      <c r="A923" s="2" t="s">
        <v>2641</v>
      </c>
      <c r="B923" s="2" t="s">
        <v>2641</v>
      </c>
      <c r="C923" s="2" t="s">
        <v>115</v>
      </c>
      <c r="D923" s="2" t="s">
        <v>27</v>
      </c>
      <c r="E923" s="4">
        <v>-32031</v>
      </c>
      <c r="F923" s="3" t="s">
        <v>1343</v>
      </c>
      <c r="G923" s="3" t="s">
        <v>514</v>
      </c>
      <c r="H923" s="2" t="s">
        <v>21</v>
      </c>
      <c r="I923" s="2" t="s">
        <v>2649</v>
      </c>
      <c r="J923" s="3" t="str">
        <f>HYPERLINK("https://www.boe.es/gazeta/dias/1812/04/19/pdfs/GMD-1812-110.pdf#page=4","Abrir facsímil")</f>
        <v>Abrir facsímil</v>
      </c>
      <c r="K923" s="3" t="s">
        <v>23</v>
      </c>
    </row>
    <row r="924" spans="1:11" ht="42" customHeight="1">
      <c r="A924" s="2" t="s">
        <v>2641</v>
      </c>
      <c r="B924" s="2" t="s">
        <v>2641</v>
      </c>
      <c r="C924" s="2" t="s">
        <v>17</v>
      </c>
      <c r="D924" s="2" t="s">
        <v>18</v>
      </c>
      <c r="E924" s="4">
        <v>-32030</v>
      </c>
      <c r="F924" s="3" t="s">
        <v>2226</v>
      </c>
      <c r="G924" s="3" t="s">
        <v>2650</v>
      </c>
      <c r="H924" s="2" t="s">
        <v>21</v>
      </c>
      <c r="I924" s="2" t="s">
        <v>2651</v>
      </c>
      <c r="J924" s="3" t="str">
        <f>HYPERLINK("https://www.boe.es/gazeta/dias/1812/04/20/pdfs/GMD-1812-111.pdf#page=3","Abrir facsímil")</f>
        <v>Abrir facsímil</v>
      </c>
      <c r="K924" s="3" t="s">
        <v>23</v>
      </c>
    </row>
    <row r="925" spans="1:11" ht="42" customHeight="1">
      <c r="A925" s="2" t="s">
        <v>2652</v>
      </c>
      <c r="B925" s="2" t="s">
        <v>2653</v>
      </c>
      <c r="C925" s="2" t="s">
        <v>17</v>
      </c>
      <c r="D925" s="2" t="s">
        <v>27</v>
      </c>
      <c r="E925" s="4">
        <v>-32134</v>
      </c>
      <c r="F925" s="3" t="s">
        <v>50</v>
      </c>
      <c r="G925" s="3" t="s">
        <v>1907</v>
      </c>
      <c r="H925" s="2" t="s">
        <v>21</v>
      </c>
      <c r="I925" s="2" t="s">
        <v>2654</v>
      </c>
      <c r="J925" s="3" t="str">
        <f>HYPERLINK("https://www.boe.es/gazeta/dias/1812/01/07/pdfs/GEI-1812-3.pdf#page=7","Abrir facsímil")</f>
        <v>Abrir facsímil</v>
      </c>
      <c r="K925" s="3" t="s">
        <v>23</v>
      </c>
    </row>
    <row r="926" spans="1:11" ht="42" customHeight="1">
      <c r="A926" s="2" t="s">
        <v>2652</v>
      </c>
      <c r="B926" s="2" t="s">
        <v>2653</v>
      </c>
      <c r="C926" s="2" t="s">
        <v>17</v>
      </c>
      <c r="D926" s="2" t="s">
        <v>18</v>
      </c>
      <c r="E926" s="4">
        <v>-32113</v>
      </c>
      <c r="F926" s="3" t="s">
        <v>121</v>
      </c>
      <c r="G926" s="3" t="s">
        <v>2655</v>
      </c>
      <c r="H926" s="2" t="s">
        <v>21</v>
      </c>
      <c r="I926" s="2" t="s">
        <v>2656</v>
      </c>
      <c r="J926" s="3" t="str">
        <f>HYPERLINK("https://www.boe.es/gazeta/dias/1812/01/28/pdfs/GRE-1812-12.pdf#page=8","Abrir facsímil")</f>
        <v>Abrir facsímil</v>
      </c>
      <c r="K926" s="3" t="s">
        <v>23</v>
      </c>
    </row>
    <row r="927" spans="1:11" ht="42" customHeight="1">
      <c r="A927" s="2" t="s">
        <v>2652</v>
      </c>
      <c r="B927" s="2" t="s">
        <v>2653</v>
      </c>
      <c r="C927" s="2" t="s">
        <v>17</v>
      </c>
      <c r="D927" s="2" t="s">
        <v>18</v>
      </c>
      <c r="E927" s="4">
        <v>-32095</v>
      </c>
      <c r="F927" s="3" t="s">
        <v>181</v>
      </c>
      <c r="G927" s="3" t="s">
        <v>777</v>
      </c>
      <c r="H927" s="2" t="s">
        <v>21</v>
      </c>
      <c r="I927" s="2" t="s">
        <v>2657</v>
      </c>
      <c r="J927" s="3" t="str">
        <f>HYPERLINK("https://www.boe.es/gazeta/dias/1812/02/15/pdfs/GMD-1812-47.pdf#page=3","Abrir facsímil")</f>
        <v>Abrir facsímil</v>
      </c>
      <c r="K927" s="3" t="s">
        <v>23</v>
      </c>
    </row>
    <row r="928" spans="1:11" ht="42" customHeight="1">
      <c r="A928" s="2" t="s">
        <v>2652</v>
      </c>
      <c r="B928" s="2" t="s">
        <v>2653</v>
      </c>
      <c r="C928" s="2" t="s">
        <v>17</v>
      </c>
      <c r="D928" s="2" t="s">
        <v>18</v>
      </c>
      <c r="E928" s="4">
        <v>-32094</v>
      </c>
      <c r="F928" s="3" t="s">
        <v>181</v>
      </c>
      <c r="G928" s="3" t="s">
        <v>777</v>
      </c>
      <c r="H928" s="2" t="s">
        <v>21</v>
      </c>
      <c r="I928" s="2" t="s">
        <v>2657</v>
      </c>
      <c r="J928" s="3" t="str">
        <f>HYPERLINK("https://www.boe.es/gazeta/dias/1812/02/16/pdfs/GMD-1812-47.pdf#page=3","Abrir facsímil")</f>
        <v>Abrir facsímil</v>
      </c>
      <c r="K928" s="3" t="s">
        <v>23</v>
      </c>
    </row>
    <row r="929" spans="1:11" ht="42" customHeight="1">
      <c r="A929" s="2" t="s">
        <v>2652</v>
      </c>
      <c r="B929" s="2" t="s">
        <v>2653</v>
      </c>
      <c r="C929" s="2" t="s">
        <v>49</v>
      </c>
      <c r="D929" s="2" t="s">
        <v>18</v>
      </c>
      <c r="E929" s="4">
        <v>-32083</v>
      </c>
      <c r="F929" s="3" t="s">
        <v>1496</v>
      </c>
      <c r="G929" s="3" t="s">
        <v>2658</v>
      </c>
      <c r="H929" s="2" t="s">
        <v>21</v>
      </c>
      <c r="I929" s="2" t="s">
        <v>2659</v>
      </c>
      <c r="J929" s="3" t="str">
        <f>HYPERLINK("https://www.boe.es/gazeta/dias/1812/02/27/pdfs/GRE-1812-26.pdf#page=7","Abrir facsímil")</f>
        <v>Abrir facsímil</v>
      </c>
      <c r="K929" s="3" t="s">
        <v>23</v>
      </c>
    </row>
    <row r="930" spans="1:11" ht="42" customHeight="1">
      <c r="A930" s="2" t="s">
        <v>2652</v>
      </c>
      <c r="B930" s="2" t="s">
        <v>2653</v>
      </c>
      <c r="C930" s="2" t="s">
        <v>17</v>
      </c>
      <c r="D930" s="2" t="s">
        <v>18</v>
      </c>
      <c r="E930" s="4">
        <v>-32030</v>
      </c>
      <c r="F930" s="3" t="s">
        <v>2226</v>
      </c>
      <c r="G930" s="3" t="s">
        <v>2650</v>
      </c>
      <c r="H930" s="2" t="s">
        <v>21</v>
      </c>
      <c r="I930" s="2" t="s">
        <v>2660</v>
      </c>
      <c r="J930" s="3" t="str">
        <f>HYPERLINK("https://www.boe.es/gazeta/dias/1812/04/20/pdfs/GMD-1812-111.pdf#page=3","Abrir facsímil")</f>
        <v>Abrir facsímil</v>
      </c>
      <c r="K930" s="3" t="s">
        <v>23</v>
      </c>
    </row>
    <row r="931" spans="1:11" ht="42" customHeight="1">
      <c r="A931" s="2" t="s">
        <v>2652</v>
      </c>
      <c r="B931" s="2" t="s">
        <v>2653</v>
      </c>
      <c r="C931" s="2" t="s">
        <v>105</v>
      </c>
      <c r="D931" s="2" t="s">
        <v>275</v>
      </c>
      <c r="E931" s="4">
        <v>-31899</v>
      </c>
      <c r="F931" s="3" t="s">
        <v>1396</v>
      </c>
      <c r="G931" s="3" t="s">
        <v>739</v>
      </c>
      <c r="H931" s="2" t="s">
        <v>21</v>
      </c>
      <c r="I931" s="2" t="s">
        <v>2661</v>
      </c>
      <c r="J931" s="3" t="str">
        <f>HYPERLINK("https://www.boe.es/gazeta/dias/1812/08/29/pdfs/GMR-1812-7.pdf#page=7","Abrir facsímil")</f>
        <v>Abrir facsímil</v>
      </c>
      <c r="K931" s="3" t="s">
        <v>23</v>
      </c>
    </row>
    <row r="932" spans="1:11" ht="42" customHeight="1">
      <c r="A932" s="2" t="s">
        <v>2652</v>
      </c>
      <c r="B932" s="2" t="s">
        <v>2653</v>
      </c>
      <c r="C932" s="2" t="s">
        <v>26</v>
      </c>
      <c r="D932" s="2" t="s">
        <v>275</v>
      </c>
      <c r="E932" s="4">
        <v>-31899</v>
      </c>
      <c r="F932" s="3" t="s">
        <v>1396</v>
      </c>
      <c r="G932" s="3" t="s">
        <v>777</v>
      </c>
      <c r="H932" s="2" t="s">
        <v>21</v>
      </c>
      <c r="I932" s="2" t="s">
        <v>2662</v>
      </c>
      <c r="J932" s="3" t="str">
        <f>HYPERLINK("https://www.boe.es/gazeta/dias/1812/08/29/pdfs/GMR-1812-7.pdf#page=8","Abrir facsímil")</f>
        <v>Abrir facsímil</v>
      </c>
      <c r="K932" s="3" t="s">
        <v>23</v>
      </c>
    </row>
    <row r="933" spans="1:11" ht="42" customHeight="1">
      <c r="A933" s="2" t="s">
        <v>2663</v>
      </c>
      <c r="B933" s="2" t="s">
        <v>2663</v>
      </c>
      <c r="C933" s="2" t="s">
        <v>17</v>
      </c>
      <c r="D933" s="2" t="s">
        <v>27</v>
      </c>
      <c r="E933" s="4">
        <v>-32075</v>
      </c>
      <c r="F933" s="3" t="s">
        <v>301</v>
      </c>
      <c r="G933" s="3" t="s">
        <v>2664</v>
      </c>
      <c r="H933" s="2" t="s">
        <v>21</v>
      </c>
      <c r="I933" s="2" t="s">
        <v>2665</v>
      </c>
      <c r="J933" s="3" t="str">
        <f>HYPERLINK("https://www.boe.es/gazeta/dias/1812/03/06/pdfs/GMD-1812-66.pdf#page=3","Abrir facsímil")</f>
        <v>Abrir facsímil</v>
      </c>
      <c r="K933" s="3" t="s">
        <v>23</v>
      </c>
    </row>
    <row r="934" spans="1:11" ht="42" customHeight="1">
      <c r="A934" s="2" t="s">
        <v>2666</v>
      </c>
      <c r="B934" s="2" t="s">
        <v>2666</v>
      </c>
      <c r="C934" s="2" t="s">
        <v>26</v>
      </c>
      <c r="D934" s="2" t="s">
        <v>27</v>
      </c>
      <c r="E934" s="4">
        <v>-31980</v>
      </c>
      <c r="F934" s="3" t="s">
        <v>2667</v>
      </c>
      <c r="G934" s="3" t="s">
        <v>20</v>
      </c>
      <c r="H934" s="2" t="s">
        <v>21</v>
      </c>
      <c r="I934" s="2" t="s">
        <v>2668</v>
      </c>
      <c r="J934" s="3" t="str">
        <f>HYPERLINK("https://www.boe.es/gazeta/dias/1812/06/09/pdfs/GMD-1812-161.pdf#page=4","Abrir facsímil")</f>
        <v>Abrir facsímil</v>
      </c>
      <c r="K934" s="3" t="s">
        <v>23</v>
      </c>
    </row>
    <row r="935" spans="1:11" ht="42" customHeight="1">
      <c r="A935" s="2" t="s">
        <v>2669</v>
      </c>
      <c r="B935" s="2" t="s">
        <v>2670</v>
      </c>
      <c r="C935" s="2" t="s">
        <v>26</v>
      </c>
      <c r="D935" s="2" t="s">
        <v>134</v>
      </c>
      <c r="E935" s="4">
        <v>-31955</v>
      </c>
      <c r="F935" s="3" t="s">
        <v>135</v>
      </c>
      <c r="G935" s="3" t="s">
        <v>2671</v>
      </c>
      <c r="H935" s="2" t="s">
        <v>21</v>
      </c>
      <c r="I935" s="2" t="s">
        <v>2672</v>
      </c>
      <c r="J935" s="3" t="str">
        <f>HYPERLINK("https://www.boe.es/gazeta/dias/1812/07/04/pdfs/GRE-F-1812-82.pdf#page=4","Abrir facsímil")</f>
        <v>Abrir facsímil</v>
      </c>
      <c r="K935" s="3" t="s">
        <v>23</v>
      </c>
    </row>
    <row r="936" spans="1:11" ht="42" customHeight="1">
      <c r="A936" s="2" t="s">
        <v>2673</v>
      </c>
      <c r="B936" s="2" t="s">
        <v>2674</v>
      </c>
      <c r="C936" s="2" t="s">
        <v>26</v>
      </c>
      <c r="D936" s="2" t="s">
        <v>27</v>
      </c>
      <c r="E936" s="4">
        <v>-31938</v>
      </c>
      <c r="F936" s="3" t="s">
        <v>324</v>
      </c>
      <c r="G936" s="3" t="s">
        <v>237</v>
      </c>
      <c r="H936" s="2" t="s">
        <v>21</v>
      </c>
      <c r="I936" s="2" t="s">
        <v>2675</v>
      </c>
      <c r="J936" s="3" t="str">
        <f>HYPERLINK("https://www.boe.es/gazeta/dias/1812/07/21/pdfs/GMD-1812-203.pdf#page=2","Abrir facsímil")</f>
        <v>Abrir facsímil</v>
      </c>
      <c r="K936" s="3" t="s">
        <v>23</v>
      </c>
    </row>
    <row r="937" spans="1:11" ht="42" customHeight="1">
      <c r="A937" s="2" t="s">
        <v>2676</v>
      </c>
      <c r="B937" s="2" t="s">
        <v>2677</v>
      </c>
      <c r="C937" s="2" t="s">
        <v>26</v>
      </c>
      <c r="D937" s="2" t="s">
        <v>27</v>
      </c>
      <c r="E937" s="4">
        <v>-31935</v>
      </c>
      <c r="F937" s="3" t="s">
        <v>2678</v>
      </c>
      <c r="G937" s="3" t="s">
        <v>404</v>
      </c>
      <c r="H937" s="2" t="s">
        <v>21</v>
      </c>
      <c r="I937" s="2" t="s">
        <v>2679</v>
      </c>
      <c r="J937" s="3" t="str">
        <f>HYPERLINK("https://www.boe.es/gazeta/dias/1812/07/24/pdfs/GMD-1812-206.pdf#page=2","Abrir facsímil")</f>
        <v>Abrir facsímil</v>
      </c>
      <c r="K937" s="3" t="s">
        <v>23</v>
      </c>
    </row>
    <row r="938" spans="1:11" ht="42" customHeight="1">
      <c r="A938" s="2" t="s">
        <v>2680</v>
      </c>
      <c r="B938" s="2" t="s">
        <v>2681</v>
      </c>
      <c r="C938" s="2" t="s">
        <v>26</v>
      </c>
      <c r="D938" s="2" t="s">
        <v>27</v>
      </c>
      <c r="E938" s="4">
        <v>-32034</v>
      </c>
      <c r="F938" s="3" t="s">
        <v>28</v>
      </c>
      <c r="G938" s="3" t="s">
        <v>794</v>
      </c>
      <c r="H938" s="2" t="s">
        <v>21</v>
      </c>
      <c r="I938" s="2" t="s">
        <v>2682</v>
      </c>
      <c r="J938" s="3" t="str">
        <f>HYPERLINK("https://www.boe.es/gazeta/dias/1812/04/16/pdfs/GMD-1812-107.pdf#page=7","Abrir facsímil")</f>
        <v>Abrir facsímil</v>
      </c>
      <c r="K938" s="3" t="s">
        <v>23</v>
      </c>
    </row>
    <row r="939" spans="1:11" ht="42" customHeight="1">
      <c r="A939" s="2" t="s">
        <v>2683</v>
      </c>
      <c r="B939" s="2" t="s">
        <v>2684</v>
      </c>
      <c r="C939" s="2" t="s">
        <v>17</v>
      </c>
      <c r="D939" s="2" t="s">
        <v>27</v>
      </c>
      <c r="E939" s="4">
        <v>-32015</v>
      </c>
      <c r="F939" s="3" t="s">
        <v>77</v>
      </c>
      <c r="G939" s="3" t="s">
        <v>78</v>
      </c>
      <c r="H939" s="2" t="s">
        <v>21</v>
      </c>
      <c r="I939" s="2" t="s">
        <v>2685</v>
      </c>
      <c r="J939" s="3" t="str">
        <f>HYPERLINK("https://www.boe.es/gazeta/dias/1812/05/05/pdfs/GRE-1812-56.pdf#page=8","Abrir facsímil")</f>
        <v>Abrir facsímil</v>
      </c>
      <c r="K939" s="3" t="s">
        <v>23</v>
      </c>
    </row>
    <row r="940" spans="1:11" ht="42" customHeight="1">
      <c r="A940" s="2" t="s">
        <v>2686</v>
      </c>
      <c r="B940" s="2" t="s">
        <v>2687</v>
      </c>
      <c r="C940" s="2" t="s">
        <v>26</v>
      </c>
      <c r="D940" s="2" t="s">
        <v>27</v>
      </c>
      <c r="E940" s="4">
        <v>-31938</v>
      </c>
      <c r="F940" s="3" t="s">
        <v>324</v>
      </c>
      <c r="G940" s="3" t="s">
        <v>404</v>
      </c>
      <c r="H940" s="2" t="s">
        <v>21</v>
      </c>
      <c r="I940" s="2" t="s">
        <v>2688</v>
      </c>
      <c r="J940" s="3" t="str">
        <f>HYPERLINK("https://www.boe.es/gazeta/dias/1812/07/21/pdfs/GMD-1812-203.pdf#page=4","Abrir facsímil")</f>
        <v>Abrir facsímil</v>
      </c>
      <c r="K940" s="3" t="s">
        <v>23</v>
      </c>
    </row>
    <row r="941" spans="1:11" ht="42" customHeight="1">
      <c r="A941" s="2" t="s">
        <v>2689</v>
      </c>
      <c r="B941" s="2" t="s">
        <v>2690</v>
      </c>
      <c r="C941" s="2" t="s">
        <v>26</v>
      </c>
      <c r="D941" s="2" t="s">
        <v>27</v>
      </c>
      <c r="E941" s="4">
        <v>-32034</v>
      </c>
      <c r="F941" s="3" t="s">
        <v>28</v>
      </c>
      <c r="G941" s="3" t="s">
        <v>794</v>
      </c>
      <c r="H941" s="2" t="s">
        <v>21</v>
      </c>
      <c r="I941" s="2" t="s">
        <v>2691</v>
      </c>
      <c r="J941" s="3" t="str">
        <f>HYPERLINK("https://www.boe.es/gazeta/dias/1812/04/16/pdfs/GMD-1812-107.pdf#page=7","Abrir facsímil")</f>
        <v>Abrir facsímil</v>
      </c>
      <c r="K941" s="3" t="s">
        <v>23</v>
      </c>
    </row>
    <row r="942" spans="1:11" ht="42" customHeight="1">
      <c r="A942" s="2" t="s">
        <v>2692</v>
      </c>
      <c r="B942" s="2" t="s">
        <v>2693</v>
      </c>
      <c r="C942" s="2" t="s">
        <v>186</v>
      </c>
      <c r="D942" s="2" t="s">
        <v>27</v>
      </c>
      <c r="E942" s="4">
        <v>-31945</v>
      </c>
      <c r="F942" s="3" t="s">
        <v>1485</v>
      </c>
      <c r="G942" s="3" t="s">
        <v>159</v>
      </c>
      <c r="H942" s="2" t="s">
        <v>21</v>
      </c>
      <c r="I942" s="2" t="s">
        <v>2694</v>
      </c>
      <c r="J942" s="3" t="str">
        <f>HYPERLINK("https://www.boe.es/gazeta/dias/1812/07/14/pdfs/GRE-1812-88.pdf#page=5","Abrir facsímil")</f>
        <v>Abrir facsímil</v>
      </c>
      <c r="K942" s="3" t="s">
        <v>23</v>
      </c>
    </row>
    <row r="943" spans="1:11" ht="42" customHeight="1">
      <c r="A943" s="2" t="s">
        <v>2695</v>
      </c>
      <c r="B943" s="2" t="s">
        <v>2695</v>
      </c>
      <c r="C943" s="2" t="s">
        <v>17</v>
      </c>
      <c r="D943" s="2" t="s">
        <v>27</v>
      </c>
      <c r="E943" s="4">
        <v>-32005</v>
      </c>
      <c r="F943" s="3" t="s">
        <v>2696</v>
      </c>
      <c r="G943" s="3" t="s">
        <v>1293</v>
      </c>
      <c r="H943" s="2" t="s">
        <v>21</v>
      </c>
      <c r="I943" s="2" t="s">
        <v>2697</v>
      </c>
      <c r="J943" s="3" t="str">
        <f>HYPERLINK("https://www.boe.es/gazeta/dias/1812/05/15/pdfs/GMD-1812-136.pdf#page=1","Abrir facsímil")</f>
        <v>Abrir facsímil</v>
      </c>
      <c r="K943" s="3" t="s">
        <v>23</v>
      </c>
    </row>
    <row r="944" spans="1:11" ht="42" customHeight="1">
      <c r="A944" s="2" t="s">
        <v>2698</v>
      </c>
      <c r="B944" s="2" t="s">
        <v>2699</v>
      </c>
      <c r="C944" s="2" t="s">
        <v>26</v>
      </c>
      <c r="D944" s="2" t="s">
        <v>27</v>
      </c>
      <c r="E944" s="4">
        <v>-31805</v>
      </c>
      <c r="F944" s="3" t="s">
        <v>895</v>
      </c>
      <c r="G944" s="3" t="s">
        <v>896</v>
      </c>
      <c r="H944" s="2" t="s">
        <v>21</v>
      </c>
      <c r="I944" s="2" t="s">
        <v>2700</v>
      </c>
      <c r="J944" s="3" t="str">
        <f>HYPERLINK("https://www.boe.es/gazeta/dias/1812/12/01/pdfs/GMR-1812-39.pdf#page=15","Abrir facsímil")</f>
        <v>Abrir facsímil</v>
      </c>
      <c r="K944" s="3" t="s">
        <v>23</v>
      </c>
    </row>
    <row r="945" spans="1:11" ht="42" customHeight="1">
      <c r="A945" s="2" t="s">
        <v>2701</v>
      </c>
      <c r="B945" s="2" t="s">
        <v>2702</v>
      </c>
      <c r="C945" s="2" t="s">
        <v>17</v>
      </c>
      <c r="D945" s="2" t="s">
        <v>573</v>
      </c>
      <c r="E945" s="4">
        <v>-31900</v>
      </c>
      <c r="F945" s="3" t="s">
        <v>276</v>
      </c>
      <c r="G945" s="3" t="s">
        <v>277</v>
      </c>
      <c r="H945" s="2" t="s">
        <v>21</v>
      </c>
      <c r="I945" s="2" t="s">
        <v>2703</v>
      </c>
      <c r="J945" s="3" t="str">
        <f>HYPERLINK("https://www.boe.es/gazeta/dias/1812/08/28/pdfs/GRE-1812-113E.pdf#page=8","Abrir facsímil")</f>
        <v>Abrir facsímil</v>
      </c>
      <c r="K945" s="3" t="s">
        <v>23</v>
      </c>
    </row>
    <row r="946" spans="1:11" ht="42" customHeight="1">
      <c r="A946" s="2" t="s">
        <v>2704</v>
      </c>
      <c r="B946" s="2" t="s">
        <v>2704</v>
      </c>
      <c r="C946" s="2" t="s">
        <v>17</v>
      </c>
      <c r="D946" s="2" t="s">
        <v>27</v>
      </c>
      <c r="E946" s="4">
        <v>-32040</v>
      </c>
      <c r="F946" s="3" t="s">
        <v>682</v>
      </c>
      <c r="G946" s="3" t="s">
        <v>214</v>
      </c>
      <c r="H946" s="2" t="s">
        <v>21</v>
      </c>
      <c r="I946" s="2" t="s">
        <v>2705</v>
      </c>
      <c r="J946" s="3" t="str">
        <f>HYPERLINK("https://www.boe.es/gazeta/dias/1812/04/10/pdfs/GMD-1812-101.pdf#page=3","Abrir facsímil")</f>
        <v>Abrir facsímil</v>
      </c>
      <c r="K946" s="3" t="s">
        <v>23</v>
      </c>
    </row>
    <row r="947" spans="1:11" ht="42" customHeight="1">
      <c r="A947" s="2" t="s">
        <v>2706</v>
      </c>
      <c r="B947" s="2" t="s">
        <v>2707</v>
      </c>
      <c r="C947" s="2" t="s">
        <v>17</v>
      </c>
      <c r="D947" s="2" t="s">
        <v>27</v>
      </c>
      <c r="E947" s="4">
        <v>-32132</v>
      </c>
      <c r="F947" s="3" t="s">
        <v>484</v>
      </c>
      <c r="G947" s="3" t="s">
        <v>2708</v>
      </c>
      <c r="H947" s="2" t="s">
        <v>30</v>
      </c>
      <c r="I947" s="2" t="s">
        <v>2709</v>
      </c>
      <c r="J947" s="3" t="str">
        <f>HYPERLINK("https://www.boe.es/gazeta/dias/1812/01/09/pdfs/GEI-1812-4.pdf#page=4","Abrir facsímil")</f>
        <v>Abrir facsímil</v>
      </c>
      <c r="K947" s="3" t="s">
        <v>32</v>
      </c>
    </row>
    <row r="948" spans="1:11" ht="42" customHeight="1">
      <c r="A948" s="2" t="s">
        <v>2710</v>
      </c>
      <c r="B948" s="2" t="s">
        <v>2710</v>
      </c>
      <c r="C948" s="2" t="s">
        <v>17</v>
      </c>
      <c r="D948" s="2" t="s">
        <v>18</v>
      </c>
      <c r="E948" s="4">
        <v>-31796</v>
      </c>
      <c r="F948" s="3" t="s">
        <v>741</v>
      </c>
      <c r="G948" s="3" t="s">
        <v>2711</v>
      </c>
      <c r="H948" s="2" t="s">
        <v>21</v>
      </c>
      <c r="I948" s="2" t="s">
        <v>2712</v>
      </c>
      <c r="J948" s="3" t="str">
        <f>HYPERLINK("https://www.boe.es/gazeta/dias/1812/12/10/pdfs/GRE-1812-163.pdf#page=1","Abrir facsímil")</f>
        <v>Abrir facsímil</v>
      </c>
      <c r="K948" s="3" t="s">
        <v>23</v>
      </c>
    </row>
    <row r="949" spans="1:11" ht="42" customHeight="1">
      <c r="A949" s="2" t="s">
        <v>2713</v>
      </c>
      <c r="B949" s="2" t="s">
        <v>2713</v>
      </c>
      <c r="C949" s="2" t="s">
        <v>115</v>
      </c>
      <c r="D949" s="2" t="s">
        <v>27</v>
      </c>
      <c r="E949" s="4">
        <v>-32138</v>
      </c>
      <c r="F949" s="3" t="s">
        <v>2714</v>
      </c>
      <c r="G949" s="3" t="s">
        <v>1907</v>
      </c>
      <c r="H949" s="2" t="s">
        <v>21</v>
      </c>
      <c r="I949" s="2" t="s">
        <v>2715</v>
      </c>
      <c r="J949" s="3" t="str">
        <f>HYPERLINK("https://www.boe.es/gazeta/dias/1812/01/03/pdfs/GMD-1812-3.pdf#page=2","Abrir facsímil")</f>
        <v>Abrir facsímil</v>
      </c>
      <c r="K949" s="3" t="s">
        <v>23</v>
      </c>
    </row>
    <row r="950" spans="1:11" ht="42" customHeight="1">
      <c r="A950" s="2" t="s">
        <v>2716</v>
      </c>
      <c r="B950" s="2" t="s">
        <v>2716</v>
      </c>
      <c r="C950" s="2" t="s">
        <v>115</v>
      </c>
      <c r="D950" s="2" t="s">
        <v>27</v>
      </c>
      <c r="E950" s="4">
        <v>-32062</v>
      </c>
      <c r="F950" s="3" t="s">
        <v>280</v>
      </c>
      <c r="G950" s="3" t="s">
        <v>20</v>
      </c>
      <c r="H950" s="2" t="s">
        <v>21</v>
      </c>
      <c r="I950" s="2" t="s">
        <v>2717</v>
      </c>
      <c r="J950" s="3" t="str">
        <f>HYPERLINK("https://www.boe.es/gazeta/dias/1812/03/19/pdfs/GMD-1812-79.pdf#page=4","Abrir facsímil")</f>
        <v>Abrir facsímil</v>
      </c>
      <c r="K950" s="3" t="s">
        <v>23</v>
      </c>
    </row>
    <row r="951" spans="1:11" ht="42" customHeight="1">
      <c r="A951" s="2" t="s">
        <v>2718</v>
      </c>
      <c r="B951" s="2" t="s">
        <v>2719</v>
      </c>
      <c r="C951" s="2" t="s">
        <v>17</v>
      </c>
      <c r="D951" s="2" t="s">
        <v>27</v>
      </c>
      <c r="E951" s="4">
        <v>-31903</v>
      </c>
      <c r="F951" s="3" t="s">
        <v>2720</v>
      </c>
      <c r="G951" s="3" t="s">
        <v>2721</v>
      </c>
      <c r="H951" s="2" t="s">
        <v>21</v>
      </c>
      <c r="I951" s="2" t="s">
        <v>2722</v>
      </c>
      <c r="J951" s="3" t="str">
        <f>HYPERLINK("https://www.boe.es/gazeta/dias/1812/08/25/pdfs/GRE-1812-110.pdf#page=6","Abrir facsímil")</f>
        <v>Abrir facsímil</v>
      </c>
      <c r="K951" s="3" t="s">
        <v>23</v>
      </c>
    </row>
    <row r="952" spans="1:11" ht="42" customHeight="1">
      <c r="A952" s="2" t="s">
        <v>2723</v>
      </c>
      <c r="B952" s="2" t="s">
        <v>2723</v>
      </c>
      <c r="C952" s="2" t="s">
        <v>26</v>
      </c>
      <c r="D952" s="2" t="s">
        <v>27</v>
      </c>
      <c r="E952" s="4">
        <v>-31829</v>
      </c>
      <c r="F952" s="3" t="s">
        <v>328</v>
      </c>
      <c r="G952" s="3" t="s">
        <v>217</v>
      </c>
      <c r="H952" s="2" t="s">
        <v>21</v>
      </c>
      <c r="I952" s="2" t="s">
        <v>2724</v>
      </c>
      <c r="J952" s="3" t="str">
        <f>HYPERLINK("https://www.boe.es/gazeta/dias/1812/11/07/pdfs/GMD-1812-227.pdf#page=2","Abrir facsímil")</f>
        <v>Abrir facsímil</v>
      </c>
      <c r="K952" s="3" t="s">
        <v>23</v>
      </c>
    </row>
    <row r="953" spans="1:11" ht="42" customHeight="1">
      <c r="A953" s="2" t="s">
        <v>2725</v>
      </c>
      <c r="B953" s="2" t="s">
        <v>2726</v>
      </c>
      <c r="C953" s="2" t="s">
        <v>26</v>
      </c>
      <c r="D953" s="2" t="s">
        <v>27</v>
      </c>
      <c r="E953" s="4">
        <v>-31988</v>
      </c>
      <c r="F953" s="3" t="s">
        <v>1094</v>
      </c>
      <c r="G953" s="3" t="s">
        <v>1095</v>
      </c>
      <c r="H953" s="2" t="s">
        <v>21</v>
      </c>
      <c r="I953" s="2" t="s">
        <v>2727</v>
      </c>
      <c r="J953" s="3" t="str">
        <f>HYPERLINK("https://www.boe.es/gazeta/dias/1812/06/01/pdfs/GMD-1812-153.pdf#page=2","Abrir facsímil")</f>
        <v>Abrir facsímil</v>
      </c>
      <c r="K953" s="3" t="s">
        <v>23</v>
      </c>
    </row>
    <row r="954" spans="1:11" ht="42" customHeight="1">
      <c r="A954" s="2" t="s">
        <v>2728</v>
      </c>
      <c r="B954" s="2" t="s">
        <v>2729</v>
      </c>
      <c r="C954" s="2" t="s">
        <v>17</v>
      </c>
      <c r="D954" s="2" t="s">
        <v>18</v>
      </c>
      <c r="E954" s="4">
        <v>-32095</v>
      </c>
      <c r="F954" s="3" t="s">
        <v>181</v>
      </c>
      <c r="G954" s="3" t="s">
        <v>777</v>
      </c>
      <c r="H954" s="2" t="s">
        <v>21</v>
      </c>
      <c r="I954" s="2" t="s">
        <v>2730</v>
      </c>
      <c r="J954" s="3" t="str">
        <f>HYPERLINK("https://www.boe.es/gazeta/dias/1812/02/15/pdfs/GMD-1812-47.pdf#page=3","Abrir facsímil")</f>
        <v>Abrir facsímil</v>
      </c>
      <c r="K954" s="3" t="s">
        <v>23</v>
      </c>
    </row>
    <row r="955" spans="1:11" ht="42" customHeight="1">
      <c r="A955" s="2" t="s">
        <v>2728</v>
      </c>
      <c r="B955" s="2" t="s">
        <v>2729</v>
      </c>
      <c r="C955" s="2" t="s">
        <v>17</v>
      </c>
      <c r="D955" s="2" t="s">
        <v>18</v>
      </c>
      <c r="E955" s="4">
        <v>-32094</v>
      </c>
      <c r="F955" s="3" t="s">
        <v>181</v>
      </c>
      <c r="G955" s="3" t="s">
        <v>777</v>
      </c>
      <c r="H955" s="2" t="s">
        <v>21</v>
      </c>
      <c r="I955" s="2" t="s">
        <v>2730</v>
      </c>
      <c r="J955" s="3" t="str">
        <f>HYPERLINK("https://www.boe.es/gazeta/dias/1812/02/16/pdfs/GMD-1812-47.pdf#page=3","Abrir facsímil")</f>
        <v>Abrir facsímil</v>
      </c>
      <c r="K955" s="3" t="s">
        <v>23</v>
      </c>
    </row>
    <row r="956" spans="1:11" ht="42" customHeight="1">
      <c r="A956" s="2" t="s">
        <v>2731</v>
      </c>
      <c r="B956" s="2" t="s">
        <v>2732</v>
      </c>
      <c r="C956" s="2" t="s">
        <v>26</v>
      </c>
      <c r="D956" s="2" t="s">
        <v>573</v>
      </c>
      <c r="E956" s="4">
        <v>-31900</v>
      </c>
      <c r="F956" s="3" t="s">
        <v>276</v>
      </c>
      <c r="G956" s="3" t="s">
        <v>277</v>
      </c>
      <c r="H956" s="2" t="s">
        <v>21</v>
      </c>
      <c r="I956" s="2" t="s">
        <v>2733</v>
      </c>
      <c r="J956" s="3" t="str">
        <f>HYPERLINK("https://www.boe.es/gazeta/dias/1812/08/28/pdfs/GRE-1812-113E.pdf#page=8","Abrir facsímil")</f>
        <v>Abrir facsímil</v>
      </c>
      <c r="K956" s="3" t="s">
        <v>23</v>
      </c>
    </row>
    <row r="957" spans="1:11" ht="42" customHeight="1">
      <c r="A957" s="2" t="s">
        <v>2734</v>
      </c>
      <c r="B957" s="2" t="s">
        <v>2734</v>
      </c>
      <c r="C957" s="2" t="s">
        <v>17</v>
      </c>
      <c r="D957" s="2" t="s">
        <v>18</v>
      </c>
      <c r="E957" s="4">
        <v>-31909</v>
      </c>
      <c r="F957" s="3" t="s">
        <v>2735</v>
      </c>
      <c r="G957" s="3" t="s">
        <v>794</v>
      </c>
      <c r="H957" s="2" t="s">
        <v>21</v>
      </c>
      <c r="I957" s="2" t="s">
        <v>2736</v>
      </c>
      <c r="J957" s="3" t="str">
        <f>HYPERLINK("https://www.boe.es/gazeta/dias/1812/08/19/pdfs/GMR-1812-2.pdf#page=7","Abrir facsímil")</f>
        <v>Abrir facsímil</v>
      </c>
      <c r="K957" s="3" t="s">
        <v>23</v>
      </c>
    </row>
    <row r="958" spans="1:11" ht="42" customHeight="1">
      <c r="A958" s="2" t="s">
        <v>2737</v>
      </c>
      <c r="B958" s="2" t="s">
        <v>2737</v>
      </c>
      <c r="C958" s="2" t="s">
        <v>17</v>
      </c>
      <c r="D958" s="2" t="s">
        <v>27</v>
      </c>
      <c r="E958" s="4">
        <v>-31808</v>
      </c>
      <c r="F958" s="3" t="s">
        <v>416</v>
      </c>
      <c r="G958" s="3" t="s">
        <v>237</v>
      </c>
      <c r="H958" s="2" t="s">
        <v>21</v>
      </c>
      <c r="I958" s="2" t="s">
        <v>2738</v>
      </c>
      <c r="J958" s="3" t="str">
        <f>HYPERLINK("https://www.boe.es/gazeta/dias/1812/11/28/pdfs/GRE-1812-158.pdf#page=3","Abrir facsímil")</f>
        <v>Abrir facsímil</v>
      </c>
      <c r="K958" s="3" t="s">
        <v>23</v>
      </c>
    </row>
    <row r="959" spans="1:11" ht="42" customHeight="1">
      <c r="A959" s="2" t="s">
        <v>2739</v>
      </c>
      <c r="B959" s="2" t="s">
        <v>2740</v>
      </c>
      <c r="C959" s="2" t="s">
        <v>26</v>
      </c>
      <c r="D959" s="2" t="s">
        <v>27</v>
      </c>
      <c r="E959" s="4">
        <v>-32067</v>
      </c>
      <c r="F959" s="3" t="s">
        <v>199</v>
      </c>
      <c r="G959" s="3" t="s">
        <v>237</v>
      </c>
      <c r="H959" s="2" t="s">
        <v>21</v>
      </c>
      <c r="I959" s="2" t="s">
        <v>2741</v>
      </c>
      <c r="J959" s="3" t="str">
        <f>HYPERLINK("https://www.boe.es/gazeta/dias/1812/03/14/pdfs/GRE-1812-33.pdf#page=8","Abrir facsímil")</f>
        <v>Abrir facsímil</v>
      </c>
      <c r="K959" s="3" t="s">
        <v>23</v>
      </c>
    </row>
    <row r="960" spans="1:11" ht="42" customHeight="1">
      <c r="A960" s="2" t="s">
        <v>2742</v>
      </c>
      <c r="B960" s="2" t="s">
        <v>2743</v>
      </c>
      <c r="C960" s="2" t="s">
        <v>26</v>
      </c>
      <c r="D960" s="2" t="s">
        <v>27</v>
      </c>
      <c r="E960" s="4">
        <v>-31955</v>
      </c>
      <c r="F960" s="3" t="s">
        <v>789</v>
      </c>
      <c r="G960" s="3" t="s">
        <v>237</v>
      </c>
      <c r="H960" s="2" t="s">
        <v>21</v>
      </c>
      <c r="I960" s="2" t="s">
        <v>2744</v>
      </c>
      <c r="J960" s="3" t="str">
        <f>HYPERLINK("https://www.boe.es/gazeta/dias/1812/07/04/pdfs/GRE-1812-82.pdf#page=8","Abrir facsímil")</f>
        <v>Abrir facsímil</v>
      </c>
      <c r="K960" s="3" t="s">
        <v>23</v>
      </c>
    </row>
    <row r="961" spans="1:11" ht="42" customHeight="1">
      <c r="A961" s="2" t="s">
        <v>2745</v>
      </c>
      <c r="B961" s="2" t="s">
        <v>2745</v>
      </c>
      <c r="C961" s="2" t="s">
        <v>17</v>
      </c>
      <c r="D961" s="2" t="s">
        <v>573</v>
      </c>
      <c r="E961" s="4">
        <v>-31921</v>
      </c>
      <c r="F961" s="3" t="s">
        <v>785</v>
      </c>
      <c r="G961" s="3" t="s">
        <v>1137</v>
      </c>
      <c r="H961" s="2" t="s">
        <v>21</v>
      </c>
      <c r="I961" s="2" t="s">
        <v>2746</v>
      </c>
      <c r="J961" s="3" t="str">
        <f>HYPERLINK("https://www.boe.es/gazeta/dias/1812/08/07/pdfs/GRE-1812-101E.pdf#page=6","Abrir facsímil")</f>
        <v>Abrir facsímil</v>
      </c>
      <c r="K961" s="3" t="s">
        <v>23</v>
      </c>
    </row>
    <row r="962" spans="1:11" ht="42" customHeight="1">
      <c r="A962" s="2" t="s">
        <v>2747</v>
      </c>
      <c r="B962" s="2" t="s">
        <v>2748</v>
      </c>
      <c r="C962" s="2" t="s">
        <v>26</v>
      </c>
      <c r="D962" s="2" t="s">
        <v>27</v>
      </c>
      <c r="E962" s="4">
        <v>-31945</v>
      </c>
      <c r="F962" s="3" t="s">
        <v>1485</v>
      </c>
      <c r="G962" s="3" t="s">
        <v>159</v>
      </c>
      <c r="H962" s="2" t="s">
        <v>21</v>
      </c>
      <c r="I962" s="2" t="s">
        <v>2749</v>
      </c>
      <c r="J962" s="3" t="str">
        <f>HYPERLINK("https://www.boe.es/gazeta/dias/1812/07/14/pdfs/GRE-1812-88.pdf#page=5","Abrir facsímil")</f>
        <v>Abrir facsímil</v>
      </c>
      <c r="K962" s="3" t="s">
        <v>23</v>
      </c>
    </row>
    <row r="963" spans="1:11" ht="42" customHeight="1">
      <c r="A963" s="2" t="s">
        <v>2750</v>
      </c>
      <c r="B963" s="2" t="s">
        <v>2751</v>
      </c>
      <c r="C963" s="2" t="s">
        <v>49</v>
      </c>
      <c r="D963" s="2" t="s">
        <v>27</v>
      </c>
      <c r="E963" s="4">
        <v>-31822</v>
      </c>
      <c r="F963" s="3" t="s">
        <v>541</v>
      </c>
      <c r="G963" s="3" t="s">
        <v>1459</v>
      </c>
      <c r="H963" s="2" t="s">
        <v>21</v>
      </c>
      <c r="I963" s="2" t="s">
        <v>2752</v>
      </c>
      <c r="J963" s="3" t="str">
        <f>HYPERLINK("https://www.boe.es/gazeta/dias/1812/11/14/pdfs/GRE-1812-152.pdf#page=8","Abrir facsímil")</f>
        <v>Abrir facsímil</v>
      </c>
      <c r="K963" s="3" t="s">
        <v>23</v>
      </c>
    </row>
    <row r="964" spans="1:11" ht="42" customHeight="1">
      <c r="A964" s="2" t="s">
        <v>2753</v>
      </c>
      <c r="B964" s="2" t="s">
        <v>2754</v>
      </c>
      <c r="C964" s="2" t="s">
        <v>17</v>
      </c>
      <c r="D964" s="2" t="s">
        <v>27</v>
      </c>
      <c r="E964" s="4">
        <v>-31822</v>
      </c>
      <c r="F964" s="3" t="s">
        <v>541</v>
      </c>
      <c r="G964" s="3" t="s">
        <v>542</v>
      </c>
      <c r="H964" s="2" t="s">
        <v>21</v>
      </c>
      <c r="I964" s="2" t="s">
        <v>2755</v>
      </c>
      <c r="J964" s="3" t="str">
        <f>HYPERLINK("https://www.boe.es/gazeta/dias/1812/11/14/pdfs/GRE-1812-152.pdf#page=7","Abrir facsímil")</f>
        <v>Abrir facsímil</v>
      </c>
      <c r="K964" s="3" t="s">
        <v>23</v>
      </c>
    </row>
    <row r="965" spans="1:11" ht="42" customHeight="1">
      <c r="A965" s="2" t="s">
        <v>2756</v>
      </c>
      <c r="B965" s="2" t="s">
        <v>2757</v>
      </c>
      <c r="C965" s="2" t="s">
        <v>26</v>
      </c>
      <c r="D965" s="2" t="s">
        <v>27</v>
      </c>
      <c r="E965" s="4">
        <v>-31940</v>
      </c>
      <c r="F965" s="3" t="s">
        <v>187</v>
      </c>
      <c r="G965" s="3" t="s">
        <v>404</v>
      </c>
      <c r="H965" s="2" t="s">
        <v>21</v>
      </c>
      <c r="I965" s="2" t="s">
        <v>2758</v>
      </c>
      <c r="J965" s="3" t="str">
        <f>HYPERLINK("https://www.boe.es/gazeta/dias/1812/07/19/pdfs/GMD-1812-201.pdf#page=4","Abrir facsímil")</f>
        <v>Abrir facsímil</v>
      </c>
      <c r="K965" s="3" t="s">
        <v>23</v>
      </c>
    </row>
    <row r="966" spans="1:11" ht="42" customHeight="1">
      <c r="A966" s="2" t="s">
        <v>2759</v>
      </c>
      <c r="B966" s="2" t="s">
        <v>2759</v>
      </c>
      <c r="C966" s="2" t="s">
        <v>105</v>
      </c>
      <c r="D966" s="2" t="s">
        <v>27</v>
      </c>
      <c r="E966" s="4">
        <v>-31892</v>
      </c>
      <c r="F966" s="3" t="s">
        <v>2760</v>
      </c>
      <c r="G966" s="3" t="s">
        <v>2761</v>
      </c>
      <c r="H966" s="2" t="s">
        <v>21</v>
      </c>
      <c r="I966" s="2" t="s">
        <v>2762</v>
      </c>
      <c r="J966" s="3" t="str">
        <f>HYPERLINK("https://www.boe.es/gazeta/dias/1812/09/05/pdfs/GRE-1812-120.pdf#page=8","Abrir facsímil")</f>
        <v>Abrir facsímil</v>
      </c>
      <c r="K966" s="3" t="s">
        <v>23</v>
      </c>
    </row>
    <row r="967" spans="1:11" ht="42" customHeight="1">
      <c r="A967" s="2" t="s">
        <v>2763</v>
      </c>
      <c r="B967" s="2" t="s">
        <v>2764</v>
      </c>
      <c r="C967" s="2" t="s">
        <v>26</v>
      </c>
      <c r="D967" s="2" t="s">
        <v>27</v>
      </c>
      <c r="E967" s="4">
        <v>-31957</v>
      </c>
      <c r="F967" s="3" t="s">
        <v>2173</v>
      </c>
      <c r="G967" s="3" t="s">
        <v>58</v>
      </c>
      <c r="H967" s="2" t="s">
        <v>21</v>
      </c>
      <c r="I967" s="2" t="s">
        <v>2765</v>
      </c>
      <c r="J967" s="3" t="str">
        <f>HYPERLINK("https://www.boe.es/gazeta/dias/1812/07/02/pdfs/GRE-1812-81.pdf#page=3","Abrir facsímil")</f>
        <v>Abrir facsímil</v>
      </c>
      <c r="K967" s="3" t="s">
        <v>23</v>
      </c>
    </row>
    <row r="968" spans="1:11" ht="42" customHeight="1">
      <c r="A968" s="2" t="s">
        <v>2766</v>
      </c>
      <c r="B968" s="2" t="s">
        <v>2767</v>
      </c>
      <c r="C968" s="2" t="s">
        <v>26</v>
      </c>
      <c r="D968" s="2" t="s">
        <v>27</v>
      </c>
      <c r="E968" s="4">
        <v>-32137</v>
      </c>
      <c r="F968" s="3" t="s">
        <v>355</v>
      </c>
      <c r="G968" s="3" t="s">
        <v>801</v>
      </c>
      <c r="H968" s="2" t="s">
        <v>21</v>
      </c>
      <c r="I968" s="2" t="s">
        <v>2768</v>
      </c>
      <c r="J968" s="3" t="str">
        <f>HYPERLINK("https://www.boe.es/gazeta/dias/1812/01/04/pdfs/GEI-1812-2.pdf#page=7","Abrir facsímil")</f>
        <v>Abrir facsímil</v>
      </c>
      <c r="K968" s="3" t="s">
        <v>23</v>
      </c>
    </row>
    <row r="969" spans="1:11" ht="42" customHeight="1">
      <c r="A969" s="2" t="s">
        <v>2769</v>
      </c>
      <c r="B969" s="2" t="s">
        <v>2769</v>
      </c>
      <c r="C969" s="2" t="s">
        <v>26</v>
      </c>
      <c r="D969" s="2" t="s">
        <v>27</v>
      </c>
      <c r="E969" s="4">
        <v>-31985</v>
      </c>
      <c r="F969" s="3" t="s">
        <v>2770</v>
      </c>
      <c r="G969" s="3" t="s">
        <v>172</v>
      </c>
      <c r="H969" s="2" t="s">
        <v>21</v>
      </c>
      <c r="I969" s="2" t="s">
        <v>2771</v>
      </c>
      <c r="J969" s="3" t="str">
        <f>HYPERLINK("https://www.boe.es/gazeta/dias/1812/06/04/pdfs/GMD-1812-156.pdf#page=4","Abrir facsímil")</f>
        <v>Abrir facsímil</v>
      </c>
      <c r="K969" s="3" t="s">
        <v>23</v>
      </c>
    </row>
    <row r="970" spans="1:11" ht="42" customHeight="1">
      <c r="A970" s="2" t="s">
        <v>2772</v>
      </c>
      <c r="B970" s="2" t="s">
        <v>2773</v>
      </c>
      <c r="C970" s="2" t="s">
        <v>26</v>
      </c>
      <c r="D970" s="2" t="s">
        <v>27</v>
      </c>
      <c r="E970" s="4">
        <v>-32053</v>
      </c>
      <c r="F970" s="3" t="s">
        <v>910</v>
      </c>
      <c r="G970" s="3" t="s">
        <v>911</v>
      </c>
      <c r="H970" s="2" t="s">
        <v>21</v>
      </c>
      <c r="I970" s="2" t="s">
        <v>2774</v>
      </c>
      <c r="J970" s="3" t="str">
        <f>HYPERLINK("https://www.boe.es/gazeta/dias/1812/03/28/pdfs/GRE-1812-39.pdf#page=8","Abrir facsímil")</f>
        <v>Abrir facsímil</v>
      </c>
      <c r="K970" s="3" t="s">
        <v>23</v>
      </c>
    </row>
    <row r="971" spans="1:11" ht="42" customHeight="1">
      <c r="A971" s="2" t="s">
        <v>2775</v>
      </c>
      <c r="B971" s="2" t="s">
        <v>2776</v>
      </c>
      <c r="C971" s="2" t="s">
        <v>26</v>
      </c>
      <c r="D971" s="2" t="s">
        <v>27</v>
      </c>
      <c r="E971" s="4">
        <v>-32022</v>
      </c>
      <c r="F971" s="3" t="s">
        <v>1186</v>
      </c>
      <c r="G971" s="3" t="s">
        <v>336</v>
      </c>
      <c r="H971" s="2" t="s">
        <v>21</v>
      </c>
      <c r="I971" s="2" t="s">
        <v>2777</v>
      </c>
      <c r="J971" s="3" t="str">
        <f>HYPERLINK("https://www.boe.es/gazeta/dias/1812/04/28/pdfs/GRE-1812-53.pdf#page=8","Abrir facsímil")</f>
        <v>Abrir facsímil</v>
      </c>
      <c r="K971" s="3" t="s">
        <v>23</v>
      </c>
    </row>
    <row r="972" spans="1:11" ht="42" customHeight="1">
      <c r="A972" s="2" t="s">
        <v>2778</v>
      </c>
      <c r="B972" s="2" t="s">
        <v>2778</v>
      </c>
      <c r="C972" s="2" t="s">
        <v>17</v>
      </c>
      <c r="D972" s="2" t="s">
        <v>18</v>
      </c>
      <c r="E972" s="4">
        <v>-31817</v>
      </c>
      <c r="F972" s="3" t="s">
        <v>454</v>
      </c>
      <c r="G972" s="3" t="s">
        <v>455</v>
      </c>
      <c r="H972" s="2" t="s">
        <v>21</v>
      </c>
      <c r="I972" s="2" t="s">
        <v>2779</v>
      </c>
      <c r="J972" s="3" t="str">
        <f>HYPERLINK("https://www.boe.es/gazeta/dias/1812/11/19/pdfs/GRE-1812-154.pdf#page=2","Abrir facsímil")</f>
        <v>Abrir facsímil</v>
      </c>
      <c r="K972" s="3" t="s">
        <v>23</v>
      </c>
    </row>
    <row r="973" spans="1:11" ht="42" customHeight="1">
      <c r="A973" s="2" t="s">
        <v>2780</v>
      </c>
      <c r="B973" s="2" t="s">
        <v>2781</v>
      </c>
      <c r="C973" s="2" t="s">
        <v>26</v>
      </c>
      <c r="D973" s="2" t="s">
        <v>27</v>
      </c>
      <c r="E973" s="4">
        <v>-32137</v>
      </c>
      <c r="F973" s="3" t="s">
        <v>355</v>
      </c>
      <c r="G973" s="3" t="s">
        <v>117</v>
      </c>
      <c r="H973" s="2" t="s">
        <v>21</v>
      </c>
      <c r="I973" s="2" t="s">
        <v>2782</v>
      </c>
      <c r="J973" s="3" t="str">
        <f>HYPERLINK("https://www.boe.es/gazeta/dias/1812/01/04/pdfs/GEI-1812-2.pdf#page=8","Abrir facsímil")</f>
        <v>Abrir facsímil</v>
      </c>
      <c r="K973" s="3" t="s">
        <v>23</v>
      </c>
    </row>
    <row r="974" spans="1:11" ht="42" customHeight="1">
      <c r="A974" s="2" t="s">
        <v>2783</v>
      </c>
      <c r="B974" s="2" t="s">
        <v>2783</v>
      </c>
      <c r="C974" s="2" t="s">
        <v>17</v>
      </c>
      <c r="D974" s="2" t="s">
        <v>27</v>
      </c>
      <c r="E974" s="4">
        <v>-31796</v>
      </c>
      <c r="F974" s="3" t="s">
        <v>649</v>
      </c>
      <c r="G974" s="3" t="s">
        <v>404</v>
      </c>
      <c r="H974" s="2" t="s">
        <v>21</v>
      </c>
      <c r="I974" s="2" t="s">
        <v>2784</v>
      </c>
      <c r="J974" s="3" t="str">
        <f>HYPERLINK("https://www.boe.es/gazeta/dias/1812/12/10/pdfs/GMD-1812-233.pdf#page=3","Abrir facsímil")</f>
        <v>Abrir facsímil</v>
      </c>
      <c r="K974" s="3" t="s">
        <v>23</v>
      </c>
    </row>
    <row r="975" spans="1:11" ht="42" customHeight="1">
      <c r="A975" s="2" t="s">
        <v>2785</v>
      </c>
      <c r="B975" s="2" t="s">
        <v>2785</v>
      </c>
      <c r="C975" s="2" t="s">
        <v>17</v>
      </c>
      <c r="D975" s="2" t="s">
        <v>27</v>
      </c>
      <c r="E975" s="4">
        <v>-31929</v>
      </c>
      <c r="F975" s="3" t="s">
        <v>2786</v>
      </c>
      <c r="G975" s="3" t="s">
        <v>2313</v>
      </c>
      <c r="H975" s="2" t="s">
        <v>21</v>
      </c>
      <c r="I975" s="2" t="s">
        <v>2787</v>
      </c>
      <c r="J975" s="3" t="str">
        <f>HYPERLINK("https://www.boe.es/gazeta/dias/1812/07/30/pdfs/GMD-1812-212.pdf#page=1","Abrir facsímil")</f>
        <v>Abrir facsímil</v>
      </c>
      <c r="K975" s="3" t="s">
        <v>23</v>
      </c>
    </row>
    <row r="976" spans="1:11" ht="42" customHeight="1">
      <c r="A976" s="2" t="s">
        <v>2788</v>
      </c>
      <c r="B976" s="2" t="s">
        <v>2788</v>
      </c>
      <c r="C976" s="2" t="s">
        <v>17</v>
      </c>
      <c r="D976" s="2" t="s">
        <v>194</v>
      </c>
      <c r="E976" s="4">
        <v>-31875</v>
      </c>
      <c r="F976" s="3" t="s">
        <v>708</v>
      </c>
      <c r="G976" s="3" t="s">
        <v>58</v>
      </c>
      <c r="H976" s="2" t="s">
        <v>21</v>
      </c>
      <c r="I976" s="2" t="s">
        <v>2789</v>
      </c>
      <c r="J976" s="3" t="str">
        <f>HYPERLINK("https://www.boe.es/gazeta/dias/1812/09/22/pdfs/GMR-1812-17.pdf#page=9","Abrir facsímil")</f>
        <v>Abrir facsímil</v>
      </c>
      <c r="K976" s="3" t="s">
        <v>23</v>
      </c>
    </row>
    <row r="977" spans="1:11" ht="42" customHeight="1">
      <c r="A977" s="2" t="s">
        <v>2790</v>
      </c>
      <c r="B977" s="2" t="s">
        <v>2791</v>
      </c>
      <c r="C977" s="2" t="s">
        <v>26</v>
      </c>
      <c r="D977" s="2" t="s">
        <v>27</v>
      </c>
      <c r="E977" s="4">
        <v>-31922</v>
      </c>
      <c r="F977" s="3" t="s">
        <v>622</v>
      </c>
      <c r="G977" s="3" t="s">
        <v>623</v>
      </c>
      <c r="H977" s="2" t="s">
        <v>21</v>
      </c>
      <c r="I977" s="2" t="s">
        <v>2792</v>
      </c>
      <c r="J977" s="3" t="str">
        <f>HYPERLINK("https://www.boe.es/gazeta/dias/1812/08/06/pdfs/GMD-1812-219.pdf#page=1","Abrir facsímil")</f>
        <v>Abrir facsímil</v>
      </c>
      <c r="K977" s="3" t="s">
        <v>23</v>
      </c>
    </row>
    <row r="978" spans="1:11" ht="42" customHeight="1">
      <c r="A978" s="2" t="s">
        <v>2793</v>
      </c>
      <c r="B978" s="2" t="s">
        <v>2793</v>
      </c>
      <c r="C978" s="2" t="s">
        <v>49</v>
      </c>
      <c r="D978" s="2" t="s">
        <v>27</v>
      </c>
      <c r="E978" s="4">
        <v>-32112</v>
      </c>
      <c r="F978" s="3" t="s">
        <v>2794</v>
      </c>
      <c r="G978" s="3" t="s">
        <v>20</v>
      </c>
      <c r="H978" s="2" t="s">
        <v>21</v>
      </c>
      <c r="I978" s="2" t="s">
        <v>2795</v>
      </c>
      <c r="J978" s="3" t="str">
        <f>HYPERLINK("https://www.boe.es/gazeta/dias/1812/01/29/pdfs/GMD-1812-29.pdf#page=2","Abrir facsímil")</f>
        <v>Abrir facsímil</v>
      </c>
      <c r="K978" s="3" t="s">
        <v>23</v>
      </c>
    </row>
    <row r="979" spans="1:11" ht="42" customHeight="1">
      <c r="A979" s="2" t="s">
        <v>2796</v>
      </c>
      <c r="B979" s="2" t="s">
        <v>2796</v>
      </c>
      <c r="C979" s="2" t="s">
        <v>26</v>
      </c>
      <c r="D979" s="2" t="s">
        <v>27</v>
      </c>
      <c r="E979" s="4">
        <v>-32137</v>
      </c>
      <c r="F979" s="3" t="s">
        <v>355</v>
      </c>
      <c r="G979" s="3" t="s">
        <v>117</v>
      </c>
      <c r="H979" s="2" t="s">
        <v>21</v>
      </c>
      <c r="I979" s="2" t="s">
        <v>2797</v>
      </c>
      <c r="J979" s="3" t="str">
        <f>HYPERLINK("https://www.boe.es/gazeta/dias/1812/01/04/pdfs/GEI-1812-2.pdf#page=8","Abrir facsímil")</f>
        <v>Abrir facsímil</v>
      </c>
      <c r="K979" s="3" t="s">
        <v>23</v>
      </c>
    </row>
    <row r="980" spans="1:11" ht="42" customHeight="1">
      <c r="A980" s="2" t="s">
        <v>2798</v>
      </c>
      <c r="B980" s="2" t="s">
        <v>2799</v>
      </c>
      <c r="C980" s="2" t="s">
        <v>17</v>
      </c>
      <c r="D980" s="2" t="s">
        <v>18</v>
      </c>
      <c r="E980" s="4">
        <v>-32136</v>
      </c>
      <c r="F980" s="3" t="s">
        <v>2800</v>
      </c>
      <c r="G980" s="3" t="s">
        <v>217</v>
      </c>
      <c r="H980" s="2" t="s">
        <v>21</v>
      </c>
      <c r="I980" s="2" t="s">
        <v>2801</v>
      </c>
      <c r="J980" s="3" t="str">
        <f>HYPERLINK("https://www.boe.es/gazeta/dias/1812/01/05/pdfs/GMD-1812-5.pdf#page=3","Abrir facsímil")</f>
        <v>Abrir facsímil</v>
      </c>
      <c r="K980" s="3" t="s">
        <v>23</v>
      </c>
    </row>
    <row r="981" spans="1:11" ht="42" customHeight="1">
      <c r="A981" s="2" t="s">
        <v>2802</v>
      </c>
      <c r="B981" s="2" t="s">
        <v>2802</v>
      </c>
      <c r="C981" s="2" t="s">
        <v>26</v>
      </c>
      <c r="D981" s="2" t="s">
        <v>27</v>
      </c>
      <c r="E981" s="4">
        <v>-31937</v>
      </c>
      <c r="F981" s="3" t="s">
        <v>1198</v>
      </c>
      <c r="G981" s="3" t="s">
        <v>2433</v>
      </c>
      <c r="H981" s="2" t="s">
        <v>21</v>
      </c>
      <c r="I981" s="2" t="s">
        <v>2803</v>
      </c>
      <c r="J981" s="3" t="str">
        <f>HYPERLINK("https://www.boe.es/gazeta/dias/1812/07/22/pdfs/GMD-1812-204.pdf#page=3","Abrir facsímil")</f>
        <v>Abrir facsímil</v>
      </c>
      <c r="K981" s="3" t="s">
        <v>23</v>
      </c>
    </row>
    <row r="982" spans="1:11" ht="42" customHeight="1">
      <c r="A982" s="2" t="s">
        <v>2804</v>
      </c>
      <c r="B982" s="2" t="s">
        <v>2804</v>
      </c>
      <c r="C982" s="2" t="s">
        <v>26</v>
      </c>
      <c r="D982" s="2" t="s">
        <v>27</v>
      </c>
      <c r="E982" s="4">
        <v>-31937</v>
      </c>
      <c r="F982" s="3" t="s">
        <v>1198</v>
      </c>
      <c r="G982" s="3" t="s">
        <v>140</v>
      </c>
      <c r="H982" s="2" t="s">
        <v>21</v>
      </c>
      <c r="I982" s="2" t="s">
        <v>2805</v>
      </c>
      <c r="J982" s="3" t="str">
        <f>HYPERLINK("https://www.boe.es/gazeta/dias/1812/07/22/pdfs/GMD-1812-204.pdf#page=2","Abrir facsímil")</f>
        <v>Abrir facsímil</v>
      </c>
      <c r="K982" s="3" t="s">
        <v>23</v>
      </c>
    </row>
    <row r="983" spans="1:11" ht="42" customHeight="1">
      <c r="A983" s="2" t="s">
        <v>2804</v>
      </c>
      <c r="B983" s="2" t="s">
        <v>2804</v>
      </c>
      <c r="C983" s="2" t="s">
        <v>26</v>
      </c>
      <c r="D983" s="2" t="s">
        <v>275</v>
      </c>
      <c r="E983" s="4">
        <v>-31937</v>
      </c>
      <c r="F983" s="3" t="s">
        <v>1198</v>
      </c>
      <c r="G983" s="3" t="s">
        <v>2433</v>
      </c>
      <c r="H983" s="2" t="s">
        <v>21</v>
      </c>
      <c r="I983" s="2" t="s">
        <v>2806</v>
      </c>
      <c r="J983" s="3" t="str">
        <f>HYPERLINK("https://www.boe.es/gazeta/dias/1812/07/22/pdfs/GMD-1812-204.pdf#page=3","Abrir facsímil")</f>
        <v>Abrir facsímil</v>
      </c>
      <c r="K983" s="3" t="s">
        <v>23</v>
      </c>
    </row>
    <row r="984" spans="1:11" ht="42" customHeight="1">
      <c r="A984" s="2" t="s">
        <v>2804</v>
      </c>
      <c r="B984" s="2" t="s">
        <v>2804</v>
      </c>
      <c r="C984" s="2" t="s">
        <v>17</v>
      </c>
      <c r="D984" s="2" t="s">
        <v>18</v>
      </c>
      <c r="E984" s="4">
        <v>-31937</v>
      </c>
      <c r="F984" s="3" t="s">
        <v>1198</v>
      </c>
      <c r="G984" s="3" t="s">
        <v>237</v>
      </c>
      <c r="H984" s="2" t="s">
        <v>21</v>
      </c>
      <c r="I984" s="2" t="s">
        <v>2807</v>
      </c>
      <c r="J984" s="3" t="str">
        <f>HYPERLINK("https://www.boe.es/gazeta/dias/1812/07/22/pdfs/GMD-1812-204.pdf#page=4","Abrir facsímil")</f>
        <v>Abrir facsímil</v>
      </c>
      <c r="K984" s="3" t="s">
        <v>23</v>
      </c>
    </row>
    <row r="985" spans="1:11" ht="42" customHeight="1">
      <c r="A985" s="2" t="s">
        <v>2804</v>
      </c>
      <c r="B985" s="2" t="s">
        <v>2804</v>
      </c>
      <c r="C985" s="2" t="s">
        <v>26</v>
      </c>
      <c r="D985" s="2" t="s">
        <v>27</v>
      </c>
      <c r="E985" s="4">
        <v>-31922</v>
      </c>
      <c r="F985" s="3" t="s">
        <v>375</v>
      </c>
      <c r="G985" s="3" t="s">
        <v>376</v>
      </c>
      <c r="H985" s="2" t="s">
        <v>21</v>
      </c>
      <c r="I985" s="2" t="s">
        <v>2808</v>
      </c>
      <c r="J985" s="3" t="str">
        <f>HYPERLINK("https://www.boe.es/gazeta/dias/1812/08/06/pdfs/GRE-1812-100.pdf#page=7","Abrir facsímil")</f>
        <v>Abrir facsímil</v>
      </c>
      <c r="K985" s="3" t="s">
        <v>23</v>
      </c>
    </row>
    <row r="986" spans="1:11" ht="42" customHeight="1">
      <c r="A986" s="2" t="s">
        <v>2804</v>
      </c>
      <c r="B986" s="2" t="s">
        <v>2804</v>
      </c>
      <c r="C986" s="2" t="s">
        <v>26</v>
      </c>
      <c r="D986" s="2" t="s">
        <v>275</v>
      </c>
      <c r="E986" s="4">
        <v>-31794</v>
      </c>
      <c r="F986" s="3" t="s">
        <v>254</v>
      </c>
      <c r="G986" s="3" t="s">
        <v>801</v>
      </c>
      <c r="H986" s="2" t="s">
        <v>21</v>
      </c>
      <c r="I986" s="2" t="s">
        <v>2809</v>
      </c>
      <c r="J986" s="3" t="str">
        <f>HYPERLINK("https://www.boe.es/gazeta/dias/1812/12/12/pdfs/GMD-1812-235.pdf#page=4","Abrir facsímil")</f>
        <v>Abrir facsímil</v>
      </c>
      <c r="K986" s="3" t="s">
        <v>23</v>
      </c>
    </row>
    <row r="987" spans="1:11" ht="42" customHeight="1">
      <c r="A987" s="2" t="s">
        <v>2810</v>
      </c>
      <c r="B987" s="2" t="s">
        <v>2811</v>
      </c>
      <c r="C987" s="2" t="s">
        <v>26</v>
      </c>
      <c r="D987" s="2" t="s">
        <v>27</v>
      </c>
      <c r="E987" s="4">
        <v>-32069</v>
      </c>
      <c r="F987" s="3" t="s">
        <v>445</v>
      </c>
      <c r="G987" s="3" t="s">
        <v>2812</v>
      </c>
      <c r="H987" s="2" t="s">
        <v>21</v>
      </c>
      <c r="I987" s="2" t="s">
        <v>2813</v>
      </c>
      <c r="J987" s="3" t="str">
        <f>HYPERLINK("https://www.boe.es/gazeta/dias/1812/03/12/pdfs/GRE-1812-32.pdf#page=4","Abrir facsímil")</f>
        <v>Abrir facsímil</v>
      </c>
      <c r="K987" s="3" t="s">
        <v>23</v>
      </c>
    </row>
    <row r="988" spans="1:11" ht="42" customHeight="1">
      <c r="A988" s="2" t="s">
        <v>2814</v>
      </c>
      <c r="B988" s="2" t="s">
        <v>2814</v>
      </c>
      <c r="C988" s="2" t="s">
        <v>17</v>
      </c>
      <c r="D988" s="2" t="s">
        <v>27</v>
      </c>
      <c r="E988" s="4">
        <v>-32062</v>
      </c>
      <c r="F988" s="3" t="s">
        <v>2168</v>
      </c>
      <c r="G988" s="3" t="s">
        <v>2815</v>
      </c>
      <c r="H988" s="2" t="s">
        <v>21</v>
      </c>
      <c r="I988" s="2" t="s">
        <v>2816</v>
      </c>
      <c r="J988" s="3" t="str">
        <f>HYPERLINK("https://www.boe.es/gazeta/dias/1812/03/19/pdfs/GRE-1812-35.pdf#page=7","Abrir facsímil")</f>
        <v>Abrir facsímil</v>
      </c>
      <c r="K988" s="3" t="s">
        <v>23</v>
      </c>
    </row>
    <row r="989" spans="1:11" ht="42" customHeight="1">
      <c r="A989" s="2" t="s">
        <v>2817</v>
      </c>
      <c r="B989" s="2" t="s">
        <v>2817</v>
      </c>
      <c r="C989" s="2" t="s">
        <v>17</v>
      </c>
      <c r="D989" s="2" t="s">
        <v>27</v>
      </c>
      <c r="E989" s="4">
        <v>-32020</v>
      </c>
      <c r="F989" s="3" t="s">
        <v>2818</v>
      </c>
      <c r="G989" s="3" t="s">
        <v>196</v>
      </c>
      <c r="H989" s="2" t="s">
        <v>21</v>
      </c>
      <c r="I989" s="2" t="s">
        <v>2819</v>
      </c>
      <c r="J989" s="3" t="str">
        <f>HYPERLINK("https://www.boe.es/gazeta/dias/1812/04/30/pdfs/GRE-1812-54.pdf#page=1","Abrir facsímil")</f>
        <v>Abrir facsímil</v>
      </c>
      <c r="K989" s="3" t="s">
        <v>23</v>
      </c>
    </row>
    <row r="990" spans="1:11" ht="42" customHeight="1">
      <c r="A990" s="2" t="s">
        <v>2820</v>
      </c>
      <c r="B990" s="2" t="s">
        <v>2820</v>
      </c>
      <c r="C990" s="2" t="s">
        <v>17</v>
      </c>
      <c r="D990" s="2" t="s">
        <v>18</v>
      </c>
      <c r="E990" s="4">
        <v>-32062</v>
      </c>
      <c r="F990" s="3" t="s">
        <v>2168</v>
      </c>
      <c r="G990" s="3" t="s">
        <v>196</v>
      </c>
      <c r="H990" s="2" t="s">
        <v>21</v>
      </c>
      <c r="I990" s="2" t="s">
        <v>2821</v>
      </c>
      <c r="J990" s="3" t="str">
        <f>HYPERLINK("https://www.boe.es/gazeta/dias/1812/03/19/pdfs/GRE-1812-35.pdf#page=2","Abrir facsímil")</f>
        <v>Abrir facsímil</v>
      </c>
      <c r="K990" s="3" t="s">
        <v>23</v>
      </c>
    </row>
    <row r="991" spans="1:11" ht="42" customHeight="1">
      <c r="A991" s="2" t="s">
        <v>2820</v>
      </c>
      <c r="B991" s="2" t="s">
        <v>2820</v>
      </c>
      <c r="C991" s="2" t="s">
        <v>17</v>
      </c>
      <c r="D991" s="2" t="s">
        <v>573</v>
      </c>
      <c r="E991" s="4">
        <v>-31950</v>
      </c>
      <c r="F991" s="3" t="s">
        <v>2822</v>
      </c>
      <c r="G991" s="3" t="s">
        <v>2823</v>
      </c>
      <c r="H991" s="2" t="s">
        <v>21</v>
      </c>
      <c r="I991" s="2" t="s">
        <v>2824</v>
      </c>
      <c r="J991" s="3" t="str">
        <f>HYPERLINK("https://www.boe.es/gazeta/dias/1812/07/09/pdfs/GRE-1812-85E.pdf#page=2","Abrir facsímil")</f>
        <v>Abrir facsímil</v>
      </c>
      <c r="K991" s="3" t="s">
        <v>23</v>
      </c>
    </row>
    <row r="992" spans="1:11" ht="42" customHeight="1">
      <c r="A992" s="2" t="s">
        <v>2820</v>
      </c>
      <c r="B992" s="2" t="s">
        <v>2820</v>
      </c>
      <c r="C992" s="2" t="s">
        <v>17</v>
      </c>
      <c r="D992" s="2" t="s">
        <v>27</v>
      </c>
      <c r="E992" s="4">
        <v>-31943</v>
      </c>
      <c r="F992" s="3" t="s">
        <v>2825</v>
      </c>
      <c r="G992" s="3" t="s">
        <v>214</v>
      </c>
      <c r="H992" s="2" t="s">
        <v>21</v>
      </c>
      <c r="I992" s="2" t="s">
        <v>2826</v>
      </c>
      <c r="J992" s="3" t="str">
        <f>HYPERLINK("https://www.boe.es/gazeta/dias/1812/07/16/pdfs/GRE-1812-89.pdf#page=4","Abrir facsímil")</f>
        <v>Abrir facsímil</v>
      </c>
      <c r="K992" s="3" t="s">
        <v>23</v>
      </c>
    </row>
    <row r="993" spans="1:11" ht="42" customHeight="1">
      <c r="A993" s="2" t="s">
        <v>2820</v>
      </c>
      <c r="B993" s="2" t="s">
        <v>2820</v>
      </c>
      <c r="C993" s="2" t="s">
        <v>17</v>
      </c>
      <c r="D993" s="2" t="s">
        <v>134</v>
      </c>
      <c r="E993" s="4">
        <v>-31915</v>
      </c>
      <c r="F993" s="3" t="s">
        <v>2827</v>
      </c>
      <c r="G993" s="3" t="s">
        <v>2828</v>
      </c>
      <c r="H993" s="2" t="s">
        <v>21</v>
      </c>
      <c r="I993" s="2" t="s">
        <v>2829</v>
      </c>
      <c r="J993" s="3" t="str">
        <f>HYPERLINK("https://www.boe.es/gazeta/dias/1812/08/13/pdfs/GRE-F-1812-104.pdf#page=3","Abrir facsímil")</f>
        <v>Abrir facsímil</v>
      </c>
      <c r="K993" s="3" t="s">
        <v>23</v>
      </c>
    </row>
    <row r="994" spans="1:11" ht="42" customHeight="1">
      <c r="A994" s="2" t="s">
        <v>2830</v>
      </c>
      <c r="B994" s="2" t="s">
        <v>2830</v>
      </c>
      <c r="C994" s="2" t="s">
        <v>17</v>
      </c>
      <c r="D994" s="2" t="s">
        <v>194</v>
      </c>
      <c r="E994" s="4">
        <v>-31976</v>
      </c>
      <c r="F994" s="3" t="s">
        <v>2250</v>
      </c>
      <c r="G994" s="3" t="s">
        <v>2831</v>
      </c>
      <c r="H994" s="2" t="s">
        <v>21</v>
      </c>
      <c r="I994" s="2" t="s">
        <v>2832</v>
      </c>
      <c r="J994" s="3" t="str">
        <f>HYPERLINK("https://www.boe.es/gazeta/dias/1812/06/13/pdfs/GMD-1812-165.pdf#page=1","Abrir facsímil")</f>
        <v>Abrir facsímil</v>
      </c>
      <c r="K994" s="3" t="s">
        <v>23</v>
      </c>
    </row>
    <row r="995" spans="1:11" ht="42" customHeight="1">
      <c r="A995" s="2" t="s">
        <v>2833</v>
      </c>
      <c r="B995" s="2" t="s">
        <v>2833</v>
      </c>
      <c r="C995" s="2" t="s">
        <v>17</v>
      </c>
      <c r="D995" s="2" t="s">
        <v>18</v>
      </c>
      <c r="E995" s="4">
        <v>-31798</v>
      </c>
      <c r="F995" s="3" t="s">
        <v>1849</v>
      </c>
      <c r="G995" s="3" t="s">
        <v>2280</v>
      </c>
      <c r="H995" s="2" t="s">
        <v>21</v>
      </c>
      <c r="I995" s="2" t="s">
        <v>2834</v>
      </c>
      <c r="J995" s="3" t="str">
        <f>HYPERLINK("https://www.boe.es/gazeta/dias/1812/12/08/pdfs/GMD-1812-231.pdf#page=4","Abrir facsímil")</f>
        <v>Abrir facsímil</v>
      </c>
      <c r="K995" s="3" t="s">
        <v>23</v>
      </c>
    </row>
    <row r="996" spans="1:11" ht="42" customHeight="1">
      <c r="A996" s="2" t="s">
        <v>2835</v>
      </c>
      <c r="B996" s="2" t="s">
        <v>2835</v>
      </c>
      <c r="C996" s="2" t="s">
        <v>105</v>
      </c>
      <c r="D996" s="2" t="s">
        <v>27</v>
      </c>
      <c r="E996" s="4">
        <v>-31901</v>
      </c>
      <c r="F996" s="3" t="s">
        <v>2199</v>
      </c>
      <c r="G996" s="3" t="s">
        <v>2836</v>
      </c>
      <c r="H996" s="2" t="s">
        <v>21</v>
      </c>
      <c r="I996" s="2" t="s">
        <v>2837</v>
      </c>
      <c r="J996" s="3" t="str">
        <f>HYPERLINK("https://www.boe.es/gazeta/dias/1812/08/27/pdfs/GRE-1812-111.pdf#page=5","Abrir facsímil")</f>
        <v>Abrir facsímil</v>
      </c>
      <c r="K996" s="3" t="s">
        <v>23</v>
      </c>
    </row>
    <row r="997" spans="1:11" ht="42" customHeight="1">
      <c r="A997" s="2" t="s">
        <v>2835</v>
      </c>
      <c r="B997" s="2" t="s">
        <v>2835</v>
      </c>
      <c r="C997" s="2" t="s">
        <v>105</v>
      </c>
      <c r="D997" s="2" t="s">
        <v>27</v>
      </c>
      <c r="E997" s="4">
        <v>-31878</v>
      </c>
      <c r="F997" s="3" t="s">
        <v>1831</v>
      </c>
      <c r="G997" s="3" t="s">
        <v>237</v>
      </c>
      <c r="H997" s="2" t="s">
        <v>21</v>
      </c>
      <c r="I997" s="2" t="s">
        <v>2838</v>
      </c>
      <c r="J997" s="3" t="str">
        <f>HYPERLINK("https://www.boe.es/gazeta/dias/1812/09/19/pdfs/GMR-1812-16.pdf#page=8","Abrir facsímil")</f>
        <v>Abrir facsímil</v>
      </c>
      <c r="K997" s="3" t="s">
        <v>23</v>
      </c>
    </row>
    <row r="998" spans="1:11" ht="42" customHeight="1">
      <c r="A998" s="2" t="s">
        <v>2839</v>
      </c>
      <c r="B998" s="2" t="s">
        <v>2840</v>
      </c>
      <c r="C998" s="2" t="s">
        <v>105</v>
      </c>
      <c r="D998" s="2" t="s">
        <v>27</v>
      </c>
      <c r="E998" s="4">
        <v>-31938</v>
      </c>
      <c r="F998" s="3" t="s">
        <v>370</v>
      </c>
      <c r="G998" s="3" t="s">
        <v>371</v>
      </c>
      <c r="H998" s="2" t="s">
        <v>21</v>
      </c>
      <c r="I998" s="2" t="s">
        <v>2841</v>
      </c>
      <c r="J998" s="3" t="str">
        <f>HYPERLINK("https://www.boe.es/gazeta/dias/1812/07/21/pdfs/GRE-1812-91.pdf#page=8","Abrir facsímil")</f>
        <v>Abrir facsímil</v>
      </c>
      <c r="K998" s="3" t="s">
        <v>23</v>
      </c>
    </row>
    <row r="999" spans="1:11" ht="42" customHeight="1">
      <c r="A999" s="2" t="s">
        <v>2842</v>
      </c>
      <c r="B999" s="2" t="s">
        <v>2842</v>
      </c>
      <c r="C999" s="2" t="s">
        <v>17</v>
      </c>
      <c r="D999" s="2" t="s">
        <v>18</v>
      </c>
      <c r="E999" s="4">
        <v>-31861</v>
      </c>
      <c r="F999" s="3" t="s">
        <v>1080</v>
      </c>
      <c r="G999" s="3" t="s">
        <v>2313</v>
      </c>
      <c r="H999" s="2" t="s">
        <v>21</v>
      </c>
      <c r="I999" s="2" t="s">
        <v>2843</v>
      </c>
      <c r="J999" s="3" t="str">
        <f>HYPERLINK("https://www.boe.es/gazeta/dias/1812/10/06/pdfs/GMR-1812-23.pdf#page=5","Abrir facsímil")</f>
        <v>Abrir facsímil</v>
      </c>
      <c r="K999" s="3" t="s">
        <v>23</v>
      </c>
    </row>
    <row r="1000" spans="1:11" ht="42" customHeight="1">
      <c r="A1000" s="2" t="s">
        <v>2844</v>
      </c>
      <c r="B1000" s="2" t="s">
        <v>2844</v>
      </c>
      <c r="C1000" s="2" t="s">
        <v>26</v>
      </c>
      <c r="D1000" s="2" t="s">
        <v>27</v>
      </c>
      <c r="E1000" s="4">
        <v>-31795</v>
      </c>
      <c r="F1000" s="3" t="s">
        <v>2344</v>
      </c>
      <c r="G1000" s="3" t="s">
        <v>2280</v>
      </c>
      <c r="H1000" s="2" t="s">
        <v>21</v>
      </c>
      <c r="I1000" s="2" t="s">
        <v>2845</v>
      </c>
      <c r="J1000" s="3" t="str">
        <f>HYPERLINK("https://www.boe.es/gazeta/dias/1812/12/11/pdfs/GMD-1812-234.pdf#page=1","Abrir facsímil")</f>
        <v>Abrir facsímil</v>
      </c>
      <c r="K1000" s="3" t="s">
        <v>23</v>
      </c>
    </row>
    <row r="1001" spans="1:11" ht="42" customHeight="1">
      <c r="A1001" s="2" t="s">
        <v>2846</v>
      </c>
      <c r="B1001" s="2" t="s">
        <v>2846</v>
      </c>
      <c r="C1001" s="2" t="s">
        <v>17</v>
      </c>
      <c r="D1001" s="2" t="s">
        <v>194</v>
      </c>
      <c r="E1001" s="4">
        <v>-32050</v>
      </c>
      <c r="F1001" s="3" t="s">
        <v>864</v>
      </c>
      <c r="G1001" s="3" t="s">
        <v>2847</v>
      </c>
      <c r="H1001" s="2" t="s">
        <v>21</v>
      </c>
      <c r="I1001" s="2" t="s">
        <v>2848</v>
      </c>
      <c r="J1001" s="3" t="str">
        <f>HYPERLINK("https://www.boe.es/gazeta/dias/1812/03/31/pdfs/GRE-1812-40.pdf#page=5","Abrir facsímil")</f>
        <v>Abrir facsímil</v>
      </c>
      <c r="K1001" s="3" t="s">
        <v>23</v>
      </c>
    </row>
    <row r="1002" spans="1:11" ht="42" customHeight="1">
      <c r="A1002" s="2" t="s">
        <v>2849</v>
      </c>
      <c r="B1002" s="2" t="s">
        <v>2850</v>
      </c>
      <c r="C1002" s="2" t="s">
        <v>17</v>
      </c>
      <c r="D1002" s="2" t="s">
        <v>18</v>
      </c>
      <c r="E1002" s="4">
        <v>-31875</v>
      </c>
      <c r="F1002" s="3" t="s">
        <v>110</v>
      </c>
      <c r="G1002" s="3" t="s">
        <v>2373</v>
      </c>
      <c r="H1002" s="2" t="s">
        <v>21</v>
      </c>
      <c r="I1002" s="2" t="s">
        <v>2851</v>
      </c>
      <c r="J1002" s="3" t="str">
        <f>HYPERLINK("https://www.boe.es/gazeta/dias/1812/09/22/pdfs/GRE-1812-128.pdf#page=5","Abrir facsímil")</f>
        <v>Abrir facsímil</v>
      </c>
      <c r="K1002" s="3" t="s">
        <v>23</v>
      </c>
    </row>
    <row r="1003" spans="1:11" ht="42" customHeight="1">
      <c r="A1003" s="2" t="s">
        <v>2852</v>
      </c>
      <c r="B1003" s="2" t="s">
        <v>2852</v>
      </c>
      <c r="C1003" s="2" t="s">
        <v>105</v>
      </c>
      <c r="D1003" s="2" t="s">
        <v>27</v>
      </c>
      <c r="E1003" s="4">
        <v>-32001</v>
      </c>
      <c r="F1003" s="3" t="s">
        <v>1728</v>
      </c>
      <c r="G1003" s="3" t="s">
        <v>36</v>
      </c>
      <c r="H1003" s="2" t="s">
        <v>21</v>
      </c>
      <c r="I1003" s="2" t="s">
        <v>2853</v>
      </c>
      <c r="J1003" s="3" t="str">
        <f>HYPERLINK("https://www.boe.es/gazeta/dias/1812/05/19/pdfs/GMD-1812-140.pdf#page=3","Abrir facsímil")</f>
        <v>Abrir facsímil</v>
      </c>
      <c r="K1003" s="3" t="s">
        <v>23</v>
      </c>
    </row>
    <row r="1004" spans="1:11" ht="42" customHeight="1">
      <c r="A1004" s="2" t="s">
        <v>2854</v>
      </c>
      <c r="B1004" s="2" t="s">
        <v>2855</v>
      </c>
      <c r="C1004" s="2" t="s">
        <v>26</v>
      </c>
      <c r="D1004" s="2" t="s">
        <v>27</v>
      </c>
      <c r="E1004" s="4">
        <v>-32109</v>
      </c>
      <c r="F1004" s="3" t="s">
        <v>62</v>
      </c>
      <c r="G1004" s="3" t="s">
        <v>63</v>
      </c>
      <c r="H1004" s="2" t="s">
        <v>21</v>
      </c>
      <c r="I1004" s="2" t="s">
        <v>2856</v>
      </c>
      <c r="J1004" s="3" t="str">
        <f>HYPERLINK("https://www.boe.es/gazeta/dias/1812/02/01/pdfs/GRE-1812-14.pdf#page=10","Abrir facsímil")</f>
        <v>Abrir facsímil</v>
      </c>
      <c r="K1004" s="3" t="s">
        <v>23</v>
      </c>
    </row>
    <row r="1005" spans="1:11" ht="42" customHeight="1">
      <c r="A1005" s="2" t="s">
        <v>2857</v>
      </c>
      <c r="B1005" s="2" t="s">
        <v>2857</v>
      </c>
      <c r="C1005" s="2" t="s">
        <v>17</v>
      </c>
      <c r="D1005" s="2" t="s">
        <v>18</v>
      </c>
      <c r="E1005" s="4">
        <v>-31954</v>
      </c>
      <c r="F1005" s="3" t="s">
        <v>692</v>
      </c>
      <c r="G1005" s="3" t="s">
        <v>2858</v>
      </c>
      <c r="H1005" s="2" t="s">
        <v>21</v>
      </c>
      <c r="I1005" s="2" t="s">
        <v>2859</v>
      </c>
      <c r="J1005" s="3" t="str">
        <f>HYPERLINK("https://www.boe.es/gazeta/dias/1812/07/05/pdfs/GMD-1812-187.pdf#page=2","Abrir facsímil")</f>
        <v>Abrir facsímil</v>
      </c>
      <c r="K1005" s="3" t="s">
        <v>23</v>
      </c>
    </row>
    <row r="1006" spans="1:11" ht="42" customHeight="1">
      <c r="A1006" s="2" t="s">
        <v>2860</v>
      </c>
      <c r="B1006" s="2" t="s">
        <v>2860</v>
      </c>
      <c r="C1006" s="2" t="s">
        <v>17</v>
      </c>
      <c r="D1006" s="2" t="s">
        <v>27</v>
      </c>
      <c r="E1006" s="4">
        <v>-31801</v>
      </c>
      <c r="F1006" s="3" t="s">
        <v>1914</v>
      </c>
      <c r="G1006" s="3" t="s">
        <v>1915</v>
      </c>
      <c r="H1006" s="2" t="s">
        <v>21</v>
      </c>
      <c r="I1006" s="2" t="s">
        <v>2861</v>
      </c>
      <c r="J1006" s="3" t="str">
        <f>HYPERLINK("https://www.boe.es/gazeta/dias/1812/12/05/pdfs/GRE-1812-161.pdf#page=3","Abrir facsímil")</f>
        <v>Abrir facsímil</v>
      </c>
      <c r="K1006" s="3" t="s">
        <v>23</v>
      </c>
    </row>
    <row r="1007" spans="1:11" ht="42" customHeight="1">
      <c r="A1007" s="2" t="s">
        <v>2862</v>
      </c>
      <c r="B1007" s="2" t="s">
        <v>2862</v>
      </c>
      <c r="C1007" s="2" t="s">
        <v>17</v>
      </c>
      <c r="D1007" s="2" t="s">
        <v>18</v>
      </c>
      <c r="E1007" s="4">
        <v>-32025</v>
      </c>
      <c r="F1007" s="3" t="s">
        <v>2323</v>
      </c>
      <c r="G1007" s="3" t="s">
        <v>125</v>
      </c>
      <c r="H1007" s="2" t="s">
        <v>21</v>
      </c>
      <c r="I1007" s="2" t="s">
        <v>2863</v>
      </c>
      <c r="J1007" s="3" t="str">
        <f>HYPERLINK("https://www.boe.es/gazeta/dias/1812/04/25/pdfs/GRE-1812-52.pdf#page=7","Abrir facsímil")</f>
        <v>Abrir facsímil</v>
      </c>
      <c r="K1007" s="3" t="s">
        <v>23</v>
      </c>
    </row>
    <row r="1008" spans="1:11" ht="42" customHeight="1">
      <c r="A1008" s="2" t="s">
        <v>2864</v>
      </c>
      <c r="B1008" s="2" t="s">
        <v>2865</v>
      </c>
      <c r="C1008" s="2" t="s">
        <v>17</v>
      </c>
      <c r="D1008" s="2" t="s">
        <v>18</v>
      </c>
      <c r="E1008" s="4">
        <v>-31852</v>
      </c>
      <c r="F1008" s="3" t="s">
        <v>2145</v>
      </c>
      <c r="G1008" s="3" t="s">
        <v>2866</v>
      </c>
      <c r="H1008" s="2" t="s">
        <v>21</v>
      </c>
      <c r="I1008" s="2" t="s">
        <v>2867</v>
      </c>
      <c r="J1008" s="3" t="str">
        <f>HYPERLINK("https://www.boe.es/gazeta/dias/1812/10/15/pdfs/GRE-1812-139.pdf#page=3","Abrir facsímil")</f>
        <v>Abrir facsímil</v>
      </c>
      <c r="K1008" s="3" t="s">
        <v>23</v>
      </c>
    </row>
    <row r="1009" spans="1:11" ht="42" customHeight="1">
      <c r="A1009" s="2" t="s">
        <v>2868</v>
      </c>
      <c r="B1009" s="2" t="s">
        <v>2868</v>
      </c>
      <c r="C1009" s="2" t="s">
        <v>17</v>
      </c>
      <c r="D1009" s="2" t="s">
        <v>27</v>
      </c>
      <c r="E1009" s="4">
        <v>-32095</v>
      </c>
      <c r="F1009" s="3" t="s">
        <v>1099</v>
      </c>
      <c r="G1009" s="3" t="s">
        <v>101</v>
      </c>
      <c r="H1009" s="2" t="s">
        <v>21</v>
      </c>
      <c r="I1009" s="2" t="s">
        <v>2869</v>
      </c>
      <c r="J1009" s="3" t="str">
        <f>HYPERLINK("https://www.boe.es/gazeta/dias/1812/02/15/pdfs/GMD-1812-46.pdf#page=1","Abrir facsímil")</f>
        <v>Abrir facsímil</v>
      </c>
      <c r="K1009" s="3" t="s">
        <v>23</v>
      </c>
    </row>
    <row r="1010" spans="1:11" ht="42" customHeight="1">
      <c r="A1010" s="2" t="s">
        <v>2870</v>
      </c>
      <c r="B1010" s="2" t="s">
        <v>2870</v>
      </c>
      <c r="C1010" s="2" t="s">
        <v>17</v>
      </c>
      <c r="D1010" s="2" t="s">
        <v>27</v>
      </c>
      <c r="E1010" s="4">
        <v>-32041</v>
      </c>
      <c r="F1010" s="3" t="s">
        <v>35</v>
      </c>
      <c r="G1010" s="3" t="s">
        <v>2871</v>
      </c>
      <c r="H1010" s="2" t="s">
        <v>21</v>
      </c>
      <c r="I1010" s="2" t="s">
        <v>2872</v>
      </c>
      <c r="J1010" s="3" t="str">
        <f>HYPERLINK("https://www.boe.es/gazeta/dias/1812/04/09/pdfs/GRE-1812-44.pdf#page=5","Abrir facsímil")</f>
        <v>Abrir facsímil</v>
      </c>
      <c r="K1010" s="3" t="s">
        <v>23</v>
      </c>
    </row>
    <row r="1011" spans="1:11" ht="42" customHeight="1">
      <c r="A1011" s="2" t="s">
        <v>2873</v>
      </c>
      <c r="B1011" s="2" t="s">
        <v>2873</v>
      </c>
      <c r="C1011" s="2" t="s">
        <v>26</v>
      </c>
      <c r="D1011" s="2" t="s">
        <v>27</v>
      </c>
      <c r="E1011" s="4">
        <v>-32055</v>
      </c>
      <c r="F1011" s="3" t="s">
        <v>1271</v>
      </c>
      <c r="G1011" s="3" t="s">
        <v>136</v>
      </c>
      <c r="H1011" s="2" t="s">
        <v>21</v>
      </c>
      <c r="I1011" s="2" t="s">
        <v>2874</v>
      </c>
      <c r="J1011" s="3" t="str">
        <f>HYPERLINK("https://www.boe.es/gazeta/dias/1812/03/26/pdfs/GMD-1812-86.pdf#page=3","Abrir facsímil")</f>
        <v>Abrir facsímil</v>
      </c>
      <c r="K1011" s="3" t="s">
        <v>23</v>
      </c>
    </row>
    <row r="1012" spans="1:11" ht="42" customHeight="1">
      <c r="A1012" s="2" t="s">
        <v>2875</v>
      </c>
      <c r="B1012" s="2" t="s">
        <v>2876</v>
      </c>
      <c r="C1012" s="2" t="s">
        <v>17</v>
      </c>
      <c r="D1012" s="2" t="s">
        <v>18</v>
      </c>
      <c r="E1012" s="4">
        <v>-32053</v>
      </c>
      <c r="F1012" s="3" t="s">
        <v>2877</v>
      </c>
      <c r="G1012" s="3" t="s">
        <v>965</v>
      </c>
      <c r="H1012" s="2" t="s">
        <v>21</v>
      </c>
      <c r="I1012" s="2" t="s">
        <v>2878</v>
      </c>
      <c r="J1012" s="3" t="str">
        <f>HYPERLINK("https://www.boe.es/gazeta/dias/1812/03/28/pdfs/GMD-1812-88.pdf#page=4","Abrir facsímil")</f>
        <v>Abrir facsímil</v>
      </c>
      <c r="K1012" s="3" t="s">
        <v>23</v>
      </c>
    </row>
    <row r="1013" spans="1:11" ht="42" customHeight="1">
      <c r="A1013" s="2" t="s">
        <v>2879</v>
      </c>
      <c r="B1013" s="2" t="s">
        <v>2880</v>
      </c>
      <c r="C1013" s="2" t="s">
        <v>17</v>
      </c>
      <c r="D1013" s="2" t="s">
        <v>18</v>
      </c>
      <c r="E1013" s="4">
        <v>-31991</v>
      </c>
      <c r="F1013" s="3" t="s">
        <v>663</v>
      </c>
      <c r="G1013" s="3" t="s">
        <v>404</v>
      </c>
      <c r="H1013" s="2" t="s">
        <v>21</v>
      </c>
      <c r="I1013" s="2" t="s">
        <v>2881</v>
      </c>
      <c r="J1013" s="3" t="str">
        <f>HYPERLINK("https://www.boe.es/gazeta/dias/1812/05/29/pdfs/GMD-1812-150.pdf#page=4","Abrir facsímil")</f>
        <v>Abrir facsímil</v>
      </c>
      <c r="K1013" s="3" t="s">
        <v>23</v>
      </c>
    </row>
    <row r="1014" spans="1:11" ht="42" customHeight="1">
      <c r="A1014" s="2" t="s">
        <v>2882</v>
      </c>
      <c r="B1014" s="2" t="s">
        <v>2882</v>
      </c>
      <c r="C1014" s="2" t="s">
        <v>17</v>
      </c>
      <c r="D1014" s="2" t="s">
        <v>27</v>
      </c>
      <c r="E1014" s="4">
        <v>-31957</v>
      </c>
      <c r="F1014" s="3" t="s">
        <v>2173</v>
      </c>
      <c r="G1014" s="3" t="s">
        <v>2883</v>
      </c>
      <c r="H1014" s="2" t="s">
        <v>21</v>
      </c>
      <c r="I1014" s="2" t="s">
        <v>2884</v>
      </c>
      <c r="J1014" s="3" t="str">
        <f>HYPERLINK("https://www.boe.es/gazeta/dias/1812/07/02/pdfs/GRE-1812-81.pdf#page=2","Abrir facsímil")</f>
        <v>Abrir facsímil</v>
      </c>
      <c r="K1014" s="3" t="s">
        <v>23</v>
      </c>
    </row>
    <row r="1015" spans="1:11" ht="42" customHeight="1">
      <c r="A1015" s="2" t="s">
        <v>2885</v>
      </c>
      <c r="B1015" s="2" t="s">
        <v>2885</v>
      </c>
      <c r="C1015" s="2" t="s">
        <v>17</v>
      </c>
      <c r="D1015" s="2" t="s">
        <v>27</v>
      </c>
      <c r="E1015" s="4">
        <v>-31789</v>
      </c>
      <c r="F1015" s="3" t="s">
        <v>873</v>
      </c>
      <c r="G1015" s="3" t="s">
        <v>874</v>
      </c>
      <c r="H1015" s="2" t="s">
        <v>21</v>
      </c>
      <c r="I1015" s="2" t="s">
        <v>2886</v>
      </c>
      <c r="J1015" s="3" t="str">
        <f>HYPERLINK("https://www.boe.es/gazeta/dias/1812/12/17/pdfs/GMD-1812-240.pdf#page=4","Abrir facsímil")</f>
        <v>Abrir facsímil</v>
      </c>
      <c r="K1015" s="3" t="s">
        <v>23</v>
      </c>
    </row>
    <row r="1016" spans="1:11" ht="42" customHeight="1">
      <c r="A1016" s="2" t="s">
        <v>2887</v>
      </c>
      <c r="B1016" s="2" t="s">
        <v>2888</v>
      </c>
      <c r="C1016" s="2" t="s">
        <v>17</v>
      </c>
      <c r="D1016" s="2" t="s">
        <v>18</v>
      </c>
      <c r="E1016" s="4">
        <v>-31931</v>
      </c>
      <c r="F1016" s="3" t="s">
        <v>2350</v>
      </c>
      <c r="G1016" s="3" t="s">
        <v>2351</v>
      </c>
      <c r="H1016" s="2" t="s">
        <v>21</v>
      </c>
      <c r="I1016" s="2" t="s">
        <v>2889</v>
      </c>
      <c r="J1016" s="3" t="str">
        <f>HYPERLINK("https://www.boe.es/gazeta/dias/1812/07/28/pdfs/GMD-1812-210.pdf#page=2","Abrir facsímil")</f>
        <v>Abrir facsímil</v>
      </c>
      <c r="K1016" s="3" t="s">
        <v>23</v>
      </c>
    </row>
    <row r="1017" spans="1:11" ht="42" customHeight="1">
      <c r="A1017" s="2" t="s">
        <v>2890</v>
      </c>
      <c r="B1017" s="2" t="s">
        <v>2890</v>
      </c>
      <c r="C1017" s="2" t="s">
        <v>17</v>
      </c>
      <c r="D1017" s="2" t="s">
        <v>27</v>
      </c>
      <c r="E1017" s="4">
        <v>-31878</v>
      </c>
      <c r="F1017" s="3" t="s">
        <v>2891</v>
      </c>
      <c r="G1017" s="3" t="s">
        <v>2892</v>
      </c>
      <c r="H1017" s="2" t="s">
        <v>21</v>
      </c>
      <c r="I1017" s="2" t="s">
        <v>2893</v>
      </c>
      <c r="J1017" s="3" t="str">
        <f>HYPERLINK("https://www.boe.es/gazeta/dias/1812/09/19/pdfs/GRE-1812-127.pdf#page=3","Abrir facsímil")</f>
        <v>Abrir facsímil</v>
      </c>
      <c r="K1017" s="3" t="s">
        <v>23</v>
      </c>
    </row>
    <row r="1018" spans="1:11" ht="42" customHeight="1">
      <c r="A1018" s="2" t="s">
        <v>2894</v>
      </c>
      <c r="B1018" s="2" t="s">
        <v>2894</v>
      </c>
      <c r="C1018" s="2" t="s">
        <v>17</v>
      </c>
      <c r="D1018" s="2" t="s">
        <v>18</v>
      </c>
      <c r="E1018" s="4">
        <v>-32036</v>
      </c>
      <c r="F1018" s="3" t="s">
        <v>781</v>
      </c>
      <c r="G1018" s="3" t="s">
        <v>2895</v>
      </c>
      <c r="H1018" s="2" t="s">
        <v>21</v>
      </c>
      <c r="I1018" s="2" t="s">
        <v>2896</v>
      </c>
      <c r="J1018" s="3" t="str">
        <f>HYPERLINK("https://www.boe.es/gazeta/dias/1812/04/14/pdfs/GRE-1812-47.pdf#page=4","Abrir facsímil")</f>
        <v>Abrir facsímil</v>
      </c>
      <c r="K1018" s="3" t="s">
        <v>23</v>
      </c>
    </row>
    <row r="1019" spans="1:11" ht="42" customHeight="1">
      <c r="A1019" s="2" t="s">
        <v>2894</v>
      </c>
      <c r="B1019" s="2" t="s">
        <v>2894</v>
      </c>
      <c r="C1019" s="2" t="s">
        <v>17</v>
      </c>
      <c r="D1019" s="2" t="s">
        <v>27</v>
      </c>
      <c r="E1019" s="4">
        <v>-32025</v>
      </c>
      <c r="F1019" s="3" t="s">
        <v>2323</v>
      </c>
      <c r="G1019" s="3" t="s">
        <v>2445</v>
      </c>
      <c r="H1019" s="2" t="s">
        <v>21</v>
      </c>
      <c r="I1019" s="2" t="s">
        <v>2897</v>
      </c>
      <c r="J1019" s="3" t="str">
        <f>HYPERLINK("https://www.boe.es/gazeta/dias/1812/04/25/pdfs/GRE-1812-52.pdf#page=5","Abrir facsímil")</f>
        <v>Abrir facsímil</v>
      </c>
      <c r="K1019" s="3" t="s">
        <v>23</v>
      </c>
    </row>
    <row r="1020" spans="1:11" ht="42" customHeight="1">
      <c r="A1020" s="2" t="s">
        <v>2894</v>
      </c>
      <c r="B1020" s="2" t="s">
        <v>2894</v>
      </c>
      <c r="C1020" s="2" t="s">
        <v>17</v>
      </c>
      <c r="D1020" s="2" t="s">
        <v>573</v>
      </c>
      <c r="E1020" s="4">
        <v>-31950</v>
      </c>
      <c r="F1020" s="3" t="s">
        <v>2822</v>
      </c>
      <c r="G1020" s="3" t="s">
        <v>2898</v>
      </c>
      <c r="H1020" s="2" t="s">
        <v>21</v>
      </c>
      <c r="I1020" s="2" t="s">
        <v>2899</v>
      </c>
      <c r="J1020" s="3" t="str">
        <f>HYPERLINK("https://www.boe.es/gazeta/dias/1812/07/09/pdfs/GRE-1812-85E.pdf#page=3","Abrir facsímil")</f>
        <v>Abrir facsímil</v>
      </c>
      <c r="K1020" s="3" t="s">
        <v>23</v>
      </c>
    </row>
    <row r="1021" spans="1:11" ht="42" customHeight="1">
      <c r="A1021" s="2" t="s">
        <v>2900</v>
      </c>
      <c r="B1021" s="2" t="s">
        <v>2901</v>
      </c>
      <c r="C1021" s="2" t="s">
        <v>26</v>
      </c>
      <c r="D1021" s="2" t="s">
        <v>27</v>
      </c>
      <c r="E1021" s="4">
        <v>-32081</v>
      </c>
      <c r="F1021" s="3" t="s">
        <v>232</v>
      </c>
      <c r="G1021" s="3" t="s">
        <v>233</v>
      </c>
      <c r="H1021" s="2" t="s">
        <v>21</v>
      </c>
      <c r="I1021" s="2" t="s">
        <v>2902</v>
      </c>
      <c r="J1021" s="3" t="str">
        <f>HYPERLINK("https://www.boe.es/gazeta/dias/1812/02/29/pdfs/GRE-1812-27.pdf#page=8","Abrir facsímil")</f>
        <v>Abrir facsímil</v>
      </c>
      <c r="K1021" s="3" t="s">
        <v>23</v>
      </c>
    </row>
    <row r="1022" spans="1:11" ht="42" customHeight="1">
      <c r="A1022" s="2" t="s">
        <v>2903</v>
      </c>
      <c r="B1022" s="2" t="s">
        <v>2904</v>
      </c>
      <c r="C1022" s="2" t="s">
        <v>26</v>
      </c>
      <c r="D1022" s="2" t="s">
        <v>27</v>
      </c>
      <c r="E1022" s="4">
        <v>-31945</v>
      </c>
      <c r="F1022" s="3" t="s">
        <v>1485</v>
      </c>
      <c r="G1022" s="3" t="s">
        <v>2905</v>
      </c>
      <c r="H1022" s="2" t="s">
        <v>21</v>
      </c>
      <c r="I1022" s="2" t="s">
        <v>2906</v>
      </c>
      <c r="J1022" s="3" t="str">
        <f>HYPERLINK("https://www.boe.es/gazeta/dias/1812/07/14/pdfs/GRE-1812-88.pdf#page=2","Abrir facsímil")</f>
        <v>Abrir facsímil</v>
      </c>
      <c r="K1022" s="3" t="s">
        <v>23</v>
      </c>
    </row>
    <row r="1023" spans="1:11" ht="42" customHeight="1">
      <c r="A1023" s="2" t="s">
        <v>2907</v>
      </c>
      <c r="B1023" s="2" t="s">
        <v>2907</v>
      </c>
      <c r="C1023" s="2" t="s">
        <v>17</v>
      </c>
      <c r="D1023" s="2" t="s">
        <v>27</v>
      </c>
      <c r="E1023" s="4">
        <v>-31775</v>
      </c>
      <c r="F1023" s="3" t="s">
        <v>660</v>
      </c>
      <c r="G1023" s="3" t="s">
        <v>2908</v>
      </c>
      <c r="H1023" s="2" t="s">
        <v>21</v>
      </c>
      <c r="I1023" s="2" t="s">
        <v>2909</v>
      </c>
      <c r="J1023" s="3" t="str">
        <f>HYPERLINK("https://www.boe.es/gazeta/dias/1812/12/31/pdfs/GRE-1812-172.pdf#page=6","Abrir facsímil")</f>
        <v>Abrir facsímil</v>
      </c>
      <c r="K1023" s="3" t="s">
        <v>23</v>
      </c>
    </row>
    <row r="1024" spans="1:11" ht="42" customHeight="1">
      <c r="A1024" s="2" t="s">
        <v>2910</v>
      </c>
      <c r="B1024" s="2" t="s">
        <v>2911</v>
      </c>
      <c r="C1024" s="2" t="s">
        <v>26</v>
      </c>
      <c r="D1024" s="2" t="s">
        <v>573</v>
      </c>
      <c r="E1024" s="4">
        <v>-31900</v>
      </c>
      <c r="F1024" s="3" t="s">
        <v>276</v>
      </c>
      <c r="G1024" s="3" t="s">
        <v>277</v>
      </c>
      <c r="H1024" s="2" t="s">
        <v>21</v>
      </c>
      <c r="I1024" s="2" t="s">
        <v>2912</v>
      </c>
      <c r="J1024" s="3" t="str">
        <f>HYPERLINK("https://www.boe.es/gazeta/dias/1812/08/28/pdfs/GRE-1812-113E.pdf#page=8","Abrir facsímil")</f>
        <v>Abrir facsímil</v>
      </c>
      <c r="K1024" s="3" t="s">
        <v>23</v>
      </c>
    </row>
    <row r="1025" spans="1:11" ht="42" customHeight="1">
      <c r="A1025" s="2" t="s">
        <v>2913</v>
      </c>
      <c r="B1025" s="2" t="s">
        <v>2913</v>
      </c>
      <c r="C1025" s="2" t="s">
        <v>17</v>
      </c>
      <c r="D1025" s="2" t="s">
        <v>27</v>
      </c>
      <c r="E1025" s="4">
        <v>-31873</v>
      </c>
      <c r="F1025" s="3" t="s">
        <v>213</v>
      </c>
      <c r="G1025" s="3" t="s">
        <v>599</v>
      </c>
      <c r="H1025" s="2" t="s">
        <v>21</v>
      </c>
      <c r="I1025" s="2" t="s">
        <v>2914</v>
      </c>
      <c r="J1025" s="3" t="str">
        <f>HYPERLINK("https://www.boe.es/gazeta/dias/1812/09/24/pdfs/GMR-1812-18.pdf#page=2","Abrir facsímil")</f>
        <v>Abrir facsímil</v>
      </c>
      <c r="K1025" s="3" t="s">
        <v>23</v>
      </c>
    </row>
    <row r="1026" spans="1:11" ht="42" customHeight="1">
      <c r="A1026" s="2" t="s">
        <v>2915</v>
      </c>
      <c r="B1026" s="2" t="s">
        <v>2915</v>
      </c>
      <c r="C1026" s="2" t="s">
        <v>17</v>
      </c>
      <c r="D1026" s="2" t="s">
        <v>27</v>
      </c>
      <c r="E1026" s="4">
        <v>-31905</v>
      </c>
      <c r="F1026" s="3" t="s">
        <v>855</v>
      </c>
      <c r="G1026" s="3" t="s">
        <v>2708</v>
      </c>
      <c r="H1026" s="2" t="s">
        <v>21</v>
      </c>
      <c r="I1026" s="2" t="s">
        <v>2916</v>
      </c>
      <c r="J1026" s="3" t="str">
        <f>HYPERLINK("https://www.boe.es/gazeta/dias/1812/08/23/pdfs/GMR-1812-4.pdf#page=4","Abrir facsímil")</f>
        <v>Abrir facsímil</v>
      </c>
      <c r="K1026" s="3" t="s">
        <v>23</v>
      </c>
    </row>
    <row r="1027" spans="1:11" ht="42" customHeight="1">
      <c r="A1027" s="2" t="s">
        <v>2915</v>
      </c>
      <c r="B1027" s="2" t="s">
        <v>2915</v>
      </c>
      <c r="C1027" s="2" t="s">
        <v>17</v>
      </c>
      <c r="D1027" s="2" t="s">
        <v>27</v>
      </c>
      <c r="E1027" s="4">
        <v>-31905</v>
      </c>
      <c r="F1027" s="3" t="s">
        <v>855</v>
      </c>
      <c r="G1027" s="3" t="s">
        <v>1650</v>
      </c>
      <c r="H1027" s="2" t="s">
        <v>21</v>
      </c>
      <c r="I1027" s="2" t="s">
        <v>2917</v>
      </c>
      <c r="J1027" s="3" t="str">
        <f>HYPERLINK("https://www.boe.es/gazeta/dias/1812/08/23/pdfs/GMR-1812-4.pdf#page=5","Abrir facsímil")</f>
        <v>Abrir facsímil</v>
      </c>
      <c r="K1027" s="3" t="s">
        <v>23</v>
      </c>
    </row>
    <row r="1028" spans="1:11" ht="42" customHeight="1">
      <c r="A1028" s="2" t="s">
        <v>2918</v>
      </c>
      <c r="B1028" s="2" t="s">
        <v>2918</v>
      </c>
      <c r="C1028" s="2" t="s">
        <v>17</v>
      </c>
      <c r="D1028" s="2" t="s">
        <v>18</v>
      </c>
      <c r="E1028" s="4">
        <v>-31901</v>
      </c>
      <c r="F1028" s="3" t="s">
        <v>2199</v>
      </c>
      <c r="G1028" s="3" t="s">
        <v>2919</v>
      </c>
      <c r="H1028" s="2" t="s">
        <v>21</v>
      </c>
      <c r="I1028" s="2" t="s">
        <v>2920</v>
      </c>
      <c r="J1028" s="3" t="str">
        <f>HYPERLINK("https://www.boe.es/gazeta/dias/1812/08/27/pdfs/GRE-1812-111.pdf#page=2","Abrir facsímil")</f>
        <v>Abrir facsímil</v>
      </c>
      <c r="K1028" s="3" t="s">
        <v>23</v>
      </c>
    </row>
    <row r="1029" spans="1:11" ht="42" customHeight="1">
      <c r="A1029" s="2" t="s">
        <v>2921</v>
      </c>
      <c r="B1029" s="2" t="s">
        <v>2921</v>
      </c>
      <c r="C1029" s="2" t="s">
        <v>26</v>
      </c>
      <c r="D1029" s="2" t="s">
        <v>194</v>
      </c>
      <c r="E1029" s="4">
        <v>-31971</v>
      </c>
      <c r="F1029" s="3" t="s">
        <v>686</v>
      </c>
      <c r="G1029" s="3" t="s">
        <v>196</v>
      </c>
      <c r="H1029" s="2" t="s">
        <v>21</v>
      </c>
      <c r="I1029" s="2" t="s">
        <v>2922</v>
      </c>
      <c r="J1029" s="3" t="str">
        <f>HYPERLINK("https://www.boe.es/gazeta/dias/1812/06/18/pdfs/GRE-1812-75.pdf#page=1","Abrir facsímil")</f>
        <v>Abrir facsímil</v>
      </c>
      <c r="K1029" s="3" t="s">
        <v>23</v>
      </c>
    </row>
    <row r="1030" spans="1:11" ht="42" customHeight="1">
      <c r="A1030" s="2" t="s">
        <v>2923</v>
      </c>
      <c r="B1030" s="2" t="s">
        <v>2923</v>
      </c>
      <c r="C1030" s="2" t="s">
        <v>17</v>
      </c>
      <c r="D1030" s="2" t="s">
        <v>27</v>
      </c>
      <c r="E1030" s="4">
        <v>-31789</v>
      </c>
      <c r="F1030" s="3" t="s">
        <v>873</v>
      </c>
      <c r="G1030" s="3" t="s">
        <v>1883</v>
      </c>
      <c r="H1030" s="2" t="s">
        <v>21</v>
      </c>
      <c r="I1030" s="2" t="s">
        <v>2924</v>
      </c>
      <c r="J1030" s="3" t="str">
        <f>HYPERLINK("https://www.boe.es/gazeta/dias/1812/12/17/pdfs/GMD-1812-240.pdf#page=2","Abrir facsímil")</f>
        <v>Abrir facsímil</v>
      </c>
      <c r="K1030" s="3" t="s">
        <v>23</v>
      </c>
    </row>
    <row r="1031" spans="1:11" ht="42" customHeight="1">
      <c r="A1031" s="2" t="s">
        <v>2925</v>
      </c>
      <c r="B1031" s="2" t="s">
        <v>2926</v>
      </c>
      <c r="C1031" s="2" t="s">
        <v>17</v>
      </c>
      <c r="D1031" s="2" t="s">
        <v>27</v>
      </c>
      <c r="E1031" s="4">
        <v>-32034</v>
      </c>
      <c r="F1031" s="3" t="s">
        <v>28</v>
      </c>
      <c r="G1031" s="3" t="s">
        <v>20</v>
      </c>
      <c r="H1031" s="2" t="s">
        <v>21</v>
      </c>
      <c r="I1031" s="2" t="s">
        <v>2927</v>
      </c>
      <c r="J1031" s="3" t="str">
        <f>HYPERLINK("https://www.boe.es/gazeta/dias/1812/04/16/pdfs/GMD-1812-107.pdf#page=3","Abrir facsímil")</f>
        <v>Abrir facsímil</v>
      </c>
      <c r="K1031" s="3" t="s">
        <v>23</v>
      </c>
    </row>
    <row r="1032" spans="1:11" ht="42" customHeight="1">
      <c r="A1032" s="2" t="s">
        <v>2928</v>
      </c>
      <c r="B1032" s="2" t="s">
        <v>2929</v>
      </c>
      <c r="C1032" s="2" t="s">
        <v>17</v>
      </c>
      <c r="D1032" s="2" t="s">
        <v>27</v>
      </c>
      <c r="E1032" s="4">
        <v>-31929</v>
      </c>
      <c r="F1032" s="3" t="s">
        <v>1148</v>
      </c>
      <c r="G1032" s="3" t="s">
        <v>1301</v>
      </c>
      <c r="H1032" s="2" t="s">
        <v>21</v>
      </c>
      <c r="I1032" s="2" t="s">
        <v>2930</v>
      </c>
      <c r="J1032" s="3" t="str">
        <f>HYPERLINK("https://www.boe.es/gazeta/dias/1812/07/30/pdfs/GRE-1812-95.pdf#page=8","Abrir facsímil")</f>
        <v>Abrir facsímil</v>
      </c>
      <c r="K1032" s="3" t="s">
        <v>23</v>
      </c>
    </row>
    <row r="1033" spans="1:11" ht="42" customHeight="1">
      <c r="A1033" s="2" t="s">
        <v>2931</v>
      </c>
      <c r="B1033" s="2" t="s">
        <v>2932</v>
      </c>
      <c r="C1033" s="2" t="s">
        <v>17</v>
      </c>
      <c r="D1033" s="2" t="s">
        <v>18</v>
      </c>
      <c r="E1033" s="4">
        <v>-31992</v>
      </c>
      <c r="F1033" s="3" t="s">
        <v>1292</v>
      </c>
      <c r="G1033" s="3" t="s">
        <v>1424</v>
      </c>
      <c r="H1033" s="2" t="s">
        <v>21</v>
      </c>
      <c r="I1033" s="2" t="s">
        <v>2933</v>
      </c>
      <c r="J1033" s="3" t="str">
        <f>HYPERLINK("https://www.boe.es/gazeta/dias/1812/05/28/pdfs/GRE-1812-66.pdf#page=5","Abrir facsímil")</f>
        <v>Abrir facsímil</v>
      </c>
      <c r="K1033" s="3" t="s">
        <v>23</v>
      </c>
    </row>
    <row r="1034" spans="1:11" ht="42" customHeight="1">
      <c r="A1034" s="2" t="s">
        <v>2934</v>
      </c>
      <c r="B1034" s="2" t="s">
        <v>2935</v>
      </c>
      <c r="C1034" s="2" t="s">
        <v>17</v>
      </c>
      <c r="D1034" s="2" t="s">
        <v>27</v>
      </c>
      <c r="E1034" s="4">
        <v>-32032</v>
      </c>
      <c r="F1034" s="3" t="s">
        <v>421</v>
      </c>
      <c r="G1034" s="3" t="s">
        <v>777</v>
      </c>
      <c r="H1034" s="2" t="s">
        <v>21</v>
      </c>
      <c r="I1034" s="2" t="s">
        <v>2936</v>
      </c>
      <c r="J1034" s="3" t="str">
        <f>HYPERLINK("https://www.boe.es/gazeta/dias/1812/04/18/pdfs/GRE-1812-49.pdf#page=3","Abrir facsímil")</f>
        <v>Abrir facsímil</v>
      </c>
      <c r="K1034" s="3" t="s">
        <v>23</v>
      </c>
    </row>
    <row r="1035" spans="1:11" ht="42" customHeight="1">
      <c r="A1035" s="2" t="s">
        <v>2937</v>
      </c>
      <c r="B1035" s="2" t="s">
        <v>2937</v>
      </c>
      <c r="C1035" s="2" t="s">
        <v>82</v>
      </c>
      <c r="D1035" s="2" t="s">
        <v>27</v>
      </c>
      <c r="E1035" s="4">
        <v>-32000</v>
      </c>
      <c r="F1035" s="3" t="s">
        <v>878</v>
      </c>
      <c r="G1035" s="3" t="s">
        <v>514</v>
      </c>
      <c r="H1035" s="2" t="s">
        <v>21</v>
      </c>
      <c r="I1035" s="2" t="s">
        <v>2938</v>
      </c>
      <c r="J1035" s="3" t="str">
        <f>HYPERLINK("https://www.boe.es/gazeta/dias/1812/05/20/pdfs/GMD-1812-141.pdf#page=1","Abrir facsímil")</f>
        <v>Abrir facsímil</v>
      </c>
      <c r="K1035" s="3" t="s">
        <v>23</v>
      </c>
    </row>
    <row r="1036" spans="1:11" ht="42" customHeight="1">
      <c r="A1036" s="2" t="s">
        <v>2939</v>
      </c>
      <c r="B1036" s="2" t="s">
        <v>2939</v>
      </c>
      <c r="C1036" s="2" t="s">
        <v>49</v>
      </c>
      <c r="D1036" s="2" t="s">
        <v>18</v>
      </c>
      <c r="E1036" s="4">
        <v>-31953</v>
      </c>
      <c r="F1036" s="3" t="s">
        <v>2940</v>
      </c>
      <c r="G1036" s="3" t="s">
        <v>196</v>
      </c>
      <c r="H1036" s="2" t="s">
        <v>21</v>
      </c>
      <c r="I1036" s="2" t="s">
        <v>2941</v>
      </c>
      <c r="J1036" s="3" t="str">
        <f>HYPERLINK("https://www.boe.es/gazeta/dias/1812/07/06/pdfs/GMD-1812-188.pdf#page=1","Abrir facsímil")</f>
        <v>Abrir facsímil</v>
      </c>
      <c r="K1036" s="3" t="s">
        <v>23</v>
      </c>
    </row>
    <row r="1037" spans="1:11" ht="42" customHeight="1">
      <c r="A1037" s="2" t="s">
        <v>2942</v>
      </c>
      <c r="B1037" s="2" t="s">
        <v>2943</v>
      </c>
      <c r="C1037" s="2" t="s">
        <v>67</v>
      </c>
      <c r="D1037" s="2" t="s">
        <v>27</v>
      </c>
      <c r="E1037" s="4">
        <v>-31963</v>
      </c>
      <c r="F1037" s="3" t="s">
        <v>171</v>
      </c>
      <c r="G1037" s="3" t="s">
        <v>172</v>
      </c>
      <c r="H1037" s="2" t="s">
        <v>21</v>
      </c>
      <c r="I1037" s="2" t="s">
        <v>2944</v>
      </c>
      <c r="J1037" s="3" t="str">
        <f>HYPERLINK("https://www.boe.es/gazeta/dias/1812/06/26/pdfs/GMD-1812-178.pdf#page=3","Abrir facsímil")</f>
        <v>Abrir facsímil</v>
      </c>
      <c r="K1037" s="3" t="s">
        <v>23</v>
      </c>
    </row>
    <row r="1038" spans="1:11" ht="42" customHeight="1">
      <c r="A1038" s="2" t="s">
        <v>2945</v>
      </c>
      <c r="B1038" s="2" t="s">
        <v>2946</v>
      </c>
      <c r="C1038" s="2" t="s">
        <v>17</v>
      </c>
      <c r="D1038" s="2" t="s">
        <v>18</v>
      </c>
      <c r="E1038" s="4">
        <v>-31992</v>
      </c>
      <c r="F1038" s="3" t="s">
        <v>1292</v>
      </c>
      <c r="G1038" s="3" t="s">
        <v>1424</v>
      </c>
      <c r="H1038" s="2" t="s">
        <v>21</v>
      </c>
      <c r="I1038" s="2" t="s">
        <v>2947</v>
      </c>
      <c r="J1038" s="3" t="str">
        <f>HYPERLINK("https://www.boe.es/gazeta/dias/1812/05/28/pdfs/GRE-1812-66.pdf#page=5","Abrir facsímil")</f>
        <v>Abrir facsímil</v>
      </c>
      <c r="K1038" s="3" t="s">
        <v>23</v>
      </c>
    </row>
    <row r="1039" spans="1:11" ht="42" customHeight="1">
      <c r="A1039" s="2" t="s">
        <v>2948</v>
      </c>
      <c r="B1039" s="2" t="s">
        <v>2949</v>
      </c>
      <c r="C1039" s="2" t="s">
        <v>26</v>
      </c>
      <c r="D1039" s="2" t="s">
        <v>27</v>
      </c>
      <c r="E1039" s="4">
        <v>-31955</v>
      </c>
      <c r="F1039" s="3" t="s">
        <v>789</v>
      </c>
      <c r="G1039" s="3" t="s">
        <v>237</v>
      </c>
      <c r="H1039" s="2" t="s">
        <v>21</v>
      </c>
      <c r="I1039" s="2" t="s">
        <v>2950</v>
      </c>
      <c r="J1039" s="3" t="str">
        <f>HYPERLINK("https://www.boe.es/gazeta/dias/1812/07/04/pdfs/GRE-1812-82.pdf#page=8","Abrir facsímil")</f>
        <v>Abrir facsímil</v>
      </c>
      <c r="K1039" s="3" t="s">
        <v>23</v>
      </c>
    </row>
    <row r="1040" spans="1:11" ht="42" customHeight="1">
      <c r="A1040" s="2" t="s">
        <v>2951</v>
      </c>
      <c r="B1040" s="2" t="s">
        <v>2952</v>
      </c>
      <c r="C1040" s="2" t="s">
        <v>17</v>
      </c>
      <c r="D1040" s="2" t="s">
        <v>275</v>
      </c>
      <c r="E1040" s="4">
        <v>-32118</v>
      </c>
      <c r="F1040" s="3" t="s">
        <v>1420</v>
      </c>
      <c r="G1040" s="3" t="s">
        <v>404</v>
      </c>
      <c r="H1040" s="2" t="s">
        <v>21</v>
      </c>
      <c r="I1040" s="2" t="s">
        <v>2953</v>
      </c>
      <c r="J1040" s="3" t="str">
        <f>HYPERLINK("https://www.boe.es/gazeta/dias/1812/01/23/pdfs/GEI-1812-10.pdf#page=8","Abrir facsímil")</f>
        <v>Abrir facsímil</v>
      </c>
      <c r="K1040" s="3" t="s">
        <v>23</v>
      </c>
    </row>
    <row r="1041" spans="1:11" ht="42" customHeight="1">
      <c r="A1041" s="2" t="s">
        <v>2954</v>
      </c>
      <c r="B1041" s="2" t="s">
        <v>2954</v>
      </c>
      <c r="C1041" s="2" t="s">
        <v>17</v>
      </c>
      <c r="D1041" s="2" t="s">
        <v>18</v>
      </c>
      <c r="E1041" s="4">
        <v>-31903</v>
      </c>
      <c r="F1041" s="3" t="s">
        <v>2720</v>
      </c>
      <c r="G1041" s="3" t="s">
        <v>2955</v>
      </c>
      <c r="H1041" s="2" t="s">
        <v>21</v>
      </c>
      <c r="I1041" s="2" t="s">
        <v>2956</v>
      </c>
      <c r="J1041" s="3" t="str">
        <f>HYPERLINK("https://www.boe.es/gazeta/dias/1812/08/25/pdfs/GRE-1812-110.pdf#page=8","Abrir facsímil")</f>
        <v>Abrir facsímil</v>
      </c>
      <c r="K1041" s="3" t="s">
        <v>23</v>
      </c>
    </row>
    <row r="1042" spans="1:11" ht="42" customHeight="1">
      <c r="A1042" s="2" t="s">
        <v>2957</v>
      </c>
      <c r="B1042" s="2" t="s">
        <v>2957</v>
      </c>
      <c r="C1042" s="2" t="s">
        <v>26</v>
      </c>
      <c r="D1042" s="2" t="s">
        <v>27</v>
      </c>
      <c r="E1042" s="4">
        <v>-31978</v>
      </c>
      <c r="F1042" s="3" t="s">
        <v>527</v>
      </c>
      <c r="G1042" s="3" t="s">
        <v>58</v>
      </c>
      <c r="H1042" s="2" t="s">
        <v>21</v>
      </c>
      <c r="I1042" s="2" t="s">
        <v>2958</v>
      </c>
      <c r="J1042" s="3" t="str">
        <f>HYPERLINK("https://www.boe.es/gazeta/dias/1812/06/11/pdfs/GMD-1812-163.pdf#page=2","Abrir facsímil")</f>
        <v>Abrir facsímil</v>
      </c>
      <c r="K1042" s="3" t="s">
        <v>23</v>
      </c>
    </row>
    <row r="1043" spans="1:11" ht="42" customHeight="1">
      <c r="A1043" s="2" t="s">
        <v>2959</v>
      </c>
      <c r="B1043" s="2" t="s">
        <v>2959</v>
      </c>
      <c r="C1043" s="2" t="s">
        <v>17</v>
      </c>
      <c r="D1043" s="2" t="s">
        <v>27</v>
      </c>
      <c r="E1043" s="4">
        <v>-32020</v>
      </c>
      <c r="F1043" s="3" t="s">
        <v>2818</v>
      </c>
      <c r="G1043" s="3" t="s">
        <v>196</v>
      </c>
      <c r="H1043" s="2" t="s">
        <v>21</v>
      </c>
      <c r="I1043" s="2" t="s">
        <v>2960</v>
      </c>
      <c r="J1043" s="3" t="str">
        <f>HYPERLINK("https://www.boe.es/gazeta/dias/1812/04/30/pdfs/GRE-1812-54.pdf#page=1","Abrir facsímil")</f>
        <v>Abrir facsímil</v>
      </c>
      <c r="K1043" s="3" t="s">
        <v>23</v>
      </c>
    </row>
    <row r="1044" spans="1:11" ht="42" customHeight="1">
      <c r="A1044" s="2" t="s">
        <v>2961</v>
      </c>
      <c r="B1044" s="2" t="s">
        <v>2962</v>
      </c>
      <c r="C1044" s="2" t="s">
        <v>26</v>
      </c>
      <c r="D1044" s="2" t="s">
        <v>27</v>
      </c>
      <c r="E1044" s="4">
        <v>-31939</v>
      </c>
      <c r="F1044" s="3" t="s">
        <v>408</v>
      </c>
      <c r="G1044" s="3" t="s">
        <v>409</v>
      </c>
      <c r="H1044" s="2" t="s">
        <v>21</v>
      </c>
      <c r="I1044" s="2" t="s">
        <v>2963</v>
      </c>
      <c r="J1044" s="3" t="str">
        <f>HYPERLINK("https://www.boe.es/gazeta/dias/1812/07/20/pdfs/GMD-1812-202.pdf#page=3","Abrir facsímil")</f>
        <v>Abrir facsímil</v>
      </c>
      <c r="K1044" s="3" t="s">
        <v>23</v>
      </c>
    </row>
    <row r="1045" spans="1:11" ht="42" customHeight="1">
      <c r="A1045" s="2" t="s">
        <v>2964</v>
      </c>
      <c r="B1045" s="2" t="s">
        <v>2965</v>
      </c>
      <c r="C1045" s="2" t="s">
        <v>17</v>
      </c>
      <c r="D1045" s="2" t="s">
        <v>18</v>
      </c>
      <c r="E1045" s="4">
        <v>-32095</v>
      </c>
      <c r="F1045" s="3" t="s">
        <v>181</v>
      </c>
      <c r="G1045" s="3" t="s">
        <v>777</v>
      </c>
      <c r="H1045" s="2" t="s">
        <v>21</v>
      </c>
      <c r="I1045" s="2" t="s">
        <v>2966</v>
      </c>
      <c r="J1045" s="3" t="str">
        <f>HYPERLINK("https://www.boe.es/gazeta/dias/1812/02/15/pdfs/GMD-1812-47.pdf#page=3","Abrir facsímil")</f>
        <v>Abrir facsímil</v>
      </c>
      <c r="K1045" s="3" t="s">
        <v>23</v>
      </c>
    </row>
    <row r="1046" spans="1:11" ht="42" customHeight="1">
      <c r="A1046" s="2" t="s">
        <v>2964</v>
      </c>
      <c r="B1046" s="2" t="s">
        <v>2965</v>
      </c>
      <c r="C1046" s="2" t="s">
        <v>17</v>
      </c>
      <c r="D1046" s="2" t="s">
        <v>18</v>
      </c>
      <c r="E1046" s="4">
        <v>-32094</v>
      </c>
      <c r="F1046" s="3" t="s">
        <v>181</v>
      </c>
      <c r="G1046" s="3" t="s">
        <v>777</v>
      </c>
      <c r="H1046" s="2" t="s">
        <v>21</v>
      </c>
      <c r="I1046" s="2" t="s">
        <v>2966</v>
      </c>
      <c r="J1046" s="3" t="str">
        <f>HYPERLINK("https://www.boe.es/gazeta/dias/1812/02/16/pdfs/GMD-1812-47.pdf#page=3","Abrir facsímil")</f>
        <v>Abrir facsímil</v>
      </c>
      <c r="K1046" s="3" t="s">
        <v>23</v>
      </c>
    </row>
    <row r="1047" spans="1:11" ht="42" customHeight="1">
      <c r="A1047" s="2" t="s">
        <v>2967</v>
      </c>
      <c r="B1047" s="2" t="s">
        <v>2968</v>
      </c>
      <c r="C1047" s="2" t="s">
        <v>26</v>
      </c>
      <c r="D1047" s="2" t="s">
        <v>27</v>
      </c>
      <c r="E1047" s="4">
        <v>-32074</v>
      </c>
      <c r="F1047" s="3" t="s">
        <v>816</v>
      </c>
      <c r="G1047" s="3" t="s">
        <v>777</v>
      </c>
      <c r="H1047" s="2" t="s">
        <v>21</v>
      </c>
      <c r="I1047" s="2" t="s">
        <v>2969</v>
      </c>
      <c r="J1047" s="3" t="str">
        <f>HYPERLINK("https://www.boe.es/gazeta/dias/1812/03/07/pdfs/GRE-1812-30.pdf#page=8","Abrir facsímil")</f>
        <v>Abrir facsímil</v>
      </c>
      <c r="K1047" s="3" t="s">
        <v>23</v>
      </c>
    </row>
    <row r="1048" spans="1:11" ht="42" customHeight="1">
      <c r="A1048" s="2" t="s">
        <v>2970</v>
      </c>
      <c r="B1048" s="2" t="s">
        <v>2971</v>
      </c>
      <c r="C1048" s="2" t="s">
        <v>26</v>
      </c>
      <c r="D1048" s="2" t="s">
        <v>27</v>
      </c>
      <c r="E1048" s="4">
        <v>-32095</v>
      </c>
      <c r="F1048" s="3" t="s">
        <v>284</v>
      </c>
      <c r="G1048" s="3" t="s">
        <v>29</v>
      </c>
      <c r="H1048" s="2" t="s">
        <v>21</v>
      </c>
      <c r="I1048" s="2" t="s">
        <v>2972</v>
      </c>
      <c r="J1048" s="3" t="str">
        <f>HYPERLINK("https://www.boe.es/gazeta/dias/1812/02/15/pdfs/GRE-1812-20.pdf#page=8","Abrir facsímil")</f>
        <v>Abrir facsímil</v>
      </c>
      <c r="K1048" s="3" t="s">
        <v>23</v>
      </c>
    </row>
    <row r="1049" spans="1:11" ht="42" customHeight="1">
      <c r="A1049" s="2" t="s">
        <v>2973</v>
      </c>
      <c r="B1049" s="2" t="s">
        <v>2974</v>
      </c>
      <c r="C1049" s="2" t="s">
        <v>17</v>
      </c>
      <c r="D1049" s="2" t="s">
        <v>275</v>
      </c>
      <c r="E1049" s="4">
        <v>-31906</v>
      </c>
      <c r="F1049" s="3" t="s">
        <v>1815</v>
      </c>
      <c r="G1049" s="3" t="s">
        <v>233</v>
      </c>
      <c r="H1049" s="2" t="s">
        <v>21</v>
      </c>
      <c r="I1049" s="2" t="s">
        <v>2975</v>
      </c>
      <c r="J1049" s="3" t="str">
        <f>HYPERLINK("https://www.boe.es/gazeta/dias/1812/08/22/pdfs/GMR-1812-3.pdf#page=8","Abrir facsímil")</f>
        <v>Abrir facsímil</v>
      </c>
      <c r="K1049" s="3" t="s">
        <v>23</v>
      </c>
    </row>
    <row r="1050" spans="1:11" ht="42" customHeight="1">
      <c r="A1050" s="2" t="s">
        <v>2976</v>
      </c>
      <c r="B1050" s="2" t="s">
        <v>2977</v>
      </c>
      <c r="C1050" s="2" t="s">
        <v>26</v>
      </c>
      <c r="D1050" s="2" t="s">
        <v>27</v>
      </c>
      <c r="E1050" s="4">
        <v>-32139</v>
      </c>
      <c r="F1050" s="3" t="s">
        <v>288</v>
      </c>
      <c r="G1050" s="3" t="s">
        <v>130</v>
      </c>
      <c r="H1050" s="2" t="s">
        <v>21</v>
      </c>
      <c r="I1050" s="2" t="s">
        <v>2978</v>
      </c>
      <c r="J1050" s="3" t="str">
        <f>HYPERLINK("https://www.boe.es/gazeta/dias/1812/01/02/pdfs/GMD-1812-2.pdf#page=4","Abrir facsímil")</f>
        <v>Abrir facsímil</v>
      </c>
      <c r="K1050" s="3" t="s">
        <v>23</v>
      </c>
    </row>
    <row r="1051" spans="1:11" ht="42" customHeight="1">
      <c r="A1051" s="2" t="s">
        <v>2979</v>
      </c>
      <c r="B1051" s="2" t="s">
        <v>2980</v>
      </c>
      <c r="C1051" s="2" t="s">
        <v>549</v>
      </c>
      <c r="D1051" s="2" t="s">
        <v>27</v>
      </c>
      <c r="E1051" s="4">
        <v>-32055</v>
      </c>
      <c r="F1051" s="3" t="s">
        <v>459</v>
      </c>
      <c r="G1051" s="3" t="s">
        <v>20</v>
      </c>
      <c r="H1051" s="2" t="s">
        <v>21</v>
      </c>
      <c r="I1051" s="2" t="s">
        <v>2981</v>
      </c>
      <c r="J1051" s="3" t="str">
        <f>HYPERLINK("https://www.boe.es/gazeta/dias/1812/03/26/pdfs/GRE-1812-38.pdf#page=8","Abrir facsímil")</f>
        <v>Abrir facsímil</v>
      </c>
      <c r="K1051" s="3" t="s">
        <v>23</v>
      </c>
    </row>
    <row r="1052" spans="1:11" ht="42" customHeight="1">
      <c r="A1052" s="2" t="s">
        <v>2982</v>
      </c>
      <c r="B1052" s="2" t="s">
        <v>2983</v>
      </c>
      <c r="C1052" s="2" t="s">
        <v>26</v>
      </c>
      <c r="D1052" s="2" t="s">
        <v>27</v>
      </c>
      <c r="E1052" s="4">
        <v>-31838</v>
      </c>
      <c r="F1052" s="3" t="s">
        <v>1452</v>
      </c>
      <c r="G1052" s="3" t="s">
        <v>29</v>
      </c>
      <c r="H1052" s="2" t="s">
        <v>21</v>
      </c>
      <c r="I1052" s="2" t="s">
        <v>2984</v>
      </c>
      <c r="J1052" s="3" t="str">
        <f>HYPERLINK("https://www.boe.es/gazeta/dias/1812/10/29/pdfs/GMR-1812-33.pdf#page=8","Abrir facsímil")</f>
        <v>Abrir facsímil</v>
      </c>
      <c r="K1052" s="3" t="s">
        <v>23</v>
      </c>
    </row>
    <row r="1053" spans="1:11" ht="42" customHeight="1">
      <c r="A1053" s="2" t="s">
        <v>2985</v>
      </c>
      <c r="B1053" s="2" t="s">
        <v>2985</v>
      </c>
      <c r="C1053" s="2" t="s">
        <v>17</v>
      </c>
      <c r="D1053" s="2" t="s">
        <v>18</v>
      </c>
      <c r="E1053" s="4">
        <v>-31974</v>
      </c>
      <c r="F1053" s="3" t="s">
        <v>2986</v>
      </c>
      <c r="G1053" s="3" t="s">
        <v>130</v>
      </c>
      <c r="H1053" s="2" t="s">
        <v>21</v>
      </c>
      <c r="I1053" s="2" t="s">
        <v>2987</v>
      </c>
      <c r="J1053" s="3" t="str">
        <f>HYPERLINK("https://www.boe.es/gazeta/dias/1812/06/15/pdfs/GMD-1812-167.pdf#page=4","Abrir facsímil")</f>
        <v>Abrir facsímil</v>
      </c>
      <c r="K1053" s="3" t="s">
        <v>23</v>
      </c>
    </row>
    <row r="1054" spans="1:11" ht="42" customHeight="1">
      <c r="A1054" s="2" t="s">
        <v>2988</v>
      </c>
      <c r="B1054" s="2" t="s">
        <v>2988</v>
      </c>
      <c r="C1054" s="2" t="s">
        <v>17</v>
      </c>
      <c r="D1054" s="2" t="s">
        <v>27</v>
      </c>
      <c r="E1054" s="4">
        <v>-31791</v>
      </c>
      <c r="F1054" s="3" t="s">
        <v>905</v>
      </c>
      <c r="G1054" s="3" t="s">
        <v>2989</v>
      </c>
      <c r="H1054" s="2" t="s">
        <v>21</v>
      </c>
      <c r="I1054" s="2" t="s">
        <v>2990</v>
      </c>
      <c r="J1054" s="3" t="str">
        <f>HYPERLINK("https://www.boe.es/gazeta/dias/1812/12/15/pdfs/GRE-1812-165.pdf#page=1","Abrir facsímil")</f>
        <v>Abrir facsímil</v>
      </c>
      <c r="K1054" s="3" t="s">
        <v>23</v>
      </c>
    </row>
    <row r="1055" spans="1:11" ht="42" customHeight="1">
      <c r="A1055" s="2" t="s">
        <v>2991</v>
      </c>
      <c r="B1055" s="2" t="s">
        <v>2992</v>
      </c>
      <c r="C1055" s="2" t="s">
        <v>17</v>
      </c>
      <c r="D1055" s="2" t="s">
        <v>18</v>
      </c>
      <c r="E1055" s="4">
        <v>-31791</v>
      </c>
      <c r="F1055" s="3" t="s">
        <v>905</v>
      </c>
      <c r="G1055" s="3" t="s">
        <v>2989</v>
      </c>
      <c r="H1055" s="2" t="s">
        <v>21</v>
      </c>
      <c r="I1055" s="2" t="s">
        <v>2993</v>
      </c>
      <c r="J1055" s="3" t="str">
        <f>HYPERLINK("https://www.boe.es/gazeta/dias/1812/12/15/pdfs/GRE-1812-165.pdf#page=1","Abrir facsímil")</f>
        <v>Abrir facsímil</v>
      </c>
      <c r="K1055" s="3" t="s">
        <v>23</v>
      </c>
    </row>
    <row r="1056" spans="1:11" ht="42" customHeight="1">
      <c r="A1056" s="2" t="s">
        <v>2994</v>
      </c>
      <c r="B1056" s="2" t="s">
        <v>2995</v>
      </c>
      <c r="C1056" s="2" t="s">
        <v>17</v>
      </c>
      <c r="D1056" s="2" t="s">
        <v>275</v>
      </c>
      <c r="E1056" s="4">
        <v>-31961</v>
      </c>
      <c r="F1056" s="3" t="s">
        <v>1193</v>
      </c>
      <c r="G1056" s="3" t="s">
        <v>644</v>
      </c>
      <c r="H1056" s="2" t="s">
        <v>21</v>
      </c>
      <c r="I1056" s="2" t="s">
        <v>2996</v>
      </c>
      <c r="J1056" s="3" t="str">
        <f>HYPERLINK("https://www.boe.es/gazeta/dias/1812/06/28/pdfs/GMD-1812-180.pdf#page=3","Abrir facsímil")</f>
        <v>Abrir facsímil</v>
      </c>
      <c r="K1056" s="3" t="s">
        <v>23</v>
      </c>
    </row>
    <row r="1057" spans="1:11" ht="42" customHeight="1">
      <c r="A1057" s="2" t="s">
        <v>2997</v>
      </c>
      <c r="B1057" s="2" t="s">
        <v>2997</v>
      </c>
      <c r="C1057" s="2" t="s">
        <v>17</v>
      </c>
      <c r="D1057" s="2" t="s">
        <v>27</v>
      </c>
      <c r="E1057" s="4">
        <v>-32046</v>
      </c>
      <c r="F1057" s="3" t="s">
        <v>1013</v>
      </c>
      <c r="G1057" s="3" t="s">
        <v>2998</v>
      </c>
      <c r="H1057" s="2" t="s">
        <v>21</v>
      </c>
      <c r="I1057" s="2" t="s">
        <v>2999</v>
      </c>
      <c r="J1057" s="3" t="str">
        <f>HYPERLINK("https://www.boe.es/gazeta/dias/1812/04/04/pdfs/GRE-1812-42.pdf#page=1","Abrir facsímil")</f>
        <v>Abrir facsímil</v>
      </c>
      <c r="K1057" s="3" t="s">
        <v>23</v>
      </c>
    </row>
    <row r="1058" spans="1:11" ht="42" customHeight="1">
      <c r="A1058" s="2" t="s">
        <v>3000</v>
      </c>
      <c r="B1058" s="2" t="s">
        <v>3000</v>
      </c>
      <c r="C1058" s="2" t="s">
        <v>17</v>
      </c>
      <c r="D1058" s="2" t="s">
        <v>27</v>
      </c>
      <c r="E1058" s="4">
        <v>-31799</v>
      </c>
      <c r="F1058" s="3" t="s">
        <v>736</v>
      </c>
      <c r="G1058" s="3" t="s">
        <v>404</v>
      </c>
      <c r="H1058" s="2" t="s">
        <v>21</v>
      </c>
      <c r="I1058" s="2" t="s">
        <v>3001</v>
      </c>
      <c r="J1058" s="3" t="str">
        <f>HYPERLINK("https://www.boe.es/gazeta/dias/1812/12/07/pdfs/GMD-1812-230.pdf#page=3","Abrir facsímil")</f>
        <v>Abrir facsímil</v>
      </c>
      <c r="K1058" s="3" t="s">
        <v>23</v>
      </c>
    </row>
    <row r="1059" spans="1:11" ht="42" customHeight="1">
      <c r="A1059" s="2" t="s">
        <v>3000</v>
      </c>
      <c r="B1059" s="2" t="s">
        <v>3000</v>
      </c>
      <c r="C1059" s="2" t="s">
        <v>17</v>
      </c>
      <c r="D1059" s="2" t="s">
        <v>18</v>
      </c>
      <c r="E1059" s="4">
        <v>-31796</v>
      </c>
      <c r="F1059" s="3" t="s">
        <v>649</v>
      </c>
      <c r="G1059" s="3" t="s">
        <v>404</v>
      </c>
      <c r="H1059" s="2" t="s">
        <v>21</v>
      </c>
      <c r="I1059" s="2" t="s">
        <v>3002</v>
      </c>
      <c r="J1059" s="3" t="str">
        <f>HYPERLINK("https://www.boe.es/gazeta/dias/1812/12/10/pdfs/GMD-1812-233.pdf#page=3","Abrir facsímil")</f>
        <v>Abrir facsímil</v>
      </c>
      <c r="K1059" s="3" t="s">
        <v>23</v>
      </c>
    </row>
    <row r="1060" spans="1:11" ht="42" customHeight="1">
      <c r="A1060" s="2" t="s">
        <v>3003</v>
      </c>
      <c r="B1060" s="2" t="s">
        <v>3003</v>
      </c>
      <c r="C1060" s="2" t="s">
        <v>17</v>
      </c>
      <c r="D1060" s="2" t="s">
        <v>18</v>
      </c>
      <c r="E1060" s="4">
        <v>-31808</v>
      </c>
      <c r="F1060" s="3" t="s">
        <v>416</v>
      </c>
      <c r="G1060" s="3" t="s">
        <v>3004</v>
      </c>
      <c r="H1060" s="2" t="s">
        <v>21</v>
      </c>
      <c r="I1060" s="2" t="s">
        <v>3005</v>
      </c>
      <c r="J1060" s="3" t="str">
        <f>HYPERLINK("https://www.boe.es/gazeta/dias/1812/11/28/pdfs/GRE-1812-158.pdf#page=1","Abrir facsímil")</f>
        <v>Abrir facsímil</v>
      </c>
      <c r="K1060" s="3" t="s">
        <v>23</v>
      </c>
    </row>
    <row r="1061" spans="1:11" ht="42" customHeight="1">
      <c r="A1061" s="2" t="s">
        <v>3006</v>
      </c>
      <c r="B1061" s="2" t="s">
        <v>3006</v>
      </c>
      <c r="C1061" s="2" t="s">
        <v>26</v>
      </c>
      <c r="D1061" s="2" t="s">
        <v>27</v>
      </c>
      <c r="E1061" s="4">
        <v>-31829</v>
      </c>
      <c r="F1061" s="3" t="s">
        <v>328</v>
      </c>
      <c r="G1061" s="3" t="s">
        <v>1842</v>
      </c>
      <c r="H1061" s="2" t="s">
        <v>21</v>
      </c>
      <c r="I1061" s="2" t="s">
        <v>3007</v>
      </c>
      <c r="J1061" s="3" t="str">
        <f>HYPERLINK("https://www.boe.es/gazeta/dias/1812/11/07/pdfs/GMD-1812-227.pdf#page=3","Abrir facsímil")</f>
        <v>Abrir facsímil</v>
      </c>
      <c r="K1061" s="3" t="s">
        <v>23</v>
      </c>
    </row>
    <row r="1062" spans="1:11" ht="42" customHeight="1">
      <c r="A1062" s="2" t="s">
        <v>3008</v>
      </c>
      <c r="B1062" s="2" t="s">
        <v>3009</v>
      </c>
      <c r="C1062" s="2" t="s">
        <v>17</v>
      </c>
      <c r="D1062" s="2" t="s">
        <v>18</v>
      </c>
      <c r="E1062" s="4">
        <v>-31962</v>
      </c>
      <c r="F1062" s="3" t="s">
        <v>153</v>
      </c>
      <c r="G1062" s="3" t="s">
        <v>3010</v>
      </c>
      <c r="H1062" s="2" t="s">
        <v>21</v>
      </c>
      <c r="I1062" s="2" t="s">
        <v>3011</v>
      </c>
      <c r="J1062" s="3" t="str">
        <f>HYPERLINK("https://www.boe.es/gazeta/dias/1812/06/27/pdfs/GRE-1812-79.pdf#page=4","Abrir facsímil")</f>
        <v>Abrir facsímil</v>
      </c>
      <c r="K1062" s="3" t="s">
        <v>23</v>
      </c>
    </row>
    <row r="1063" spans="1:11" ht="42" customHeight="1">
      <c r="A1063" s="2" t="s">
        <v>3012</v>
      </c>
      <c r="B1063" s="2" t="s">
        <v>3013</v>
      </c>
      <c r="C1063" s="2" t="s">
        <v>26</v>
      </c>
      <c r="D1063" s="2" t="s">
        <v>27</v>
      </c>
      <c r="E1063" s="4">
        <v>-31864</v>
      </c>
      <c r="F1063" s="3" t="s">
        <v>3014</v>
      </c>
      <c r="G1063" s="3" t="s">
        <v>336</v>
      </c>
      <c r="H1063" s="2" t="s">
        <v>21</v>
      </c>
      <c r="I1063" s="2" t="s">
        <v>3015</v>
      </c>
      <c r="J1063" s="3" t="str">
        <f>HYPERLINK("https://www.boe.es/gazeta/dias/1812/10/03/pdfs/GRE-1812-134.pdf#page=2","Abrir facsímil")</f>
        <v>Abrir facsímil</v>
      </c>
      <c r="K1063" s="3" t="s">
        <v>23</v>
      </c>
    </row>
    <row r="1064" spans="1:11" ht="42" customHeight="1">
      <c r="A1064" s="2" t="s">
        <v>3016</v>
      </c>
      <c r="B1064" s="2" t="s">
        <v>3017</v>
      </c>
      <c r="C1064" s="2" t="s">
        <v>26</v>
      </c>
      <c r="D1064" s="2" t="s">
        <v>27</v>
      </c>
      <c r="E1064" s="4">
        <v>-31969</v>
      </c>
      <c r="F1064" s="3" t="s">
        <v>83</v>
      </c>
      <c r="G1064" s="3" t="s">
        <v>84</v>
      </c>
      <c r="H1064" s="2" t="s">
        <v>21</v>
      </c>
      <c r="I1064" s="2" t="s">
        <v>3018</v>
      </c>
      <c r="J1064" s="3" t="str">
        <f>HYPERLINK("https://www.boe.es/gazeta/dias/1812/06/20/pdfs/GRE-1812-76.pdf#page=8","Abrir facsímil")</f>
        <v>Abrir facsímil</v>
      </c>
      <c r="K1064" s="3" t="s">
        <v>23</v>
      </c>
    </row>
    <row r="1065" spans="1:11" ht="42" customHeight="1">
      <c r="A1065" s="2" t="s">
        <v>3019</v>
      </c>
      <c r="B1065" s="2" t="s">
        <v>3019</v>
      </c>
      <c r="C1065" s="2" t="s">
        <v>26</v>
      </c>
      <c r="D1065" s="2" t="s">
        <v>27</v>
      </c>
      <c r="E1065" s="4">
        <v>-31861</v>
      </c>
      <c r="F1065" s="3" t="s">
        <v>1080</v>
      </c>
      <c r="G1065" s="3" t="s">
        <v>3020</v>
      </c>
      <c r="H1065" s="2" t="s">
        <v>21</v>
      </c>
      <c r="I1065" s="2" t="s">
        <v>3021</v>
      </c>
      <c r="J1065" s="3" t="str">
        <f>HYPERLINK("https://www.boe.es/gazeta/dias/1812/10/06/pdfs/GMR-1812-23.pdf#page=6","Abrir facsímil")</f>
        <v>Abrir facsímil</v>
      </c>
      <c r="K1065" s="3" t="s">
        <v>23</v>
      </c>
    </row>
    <row r="1066" spans="1:11" ht="42" customHeight="1">
      <c r="A1066" s="2" t="s">
        <v>3019</v>
      </c>
      <c r="B1066" s="2" t="s">
        <v>3019</v>
      </c>
      <c r="C1066" s="2" t="s">
        <v>17</v>
      </c>
      <c r="D1066" s="2" t="s">
        <v>27</v>
      </c>
      <c r="E1066" s="4">
        <v>-31798</v>
      </c>
      <c r="F1066" s="3" t="s">
        <v>1849</v>
      </c>
      <c r="G1066" s="3" t="s">
        <v>2280</v>
      </c>
      <c r="H1066" s="2" t="s">
        <v>21</v>
      </c>
      <c r="I1066" s="2" t="s">
        <v>3022</v>
      </c>
      <c r="J1066" s="3" t="str">
        <f>HYPERLINK("https://www.boe.es/gazeta/dias/1812/12/08/pdfs/GMD-1812-231.pdf#page=4","Abrir facsímil")</f>
        <v>Abrir facsímil</v>
      </c>
      <c r="K1066" s="3" t="s">
        <v>23</v>
      </c>
    </row>
    <row r="1067" spans="1:11" ht="42" customHeight="1">
      <c r="A1067" s="2" t="s">
        <v>3023</v>
      </c>
      <c r="B1067" s="2" t="s">
        <v>3023</v>
      </c>
      <c r="C1067" s="2" t="s">
        <v>17</v>
      </c>
      <c r="D1067" s="2" t="s">
        <v>18</v>
      </c>
      <c r="E1067" s="4">
        <v>-31859</v>
      </c>
      <c r="F1067" s="3" t="s">
        <v>3024</v>
      </c>
      <c r="G1067" s="3" t="s">
        <v>217</v>
      </c>
      <c r="H1067" s="2" t="s">
        <v>21</v>
      </c>
      <c r="I1067" s="2" t="s">
        <v>3025</v>
      </c>
      <c r="J1067" s="3" t="str">
        <f>HYPERLINK("https://www.boe.es/gazeta/dias/1812/10/08/pdfs/GRE-1812-136.pdf#page=5","Abrir facsímil")</f>
        <v>Abrir facsímil</v>
      </c>
      <c r="K1067" s="3" t="s">
        <v>23</v>
      </c>
    </row>
    <row r="1068" spans="1:11" ht="42" customHeight="1">
      <c r="A1068" s="2" t="s">
        <v>3026</v>
      </c>
      <c r="B1068" s="2" t="s">
        <v>3026</v>
      </c>
      <c r="C1068" s="2" t="s">
        <v>26</v>
      </c>
      <c r="D1068" s="2" t="s">
        <v>194</v>
      </c>
      <c r="E1068" s="4">
        <v>-31866</v>
      </c>
      <c r="F1068" s="3" t="s">
        <v>845</v>
      </c>
      <c r="G1068" s="3" t="s">
        <v>214</v>
      </c>
      <c r="H1068" s="2" t="s">
        <v>21</v>
      </c>
      <c r="I1068" s="2" t="s">
        <v>3027</v>
      </c>
      <c r="J1068" s="3" t="str">
        <f>HYPERLINK("https://www.boe.es/gazeta/dias/1812/10/01/pdfs/GRE-1812-133.pdf#page=2","Abrir facsímil")</f>
        <v>Abrir facsímil</v>
      </c>
      <c r="K1068" s="3" t="s">
        <v>23</v>
      </c>
    </row>
    <row r="1069" spans="1:11" ht="42" customHeight="1">
      <c r="A1069" s="2" t="s">
        <v>3028</v>
      </c>
      <c r="B1069" s="2" t="s">
        <v>3028</v>
      </c>
      <c r="C1069" s="2" t="s">
        <v>105</v>
      </c>
      <c r="D1069" s="2" t="s">
        <v>27</v>
      </c>
      <c r="E1069" s="4">
        <v>-31854</v>
      </c>
      <c r="F1069" s="3" t="s">
        <v>717</v>
      </c>
      <c r="G1069" s="3" t="s">
        <v>683</v>
      </c>
      <c r="H1069" s="2" t="s">
        <v>21</v>
      </c>
      <c r="I1069" s="2" t="s">
        <v>3029</v>
      </c>
      <c r="J1069" s="3" t="str">
        <f>HYPERLINK("https://www.boe.es/gazeta/dias/1812/10/13/pdfs/GRE-1812-138.pdf#page=3","Abrir facsímil")</f>
        <v>Abrir facsímil</v>
      </c>
      <c r="K1069" s="3" t="s">
        <v>23</v>
      </c>
    </row>
    <row r="1070" spans="1:11" ht="42" customHeight="1">
      <c r="A1070" s="2" t="s">
        <v>3030</v>
      </c>
      <c r="B1070" s="2" t="s">
        <v>3030</v>
      </c>
      <c r="C1070" s="2" t="s">
        <v>17</v>
      </c>
      <c r="D1070" s="2" t="s">
        <v>27</v>
      </c>
      <c r="E1070" s="4">
        <v>-31987</v>
      </c>
      <c r="F1070" s="3" t="s">
        <v>3031</v>
      </c>
      <c r="G1070" s="3" t="s">
        <v>45</v>
      </c>
      <c r="H1070" s="2" t="s">
        <v>21</v>
      </c>
      <c r="I1070" s="2" t="s">
        <v>3032</v>
      </c>
      <c r="J1070" s="3" t="str">
        <f>HYPERLINK("https://www.boe.es/gazeta/dias/1812/06/02/pdfs/GRE-1812-68.pdf#page=3","Abrir facsímil")</f>
        <v>Abrir facsímil</v>
      </c>
      <c r="K1070" s="3" t="s">
        <v>23</v>
      </c>
    </row>
    <row r="1071" spans="1:11" ht="42" customHeight="1">
      <c r="A1071" s="2" t="s">
        <v>3033</v>
      </c>
      <c r="B1071" s="2" t="s">
        <v>3033</v>
      </c>
      <c r="C1071" s="2" t="s">
        <v>17</v>
      </c>
      <c r="D1071" s="2" t="s">
        <v>27</v>
      </c>
      <c r="E1071" s="4">
        <v>-31957</v>
      </c>
      <c r="F1071" s="3" t="s">
        <v>2173</v>
      </c>
      <c r="G1071" s="3" t="s">
        <v>3034</v>
      </c>
      <c r="H1071" s="2" t="s">
        <v>21</v>
      </c>
      <c r="I1071" s="2" t="s">
        <v>3035</v>
      </c>
      <c r="J1071" s="3" t="str">
        <f>HYPERLINK("https://www.boe.es/gazeta/dias/1812/07/02/pdfs/GRE-1812-81.pdf#page=5","Abrir facsímil")</f>
        <v>Abrir facsímil</v>
      </c>
      <c r="K1071" s="3" t="s">
        <v>23</v>
      </c>
    </row>
    <row r="1072" spans="1:11" ht="42" customHeight="1">
      <c r="A1072" s="2" t="s">
        <v>3036</v>
      </c>
      <c r="B1072" s="2" t="s">
        <v>3036</v>
      </c>
      <c r="C1072" s="2" t="s">
        <v>17</v>
      </c>
      <c r="D1072" s="2" t="s">
        <v>18</v>
      </c>
      <c r="E1072" s="4">
        <v>-31782</v>
      </c>
      <c r="F1072" s="3" t="s">
        <v>860</v>
      </c>
      <c r="G1072" s="3" t="s">
        <v>140</v>
      </c>
      <c r="H1072" s="2" t="s">
        <v>21</v>
      </c>
      <c r="I1072" s="2" t="s">
        <v>3037</v>
      </c>
      <c r="J1072" s="3" t="str">
        <f>HYPERLINK("https://www.boe.es/gazeta/dias/1812/12/24/pdfs/GRE-1812-169.pdf#page=2","Abrir facsímil")</f>
        <v>Abrir facsímil</v>
      </c>
      <c r="K1072" s="3" t="s">
        <v>23</v>
      </c>
    </row>
    <row r="1073" spans="1:11" ht="42" customHeight="1">
      <c r="A1073" s="2" t="s">
        <v>3038</v>
      </c>
      <c r="B1073" s="2" t="s">
        <v>3039</v>
      </c>
      <c r="C1073" s="2" t="s">
        <v>26</v>
      </c>
      <c r="D1073" s="2" t="s">
        <v>27</v>
      </c>
      <c r="E1073" s="4">
        <v>-31976</v>
      </c>
      <c r="F1073" s="3" t="s">
        <v>54</v>
      </c>
      <c r="G1073" s="3" t="s">
        <v>55</v>
      </c>
      <c r="H1073" s="2" t="s">
        <v>21</v>
      </c>
      <c r="I1073" s="2" t="s">
        <v>3040</v>
      </c>
      <c r="J1073" s="3" t="str">
        <f>HYPERLINK("https://www.boe.es/gazeta/dias/1812/06/13/pdfs/GRE-1812-73.pdf#page=6","Abrir facsímil")</f>
        <v>Abrir facsímil</v>
      </c>
      <c r="K1073" s="3" t="s">
        <v>23</v>
      </c>
    </row>
    <row r="1074" spans="1:11" ht="42" customHeight="1">
      <c r="A1074" s="2" t="s">
        <v>3041</v>
      </c>
      <c r="B1074" s="2" t="s">
        <v>3042</v>
      </c>
      <c r="C1074" s="2" t="s">
        <v>26</v>
      </c>
      <c r="D1074" s="2" t="s">
        <v>27</v>
      </c>
      <c r="E1074" s="4">
        <v>-31922</v>
      </c>
      <c r="F1074" s="3" t="s">
        <v>622</v>
      </c>
      <c r="G1074" s="3" t="s">
        <v>623</v>
      </c>
      <c r="H1074" s="2" t="s">
        <v>21</v>
      </c>
      <c r="I1074" s="2" t="s">
        <v>3043</v>
      </c>
      <c r="J1074" s="3" t="str">
        <f>HYPERLINK("https://www.boe.es/gazeta/dias/1812/08/06/pdfs/GMD-1812-219.pdf#page=1","Abrir facsímil")</f>
        <v>Abrir facsímil</v>
      </c>
      <c r="K1074" s="3" t="s">
        <v>23</v>
      </c>
    </row>
    <row r="1075" spans="1:11" ht="42" customHeight="1">
      <c r="A1075" s="2" t="s">
        <v>3044</v>
      </c>
      <c r="B1075" s="2" t="s">
        <v>3045</v>
      </c>
      <c r="C1075" s="2" t="s">
        <v>26</v>
      </c>
      <c r="D1075" s="2" t="s">
        <v>27</v>
      </c>
      <c r="E1075" s="4">
        <v>-32109</v>
      </c>
      <c r="F1075" s="3" t="s">
        <v>62</v>
      </c>
      <c r="G1075" s="3" t="s">
        <v>63</v>
      </c>
      <c r="H1075" s="2" t="s">
        <v>21</v>
      </c>
      <c r="I1075" s="2" t="s">
        <v>3046</v>
      </c>
      <c r="J1075" s="3" t="str">
        <f>HYPERLINK("https://www.boe.es/gazeta/dias/1812/02/01/pdfs/GRE-1812-14.pdf#page=10","Abrir facsímil")</f>
        <v>Abrir facsímil</v>
      </c>
      <c r="K1075" s="3" t="s">
        <v>23</v>
      </c>
    </row>
    <row r="1076" spans="1:11" ht="42" customHeight="1">
      <c r="A1076" s="2" t="s">
        <v>3047</v>
      </c>
      <c r="B1076" s="2" t="s">
        <v>3047</v>
      </c>
      <c r="C1076" s="2" t="s">
        <v>26</v>
      </c>
      <c r="D1076" s="2" t="s">
        <v>27</v>
      </c>
      <c r="E1076" s="4">
        <v>-32044</v>
      </c>
      <c r="F1076" s="3" t="s">
        <v>1031</v>
      </c>
      <c r="G1076" s="3" t="s">
        <v>20</v>
      </c>
      <c r="H1076" s="2" t="s">
        <v>21</v>
      </c>
      <c r="I1076" s="2" t="s">
        <v>3048</v>
      </c>
      <c r="J1076" s="3" t="str">
        <f>HYPERLINK("https://www.boe.es/gazeta/dias/1812/04/06/pdfs/GMD-1812-97.pdf#page=3","Abrir facsímil")</f>
        <v>Abrir facsímil</v>
      </c>
      <c r="K1076" s="3" t="s">
        <v>23</v>
      </c>
    </row>
    <row r="1077" spans="1:11" ht="42" customHeight="1">
      <c r="A1077" s="2" t="s">
        <v>3049</v>
      </c>
      <c r="B1077" s="2" t="s">
        <v>3050</v>
      </c>
      <c r="C1077" s="2" t="s">
        <v>26</v>
      </c>
      <c r="D1077" s="2" t="s">
        <v>27</v>
      </c>
      <c r="E1077" s="4">
        <v>-32109</v>
      </c>
      <c r="F1077" s="3" t="s">
        <v>62</v>
      </c>
      <c r="G1077" s="3" t="s">
        <v>472</v>
      </c>
      <c r="H1077" s="2" t="s">
        <v>21</v>
      </c>
      <c r="I1077" s="2" t="s">
        <v>3051</v>
      </c>
      <c r="J1077" s="3" t="str">
        <f>HYPERLINK("https://www.boe.es/gazeta/dias/1812/02/01/pdfs/GRE-1812-14.pdf#page=12","Abrir facsímil")</f>
        <v>Abrir facsímil</v>
      </c>
      <c r="K1077" s="3" t="s">
        <v>23</v>
      </c>
    </row>
    <row r="1078" spans="1:11" ht="42" customHeight="1">
      <c r="A1078" s="2" t="s">
        <v>3052</v>
      </c>
      <c r="B1078" s="2" t="s">
        <v>3052</v>
      </c>
      <c r="C1078" s="2" t="s">
        <v>17</v>
      </c>
      <c r="D1078" s="2" t="s">
        <v>134</v>
      </c>
      <c r="E1078" s="4">
        <v>-31952</v>
      </c>
      <c r="F1078" s="3" t="s">
        <v>1541</v>
      </c>
      <c r="G1078" s="3" t="s">
        <v>130</v>
      </c>
      <c r="H1078" s="2" t="s">
        <v>21</v>
      </c>
      <c r="I1078" s="2" t="s">
        <v>3053</v>
      </c>
      <c r="J1078" s="3" t="str">
        <f>HYPERLINK("https://www.boe.es/gazeta/dias/1812/07/07/pdfs/GRE-F-1812-83.pdf#page=4","Abrir facsímil")</f>
        <v>Abrir facsímil</v>
      </c>
      <c r="K1078" s="3" t="s">
        <v>23</v>
      </c>
    </row>
    <row r="1079" spans="1:11" ht="42" customHeight="1">
      <c r="A1079" s="2" t="s">
        <v>3054</v>
      </c>
      <c r="B1079" s="2" t="s">
        <v>3055</v>
      </c>
      <c r="C1079" s="2" t="s">
        <v>26</v>
      </c>
      <c r="D1079" s="2" t="s">
        <v>27</v>
      </c>
      <c r="E1079" s="4">
        <v>-32055</v>
      </c>
      <c r="F1079" s="3" t="s">
        <v>1271</v>
      </c>
      <c r="G1079" s="3" t="s">
        <v>130</v>
      </c>
      <c r="H1079" s="2" t="s">
        <v>21</v>
      </c>
      <c r="I1079" s="2" t="s">
        <v>3056</v>
      </c>
      <c r="J1079" s="3" t="str">
        <f>HYPERLINK("https://www.boe.es/gazeta/dias/1812/03/26/pdfs/GMD-1812-86.pdf#page=4","Abrir facsímil")</f>
        <v>Abrir facsímil</v>
      </c>
      <c r="K1079" s="3" t="s">
        <v>23</v>
      </c>
    </row>
    <row r="1080" spans="1:11" ht="42" customHeight="1">
      <c r="A1080" s="2" t="s">
        <v>3057</v>
      </c>
      <c r="B1080" s="2" t="s">
        <v>3058</v>
      </c>
      <c r="C1080" s="2" t="s">
        <v>115</v>
      </c>
      <c r="D1080" s="2" t="s">
        <v>134</v>
      </c>
      <c r="E1080" s="4">
        <v>-31952</v>
      </c>
      <c r="F1080" s="3" t="s">
        <v>1541</v>
      </c>
      <c r="G1080" s="3" t="s">
        <v>1542</v>
      </c>
      <c r="H1080" s="2" t="s">
        <v>21</v>
      </c>
      <c r="I1080" s="2" t="s">
        <v>3059</v>
      </c>
      <c r="J1080" s="3" t="str">
        <f>HYPERLINK("https://www.boe.es/gazeta/dias/1812/07/07/pdfs/GRE-F-1812-83.pdf#page=3","Abrir facsímil")</f>
        <v>Abrir facsímil</v>
      </c>
      <c r="K1080" s="3" t="s">
        <v>23</v>
      </c>
    </row>
    <row r="1081" spans="1:11" ht="42" customHeight="1">
      <c r="A1081" s="2" t="s">
        <v>3060</v>
      </c>
      <c r="B1081" s="2" t="s">
        <v>3061</v>
      </c>
      <c r="C1081" s="2" t="s">
        <v>26</v>
      </c>
      <c r="D1081" s="2" t="s">
        <v>27</v>
      </c>
      <c r="E1081" s="4">
        <v>-31965</v>
      </c>
      <c r="F1081" s="3" t="s">
        <v>1180</v>
      </c>
      <c r="G1081" s="3" t="s">
        <v>777</v>
      </c>
      <c r="H1081" s="2" t="s">
        <v>21</v>
      </c>
      <c r="I1081" s="2" t="s">
        <v>3062</v>
      </c>
      <c r="J1081" s="3" t="str">
        <f>HYPERLINK("https://www.boe.es/gazeta/dias/1812/06/24/pdfs/GMD-1812-176.pdf#page=2","Abrir facsímil")</f>
        <v>Abrir facsímil</v>
      </c>
      <c r="K1081" s="3" t="s">
        <v>23</v>
      </c>
    </row>
    <row r="1082" spans="1:11" ht="42" customHeight="1">
      <c r="A1082" s="2" t="s">
        <v>3063</v>
      </c>
      <c r="B1082" s="2" t="s">
        <v>3064</v>
      </c>
      <c r="C1082" s="2" t="s">
        <v>26</v>
      </c>
      <c r="D1082" s="2" t="s">
        <v>27</v>
      </c>
      <c r="E1082" s="4">
        <v>-31942</v>
      </c>
      <c r="F1082" s="3" t="s">
        <v>3065</v>
      </c>
      <c r="G1082" s="3" t="s">
        <v>3066</v>
      </c>
      <c r="H1082" s="2" t="s">
        <v>21</v>
      </c>
      <c r="I1082" s="2" t="s">
        <v>3067</v>
      </c>
      <c r="J1082" s="3" t="str">
        <f>HYPERLINK("https://www.boe.es/gazeta/dias/1812/07/17/pdfs/GMD-1812-199.pdf#page=3","Abrir facsímil")</f>
        <v>Abrir facsímil</v>
      </c>
      <c r="K1082" s="3" t="s">
        <v>23</v>
      </c>
    </row>
    <row r="1083" spans="1:11" ht="42" customHeight="1">
      <c r="A1083" s="2" t="s">
        <v>3068</v>
      </c>
      <c r="B1083" s="2" t="s">
        <v>3069</v>
      </c>
      <c r="C1083" s="2" t="s">
        <v>17</v>
      </c>
      <c r="D1083" s="2" t="s">
        <v>18</v>
      </c>
      <c r="E1083" s="4">
        <v>-31945</v>
      </c>
      <c r="F1083" s="3" t="s">
        <v>1485</v>
      </c>
      <c r="G1083" s="3" t="s">
        <v>2905</v>
      </c>
      <c r="H1083" s="2" t="s">
        <v>21</v>
      </c>
      <c r="I1083" s="2" t="s">
        <v>3070</v>
      </c>
      <c r="J1083" s="3" t="str">
        <f>HYPERLINK("https://www.boe.es/gazeta/dias/1812/07/14/pdfs/GRE-1812-88.pdf#page=2","Abrir facsímil")</f>
        <v>Abrir facsímil</v>
      </c>
      <c r="K1083" s="3" t="s">
        <v>23</v>
      </c>
    </row>
    <row r="1084" spans="1:11" ht="42" customHeight="1">
      <c r="A1084" s="2" t="s">
        <v>3071</v>
      </c>
      <c r="B1084" s="2" t="s">
        <v>3072</v>
      </c>
      <c r="C1084" s="2" t="s">
        <v>17</v>
      </c>
      <c r="D1084" s="2" t="s">
        <v>27</v>
      </c>
      <c r="E1084" s="4">
        <v>-32031</v>
      </c>
      <c r="F1084" s="3" t="s">
        <v>1343</v>
      </c>
      <c r="G1084" s="3" t="s">
        <v>36</v>
      </c>
      <c r="H1084" s="2" t="s">
        <v>21</v>
      </c>
      <c r="I1084" s="2" t="s">
        <v>3073</v>
      </c>
      <c r="J1084" s="3" t="str">
        <f>HYPERLINK("https://www.boe.es/gazeta/dias/1812/04/19/pdfs/GMD-1812-110.pdf#page=3","Abrir facsímil")</f>
        <v>Abrir facsímil</v>
      </c>
      <c r="K1084" s="3" t="s">
        <v>23</v>
      </c>
    </row>
    <row r="1085" spans="1:11" ht="42" customHeight="1">
      <c r="A1085" s="2" t="s">
        <v>3074</v>
      </c>
      <c r="B1085" s="2" t="s">
        <v>3075</v>
      </c>
      <c r="C1085" s="2" t="s">
        <v>26</v>
      </c>
      <c r="D1085" s="2" t="s">
        <v>27</v>
      </c>
      <c r="E1085" s="4">
        <v>-31939</v>
      </c>
      <c r="F1085" s="3" t="s">
        <v>408</v>
      </c>
      <c r="G1085" s="3" t="s">
        <v>20</v>
      </c>
      <c r="H1085" s="2" t="s">
        <v>21</v>
      </c>
      <c r="I1085" s="2" t="s">
        <v>3076</v>
      </c>
      <c r="J1085" s="3" t="str">
        <f>HYPERLINK("https://www.boe.es/gazeta/dias/1812/07/20/pdfs/GMD-1812-202.pdf#page=4","Abrir facsímil")</f>
        <v>Abrir facsímil</v>
      </c>
      <c r="K1085" s="3" t="s">
        <v>23</v>
      </c>
    </row>
    <row r="1086" spans="1:11" ht="42" customHeight="1">
      <c r="A1086" s="2" t="s">
        <v>3077</v>
      </c>
      <c r="B1086" s="2" t="s">
        <v>3078</v>
      </c>
      <c r="C1086" s="2" t="s">
        <v>17</v>
      </c>
      <c r="D1086" s="2" t="s">
        <v>27</v>
      </c>
      <c r="E1086" s="4">
        <v>-32075</v>
      </c>
      <c r="F1086" s="3" t="s">
        <v>301</v>
      </c>
      <c r="G1086" s="3" t="s">
        <v>20</v>
      </c>
      <c r="H1086" s="2" t="s">
        <v>21</v>
      </c>
      <c r="I1086" s="2" t="s">
        <v>3079</v>
      </c>
      <c r="J1086" s="3" t="str">
        <f>HYPERLINK("https://www.boe.es/gazeta/dias/1812/03/06/pdfs/GMD-1812-66.pdf#page=4","Abrir facsímil")</f>
        <v>Abrir facsímil</v>
      </c>
      <c r="K1086" s="3" t="s">
        <v>23</v>
      </c>
    </row>
    <row r="1087" spans="1:11" ht="42" customHeight="1">
      <c r="A1087" s="2" t="s">
        <v>3080</v>
      </c>
      <c r="B1087" s="2" t="s">
        <v>3081</v>
      </c>
      <c r="C1087" s="2" t="s">
        <v>186</v>
      </c>
      <c r="D1087" s="2" t="s">
        <v>27</v>
      </c>
      <c r="E1087" s="4">
        <v>-32044</v>
      </c>
      <c r="F1087" s="3" t="s">
        <v>1031</v>
      </c>
      <c r="G1087" s="3" t="s">
        <v>1873</v>
      </c>
      <c r="H1087" s="2" t="s">
        <v>21</v>
      </c>
      <c r="I1087" s="2" t="s">
        <v>3082</v>
      </c>
      <c r="J1087" s="3" t="str">
        <f>HYPERLINK("https://www.boe.es/gazeta/dias/1812/04/06/pdfs/GMD-1812-97.pdf#page=4","Abrir facsímil")</f>
        <v>Abrir facsímil</v>
      </c>
      <c r="K1087" s="3" t="s">
        <v>23</v>
      </c>
    </row>
    <row r="1088" spans="1:11" ht="42" customHeight="1">
      <c r="A1088" s="2" t="s">
        <v>3083</v>
      </c>
      <c r="B1088" s="2" t="s">
        <v>3083</v>
      </c>
      <c r="C1088" s="2" t="s">
        <v>17</v>
      </c>
      <c r="D1088" s="2" t="s">
        <v>27</v>
      </c>
      <c r="E1088" s="4">
        <v>-32055</v>
      </c>
      <c r="F1088" s="3" t="s">
        <v>459</v>
      </c>
      <c r="G1088" s="3" t="s">
        <v>777</v>
      </c>
      <c r="H1088" s="2" t="s">
        <v>21</v>
      </c>
      <c r="I1088" s="2" t="s">
        <v>3084</v>
      </c>
      <c r="J1088" s="3" t="str">
        <f>HYPERLINK("https://www.boe.es/gazeta/dias/1812/03/26/pdfs/GRE-1812-38.pdf#page=6","Abrir facsímil")</f>
        <v>Abrir facsímil</v>
      </c>
      <c r="K1088" s="3" t="s">
        <v>23</v>
      </c>
    </row>
    <row r="1089" spans="1:11" ht="42" customHeight="1">
      <c r="A1089" s="2" t="s">
        <v>3085</v>
      </c>
      <c r="B1089" s="2" t="s">
        <v>3086</v>
      </c>
      <c r="C1089" s="2" t="s">
        <v>26</v>
      </c>
      <c r="D1089" s="2" t="s">
        <v>27</v>
      </c>
      <c r="E1089" s="4">
        <v>-32034</v>
      </c>
      <c r="F1089" s="3" t="s">
        <v>28</v>
      </c>
      <c r="G1089" s="3" t="s">
        <v>130</v>
      </c>
      <c r="H1089" s="2" t="s">
        <v>21</v>
      </c>
      <c r="I1089" s="2" t="s">
        <v>3087</v>
      </c>
      <c r="J1089" s="3" t="str">
        <f>HYPERLINK("https://www.boe.es/gazeta/dias/1812/04/16/pdfs/GMD-1812-107.pdf#page=4","Abrir facsímil")</f>
        <v>Abrir facsímil</v>
      </c>
      <c r="K1089" s="3" t="s">
        <v>23</v>
      </c>
    </row>
    <row r="1090" spans="1:11" ht="42" customHeight="1">
      <c r="A1090" s="2" t="s">
        <v>3088</v>
      </c>
      <c r="B1090" s="2" t="s">
        <v>3089</v>
      </c>
      <c r="C1090" s="2" t="s">
        <v>17</v>
      </c>
      <c r="D1090" s="2" t="s">
        <v>27</v>
      </c>
      <c r="E1090" s="4">
        <v>-32067</v>
      </c>
      <c r="F1090" s="3" t="s">
        <v>199</v>
      </c>
      <c r="G1090" s="3" t="s">
        <v>237</v>
      </c>
      <c r="H1090" s="2" t="s">
        <v>21</v>
      </c>
      <c r="I1090" s="2" t="s">
        <v>3090</v>
      </c>
      <c r="J1090" s="3" t="str">
        <f>HYPERLINK("https://www.boe.es/gazeta/dias/1812/03/14/pdfs/GRE-1812-33.pdf#page=8","Abrir facsímil")</f>
        <v>Abrir facsímil</v>
      </c>
      <c r="K1090" s="3" t="s">
        <v>23</v>
      </c>
    </row>
    <row r="1091" spans="1:11" ht="42" customHeight="1">
      <c r="A1091" s="2" t="s">
        <v>3091</v>
      </c>
      <c r="B1091" s="2" t="s">
        <v>3092</v>
      </c>
      <c r="C1091" s="2" t="s">
        <v>17</v>
      </c>
      <c r="D1091" s="2" t="s">
        <v>27</v>
      </c>
      <c r="E1091" s="4">
        <v>-31936</v>
      </c>
      <c r="F1091" s="3" t="s">
        <v>614</v>
      </c>
      <c r="G1091" s="3" t="s">
        <v>615</v>
      </c>
      <c r="H1091" s="2" t="s">
        <v>21</v>
      </c>
      <c r="I1091" s="2" t="s">
        <v>3093</v>
      </c>
      <c r="J1091" s="3" t="str">
        <f>HYPERLINK("https://www.boe.es/gazeta/dias/1812/07/23/pdfs/GRE-1812-92.pdf#page=8","Abrir facsímil")</f>
        <v>Abrir facsímil</v>
      </c>
      <c r="K1091" s="3" t="s">
        <v>23</v>
      </c>
    </row>
    <row r="1092" spans="1:11" ht="42" customHeight="1">
      <c r="A1092" s="2" t="s">
        <v>3094</v>
      </c>
      <c r="B1092" s="2" t="s">
        <v>3094</v>
      </c>
      <c r="C1092" s="2" t="s">
        <v>17</v>
      </c>
      <c r="D1092" s="2" t="s">
        <v>27</v>
      </c>
      <c r="E1092" s="4">
        <v>-31943</v>
      </c>
      <c r="F1092" s="3" t="s">
        <v>2825</v>
      </c>
      <c r="G1092" s="3" t="s">
        <v>3095</v>
      </c>
      <c r="H1092" s="2" t="s">
        <v>21</v>
      </c>
      <c r="I1092" s="2" t="s">
        <v>3096</v>
      </c>
      <c r="J1092" s="3" t="str">
        <f>HYPERLINK("https://www.boe.es/gazeta/dias/1812/07/16/pdfs/GRE-1812-89.pdf#page=7","Abrir facsímil")</f>
        <v>Abrir facsímil</v>
      </c>
      <c r="K1092" s="3" t="s">
        <v>23</v>
      </c>
    </row>
    <row r="1093" spans="1:11" ht="42" customHeight="1">
      <c r="A1093" s="2" t="s">
        <v>3097</v>
      </c>
      <c r="B1093" s="2" t="s">
        <v>3098</v>
      </c>
      <c r="C1093" s="2" t="s">
        <v>26</v>
      </c>
      <c r="D1093" s="2" t="s">
        <v>27</v>
      </c>
      <c r="E1093" s="4">
        <v>-32113</v>
      </c>
      <c r="F1093" s="3" t="s">
        <v>121</v>
      </c>
      <c r="G1093" s="3" t="s">
        <v>2655</v>
      </c>
      <c r="H1093" s="2" t="s">
        <v>21</v>
      </c>
      <c r="I1093" s="2" t="s">
        <v>3099</v>
      </c>
      <c r="J1093" s="3" t="str">
        <f>HYPERLINK("https://www.boe.es/gazeta/dias/1812/01/28/pdfs/GRE-1812-12.pdf#page=8","Abrir facsímil")</f>
        <v>Abrir facsímil</v>
      </c>
      <c r="K1093" s="3" t="s">
        <v>23</v>
      </c>
    </row>
    <row r="1094" spans="1:11" ht="42" customHeight="1">
      <c r="A1094" s="2" t="s">
        <v>3100</v>
      </c>
      <c r="B1094" s="2" t="s">
        <v>3101</v>
      </c>
      <c r="C1094" s="2" t="s">
        <v>26</v>
      </c>
      <c r="D1094" s="2" t="s">
        <v>27</v>
      </c>
      <c r="E1094" s="4">
        <v>-31816</v>
      </c>
      <c r="F1094" s="3" t="s">
        <v>270</v>
      </c>
      <c r="G1094" s="3" t="s">
        <v>271</v>
      </c>
      <c r="H1094" s="2" t="s">
        <v>21</v>
      </c>
      <c r="I1094" s="2" t="s">
        <v>3102</v>
      </c>
      <c r="J1094" s="3" t="str">
        <f>HYPERLINK("https://www.boe.es/gazeta/dias/1812/11/20/pdfs/GMR-1812-36.pdf#page=6","Abrir facsímil")</f>
        <v>Abrir facsímil</v>
      </c>
      <c r="K1094" s="3" t="s">
        <v>23</v>
      </c>
    </row>
    <row r="1095" spans="1:11" ht="42" customHeight="1">
      <c r="A1095" s="2" t="s">
        <v>3103</v>
      </c>
      <c r="B1095" s="2" t="s">
        <v>3104</v>
      </c>
      <c r="C1095" s="2" t="s">
        <v>186</v>
      </c>
      <c r="D1095" s="2" t="s">
        <v>27</v>
      </c>
      <c r="E1095" s="4">
        <v>-31829</v>
      </c>
      <c r="F1095" s="3" t="s">
        <v>328</v>
      </c>
      <c r="G1095" s="3" t="s">
        <v>20</v>
      </c>
      <c r="H1095" s="2" t="s">
        <v>21</v>
      </c>
      <c r="I1095" s="2" t="s">
        <v>3105</v>
      </c>
      <c r="J1095" s="3" t="str">
        <f>HYPERLINK("https://www.boe.es/gazeta/dias/1812/11/07/pdfs/GMD-1812-227.pdf#page=4","Abrir facsímil")</f>
        <v>Abrir facsímil</v>
      </c>
      <c r="K1095" s="3" t="s">
        <v>23</v>
      </c>
    </row>
    <row r="1096" spans="1:11" ht="42" customHeight="1">
      <c r="A1096" s="2" t="s">
        <v>3106</v>
      </c>
      <c r="B1096" s="2" t="s">
        <v>3107</v>
      </c>
      <c r="C1096" s="2" t="s">
        <v>186</v>
      </c>
      <c r="D1096" s="2" t="s">
        <v>27</v>
      </c>
      <c r="E1096" s="4">
        <v>-31798</v>
      </c>
      <c r="F1096" s="3" t="s">
        <v>1849</v>
      </c>
      <c r="G1096" s="3" t="s">
        <v>2280</v>
      </c>
      <c r="H1096" s="2" t="s">
        <v>21</v>
      </c>
      <c r="I1096" s="2" t="s">
        <v>3108</v>
      </c>
      <c r="J1096" s="3" t="str">
        <f>HYPERLINK("https://www.boe.es/gazeta/dias/1812/12/08/pdfs/GMD-1812-231.pdf#page=4","Abrir facsímil")</f>
        <v>Abrir facsímil</v>
      </c>
      <c r="K1096" s="3" t="s">
        <v>23</v>
      </c>
    </row>
    <row r="1097" spans="1:11" ht="42" customHeight="1">
      <c r="A1097" s="2" t="s">
        <v>3109</v>
      </c>
      <c r="B1097" s="2" t="s">
        <v>3110</v>
      </c>
      <c r="C1097" s="2" t="s">
        <v>26</v>
      </c>
      <c r="D1097" s="2" t="s">
        <v>27</v>
      </c>
      <c r="E1097" s="4">
        <v>-32066</v>
      </c>
      <c r="F1097" s="3" t="s">
        <v>291</v>
      </c>
      <c r="G1097" s="3" t="s">
        <v>125</v>
      </c>
      <c r="H1097" s="2" t="s">
        <v>21</v>
      </c>
      <c r="I1097" s="2" t="s">
        <v>3111</v>
      </c>
      <c r="J1097" s="3" t="str">
        <f>HYPERLINK("https://www.boe.es/gazeta/dias/1812/03/15/pdfs/GMD-1812-75.pdf#page=4","Abrir facsímil")</f>
        <v>Abrir facsímil</v>
      </c>
      <c r="K1097" s="3" t="s">
        <v>23</v>
      </c>
    </row>
    <row r="1098" spans="1:11" ht="42" customHeight="1">
      <c r="A1098" s="2" t="s">
        <v>3112</v>
      </c>
      <c r="B1098" s="2" t="s">
        <v>3112</v>
      </c>
      <c r="C1098" s="2" t="s">
        <v>17</v>
      </c>
      <c r="D1098" s="2" t="s">
        <v>18</v>
      </c>
      <c r="E1098" s="4">
        <v>-31861</v>
      </c>
      <c r="F1098" s="3" t="s">
        <v>1080</v>
      </c>
      <c r="G1098" s="3" t="s">
        <v>3113</v>
      </c>
      <c r="H1098" s="2" t="s">
        <v>21</v>
      </c>
      <c r="I1098" s="2" t="s">
        <v>3114</v>
      </c>
      <c r="J1098" s="3" t="str">
        <f>HYPERLINK("https://www.boe.es/gazeta/dias/1812/10/06/pdfs/GMR-1812-23.pdf#page=1","Abrir facsímil")</f>
        <v>Abrir facsímil</v>
      </c>
      <c r="K1098" s="3" t="s">
        <v>23</v>
      </c>
    </row>
    <row r="1099" spans="1:11" ht="42" customHeight="1">
      <c r="A1099" s="2" t="s">
        <v>3115</v>
      </c>
      <c r="B1099" s="2" t="s">
        <v>3116</v>
      </c>
      <c r="C1099" s="2" t="s">
        <v>26</v>
      </c>
      <c r="D1099" s="2" t="s">
        <v>27</v>
      </c>
      <c r="E1099" s="4">
        <v>-32019</v>
      </c>
      <c r="F1099" s="3" t="s">
        <v>476</v>
      </c>
      <c r="G1099" s="3" t="s">
        <v>404</v>
      </c>
      <c r="H1099" s="2" t="s">
        <v>21</v>
      </c>
      <c r="I1099" s="2" t="s">
        <v>3117</v>
      </c>
      <c r="J1099" s="3" t="str">
        <f>HYPERLINK("https://www.boe.es/gazeta/dias/1812/05/01/pdfs/GMD-1812-122.pdf#page=3","Abrir facsímil")</f>
        <v>Abrir facsímil</v>
      </c>
      <c r="K1099" s="3" t="s">
        <v>23</v>
      </c>
    </row>
    <row r="1100" spans="1:11" ht="42" customHeight="1">
      <c r="A1100" s="2" t="s">
        <v>3118</v>
      </c>
      <c r="B1100" s="2" t="s">
        <v>3119</v>
      </c>
      <c r="C1100" s="2" t="s">
        <v>26</v>
      </c>
      <c r="D1100" s="2" t="s">
        <v>573</v>
      </c>
      <c r="E1100" s="4">
        <v>-31900</v>
      </c>
      <c r="F1100" s="3" t="s">
        <v>276</v>
      </c>
      <c r="G1100" s="3" t="s">
        <v>277</v>
      </c>
      <c r="H1100" s="2" t="s">
        <v>21</v>
      </c>
      <c r="I1100" s="2" t="s">
        <v>3120</v>
      </c>
      <c r="J1100" s="3" t="str">
        <f>HYPERLINK("https://www.boe.es/gazeta/dias/1812/08/28/pdfs/GRE-1812-113E.pdf#page=8","Abrir facsímil")</f>
        <v>Abrir facsímil</v>
      </c>
      <c r="K1100" s="3" t="s">
        <v>23</v>
      </c>
    </row>
    <row r="1101" spans="1:11" ht="42" customHeight="1">
      <c r="A1101" s="2" t="s">
        <v>3121</v>
      </c>
      <c r="B1101" s="2" t="s">
        <v>3122</v>
      </c>
      <c r="C1101" s="2" t="s">
        <v>49</v>
      </c>
      <c r="D1101" s="2" t="s">
        <v>27</v>
      </c>
      <c r="E1101" s="4">
        <v>-31824</v>
      </c>
      <c r="F1101" s="3" t="s">
        <v>3123</v>
      </c>
      <c r="G1101" s="3" t="s">
        <v>857</v>
      </c>
      <c r="H1101" s="2" t="s">
        <v>21</v>
      </c>
      <c r="I1101" s="2" t="s">
        <v>3124</v>
      </c>
      <c r="J1101" s="3" t="str">
        <f>HYPERLINK("https://www.boe.es/gazeta/dias/1812/11/12/pdfs/GRE-1812-151.pdf#page=8","Abrir facsímil")</f>
        <v>Abrir facsímil</v>
      </c>
      <c r="K1101" s="3" t="s">
        <v>23</v>
      </c>
    </row>
    <row r="1102" spans="1:11" ht="42" customHeight="1">
      <c r="A1102" s="2" t="s">
        <v>3125</v>
      </c>
      <c r="B1102" s="2" t="s">
        <v>3126</v>
      </c>
      <c r="C1102" s="2" t="s">
        <v>26</v>
      </c>
      <c r="D1102" s="2" t="s">
        <v>27</v>
      </c>
      <c r="E1102" s="4">
        <v>-32137</v>
      </c>
      <c r="F1102" s="3" t="s">
        <v>355</v>
      </c>
      <c r="G1102" s="3" t="s">
        <v>117</v>
      </c>
      <c r="H1102" s="2" t="s">
        <v>21</v>
      </c>
      <c r="I1102" s="2" t="s">
        <v>3127</v>
      </c>
      <c r="J1102" s="3" t="str">
        <f>HYPERLINK("https://www.boe.es/gazeta/dias/1812/01/04/pdfs/GEI-1812-2.pdf#page=8","Abrir facsímil")</f>
        <v>Abrir facsímil</v>
      </c>
      <c r="K1102" s="3" t="s">
        <v>23</v>
      </c>
    </row>
    <row r="1103" spans="1:11" ht="42" customHeight="1">
      <c r="A1103" s="2" t="s">
        <v>3128</v>
      </c>
      <c r="B1103" s="2" t="s">
        <v>3129</v>
      </c>
      <c r="C1103" s="2" t="s">
        <v>26</v>
      </c>
      <c r="D1103" s="2" t="s">
        <v>27</v>
      </c>
      <c r="E1103" s="4">
        <v>-32127</v>
      </c>
      <c r="F1103" s="3" t="s">
        <v>88</v>
      </c>
      <c r="G1103" s="3" t="s">
        <v>89</v>
      </c>
      <c r="H1103" s="2" t="s">
        <v>21</v>
      </c>
      <c r="I1103" s="2" t="s">
        <v>3130</v>
      </c>
      <c r="J1103" s="3" t="str">
        <f>HYPERLINK("https://www.boe.es/gazeta/dias/1812/01/14/pdfs/GEI-1812-6.pdf#page=8","Abrir facsímil")</f>
        <v>Abrir facsímil</v>
      </c>
      <c r="K1103" s="3" t="s">
        <v>23</v>
      </c>
    </row>
    <row r="1104" spans="1:11" ht="42" customHeight="1">
      <c r="A1104" s="2" t="s">
        <v>3131</v>
      </c>
      <c r="B1104" s="2" t="s">
        <v>3132</v>
      </c>
      <c r="C1104" s="2" t="s">
        <v>26</v>
      </c>
      <c r="D1104" s="2" t="s">
        <v>27</v>
      </c>
      <c r="E1104" s="4">
        <v>-31955</v>
      </c>
      <c r="F1104" s="3" t="s">
        <v>789</v>
      </c>
      <c r="G1104" s="3" t="s">
        <v>237</v>
      </c>
      <c r="H1104" s="2" t="s">
        <v>21</v>
      </c>
      <c r="I1104" s="2" t="s">
        <v>3133</v>
      </c>
      <c r="J1104" s="3" t="str">
        <f>HYPERLINK("https://www.boe.es/gazeta/dias/1812/07/04/pdfs/GRE-1812-82.pdf#page=8","Abrir facsímil")</f>
        <v>Abrir facsímil</v>
      </c>
      <c r="K1104" s="3" t="s">
        <v>23</v>
      </c>
    </row>
    <row r="1105" spans="1:11" ht="42" customHeight="1">
      <c r="A1105" s="2" t="s">
        <v>3134</v>
      </c>
      <c r="B1105" s="2" t="s">
        <v>3135</v>
      </c>
      <c r="C1105" s="2" t="s">
        <v>26</v>
      </c>
      <c r="D1105" s="2" t="s">
        <v>27</v>
      </c>
      <c r="E1105" s="4">
        <v>-32137</v>
      </c>
      <c r="F1105" s="3" t="s">
        <v>355</v>
      </c>
      <c r="G1105" s="3" t="s">
        <v>117</v>
      </c>
      <c r="H1105" s="2" t="s">
        <v>21</v>
      </c>
      <c r="I1105" s="2" t="s">
        <v>3136</v>
      </c>
      <c r="J1105" s="3" t="str">
        <f>HYPERLINK("https://www.boe.es/gazeta/dias/1812/01/04/pdfs/GEI-1812-2.pdf#page=8","Abrir facsímil")</f>
        <v>Abrir facsímil</v>
      </c>
      <c r="K1105" s="3" t="s">
        <v>23</v>
      </c>
    </row>
    <row r="1106" spans="1:11" ht="42" customHeight="1">
      <c r="A1106" s="2" t="s">
        <v>3137</v>
      </c>
      <c r="B1106" s="2" t="s">
        <v>3138</v>
      </c>
      <c r="C1106" s="2" t="s">
        <v>26</v>
      </c>
      <c r="D1106" s="2" t="s">
        <v>27</v>
      </c>
      <c r="E1106" s="4">
        <v>-31938</v>
      </c>
      <c r="F1106" s="3" t="s">
        <v>324</v>
      </c>
      <c r="G1106" s="3" t="s">
        <v>404</v>
      </c>
      <c r="H1106" s="2" t="s">
        <v>21</v>
      </c>
      <c r="I1106" s="2" t="s">
        <v>3139</v>
      </c>
      <c r="J1106" s="3" t="str">
        <f>HYPERLINK("https://www.boe.es/gazeta/dias/1812/07/21/pdfs/GMD-1812-203.pdf#page=4","Abrir facsímil")</f>
        <v>Abrir facsímil</v>
      </c>
      <c r="K1106" s="3" t="s">
        <v>23</v>
      </c>
    </row>
    <row r="1107" spans="1:11" ht="42" customHeight="1">
      <c r="A1107" s="2" t="s">
        <v>3140</v>
      </c>
      <c r="B1107" s="2" t="s">
        <v>3141</v>
      </c>
      <c r="C1107" s="2" t="s">
        <v>115</v>
      </c>
      <c r="D1107" s="2" t="s">
        <v>27</v>
      </c>
      <c r="E1107" s="4">
        <v>-32013</v>
      </c>
      <c r="F1107" s="3" t="s">
        <v>849</v>
      </c>
      <c r="G1107" s="3" t="s">
        <v>1154</v>
      </c>
      <c r="H1107" s="2" t="s">
        <v>21</v>
      </c>
      <c r="I1107" s="2" t="s">
        <v>3142</v>
      </c>
      <c r="J1107" s="3" t="str">
        <f>HYPERLINK("https://www.boe.es/gazeta/dias/1812/05/07/pdfs/GRE-1812-57.pdf#page=6","Abrir facsímil")</f>
        <v>Abrir facsímil</v>
      </c>
      <c r="K1107" s="3" t="s">
        <v>23</v>
      </c>
    </row>
    <row r="1108" spans="1:11" ht="42" customHeight="1">
      <c r="A1108" s="2" t="s">
        <v>3143</v>
      </c>
      <c r="B1108" s="2" t="s">
        <v>3144</v>
      </c>
      <c r="C1108" s="2" t="s">
        <v>17</v>
      </c>
      <c r="D1108" s="2" t="s">
        <v>18</v>
      </c>
      <c r="E1108" s="4">
        <v>-32067</v>
      </c>
      <c r="F1108" s="3" t="s">
        <v>199</v>
      </c>
      <c r="G1108" s="3" t="s">
        <v>237</v>
      </c>
      <c r="H1108" s="2" t="s">
        <v>21</v>
      </c>
      <c r="I1108" s="2" t="s">
        <v>3145</v>
      </c>
      <c r="J1108" s="3" t="str">
        <f>HYPERLINK("https://www.boe.es/gazeta/dias/1812/03/14/pdfs/GRE-1812-33.pdf#page=8","Abrir facsímil")</f>
        <v>Abrir facsímil</v>
      </c>
      <c r="K1108" s="3" t="s">
        <v>23</v>
      </c>
    </row>
    <row r="1109" spans="1:11" ht="42" customHeight="1">
      <c r="A1109" s="2" t="s">
        <v>3146</v>
      </c>
      <c r="B1109" s="2" t="s">
        <v>3147</v>
      </c>
      <c r="C1109" s="2" t="s">
        <v>17</v>
      </c>
      <c r="D1109" s="2" t="s">
        <v>18</v>
      </c>
      <c r="E1109" s="4">
        <v>-31880</v>
      </c>
      <c r="F1109" s="3" t="s">
        <v>3148</v>
      </c>
      <c r="G1109" s="3" t="s">
        <v>3149</v>
      </c>
      <c r="H1109" s="2" t="s">
        <v>21</v>
      </c>
      <c r="I1109" s="2" t="s">
        <v>3150</v>
      </c>
      <c r="J1109" s="3" t="str">
        <f>HYPERLINK("https://www.boe.es/gazeta/dias/1812/09/17/pdfs/GRE-1812-126.pdf#page=8","Abrir facsímil")</f>
        <v>Abrir facsímil</v>
      </c>
      <c r="K1109" s="3" t="s">
        <v>23</v>
      </c>
    </row>
    <row r="1110" spans="1:11" ht="42" customHeight="1">
      <c r="A1110" s="2" t="s">
        <v>3151</v>
      </c>
      <c r="B1110" s="2" t="s">
        <v>3151</v>
      </c>
      <c r="C1110" s="2" t="s">
        <v>17</v>
      </c>
      <c r="D1110" s="2" t="s">
        <v>27</v>
      </c>
      <c r="E1110" s="4">
        <v>-31861</v>
      </c>
      <c r="F1110" s="3" t="s">
        <v>1080</v>
      </c>
      <c r="G1110" s="3" t="s">
        <v>2403</v>
      </c>
      <c r="H1110" s="2" t="s">
        <v>21</v>
      </c>
      <c r="I1110" s="2" t="s">
        <v>3152</v>
      </c>
      <c r="J1110" s="3" t="str">
        <f>HYPERLINK("https://www.boe.es/gazeta/dias/1812/10/06/pdfs/GMR-1812-23.pdf#page=14","Abrir facsímil")</f>
        <v>Abrir facsímil</v>
      </c>
      <c r="K1110" s="3" t="s">
        <v>23</v>
      </c>
    </row>
    <row r="1111" spans="1:11" ht="42" customHeight="1">
      <c r="A1111" s="2" t="s">
        <v>3153</v>
      </c>
      <c r="B1111" s="2" t="s">
        <v>3154</v>
      </c>
      <c r="C1111" s="2" t="s">
        <v>26</v>
      </c>
      <c r="D1111" s="2" t="s">
        <v>134</v>
      </c>
      <c r="E1111" s="4">
        <v>-31983</v>
      </c>
      <c r="F1111" s="3" t="s">
        <v>1437</v>
      </c>
      <c r="G1111" s="3" t="s">
        <v>1438</v>
      </c>
      <c r="H1111" s="2" t="s">
        <v>21</v>
      </c>
      <c r="I1111" s="2" t="s">
        <v>3155</v>
      </c>
      <c r="J1111" s="3" t="str">
        <f>HYPERLINK("https://www.boe.es/gazeta/dias/1812/06/06/pdfs/GRE-F-1812-70.pdf#page=4","Abrir facsímil")</f>
        <v>Abrir facsímil</v>
      </c>
      <c r="K1111" s="3" t="s">
        <v>23</v>
      </c>
    </row>
    <row r="1112" spans="1:11" ht="42" customHeight="1">
      <c r="A1112" s="2" t="s">
        <v>3156</v>
      </c>
      <c r="B1112" s="2" t="s">
        <v>3157</v>
      </c>
      <c r="C1112" s="2" t="s">
        <v>105</v>
      </c>
      <c r="D1112" s="2" t="s">
        <v>275</v>
      </c>
      <c r="E1112" s="4">
        <v>-31896</v>
      </c>
      <c r="F1112" s="3" t="s">
        <v>3158</v>
      </c>
      <c r="G1112" s="3" t="s">
        <v>794</v>
      </c>
      <c r="H1112" s="2" t="s">
        <v>30</v>
      </c>
      <c r="I1112" s="2" t="s">
        <v>3159</v>
      </c>
      <c r="J1112" s="3" t="str">
        <f>HYPERLINK("https://www.boe.es/gazeta/dias/1812/09/01/pdfs/GRE-1812-117.pdf#page=7","Abrir facsímil")</f>
        <v>Abrir facsímil</v>
      </c>
      <c r="K1112" s="3" t="s">
        <v>32</v>
      </c>
    </row>
    <row r="1113" spans="1:11" ht="42" customHeight="1">
      <c r="A1113" s="2" t="s">
        <v>3160</v>
      </c>
      <c r="B1113" s="2" t="s">
        <v>3161</v>
      </c>
      <c r="C1113" s="2" t="s">
        <v>26</v>
      </c>
      <c r="D1113" s="2" t="s">
        <v>27</v>
      </c>
      <c r="E1113" s="4">
        <v>-32129</v>
      </c>
      <c r="F1113" s="3" t="s">
        <v>3162</v>
      </c>
      <c r="G1113" s="3" t="s">
        <v>620</v>
      </c>
      <c r="H1113" s="2" t="s">
        <v>30</v>
      </c>
      <c r="I1113" s="2" t="s">
        <v>3163</v>
      </c>
      <c r="J1113" s="3" t="str">
        <f>HYPERLINK("https://www.boe.es/gazeta/dias/1812/01/12/pdfs/GMD-1812-12.pdf#page=2","Abrir facsímil")</f>
        <v>Abrir facsímil</v>
      </c>
      <c r="K1113" s="3" t="s">
        <v>32</v>
      </c>
    </row>
    <row r="1114" spans="1:11" ht="42" customHeight="1">
      <c r="A1114" s="2" t="s">
        <v>3164</v>
      </c>
      <c r="B1114" s="2" t="s">
        <v>3165</v>
      </c>
      <c r="C1114" s="2" t="s">
        <v>26</v>
      </c>
      <c r="D1114" s="2" t="s">
        <v>27</v>
      </c>
      <c r="E1114" s="4">
        <v>-32109</v>
      </c>
      <c r="F1114" s="3" t="s">
        <v>62</v>
      </c>
      <c r="G1114" s="3" t="s">
        <v>63</v>
      </c>
      <c r="H1114" s="2" t="s">
        <v>30</v>
      </c>
      <c r="I1114" s="2" t="s">
        <v>3166</v>
      </c>
      <c r="J1114" s="3" t="str">
        <f>HYPERLINK("https://www.boe.es/gazeta/dias/1812/02/01/pdfs/GRE-1812-14.pdf#page=10","Abrir facsímil")</f>
        <v>Abrir facsímil</v>
      </c>
      <c r="K1114" s="3" t="s">
        <v>32</v>
      </c>
    </row>
    <row r="1115" spans="1:11" ht="42" customHeight="1">
      <c r="A1115" s="2" t="s">
        <v>3167</v>
      </c>
      <c r="B1115" s="2" t="s">
        <v>3168</v>
      </c>
      <c r="C1115" s="2" t="s">
        <v>49</v>
      </c>
      <c r="D1115" s="2" t="s">
        <v>27</v>
      </c>
      <c r="E1115" s="4">
        <v>-32002</v>
      </c>
      <c r="F1115" s="3" t="s">
        <v>619</v>
      </c>
      <c r="G1115" s="3" t="s">
        <v>620</v>
      </c>
      <c r="H1115" s="2" t="s">
        <v>30</v>
      </c>
      <c r="I1115" s="2" t="s">
        <v>3169</v>
      </c>
      <c r="J1115" s="3" t="str">
        <f>HYPERLINK("https://www.boe.es/gazeta/dias/1812/05/18/pdfs/GMD-1812-139.pdf#page=2","Abrir facsímil")</f>
        <v>Abrir facsímil</v>
      </c>
      <c r="K1115" s="3" t="s">
        <v>32</v>
      </c>
    </row>
    <row r="1116" spans="1:11" ht="42" customHeight="1">
      <c r="A1116" s="2" t="s">
        <v>3170</v>
      </c>
      <c r="B1116" s="2" t="s">
        <v>3171</v>
      </c>
      <c r="C1116" s="2" t="s">
        <v>26</v>
      </c>
      <c r="D1116" s="2" t="s">
        <v>27</v>
      </c>
      <c r="E1116" s="4">
        <v>-31964</v>
      </c>
      <c r="F1116" s="3" t="s">
        <v>305</v>
      </c>
      <c r="G1116" s="3" t="s">
        <v>306</v>
      </c>
      <c r="H1116" s="2" t="s">
        <v>30</v>
      </c>
      <c r="I1116" s="2" t="s">
        <v>3172</v>
      </c>
      <c r="J1116" s="3" t="str">
        <f>HYPERLINK("https://www.boe.es/gazeta/dias/1812/06/25/pdfs/GMD-1812-177.pdf#page=3","Abrir facsímil")</f>
        <v>Abrir facsímil</v>
      </c>
      <c r="K1116" s="3" t="s">
        <v>32</v>
      </c>
    </row>
    <row r="1117" spans="1:11" ht="42" customHeight="1">
      <c r="A1117" s="2" t="s">
        <v>3173</v>
      </c>
      <c r="B1117" s="2" t="s">
        <v>3174</v>
      </c>
      <c r="C1117" s="2" t="s">
        <v>26</v>
      </c>
      <c r="D1117" s="2" t="s">
        <v>27</v>
      </c>
      <c r="E1117" s="4">
        <v>-32001</v>
      </c>
      <c r="F1117" s="3" t="s">
        <v>1938</v>
      </c>
      <c r="G1117" s="3" t="s">
        <v>1939</v>
      </c>
      <c r="H1117" s="2" t="s">
        <v>30</v>
      </c>
      <c r="I1117" s="2" t="s">
        <v>3175</v>
      </c>
      <c r="J1117" s="3" t="str">
        <f>HYPERLINK("https://www.boe.es/gazeta/dias/1812/05/19/pdfs/GRE-1812-62.pdf#page=7","Abrir facsímil")</f>
        <v>Abrir facsímil</v>
      </c>
      <c r="K1117" s="3" t="s">
        <v>32</v>
      </c>
    </row>
    <row r="1118" spans="1:11" ht="42" customHeight="1">
      <c r="A1118" s="2" t="s">
        <v>3173</v>
      </c>
      <c r="B1118" s="2" t="s">
        <v>3174</v>
      </c>
      <c r="C1118" s="2" t="s">
        <v>26</v>
      </c>
      <c r="D1118" s="2" t="s">
        <v>27</v>
      </c>
      <c r="E1118" s="4">
        <v>-31980</v>
      </c>
      <c r="F1118" s="3" t="s">
        <v>40</v>
      </c>
      <c r="G1118" s="3" t="s">
        <v>41</v>
      </c>
      <c r="H1118" s="2" t="s">
        <v>30</v>
      </c>
      <c r="I1118" s="2" t="s">
        <v>3176</v>
      </c>
      <c r="J1118" s="3" t="str">
        <f>HYPERLINK("https://www.boe.es/gazeta/dias/1812/06/09/pdfs/GRE-1812-71.pdf#page=6","Abrir facsímil")</f>
        <v>Abrir facsímil</v>
      </c>
      <c r="K1118" s="3" t="s">
        <v>32</v>
      </c>
    </row>
    <row r="1119" spans="1:11" ht="42" customHeight="1">
      <c r="A1119" s="2" t="s">
        <v>3177</v>
      </c>
      <c r="B1119" s="2" t="s">
        <v>3178</v>
      </c>
      <c r="C1119" s="2" t="s">
        <v>49</v>
      </c>
      <c r="D1119" s="2" t="s">
        <v>27</v>
      </c>
      <c r="E1119" s="4">
        <v>-31959</v>
      </c>
      <c r="F1119" s="3" t="s">
        <v>1035</v>
      </c>
      <c r="G1119" s="3" t="s">
        <v>3179</v>
      </c>
      <c r="H1119" s="2" t="s">
        <v>30</v>
      </c>
      <c r="I1119" s="2" t="s">
        <v>3180</v>
      </c>
      <c r="J1119" s="3" t="str">
        <f>HYPERLINK("https://www.boe.es/gazeta/dias/1812/06/30/pdfs/GRE-1812-80.pdf#page=1","Abrir facsímil")</f>
        <v>Abrir facsímil</v>
      </c>
      <c r="K1119" s="3" t="s">
        <v>32</v>
      </c>
    </row>
    <row r="1120" spans="1:11" ht="42" customHeight="1">
      <c r="A1120" s="2" t="s">
        <v>3181</v>
      </c>
      <c r="B1120" s="2" t="s">
        <v>3182</v>
      </c>
      <c r="C1120" s="2" t="s">
        <v>17</v>
      </c>
      <c r="D1120" s="2" t="s">
        <v>27</v>
      </c>
      <c r="E1120" s="4">
        <v>-31938</v>
      </c>
      <c r="F1120" s="3" t="s">
        <v>370</v>
      </c>
      <c r="G1120" s="3" t="s">
        <v>371</v>
      </c>
      <c r="H1120" s="2" t="s">
        <v>30</v>
      </c>
      <c r="I1120" s="2" t="s">
        <v>3183</v>
      </c>
      <c r="J1120" s="3" t="str">
        <f>HYPERLINK("https://www.boe.es/gazeta/dias/1812/07/21/pdfs/GRE-1812-91.pdf#page=8","Abrir facsímil")</f>
        <v>Abrir facsímil</v>
      </c>
      <c r="K1120" s="3" t="s">
        <v>32</v>
      </c>
    </row>
    <row r="1121" spans="1:11" ht="42" customHeight="1">
      <c r="A1121" s="2" t="s">
        <v>3184</v>
      </c>
      <c r="B1121" s="2" t="s">
        <v>3185</v>
      </c>
      <c r="C1121" s="2" t="s">
        <v>26</v>
      </c>
      <c r="D1121" s="2" t="s">
        <v>27</v>
      </c>
      <c r="E1121" s="4">
        <v>-31936</v>
      </c>
      <c r="F1121" s="3" t="s">
        <v>614</v>
      </c>
      <c r="G1121" s="3" t="s">
        <v>1886</v>
      </c>
      <c r="H1121" s="2" t="s">
        <v>30</v>
      </c>
      <c r="I1121" s="2" t="s">
        <v>3186</v>
      </c>
      <c r="J1121" s="3" t="str">
        <f>HYPERLINK("https://www.boe.es/gazeta/dias/1812/07/23/pdfs/GRE-1812-92.pdf#page=1","Abrir facsímil")</f>
        <v>Abrir facsímil</v>
      </c>
      <c r="K1121" s="3" t="s">
        <v>32</v>
      </c>
    </row>
    <row r="1122" spans="1:11" ht="42" customHeight="1">
      <c r="A1122" s="2" t="s">
        <v>3187</v>
      </c>
      <c r="B1122" s="2" t="s">
        <v>3187</v>
      </c>
      <c r="C1122" s="2" t="s">
        <v>17</v>
      </c>
      <c r="D1122" s="2" t="s">
        <v>18</v>
      </c>
      <c r="E1122" s="4">
        <v>-32109</v>
      </c>
      <c r="F1122" s="3" t="s">
        <v>62</v>
      </c>
      <c r="G1122" s="3" t="s">
        <v>63</v>
      </c>
      <c r="H1122" s="2" t="s">
        <v>21</v>
      </c>
      <c r="I1122" s="2" t="s">
        <v>3188</v>
      </c>
      <c r="J1122" s="3" t="str">
        <f>HYPERLINK("https://www.boe.es/gazeta/dias/1812/02/01/pdfs/GRE-1812-14.pdf#page=10","Abrir facsímil")</f>
        <v>Abrir facsímil</v>
      </c>
      <c r="K1122" s="3" t="s">
        <v>23</v>
      </c>
    </row>
    <row r="1123" spans="1:11" ht="42" customHeight="1">
      <c r="A1123" s="2" t="s">
        <v>3189</v>
      </c>
      <c r="B1123" s="2" t="s">
        <v>3190</v>
      </c>
      <c r="C1123" s="2" t="s">
        <v>49</v>
      </c>
      <c r="D1123" s="2" t="s">
        <v>27</v>
      </c>
      <c r="E1123" s="4">
        <v>-32116</v>
      </c>
      <c r="F1123" s="3" t="s">
        <v>382</v>
      </c>
      <c r="G1123" s="3" t="s">
        <v>136</v>
      </c>
      <c r="H1123" s="2" t="s">
        <v>21</v>
      </c>
      <c r="I1123" s="2" t="s">
        <v>3191</v>
      </c>
      <c r="J1123" s="3" t="str">
        <f>HYPERLINK("https://www.boe.es/gazeta/dias/1812/01/25/pdfs/GMD-1812-25.pdf#page=4","Abrir facsímil")</f>
        <v>Abrir facsímil</v>
      </c>
      <c r="K1123" s="3" t="s">
        <v>23</v>
      </c>
    </row>
    <row r="1124" spans="1:11" ht="42" customHeight="1">
      <c r="A1124" s="2" t="s">
        <v>3192</v>
      </c>
      <c r="B1124" s="2" t="s">
        <v>3193</v>
      </c>
      <c r="C1124" s="2" t="s">
        <v>26</v>
      </c>
      <c r="D1124" s="2" t="s">
        <v>275</v>
      </c>
      <c r="E1124" s="4">
        <v>-31864</v>
      </c>
      <c r="F1124" s="3" t="s">
        <v>3014</v>
      </c>
      <c r="G1124" s="3" t="s">
        <v>3194</v>
      </c>
      <c r="H1124" s="2" t="s">
        <v>21</v>
      </c>
      <c r="I1124" s="2" t="s">
        <v>3195</v>
      </c>
      <c r="J1124" s="3" t="str">
        <f>HYPERLINK("https://www.boe.es/gazeta/dias/1812/10/03/pdfs/GRE-1812-134.pdf#page=5","Abrir facsímil")</f>
        <v>Abrir facsímil</v>
      </c>
      <c r="K1124" s="3" t="s">
        <v>23</v>
      </c>
    </row>
    <row r="1125" spans="1:11" ht="42" customHeight="1">
      <c r="A1125" s="2" t="s">
        <v>3196</v>
      </c>
      <c r="B1125" s="2" t="s">
        <v>3197</v>
      </c>
      <c r="C1125" s="2" t="s">
        <v>26</v>
      </c>
      <c r="D1125" s="2" t="s">
        <v>27</v>
      </c>
      <c r="E1125" s="4">
        <v>-32125</v>
      </c>
      <c r="F1125" s="3" t="s">
        <v>964</v>
      </c>
      <c r="G1125" s="3" t="s">
        <v>1842</v>
      </c>
      <c r="H1125" s="2" t="s">
        <v>21</v>
      </c>
      <c r="I1125" s="2" t="s">
        <v>3198</v>
      </c>
      <c r="J1125" s="3" t="str">
        <f>HYPERLINK("https://www.boe.es/gazeta/dias/1812/01/16/pdfs/GEI-H-1812-7.pdf#page=4","Abrir facsímil")</f>
        <v>Abrir facsímil</v>
      </c>
      <c r="K1125" s="3" t="s">
        <v>23</v>
      </c>
    </row>
    <row r="1126" spans="1:11" ht="42" customHeight="1">
      <c r="A1126" s="2" t="s">
        <v>3199</v>
      </c>
      <c r="B1126" s="2" t="s">
        <v>3200</v>
      </c>
      <c r="C1126" s="2" t="s">
        <v>17</v>
      </c>
      <c r="D1126" s="2" t="s">
        <v>27</v>
      </c>
      <c r="E1126" s="4">
        <v>-32078</v>
      </c>
      <c r="F1126" s="3" t="s">
        <v>145</v>
      </c>
      <c r="G1126" s="3" t="s">
        <v>1081</v>
      </c>
      <c r="H1126" s="2" t="s">
        <v>21</v>
      </c>
      <c r="I1126" s="2" t="s">
        <v>3201</v>
      </c>
      <c r="J1126" s="3" t="str">
        <f>HYPERLINK("https://www.boe.es/gazeta/dias/1812/03/03/pdfs/GRE-1812-28.pdf#page=4","Abrir facsímil")</f>
        <v>Abrir facsímil</v>
      </c>
      <c r="K1126" s="3" t="s">
        <v>23</v>
      </c>
    </row>
    <row r="1127" spans="1:11" ht="42" customHeight="1">
      <c r="A1127" s="2" t="s">
        <v>3202</v>
      </c>
      <c r="B1127" s="2" t="s">
        <v>3203</v>
      </c>
      <c r="C1127" s="2" t="s">
        <v>26</v>
      </c>
      <c r="D1127" s="2" t="s">
        <v>27</v>
      </c>
      <c r="E1127" s="4">
        <v>-31920</v>
      </c>
      <c r="F1127" s="3" t="s">
        <v>3204</v>
      </c>
      <c r="G1127" s="3" t="s">
        <v>404</v>
      </c>
      <c r="H1127" s="2" t="s">
        <v>21</v>
      </c>
      <c r="I1127" s="2" t="s">
        <v>3205</v>
      </c>
      <c r="J1127" s="3" t="str">
        <f>HYPERLINK("https://www.boe.es/gazeta/dias/1812/08/08/pdfs/GMD-1812-221.pdf#page=2","Abrir facsímil")</f>
        <v>Abrir facsímil</v>
      </c>
      <c r="K1127" s="3" t="s">
        <v>23</v>
      </c>
    </row>
    <row r="1128" spans="1:11" ht="42" customHeight="1">
      <c r="A1128" s="2" t="s">
        <v>3206</v>
      </c>
      <c r="B1128" s="2" t="s">
        <v>3207</v>
      </c>
      <c r="C1128" s="2" t="s">
        <v>26</v>
      </c>
      <c r="D1128" s="2" t="s">
        <v>27</v>
      </c>
      <c r="E1128" s="4">
        <v>-31830</v>
      </c>
      <c r="F1128" s="3" t="s">
        <v>1839</v>
      </c>
      <c r="G1128" s="3" t="s">
        <v>217</v>
      </c>
      <c r="H1128" s="2" t="s">
        <v>21</v>
      </c>
      <c r="I1128" s="2" t="s">
        <v>3208</v>
      </c>
      <c r="J1128" s="3" t="str">
        <f>HYPERLINK("https://www.boe.es/gazeta/dias/1812/11/06/pdfs/GMD-1812-226.pdf#page=4","Abrir facsímil")</f>
        <v>Abrir facsímil</v>
      </c>
      <c r="K1128" s="3" t="s">
        <v>23</v>
      </c>
    </row>
    <row r="1129" spans="1:11" ht="42" customHeight="1">
      <c r="A1129" s="2" t="s">
        <v>3209</v>
      </c>
      <c r="B1129" s="2" t="s">
        <v>3210</v>
      </c>
      <c r="C1129" s="2" t="s">
        <v>26</v>
      </c>
      <c r="D1129" s="2" t="s">
        <v>27</v>
      </c>
      <c r="E1129" s="4">
        <v>-31980</v>
      </c>
      <c r="F1129" s="3" t="s">
        <v>40</v>
      </c>
      <c r="G1129" s="3" t="s">
        <v>41</v>
      </c>
      <c r="H1129" s="2" t="s">
        <v>21</v>
      </c>
      <c r="I1129" s="2" t="s">
        <v>3211</v>
      </c>
      <c r="J1129" s="3" t="str">
        <f>HYPERLINK("https://www.boe.es/gazeta/dias/1812/06/09/pdfs/GRE-1812-71.pdf#page=6","Abrir facsímil")</f>
        <v>Abrir facsímil</v>
      </c>
      <c r="K1129" s="3" t="s">
        <v>23</v>
      </c>
    </row>
    <row r="1130" spans="1:11" ht="42" customHeight="1">
      <c r="A1130" s="2" t="s">
        <v>3212</v>
      </c>
      <c r="B1130" s="2" t="s">
        <v>3213</v>
      </c>
      <c r="C1130" s="2" t="s">
        <v>26</v>
      </c>
      <c r="D1130" s="2" t="s">
        <v>27</v>
      </c>
      <c r="E1130" s="4">
        <v>-32032</v>
      </c>
      <c r="F1130" s="3" t="s">
        <v>421</v>
      </c>
      <c r="G1130" s="3" t="s">
        <v>777</v>
      </c>
      <c r="H1130" s="2" t="s">
        <v>21</v>
      </c>
      <c r="I1130" s="2" t="s">
        <v>3214</v>
      </c>
      <c r="J1130" s="3" t="str">
        <f>HYPERLINK("https://www.boe.es/gazeta/dias/1812/04/18/pdfs/GRE-1812-49.pdf#page=3","Abrir facsímil")</f>
        <v>Abrir facsímil</v>
      </c>
      <c r="K1130" s="3" t="s">
        <v>23</v>
      </c>
    </row>
    <row r="1131" spans="1:11" ht="42" customHeight="1">
      <c r="A1131" s="2" t="s">
        <v>3215</v>
      </c>
      <c r="B1131" s="2" t="s">
        <v>3216</v>
      </c>
      <c r="C1131" s="2" t="s">
        <v>26</v>
      </c>
      <c r="D1131" s="2" t="s">
        <v>275</v>
      </c>
      <c r="E1131" s="4">
        <v>-31964</v>
      </c>
      <c r="F1131" s="3" t="s">
        <v>305</v>
      </c>
      <c r="G1131" s="3" t="s">
        <v>58</v>
      </c>
      <c r="H1131" s="2" t="s">
        <v>21</v>
      </c>
      <c r="I1131" s="2" t="s">
        <v>3217</v>
      </c>
      <c r="J1131" s="3" t="str">
        <f>HYPERLINK("https://www.boe.es/gazeta/dias/1812/06/25/pdfs/GMD-1812-177.pdf#page=2","Abrir facsímil")</f>
        <v>Abrir facsímil</v>
      </c>
      <c r="K1131" s="3" t="s">
        <v>23</v>
      </c>
    </row>
    <row r="1132" spans="1:11" ht="42" customHeight="1">
      <c r="A1132" s="2" t="s">
        <v>3218</v>
      </c>
      <c r="B1132" s="2" t="s">
        <v>3219</v>
      </c>
      <c r="C1132" s="2" t="s">
        <v>17</v>
      </c>
      <c r="D1132" s="2" t="s">
        <v>27</v>
      </c>
      <c r="E1132" s="4">
        <v>-32034</v>
      </c>
      <c r="F1132" s="3" t="s">
        <v>28</v>
      </c>
      <c r="G1132" s="3" t="s">
        <v>20</v>
      </c>
      <c r="H1132" s="2" t="s">
        <v>21</v>
      </c>
      <c r="I1132" s="2" t="s">
        <v>3220</v>
      </c>
      <c r="J1132" s="3" t="str">
        <f>HYPERLINK("https://www.boe.es/gazeta/dias/1812/04/16/pdfs/GMD-1812-107.pdf#page=3","Abrir facsímil")</f>
        <v>Abrir facsímil</v>
      </c>
      <c r="K1132" s="3" t="s">
        <v>23</v>
      </c>
    </row>
    <row r="1133" spans="1:11" ht="42" customHeight="1">
      <c r="A1133" s="2" t="s">
        <v>3221</v>
      </c>
      <c r="B1133" s="2" t="s">
        <v>3222</v>
      </c>
      <c r="C1133" s="2" t="s">
        <v>17</v>
      </c>
      <c r="D1133" s="2" t="s">
        <v>27</v>
      </c>
      <c r="E1133" s="4">
        <v>-32030</v>
      </c>
      <c r="F1133" s="3" t="s">
        <v>2226</v>
      </c>
      <c r="G1133" s="3" t="s">
        <v>20</v>
      </c>
      <c r="H1133" s="2" t="s">
        <v>21</v>
      </c>
      <c r="I1133" s="2" t="s">
        <v>3223</v>
      </c>
      <c r="J1133" s="3" t="str">
        <f>HYPERLINK("https://www.boe.es/gazeta/dias/1812/04/20/pdfs/GMD-1812-111.pdf#page=4","Abrir facsímil")</f>
        <v>Abrir facsímil</v>
      </c>
      <c r="K1133" s="3" t="s">
        <v>23</v>
      </c>
    </row>
    <row r="1134" spans="1:11" ht="42" customHeight="1">
      <c r="A1134" s="2" t="s">
        <v>3224</v>
      </c>
      <c r="B1134" s="2" t="s">
        <v>3225</v>
      </c>
      <c r="C1134" s="2" t="s">
        <v>26</v>
      </c>
      <c r="D1134" s="2" t="s">
        <v>27</v>
      </c>
      <c r="E1134" s="4">
        <v>-31821</v>
      </c>
      <c r="F1134" s="3" t="s">
        <v>1979</v>
      </c>
      <c r="G1134" s="3" t="s">
        <v>317</v>
      </c>
      <c r="H1134" s="2" t="s">
        <v>21</v>
      </c>
      <c r="I1134" s="2" t="s">
        <v>3226</v>
      </c>
      <c r="J1134" s="3" t="str">
        <f>HYPERLINK("https://www.boe.es/gazeta/dias/1812/11/15/pdfs/GMR-1812-34.pdf#page=6","Abrir facsímil")</f>
        <v>Abrir facsímil</v>
      </c>
      <c r="K1134" s="3" t="s">
        <v>23</v>
      </c>
    </row>
    <row r="1135" spans="1:11" ht="42" customHeight="1">
      <c r="A1135" s="2" t="s">
        <v>3227</v>
      </c>
      <c r="B1135" s="2" t="s">
        <v>3228</v>
      </c>
      <c r="C1135" s="2" t="s">
        <v>17</v>
      </c>
      <c r="D1135" s="2" t="s">
        <v>27</v>
      </c>
      <c r="E1135" s="4">
        <v>-31829</v>
      </c>
      <c r="F1135" s="3" t="s">
        <v>3229</v>
      </c>
      <c r="G1135" s="3" t="s">
        <v>3230</v>
      </c>
      <c r="H1135" s="2" t="s">
        <v>21</v>
      </c>
      <c r="I1135" s="2" t="s">
        <v>3231</v>
      </c>
      <c r="J1135" s="3" t="str">
        <f>HYPERLINK("https://www.boe.es/gazeta/dias/1812/11/07/pdfs/GRE-1812-149.pdf#page=5","Abrir facsímil")</f>
        <v>Abrir facsímil</v>
      </c>
      <c r="K1135" s="3" t="s">
        <v>23</v>
      </c>
    </row>
    <row r="1136" spans="1:11" ht="42" customHeight="1">
      <c r="A1136" s="2" t="s">
        <v>3232</v>
      </c>
      <c r="B1136" s="2" t="s">
        <v>3233</v>
      </c>
      <c r="C1136" s="2" t="s">
        <v>26</v>
      </c>
      <c r="D1136" s="2" t="s">
        <v>27</v>
      </c>
      <c r="E1136" s="4">
        <v>-32034</v>
      </c>
      <c r="F1136" s="3" t="s">
        <v>1008</v>
      </c>
      <c r="G1136" s="3" t="s">
        <v>1009</v>
      </c>
      <c r="H1136" s="2" t="s">
        <v>21</v>
      </c>
      <c r="I1136" s="2" t="s">
        <v>3234</v>
      </c>
      <c r="J1136" s="3" t="str">
        <f>HYPERLINK("https://www.boe.es/gazeta/dias/1812/04/16/pdfs/GRE-1812-48.pdf#page=8","Abrir facsímil")</f>
        <v>Abrir facsímil</v>
      </c>
      <c r="K1136" s="3" t="s">
        <v>23</v>
      </c>
    </row>
    <row r="1137" spans="1:11" ht="42" customHeight="1">
      <c r="A1137" s="2" t="s">
        <v>3235</v>
      </c>
      <c r="B1137" s="2" t="s">
        <v>3236</v>
      </c>
      <c r="C1137" s="2" t="s">
        <v>26</v>
      </c>
      <c r="D1137" s="2" t="s">
        <v>27</v>
      </c>
      <c r="E1137" s="4">
        <v>-32067</v>
      </c>
      <c r="F1137" s="3" t="s">
        <v>199</v>
      </c>
      <c r="G1137" s="3" t="s">
        <v>237</v>
      </c>
      <c r="H1137" s="2" t="s">
        <v>21</v>
      </c>
      <c r="I1137" s="2" t="s">
        <v>3237</v>
      </c>
      <c r="J1137" s="3" t="str">
        <f>HYPERLINK("https://www.boe.es/gazeta/dias/1812/03/14/pdfs/GRE-1812-33.pdf#page=8","Abrir facsímil")</f>
        <v>Abrir facsímil</v>
      </c>
      <c r="K1137" s="3" t="s">
        <v>23</v>
      </c>
    </row>
    <row r="1138" spans="1:11" ht="42" customHeight="1">
      <c r="A1138" s="2" t="s">
        <v>3238</v>
      </c>
      <c r="B1138" s="2" t="s">
        <v>3239</v>
      </c>
      <c r="C1138" s="2" t="s">
        <v>26</v>
      </c>
      <c r="D1138" s="2" t="s">
        <v>27</v>
      </c>
      <c r="E1138" s="4">
        <v>-32034</v>
      </c>
      <c r="F1138" s="3" t="s">
        <v>28</v>
      </c>
      <c r="G1138" s="3" t="s">
        <v>794</v>
      </c>
      <c r="H1138" s="2" t="s">
        <v>21</v>
      </c>
      <c r="I1138" s="2" t="s">
        <v>3240</v>
      </c>
      <c r="J1138" s="3" t="str">
        <f>HYPERLINK("https://www.boe.es/gazeta/dias/1812/04/16/pdfs/GMD-1812-107.pdf#page=7","Abrir facsímil")</f>
        <v>Abrir facsímil</v>
      </c>
      <c r="K1138" s="3" t="s">
        <v>23</v>
      </c>
    </row>
    <row r="1139" spans="1:11" ht="42" customHeight="1">
      <c r="A1139" s="2" t="s">
        <v>3241</v>
      </c>
      <c r="B1139" s="2" t="s">
        <v>3242</v>
      </c>
      <c r="C1139" s="2" t="s">
        <v>115</v>
      </c>
      <c r="D1139" s="2" t="s">
        <v>275</v>
      </c>
      <c r="E1139" s="4">
        <v>-32088</v>
      </c>
      <c r="F1139" s="3" t="s">
        <v>250</v>
      </c>
      <c r="G1139" s="3" t="s">
        <v>237</v>
      </c>
      <c r="H1139" s="2" t="s">
        <v>21</v>
      </c>
      <c r="I1139" s="2" t="s">
        <v>3243</v>
      </c>
      <c r="J1139" s="3" t="str">
        <f>HYPERLINK("https://www.boe.es/gazeta/dias/1812/02/22/pdfs/GRE-1812-23.pdf#page=5","Abrir facsímil")</f>
        <v>Abrir facsímil</v>
      </c>
      <c r="K1139" s="3" t="s">
        <v>23</v>
      </c>
    </row>
    <row r="1140" spans="1:11" ht="42" customHeight="1">
      <c r="A1140" s="2" t="s">
        <v>3244</v>
      </c>
      <c r="B1140" s="2" t="s">
        <v>3245</v>
      </c>
      <c r="C1140" s="2" t="s">
        <v>105</v>
      </c>
      <c r="D1140" s="2" t="s">
        <v>27</v>
      </c>
      <c r="E1140" s="4">
        <v>-31857</v>
      </c>
      <c r="F1140" s="3" t="s">
        <v>2176</v>
      </c>
      <c r="G1140" s="3" t="s">
        <v>217</v>
      </c>
      <c r="H1140" s="2" t="s">
        <v>21</v>
      </c>
      <c r="I1140" s="2" t="s">
        <v>3246</v>
      </c>
      <c r="J1140" s="3" t="str">
        <f>HYPERLINK("https://www.boe.es/gazeta/dias/1812/10/10/pdfs/GMR-1812-25.pdf#page=7","Abrir facsímil")</f>
        <v>Abrir facsímil</v>
      </c>
      <c r="K1140" s="3" t="s">
        <v>23</v>
      </c>
    </row>
    <row r="1141" spans="1:11" ht="42" customHeight="1">
      <c r="A1141" s="2" t="s">
        <v>3247</v>
      </c>
      <c r="B1141" s="2" t="s">
        <v>3248</v>
      </c>
      <c r="C1141" s="2" t="s">
        <v>17</v>
      </c>
      <c r="D1141" s="2" t="s">
        <v>134</v>
      </c>
      <c r="E1141" s="4">
        <v>-31896</v>
      </c>
      <c r="F1141" s="3" t="s">
        <v>2506</v>
      </c>
      <c r="G1141" s="3" t="s">
        <v>217</v>
      </c>
      <c r="H1141" s="2" t="s">
        <v>21</v>
      </c>
      <c r="I1141" s="2" t="s">
        <v>3249</v>
      </c>
      <c r="J1141" s="3" t="str">
        <f>HYPERLINK("https://www.boe.es/gazeta/dias/1812/09/01/pdfs/GRE-F-1812-117.pdf#page=4","Abrir facsímil")</f>
        <v>Abrir facsímil</v>
      </c>
      <c r="K1141" s="3" t="s">
        <v>23</v>
      </c>
    </row>
    <row r="1142" spans="1:11" ht="42" customHeight="1">
      <c r="A1142" s="2" t="s">
        <v>3250</v>
      </c>
      <c r="B1142" s="2" t="s">
        <v>3251</v>
      </c>
      <c r="C1142" s="2" t="s">
        <v>17</v>
      </c>
      <c r="D1142" s="2" t="s">
        <v>27</v>
      </c>
      <c r="E1142" s="4">
        <v>-31936</v>
      </c>
      <c r="F1142" s="3" t="s">
        <v>614</v>
      </c>
      <c r="G1142" s="3" t="s">
        <v>615</v>
      </c>
      <c r="H1142" s="2" t="s">
        <v>21</v>
      </c>
      <c r="I1142" s="2" t="s">
        <v>3252</v>
      </c>
      <c r="J1142" s="3" t="str">
        <f>HYPERLINK("https://www.boe.es/gazeta/dias/1812/07/23/pdfs/GRE-1812-92.pdf#page=8","Abrir facsímil")</f>
        <v>Abrir facsímil</v>
      </c>
      <c r="K1142" s="3" t="s">
        <v>23</v>
      </c>
    </row>
    <row r="1143" spans="1:11" ht="42" customHeight="1">
      <c r="A1143" s="2" t="s">
        <v>3253</v>
      </c>
      <c r="B1143" s="2" t="s">
        <v>3253</v>
      </c>
      <c r="C1143" s="2" t="s">
        <v>17</v>
      </c>
      <c r="D1143" s="2" t="s">
        <v>27</v>
      </c>
      <c r="E1143" s="4">
        <v>-32078</v>
      </c>
      <c r="F1143" s="3" t="s">
        <v>145</v>
      </c>
      <c r="G1143" s="3" t="s">
        <v>146</v>
      </c>
      <c r="H1143" s="2" t="s">
        <v>21</v>
      </c>
      <c r="I1143" s="2" t="s">
        <v>3254</v>
      </c>
      <c r="J1143" s="3" t="str">
        <f>HYPERLINK("https://www.boe.es/gazeta/dias/1812/03/03/pdfs/GRE-1812-28.pdf#page=3","Abrir facsímil")</f>
        <v>Abrir facsímil</v>
      </c>
      <c r="K1143" s="3" t="s">
        <v>23</v>
      </c>
    </row>
    <row r="1144" spans="1:11" ht="42" customHeight="1">
      <c r="A1144" s="2" t="s">
        <v>3253</v>
      </c>
      <c r="B1144" s="2" t="s">
        <v>3253</v>
      </c>
      <c r="C1144" s="2" t="s">
        <v>17</v>
      </c>
      <c r="D1144" s="2" t="s">
        <v>27</v>
      </c>
      <c r="E1144" s="4">
        <v>-32076</v>
      </c>
      <c r="F1144" s="3" t="s">
        <v>2486</v>
      </c>
      <c r="G1144" s="3" t="s">
        <v>674</v>
      </c>
      <c r="H1144" s="2" t="s">
        <v>21</v>
      </c>
      <c r="I1144" s="2" t="s">
        <v>3255</v>
      </c>
      <c r="J1144" s="3" t="str">
        <f>HYPERLINK("https://www.boe.es/gazeta/dias/1812/03/05/pdfs/GRE-1812-29.pdf#page=6","Abrir facsímil")</f>
        <v>Abrir facsímil</v>
      </c>
      <c r="K1144" s="3" t="s">
        <v>23</v>
      </c>
    </row>
    <row r="1145" spans="1:11" ht="42" customHeight="1">
      <c r="A1145" s="2" t="s">
        <v>3253</v>
      </c>
      <c r="B1145" s="2" t="s">
        <v>3253</v>
      </c>
      <c r="C1145" s="2" t="s">
        <v>17</v>
      </c>
      <c r="D1145" s="2" t="s">
        <v>573</v>
      </c>
      <c r="E1145" s="4">
        <v>-31921</v>
      </c>
      <c r="F1145" s="3" t="s">
        <v>785</v>
      </c>
      <c r="G1145" s="3" t="s">
        <v>3256</v>
      </c>
      <c r="H1145" s="2" t="s">
        <v>21</v>
      </c>
      <c r="I1145" s="2" t="s">
        <v>3257</v>
      </c>
      <c r="J1145" s="3" t="str">
        <f>HYPERLINK("https://www.boe.es/gazeta/dias/1812/08/07/pdfs/GRE-1812-101E.pdf#page=8","Abrir facsímil")</f>
        <v>Abrir facsímil</v>
      </c>
      <c r="K1145" s="3" t="s">
        <v>23</v>
      </c>
    </row>
    <row r="1146" spans="1:11" ht="42" customHeight="1">
      <c r="A1146" s="2" t="s">
        <v>3258</v>
      </c>
      <c r="B1146" s="2" t="s">
        <v>3259</v>
      </c>
      <c r="C1146" s="2" t="s">
        <v>26</v>
      </c>
      <c r="D1146" s="2" t="s">
        <v>27</v>
      </c>
      <c r="E1146" s="4">
        <v>-32100</v>
      </c>
      <c r="F1146" s="3" t="s">
        <v>492</v>
      </c>
      <c r="G1146" s="3" t="s">
        <v>493</v>
      </c>
      <c r="H1146" s="2" t="s">
        <v>21</v>
      </c>
      <c r="I1146" s="2" t="s">
        <v>3260</v>
      </c>
      <c r="J1146" s="3" t="str">
        <f>HYPERLINK("https://www.boe.es/gazeta/dias/1812/02/10/pdfs/GRE-1812-31.pdf#page=8","Abrir facsímil")</f>
        <v>Abrir facsímil</v>
      </c>
      <c r="K1146" s="3" t="s">
        <v>23</v>
      </c>
    </row>
    <row r="1147" spans="1:11" ht="42" customHeight="1">
      <c r="A1147" s="2" t="s">
        <v>3258</v>
      </c>
      <c r="B1147" s="2" t="s">
        <v>3259</v>
      </c>
      <c r="C1147" s="2" t="s">
        <v>26</v>
      </c>
      <c r="D1147" s="2" t="s">
        <v>27</v>
      </c>
      <c r="E1147" s="4">
        <v>-32071</v>
      </c>
      <c r="F1147" s="3" t="s">
        <v>492</v>
      </c>
      <c r="G1147" s="3" t="s">
        <v>493</v>
      </c>
      <c r="H1147" s="2" t="s">
        <v>21</v>
      </c>
      <c r="I1147" s="2" t="s">
        <v>3260</v>
      </c>
      <c r="J1147" s="3" t="str">
        <f>HYPERLINK("https://www.boe.es/gazeta/dias/1812/03/10/pdfs/GRE-1812-31.pdf#page=8","Abrir facsímil")</f>
        <v>Abrir facsímil</v>
      </c>
      <c r="K1147" s="3" t="s">
        <v>23</v>
      </c>
    </row>
    <row r="1148" spans="1:11" ht="42" customHeight="1">
      <c r="A1148" s="2" t="s">
        <v>3261</v>
      </c>
      <c r="B1148" s="2" t="s">
        <v>3262</v>
      </c>
      <c r="C1148" s="2" t="s">
        <v>26</v>
      </c>
      <c r="D1148" s="2" t="s">
        <v>27</v>
      </c>
      <c r="E1148" s="4">
        <v>-31939</v>
      </c>
      <c r="F1148" s="3" t="s">
        <v>408</v>
      </c>
      <c r="G1148" s="3" t="s">
        <v>20</v>
      </c>
      <c r="H1148" s="2" t="s">
        <v>21</v>
      </c>
      <c r="I1148" s="2" t="s">
        <v>3263</v>
      </c>
      <c r="J1148" s="3" t="str">
        <f>HYPERLINK("https://www.boe.es/gazeta/dias/1812/07/20/pdfs/GMD-1812-202.pdf#page=4","Abrir facsímil")</f>
        <v>Abrir facsímil</v>
      </c>
      <c r="K1148" s="3" t="s">
        <v>23</v>
      </c>
    </row>
    <row r="1149" spans="1:11" ht="42" customHeight="1">
      <c r="A1149" s="2" t="s">
        <v>3264</v>
      </c>
      <c r="B1149" s="2" t="s">
        <v>3265</v>
      </c>
      <c r="C1149" s="2" t="s">
        <v>17</v>
      </c>
      <c r="D1149" s="2" t="s">
        <v>27</v>
      </c>
      <c r="E1149" s="4">
        <v>-32078</v>
      </c>
      <c r="F1149" s="3" t="s">
        <v>145</v>
      </c>
      <c r="G1149" s="3" t="s">
        <v>366</v>
      </c>
      <c r="H1149" s="2" t="s">
        <v>21</v>
      </c>
      <c r="I1149" s="2" t="s">
        <v>3266</v>
      </c>
      <c r="J1149" s="3" t="str">
        <f>HYPERLINK("https://www.boe.es/gazeta/dias/1812/03/03/pdfs/GRE-1812-28.pdf#page=6","Abrir facsímil")</f>
        <v>Abrir facsímil</v>
      </c>
      <c r="K1149" s="3" t="s">
        <v>23</v>
      </c>
    </row>
    <row r="1150" spans="1:11" ht="42" customHeight="1">
      <c r="A1150" s="2" t="s">
        <v>3267</v>
      </c>
      <c r="B1150" s="2" t="s">
        <v>3268</v>
      </c>
      <c r="C1150" s="2" t="s">
        <v>26</v>
      </c>
      <c r="D1150" s="2" t="s">
        <v>275</v>
      </c>
      <c r="E1150" s="4">
        <v>-31964</v>
      </c>
      <c r="F1150" s="3" t="s">
        <v>305</v>
      </c>
      <c r="G1150" s="3" t="s">
        <v>58</v>
      </c>
      <c r="H1150" s="2" t="s">
        <v>21</v>
      </c>
      <c r="I1150" s="2" t="s">
        <v>3269</v>
      </c>
      <c r="J1150" s="3" t="str">
        <f>HYPERLINK("https://www.boe.es/gazeta/dias/1812/06/25/pdfs/GMD-1812-177.pdf#page=2","Abrir facsímil")</f>
        <v>Abrir facsímil</v>
      </c>
      <c r="K1150" s="3" t="s">
        <v>23</v>
      </c>
    </row>
    <row r="1151" spans="1:11" ht="42" customHeight="1">
      <c r="A1151" s="2" t="s">
        <v>3270</v>
      </c>
      <c r="B1151" s="2" t="s">
        <v>3271</v>
      </c>
      <c r="C1151" s="2" t="s">
        <v>26</v>
      </c>
      <c r="D1151" s="2" t="s">
        <v>27</v>
      </c>
      <c r="E1151" s="4">
        <v>-31938</v>
      </c>
      <c r="F1151" s="3" t="s">
        <v>324</v>
      </c>
      <c r="G1151" s="3" t="s">
        <v>497</v>
      </c>
      <c r="H1151" s="2" t="s">
        <v>21</v>
      </c>
      <c r="I1151" s="2" t="s">
        <v>3272</v>
      </c>
      <c r="J1151" s="3" t="str">
        <f>HYPERLINK("https://www.boe.es/gazeta/dias/1812/07/21/pdfs/GMD-1812-203.pdf#page=3","Abrir facsímil")</f>
        <v>Abrir facsímil</v>
      </c>
      <c r="K1151" s="3" t="s">
        <v>23</v>
      </c>
    </row>
    <row r="1152" spans="1:11" ht="42" customHeight="1">
      <c r="A1152" s="2" t="s">
        <v>3273</v>
      </c>
      <c r="B1152" s="2" t="s">
        <v>3274</v>
      </c>
      <c r="C1152" s="2" t="s">
        <v>26</v>
      </c>
      <c r="D1152" s="2" t="s">
        <v>27</v>
      </c>
      <c r="E1152" s="4">
        <v>-31936</v>
      </c>
      <c r="F1152" s="3" t="s">
        <v>603</v>
      </c>
      <c r="G1152" s="3" t="s">
        <v>2410</v>
      </c>
      <c r="H1152" s="2" t="s">
        <v>21</v>
      </c>
      <c r="I1152" s="2" t="s">
        <v>3275</v>
      </c>
      <c r="J1152" s="3" t="str">
        <f>HYPERLINK("https://www.boe.es/gazeta/dias/1812/07/23/pdfs/GMD-1812-205.pdf#page=4","Abrir facsímil")</f>
        <v>Abrir facsímil</v>
      </c>
      <c r="K1152" s="3" t="s">
        <v>23</v>
      </c>
    </row>
    <row r="1153" spans="1:11" ht="42" customHeight="1">
      <c r="A1153" s="2" t="s">
        <v>3276</v>
      </c>
      <c r="B1153" s="2" t="s">
        <v>3277</v>
      </c>
      <c r="C1153" s="2" t="s">
        <v>26</v>
      </c>
      <c r="D1153" s="2" t="s">
        <v>27</v>
      </c>
      <c r="E1153" s="4">
        <v>-32118</v>
      </c>
      <c r="F1153" s="3" t="s">
        <v>1420</v>
      </c>
      <c r="G1153" s="3" t="s">
        <v>1128</v>
      </c>
      <c r="H1153" s="2" t="s">
        <v>21</v>
      </c>
      <c r="I1153" s="2" t="s">
        <v>3278</v>
      </c>
      <c r="J1153" s="3" t="str">
        <f>HYPERLINK("https://www.boe.es/gazeta/dias/1812/01/23/pdfs/GEI-1812-10.pdf#page=3","Abrir facsímil")</f>
        <v>Abrir facsímil</v>
      </c>
      <c r="K1153" s="3" t="s">
        <v>23</v>
      </c>
    </row>
    <row r="1154" spans="1:11" ht="42" customHeight="1">
      <c r="A1154" s="2" t="s">
        <v>3279</v>
      </c>
      <c r="B1154" s="2" t="s">
        <v>3280</v>
      </c>
      <c r="C1154" s="2" t="s">
        <v>105</v>
      </c>
      <c r="D1154" s="2" t="s">
        <v>27</v>
      </c>
      <c r="E1154" s="4">
        <v>-31964</v>
      </c>
      <c r="F1154" s="3" t="s">
        <v>93</v>
      </c>
      <c r="G1154" s="3" t="s">
        <v>1722</v>
      </c>
      <c r="H1154" s="2" t="s">
        <v>21</v>
      </c>
      <c r="I1154" s="2" t="s">
        <v>3281</v>
      </c>
      <c r="J1154" s="3" t="str">
        <f>HYPERLINK("https://www.boe.es/gazeta/dias/1812/06/25/pdfs/GRE-1812-78.pdf#page=8","Abrir facsímil")</f>
        <v>Abrir facsímil</v>
      </c>
      <c r="K1154" s="3" t="s">
        <v>23</v>
      </c>
    </row>
    <row r="1155" spans="1:11" ht="42" customHeight="1">
      <c r="A1155" s="2" t="s">
        <v>3282</v>
      </c>
      <c r="B1155" s="2" t="s">
        <v>3282</v>
      </c>
      <c r="C1155" s="2" t="s">
        <v>17</v>
      </c>
      <c r="D1155" s="2" t="s">
        <v>27</v>
      </c>
      <c r="E1155" s="4">
        <v>-31969</v>
      </c>
      <c r="F1155" s="3" t="s">
        <v>83</v>
      </c>
      <c r="G1155" s="3" t="s">
        <v>97</v>
      </c>
      <c r="H1155" s="2" t="s">
        <v>21</v>
      </c>
      <c r="I1155" s="2" t="s">
        <v>3283</v>
      </c>
      <c r="J1155" s="3" t="str">
        <f>HYPERLINK("https://www.boe.es/gazeta/dias/1812/06/20/pdfs/GRE-1812-76.pdf#page=5","Abrir facsímil")</f>
        <v>Abrir facsímil</v>
      </c>
      <c r="K1155" s="3" t="s">
        <v>23</v>
      </c>
    </row>
    <row r="1156" spans="1:11" ht="42" customHeight="1">
      <c r="A1156" s="2" t="s">
        <v>3284</v>
      </c>
      <c r="B1156" s="2" t="s">
        <v>3285</v>
      </c>
      <c r="C1156" s="2" t="s">
        <v>26</v>
      </c>
      <c r="D1156" s="2" t="s">
        <v>27</v>
      </c>
      <c r="E1156" s="4">
        <v>-31917</v>
      </c>
      <c r="F1156" s="3" t="s">
        <v>946</v>
      </c>
      <c r="G1156" s="3" t="s">
        <v>947</v>
      </c>
      <c r="H1156" s="2" t="s">
        <v>21</v>
      </c>
      <c r="I1156" s="2" t="s">
        <v>3286</v>
      </c>
      <c r="J1156" s="3" t="str">
        <f>HYPERLINK("https://www.boe.es/gazeta/dias/1812/08/11/pdfs/GRE-1812-103.pdf#page=8","Abrir facsímil")</f>
        <v>Abrir facsímil</v>
      </c>
      <c r="K1156" s="3" t="s">
        <v>23</v>
      </c>
    </row>
    <row r="1157" spans="1:11" ht="42" customHeight="1">
      <c r="A1157" s="2" t="s">
        <v>3287</v>
      </c>
      <c r="B1157" s="2" t="s">
        <v>3287</v>
      </c>
      <c r="C1157" s="2" t="s">
        <v>17</v>
      </c>
      <c r="D1157" s="2" t="s">
        <v>18</v>
      </c>
      <c r="E1157" s="4">
        <v>-32032</v>
      </c>
      <c r="F1157" s="3" t="s">
        <v>531</v>
      </c>
      <c r="G1157" s="3" t="s">
        <v>3288</v>
      </c>
      <c r="H1157" s="2" t="s">
        <v>21</v>
      </c>
      <c r="I1157" s="2" t="s">
        <v>3289</v>
      </c>
      <c r="J1157" s="3" t="str">
        <f>HYPERLINK("https://www.boe.es/gazeta/dias/1812/04/18/pdfs/GMD-1812-109.pdf#page=1","Abrir facsímil")</f>
        <v>Abrir facsímil</v>
      </c>
      <c r="K1157" s="3" t="s">
        <v>23</v>
      </c>
    </row>
    <row r="1158" spans="1:11" ht="42" customHeight="1">
      <c r="A1158" s="2" t="s">
        <v>3290</v>
      </c>
      <c r="B1158" s="2" t="s">
        <v>3291</v>
      </c>
      <c r="C1158" s="2" t="s">
        <v>26</v>
      </c>
      <c r="D1158" s="2" t="s">
        <v>27</v>
      </c>
      <c r="E1158" s="4">
        <v>-31963</v>
      </c>
      <c r="F1158" s="3" t="s">
        <v>171</v>
      </c>
      <c r="G1158" s="3" t="s">
        <v>1653</v>
      </c>
      <c r="H1158" s="2" t="s">
        <v>21</v>
      </c>
      <c r="I1158" s="2" t="s">
        <v>3292</v>
      </c>
      <c r="J1158" s="3" t="str">
        <f>HYPERLINK("https://www.boe.es/gazeta/dias/1812/06/26/pdfs/GMD-1812-178.pdf#page=2","Abrir facsímil")</f>
        <v>Abrir facsímil</v>
      </c>
      <c r="K1158" s="3" t="s">
        <v>23</v>
      </c>
    </row>
    <row r="1159" spans="1:11" ht="42" customHeight="1">
      <c r="A1159" s="2" t="s">
        <v>3293</v>
      </c>
      <c r="B1159" s="2" t="s">
        <v>3293</v>
      </c>
      <c r="C1159" s="2" t="s">
        <v>17</v>
      </c>
      <c r="D1159" s="2" t="s">
        <v>18</v>
      </c>
      <c r="E1159" s="4">
        <v>-32036</v>
      </c>
      <c r="F1159" s="3" t="s">
        <v>781</v>
      </c>
      <c r="G1159" s="3" t="s">
        <v>3294</v>
      </c>
      <c r="H1159" s="2" t="s">
        <v>21</v>
      </c>
      <c r="I1159" s="2" t="s">
        <v>3295</v>
      </c>
      <c r="J1159" s="3" t="str">
        <f>HYPERLINK("https://www.boe.es/gazeta/dias/1812/04/14/pdfs/GRE-1812-47.pdf#page=5","Abrir facsímil")</f>
        <v>Abrir facsímil</v>
      </c>
      <c r="K1159" s="3" t="s">
        <v>23</v>
      </c>
    </row>
    <row r="1160" spans="1:11" ht="42" customHeight="1">
      <c r="A1160" s="2" t="s">
        <v>3293</v>
      </c>
      <c r="B1160" s="2" t="s">
        <v>3293</v>
      </c>
      <c r="C1160" s="2" t="s">
        <v>17</v>
      </c>
      <c r="D1160" s="2" t="s">
        <v>18</v>
      </c>
      <c r="E1160" s="4">
        <v>-31776</v>
      </c>
      <c r="F1160" s="3" t="s">
        <v>3296</v>
      </c>
      <c r="G1160" s="3" t="s">
        <v>3297</v>
      </c>
      <c r="H1160" s="2" t="s">
        <v>21</v>
      </c>
      <c r="I1160" s="2" t="s">
        <v>3298</v>
      </c>
      <c r="J1160" s="3" t="str">
        <f>HYPERLINK("https://www.boe.es/gazeta/dias/1812/12/30/pdfs/GMD-1812-253.pdf#page=3","Abrir facsímil")</f>
        <v>Abrir facsímil</v>
      </c>
      <c r="K1160" s="3" t="s">
        <v>23</v>
      </c>
    </row>
    <row r="1161" spans="1:11" ht="42" customHeight="1">
      <c r="A1161" s="2" t="s">
        <v>3299</v>
      </c>
      <c r="B1161" s="2" t="s">
        <v>3299</v>
      </c>
      <c r="C1161" s="2" t="s">
        <v>17</v>
      </c>
      <c r="D1161" s="2" t="s">
        <v>27</v>
      </c>
      <c r="E1161" s="4">
        <v>-31910</v>
      </c>
      <c r="F1161" s="3" t="s">
        <v>72</v>
      </c>
      <c r="G1161" s="3" t="s">
        <v>3300</v>
      </c>
      <c r="H1161" s="2" t="s">
        <v>21</v>
      </c>
      <c r="I1161" s="2" t="s">
        <v>3301</v>
      </c>
      <c r="J1161" s="3" t="str">
        <f>HYPERLINK("https://www.boe.es/gazeta/dias/1812/08/18/pdfs/GRE-1812-106.pdf#page=3","Abrir facsímil")</f>
        <v>Abrir facsímil</v>
      </c>
      <c r="K1161" s="3" t="s">
        <v>23</v>
      </c>
    </row>
    <row r="1162" spans="1:11" ht="42" customHeight="1">
      <c r="A1162" s="2" t="s">
        <v>3302</v>
      </c>
      <c r="B1162" s="2" t="s">
        <v>3303</v>
      </c>
      <c r="C1162" s="2" t="s">
        <v>26</v>
      </c>
      <c r="D1162" s="2" t="s">
        <v>27</v>
      </c>
      <c r="E1162" s="4">
        <v>-31948</v>
      </c>
      <c r="F1162" s="3" t="s">
        <v>431</v>
      </c>
      <c r="G1162" s="3" t="s">
        <v>432</v>
      </c>
      <c r="H1162" s="2" t="s">
        <v>21</v>
      </c>
      <c r="I1162" s="2" t="s">
        <v>3304</v>
      </c>
      <c r="J1162" s="3" t="str">
        <f>HYPERLINK("https://www.boe.es/gazeta/dias/1812/07/11/pdfs/GRE-1812-86.pdf#page=5","Abrir facsímil")</f>
        <v>Abrir facsímil</v>
      </c>
      <c r="K1162" s="3" t="s">
        <v>23</v>
      </c>
    </row>
    <row r="1163" spans="1:11" ht="42" customHeight="1">
      <c r="A1163" s="2" t="s">
        <v>3305</v>
      </c>
      <c r="B1163" s="2" t="s">
        <v>3305</v>
      </c>
      <c r="C1163" s="2" t="s">
        <v>17</v>
      </c>
      <c r="D1163" s="2" t="s">
        <v>18</v>
      </c>
      <c r="E1163" s="4">
        <v>-31840</v>
      </c>
      <c r="F1163" s="3" t="s">
        <v>2181</v>
      </c>
      <c r="G1163" s="3" t="s">
        <v>20</v>
      </c>
      <c r="H1163" s="2" t="s">
        <v>21</v>
      </c>
      <c r="I1163" s="2" t="s">
        <v>3306</v>
      </c>
      <c r="J1163" s="3" t="str">
        <f>HYPERLINK("https://www.boe.es/gazeta/dias/1812/10/27/pdfs/GMR-1812-32.pdf#page=1","Abrir facsímil")</f>
        <v>Abrir facsímil</v>
      </c>
      <c r="K1163" s="3" t="s">
        <v>23</v>
      </c>
    </row>
    <row r="1164" spans="1:11" ht="42" customHeight="1">
      <c r="A1164" s="2" t="s">
        <v>3307</v>
      </c>
      <c r="B1164" s="2" t="s">
        <v>3307</v>
      </c>
      <c r="C1164" s="2" t="s">
        <v>17</v>
      </c>
      <c r="D1164" s="2" t="s">
        <v>18</v>
      </c>
      <c r="E1164" s="4">
        <v>-31794</v>
      </c>
      <c r="F1164" s="3" t="s">
        <v>3308</v>
      </c>
      <c r="G1164" s="3" t="s">
        <v>3309</v>
      </c>
      <c r="H1164" s="2" t="s">
        <v>21</v>
      </c>
      <c r="I1164" s="2" t="s">
        <v>3310</v>
      </c>
      <c r="J1164" s="3" t="str">
        <f>HYPERLINK("https://www.boe.es/gazeta/dias/1812/12/12/pdfs/GRE-1812-164.pdf#page=2","Abrir facsímil")</f>
        <v>Abrir facsímil</v>
      </c>
      <c r="K1164" s="3" t="s">
        <v>23</v>
      </c>
    </row>
    <row r="1165" spans="1:11" ht="42" customHeight="1">
      <c r="A1165" s="2" t="s">
        <v>3311</v>
      </c>
      <c r="B1165" s="2" t="s">
        <v>3311</v>
      </c>
      <c r="C1165" s="2" t="s">
        <v>17</v>
      </c>
      <c r="D1165" s="2" t="s">
        <v>18</v>
      </c>
      <c r="E1165" s="4">
        <v>-31775</v>
      </c>
      <c r="F1165" s="3" t="s">
        <v>660</v>
      </c>
      <c r="G1165" s="3" t="s">
        <v>2908</v>
      </c>
      <c r="H1165" s="2" t="s">
        <v>21</v>
      </c>
      <c r="I1165" s="2" t="s">
        <v>3312</v>
      </c>
      <c r="J1165" s="3" t="str">
        <f>HYPERLINK("https://www.boe.es/gazeta/dias/1812/12/31/pdfs/GRE-1812-172.pdf#page=6","Abrir facsímil")</f>
        <v>Abrir facsímil</v>
      </c>
      <c r="K1165" s="3" t="s">
        <v>23</v>
      </c>
    </row>
    <row r="1166" spans="1:11" ht="42" customHeight="1">
      <c r="A1166" s="2" t="s">
        <v>3313</v>
      </c>
      <c r="B1166" s="2" t="s">
        <v>3313</v>
      </c>
      <c r="C1166" s="2" t="s">
        <v>17</v>
      </c>
      <c r="D1166" s="2" t="s">
        <v>18</v>
      </c>
      <c r="E1166" s="4">
        <v>-31859</v>
      </c>
      <c r="F1166" s="3" t="s">
        <v>3024</v>
      </c>
      <c r="G1166" s="3" t="s">
        <v>317</v>
      </c>
      <c r="H1166" s="2" t="s">
        <v>21</v>
      </c>
      <c r="I1166" s="2" t="s">
        <v>3314</v>
      </c>
      <c r="J1166" s="3" t="str">
        <f>HYPERLINK("https://www.boe.es/gazeta/dias/1812/10/08/pdfs/GRE-1812-136.pdf#page=6","Abrir facsímil")</f>
        <v>Abrir facsímil</v>
      </c>
      <c r="K1166" s="3" t="s">
        <v>23</v>
      </c>
    </row>
    <row r="1167" spans="1:11" ht="42" customHeight="1">
      <c r="A1167" s="2" t="s">
        <v>3315</v>
      </c>
      <c r="B1167" s="2" t="s">
        <v>3316</v>
      </c>
      <c r="C1167" s="2" t="s">
        <v>105</v>
      </c>
      <c r="D1167" s="2" t="s">
        <v>27</v>
      </c>
      <c r="E1167" s="4">
        <v>-31780</v>
      </c>
      <c r="F1167" s="3" t="s">
        <v>3317</v>
      </c>
      <c r="G1167" s="3" t="s">
        <v>125</v>
      </c>
      <c r="H1167" s="2" t="s">
        <v>21</v>
      </c>
      <c r="I1167" s="2" t="s">
        <v>3318</v>
      </c>
      <c r="J1167" s="3" t="str">
        <f>HYPERLINK("https://www.boe.es/gazeta/dias/1812/12/26/pdfs/GRE-1812-170.pdf#page=6","Abrir facsímil")</f>
        <v>Abrir facsímil</v>
      </c>
      <c r="K1167" s="3" t="s">
        <v>23</v>
      </c>
    </row>
    <row r="1168" spans="1:11" ht="42" customHeight="1">
      <c r="A1168" s="2" t="s">
        <v>3319</v>
      </c>
      <c r="B1168" s="2" t="s">
        <v>3320</v>
      </c>
      <c r="C1168" s="2" t="s">
        <v>186</v>
      </c>
      <c r="D1168" s="2" t="s">
        <v>275</v>
      </c>
      <c r="E1168" s="4">
        <v>-32085</v>
      </c>
      <c r="F1168" s="3" t="s">
        <v>3321</v>
      </c>
      <c r="G1168" s="3" t="s">
        <v>336</v>
      </c>
      <c r="H1168" s="2" t="s">
        <v>21</v>
      </c>
      <c r="I1168" s="2" t="s">
        <v>3322</v>
      </c>
      <c r="J1168" s="3" t="str">
        <f>HYPERLINK("https://www.boe.es/gazeta/dias/1812/02/25/pdfs/GRE-1812-25.pdf#page=8","Abrir facsímil")</f>
        <v>Abrir facsímil</v>
      </c>
      <c r="K1168" s="3" t="s">
        <v>23</v>
      </c>
    </row>
    <row r="1169" spans="1:11" ht="42" customHeight="1">
      <c r="A1169" s="2" t="s">
        <v>3323</v>
      </c>
      <c r="B1169" s="2" t="s">
        <v>3324</v>
      </c>
      <c r="C1169" s="2" t="s">
        <v>26</v>
      </c>
      <c r="D1169" s="2" t="s">
        <v>27</v>
      </c>
      <c r="E1169" s="4">
        <v>-32000</v>
      </c>
      <c r="F1169" s="3" t="s">
        <v>878</v>
      </c>
      <c r="G1169" s="3" t="s">
        <v>214</v>
      </c>
      <c r="H1169" s="2" t="s">
        <v>21</v>
      </c>
      <c r="I1169" s="2" t="s">
        <v>3325</v>
      </c>
      <c r="J1169" s="3" t="str">
        <f>HYPERLINK("https://www.boe.es/gazeta/dias/1812/05/20/pdfs/GMD-1812-141.pdf#page=2","Abrir facsímil")</f>
        <v>Abrir facsímil</v>
      </c>
      <c r="K1169" s="3" t="s">
        <v>23</v>
      </c>
    </row>
    <row r="1170" spans="1:11" ht="42" customHeight="1">
      <c r="A1170" s="2" t="s">
        <v>3326</v>
      </c>
      <c r="B1170" s="2" t="s">
        <v>3327</v>
      </c>
      <c r="C1170" s="2" t="s">
        <v>26</v>
      </c>
      <c r="D1170" s="2" t="s">
        <v>27</v>
      </c>
      <c r="E1170" s="4">
        <v>-32034</v>
      </c>
      <c r="F1170" s="3" t="s">
        <v>28</v>
      </c>
      <c r="G1170" s="3" t="s">
        <v>794</v>
      </c>
      <c r="H1170" s="2" t="s">
        <v>21</v>
      </c>
      <c r="I1170" s="2" t="s">
        <v>3328</v>
      </c>
      <c r="J1170" s="3" t="str">
        <f>HYPERLINK("https://www.boe.es/gazeta/dias/1812/04/16/pdfs/GMD-1812-107.pdf#page=7","Abrir facsímil")</f>
        <v>Abrir facsímil</v>
      </c>
      <c r="K1170" s="3" t="s">
        <v>23</v>
      </c>
    </row>
    <row r="1171" spans="1:11" ht="42" customHeight="1">
      <c r="A1171" s="2" t="s">
        <v>3329</v>
      </c>
      <c r="B1171" s="2" t="s">
        <v>3330</v>
      </c>
      <c r="C1171" s="2" t="s">
        <v>26</v>
      </c>
      <c r="D1171" s="2" t="s">
        <v>27</v>
      </c>
      <c r="E1171" s="4">
        <v>-32132</v>
      </c>
      <c r="F1171" s="3" t="s">
        <v>484</v>
      </c>
      <c r="G1171" s="3" t="s">
        <v>485</v>
      </c>
      <c r="H1171" s="2" t="s">
        <v>21</v>
      </c>
      <c r="I1171" s="2" t="s">
        <v>3331</v>
      </c>
      <c r="J1171" s="3" t="str">
        <f>HYPERLINK("https://www.boe.es/gazeta/dias/1812/01/09/pdfs/GEI-1812-4.pdf#page=8","Abrir facsímil")</f>
        <v>Abrir facsímil</v>
      </c>
      <c r="K1171" s="3" t="s">
        <v>23</v>
      </c>
    </row>
    <row r="1172" spans="1:11" ht="42" customHeight="1">
      <c r="A1172" s="2" t="s">
        <v>3332</v>
      </c>
      <c r="B1172" s="2" t="s">
        <v>3333</v>
      </c>
      <c r="C1172" s="2" t="s">
        <v>115</v>
      </c>
      <c r="D1172" s="2" t="s">
        <v>27</v>
      </c>
      <c r="E1172" s="4">
        <v>-32088</v>
      </c>
      <c r="F1172" s="3" t="s">
        <v>1217</v>
      </c>
      <c r="G1172" s="3" t="s">
        <v>1218</v>
      </c>
      <c r="H1172" s="2" t="s">
        <v>21</v>
      </c>
      <c r="I1172" s="2" t="s">
        <v>3334</v>
      </c>
      <c r="J1172" s="3" t="str">
        <f>HYPERLINK("https://www.boe.es/gazeta/dias/1812/02/22/pdfs/GMD-1812-53.pdf#page=4","Abrir facsímil")</f>
        <v>Abrir facsímil</v>
      </c>
      <c r="K1172" s="3" t="s">
        <v>23</v>
      </c>
    </row>
    <row r="1173" spans="1:11" ht="42" customHeight="1">
      <c r="A1173" s="2" t="s">
        <v>3335</v>
      </c>
      <c r="B1173" s="2" t="s">
        <v>3336</v>
      </c>
      <c r="C1173" s="2" t="s">
        <v>26</v>
      </c>
      <c r="D1173" s="2" t="s">
        <v>27</v>
      </c>
      <c r="E1173" s="4">
        <v>-32100</v>
      </c>
      <c r="F1173" s="3" t="s">
        <v>492</v>
      </c>
      <c r="G1173" s="3" t="s">
        <v>1650</v>
      </c>
      <c r="H1173" s="2" t="s">
        <v>21</v>
      </c>
      <c r="I1173" s="2" t="s">
        <v>3337</v>
      </c>
      <c r="J1173" s="3" t="str">
        <f>HYPERLINK("https://www.boe.es/gazeta/dias/1812/02/10/pdfs/GRE-1812-31.pdf#page=2","Abrir facsímil")</f>
        <v>Abrir facsímil</v>
      </c>
      <c r="K1173" s="3" t="s">
        <v>23</v>
      </c>
    </row>
    <row r="1174" spans="1:11" ht="42" customHeight="1">
      <c r="A1174" s="2" t="s">
        <v>3335</v>
      </c>
      <c r="B1174" s="2" t="s">
        <v>3336</v>
      </c>
      <c r="C1174" s="2" t="s">
        <v>26</v>
      </c>
      <c r="D1174" s="2" t="s">
        <v>27</v>
      </c>
      <c r="E1174" s="4">
        <v>-32071</v>
      </c>
      <c r="F1174" s="3" t="s">
        <v>492</v>
      </c>
      <c r="G1174" s="3" t="s">
        <v>1650</v>
      </c>
      <c r="H1174" s="2" t="s">
        <v>21</v>
      </c>
      <c r="I1174" s="2" t="s">
        <v>3337</v>
      </c>
      <c r="J1174" s="3" t="str">
        <f>HYPERLINK("https://www.boe.es/gazeta/dias/1812/03/10/pdfs/GRE-1812-31.pdf#page=2","Abrir facsímil")</f>
        <v>Abrir facsímil</v>
      </c>
      <c r="K1174" s="3" t="s">
        <v>23</v>
      </c>
    </row>
    <row r="1175" spans="1:11" ht="42" customHeight="1">
      <c r="A1175" s="2" t="s">
        <v>3338</v>
      </c>
      <c r="B1175" s="2" t="s">
        <v>3339</v>
      </c>
      <c r="C1175" s="2" t="s">
        <v>17</v>
      </c>
      <c r="D1175" s="2" t="s">
        <v>27</v>
      </c>
      <c r="E1175" s="4">
        <v>-31913</v>
      </c>
      <c r="F1175" s="3" t="s">
        <v>450</v>
      </c>
      <c r="G1175" s="3" t="s">
        <v>2131</v>
      </c>
      <c r="H1175" s="2" t="s">
        <v>21</v>
      </c>
      <c r="I1175" s="2" t="s">
        <v>3340</v>
      </c>
      <c r="J1175" s="3" t="str">
        <f>HYPERLINK("https://www.boe.es/gazeta/dias/1812/08/15/pdfs/GRE-1812-105.pdf#page=5","Abrir facsímil")</f>
        <v>Abrir facsímil</v>
      </c>
      <c r="K1175" s="3" t="s">
        <v>23</v>
      </c>
    </row>
    <row r="1176" spans="1:11" ht="42" customHeight="1">
      <c r="A1176" s="2" t="s">
        <v>3341</v>
      </c>
      <c r="B1176" s="2" t="s">
        <v>3342</v>
      </c>
      <c r="C1176" s="2" t="s">
        <v>17</v>
      </c>
      <c r="D1176" s="2" t="s">
        <v>27</v>
      </c>
      <c r="E1176" s="4">
        <v>-32116</v>
      </c>
      <c r="F1176" s="3" t="s">
        <v>382</v>
      </c>
      <c r="G1176" s="3" t="s">
        <v>136</v>
      </c>
      <c r="H1176" s="2" t="s">
        <v>21</v>
      </c>
      <c r="I1176" s="2" t="s">
        <v>3343</v>
      </c>
      <c r="J1176" s="3" t="str">
        <f>HYPERLINK("https://www.boe.es/gazeta/dias/1812/01/25/pdfs/GMD-1812-25.pdf#page=4","Abrir facsímil")</f>
        <v>Abrir facsímil</v>
      </c>
      <c r="K1176" s="3" t="s">
        <v>23</v>
      </c>
    </row>
    <row r="1177" spans="1:11" ht="42" customHeight="1">
      <c r="A1177" s="2" t="s">
        <v>3344</v>
      </c>
      <c r="B1177" s="2" t="s">
        <v>3345</v>
      </c>
      <c r="C1177" s="2" t="s">
        <v>105</v>
      </c>
      <c r="D1177" s="2" t="s">
        <v>27</v>
      </c>
      <c r="E1177" s="4">
        <v>-32018</v>
      </c>
      <c r="F1177" s="3" t="s">
        <v>365</v>
      </c>
      <c r="G1177" s="3" t="s">
        <v>392</v>
      </c>
      <c r="H1177" s="2" t="s">
        <v>21</v>
      </c>
      <c r="I1177" s="2" t="s">
        <v>3346</v>
      </c>
      <c r="J1177" s="3" t="str">
        <f>HYPERLINK("https://www.boe.es/gazeta/dias/1812/05/02/pdfs/GRE-1812-55.pdf#page=2","Abrir facsímil")</f>
        <v>Abrir facsímil</v>
      </c>
      <c r="K1177" s="3" t="s">
        <v>23</v>
      </c>
    </row>
    <row r="1178" spans="1:11" ht="42" customHeight="1">
      <c r="A1178" s="2" t="s">
        <v>3347</v>
      </c>
      <c r="B1178" s="2" t="s">
        <v>3348</v>
      </c>
      <c r="C1178" s="2" t="s">
        <v>26</v>
      </c>
      <c r="D1178" s="2" t="s">
        <v>27</v>
      </c>
      <c r="E1178" s="4">
        <v>-31940</v>
      </c>
      <c r="F1178" s="3" t="s">
        <v>187</v>
      </c>
      <c r="G1178" s="3" t="s">
        <v>404</v>
      </c>
      <c r="H1178" s="2" t="s">
        <v>21</v>
      </c>
      <c r="I1178" s="2" t="s">
        <v>3349</v>
      </c>
      <c r="J1178" s="3" t="str">
        <f>HYPERLINK("https://www.boe.es/gazeta/dias/1812/07/19/pdfs/GMD-1812-201.pdf#page=3","Abrir facsímil")</f>
        <v>Abrir facsímil</v>
      </c>
      <c r="K1178" s="3" t="s">
        <v>23</v>
      </c>
    </row>
    <row r="1179" spans="1:11" ht="42" customHeight="1">
      <c r="A1179" s="2" t="s">
        <v>3350</v>
      </c>
      <c r="B1179" s="2" t="s">
        <v>3351</v>
      </c>
      <c r="C1179" s="2" t="s">
        <v>26</v>
      </c>
      <c r="D1179" s="2" t="s">
        <v>27</v>
      </c>
      <c r="E1179" s="4">
        <v>-31973</v>
      </c>
      <c r="F1179" s="3" t="s">
        <v>1735</v>
      </c>
      <c r="G1179" s="3" t="s">
        <v>125</v>
      </c>
      <c r="H1179" s="2" t="s">
        <v>21</v>
      </c>
      <c r="I1179" s="2" t="s">
        <v>3352</v>
      </c>
      <c r="J1179" s="3" t="str">
        <f>HYPERLINK("https://www.boe.es/gazeta/dias/1812/06/16/pdfs/GRE-1812-74.pdf#page=4","Abrir facsímil")</f>
        <v>Abrir facsímil</v>
      </c>
      <c r="K1179" s="3" t="s">
        <v>23</v>
      </c>
    </row>
    <row r="1180" spans="1:11" ht="42" customHeight="1">
      <c r="A1180" s="2" t="s">
        <v>3350</v>
      </c>
      <c r="B1180" s="2" t="s">
        <v>3351</v>
      </c>
      <c r="C1180" s="2" t="s">
        <v>26</v>
      </c>
      <c r="D1180" s="2" t="s">
        <v>134</v>
      </c>
      <c r="E1180" s="4">
        <v>-31952</v>
      </c>
      <c r="F1180" s="3" t="s">
        <v>1541</v>
      </c>
      <c r="G1180" s="3" t="s">
        <v>130</v>
      </c>
      <c r="H1180" s="2" t="s">
        <v>21</v>
      </c>
      <c r="I1180" s="2" t="s">
        <v>3353</v>
      </c>
      <c r="J1180" s="3" t="str">
        <f>HYPERLINK("https://www.boe.es/gazeta/dias/1812/07/07/pdfs/GRE-F-1812-83.pdf#page=4","Abrir facsímil")</f>
        <v>Abrir facsímil</v>
      </c>
      <c r="K1180" s="3" t="s">
        <v>23</v>
      </c>
    </row>
    <row r="1181" spans="1:11" ht="42" customHeight="1">
      <c r="A1181" s="2" t="s">
        <v>3354</v>
      </c>
      <c r="B1181" s="2" t="s">
        <v>3354</v>
      </c>
      <c r="C1181" s="2" t="s">
        <v>17</v>
      </c>
      <c r="D1181" s="2" t="s">
        <v>27</v>
      </c>
      <c r="E1181" s="4">
        <v>-31783</v>
      </c>
      <c r="F1181" s="3" t="s">
        <v>2074</v>
      </c>
      <c r="G1181" s="3" t="s">
        <v>125</v>
      </c>
      <c r="H1181" s="2" t="s">
        <v>21</v>
      </c>
      <c r="I1181" s="2" t="s">
        <v>3355</v>
      </c>
      <c r="J1181" s="3" t="str">
        <f>HYPERLINK("https://www.boe.es/gazeta/dias/1812/12/23/pdfs/GMD-1812-246.pdf#page=1","Abrir facsímil")</f>
        <v>Abrir facsímil</v>
      </c>
      <c r="K1181" s="3" t="s">
        <v>23</v>
      </c>
    </row>
    <row r="1182" spans="1:11" ht="42" customHeight="1">
      <c r="A1182" s="2" t="s">
        <v>3356</v>
      </c>
      <c r="B1182" s="2" t="s">
        <v>3357</v>
      </c>
      <c r="C1182" s="2" t="s">
        <v>26</v>
      </c>
      <c r="D1182" s="2" t="s">
        <v>134</v>
      </c>
      <c r="E1182" s="4">
        <v>-31955</v>
      </c>
      <c r="F1182" s="3" t="s">
        <v>135</v>
      </c>
      <c r="G1182" s="3" t="s">
        <v>58</v>
      </c>
      <c r="H1182" s="2" t="s">
        <v>21</v>
      </c>
      <c r="I1182" s="2" t="s">
        <v>3358</v>
      </c>
      <c r="J1182" s="3" t="str">
        <f>HYPERLINK("https://www.boe.es/gazeta/dias/1812/07/04/pdfs/GRE-F-1812-82.pdf#page=6","Abrir facsímil")</f>
        <v>Abrir facsímil</v>
      </c>
      <c r="K1182" s="3" t="s">
        <v>23</v>
      </c>
    </row>
    <row r="1183" spans="1:11" ht="42" customHeight="1">
      <c r="A1183" s="2" t="s">
        <v>3359</v>
      </c>
      <c r="B1183" s="2" t="s">
        <v>3360</v>
      </c>
      <c r="C1183" s="2" t="s">
        <v>26</v>
      </c>
      <c r="D1183" s="2" t="s">
        <v>27</v>
      </c>
      <c r="E1183" s="4">
        <v>-31901</v>
      </c>
      <c r="F1183" s="3" t="s">
        <v>590</v>
      </c>
      <c r="G1183" s="3" t="s">
        <v>742</v>
      </c>
      <c r="H1183" s="2" t="s">
        <v>21</v>
      </c>
      <c r="I1183" s="2" t="s">
        <v>3361</v>
      </c>
      <c r="J1183" s="3" t="str">
        <f>HYPERLINK("https://www.boe.es/gazeta/dias/1812/08/27/pdfs/GMR-1812-6.pdf#page=5","Abrir facsímil")</f>
        <v>Abrir facsímil</v>
      </c>
      <c r="K1183" s="3" t="s">
        <v>23</v>
      </c>
    </row>
    <row r="1184" spans="1:11" ht="42" customHeight="1">
      <c r="A1184" s="2" t="s">
        <v>3362</v>
      </c>
      <c r="B1184" s="2" t="s">
        <v>3363</v>
      </c>
      <c r="C1184" s="2" t="s">
        <v>26</v>
      </c>
      <c r="D1184" s="2" t="s">
        <v>27</v>
      </c>
      <c r="E1184" s="4">
        <v>-31913</v>
      </c>
      <c r="F1184" s="3" t="s">
        <v>450</v>
      </c>
      <c r="G1184" s="3" t="s">
        <v>451</v>
      </c>
      <c r="H1184" s="2" t="s">
        <v>21</v>
      </c>
      <c r="I1184" s="2" t="s">
        <v>3364</v>
      </c>
      <c r="J1184" s="3" t="str">
        <f>HYPERLINK("https://www.boe.es/gazeta/dias/1812/08/15/pdfs/GRE-1812-105.pdf#page=8","Abrir facsímil")</f>
        <v>Abrir facsímil</v>
      </c>
      <c r="K1184" s="3" t="s">
        <v>23</v>
      </c>
    </row>
    <row r="1185" spans="1:11" ht="42" customHeight="1">
      <c r="A1185" s="2" t="s">
        <v>3365</v>
      </c>
      <c r="B1185" s="2" t="s">
        <v>3366</v>
      </c>
      <c r="C1185" s="2" t="s">
        <v>17</v>
      </c>
      <c r="D1185" s="2" t="s">
        <v>27</v>
      </c>
      <c r="E1185" s="4">
        <v>-31889</v>
      </c>
      <c r="F1185" s="3" t="s">
        <v>699</v>
      </c>
      <c r="G1185" s="3" t="s">
        <v>20</v>
      </c>
      <c r="H1185" s="2" t="s">
        <v>21</v>
      </c>
      <c r="I1185" s="2" t="s">
        <v>3367</v>
      </c>
      <c r="J1185" s="3" t="str">
        <f>HYPERLINK("https://www.boe.es/gazeta/dias/1812/09/08/pdfs/GMR-1812-11.pdf#page=8","Abrir facsímil")</f>
        <v>Abrir facsímil</v>
      </c>
      <c r="K1185" s="3" t="s">
        <v>23</v>
      </c>
    </row>
    <row r="1186" spans="1:11" ht="42" customHeight="1">
      <c r="A1186" s="2" t="s">
        <v>3368</v>
      </c>
      <c r="B1186" s="2" t="s">
        <v>3369</v>
      </c>
      <c r="C1186" s="2" t="s">
        <v>17</v>
      </c>
      <c r="D1186" s="2" t="s">
        <v>275</v>
      </c>
      <c r="E1186" s="4">
        <v>-31901</v>
      </c>
      <c r="F1186" s="3" t="s">
        <v>590</v>
      </c>
      <c r="G1186" s="3" t="s">
        <v>674</v>
      </c>
      <c r="H1186" s="2" t="s">
        <v>21</v>
      </c>
      <c r="I1186" s="2" t="s">
        <v>3370</v>
      </c>
      <c r="J1186" s="3" t="str">
        <f>HYPERLINK("https://www.boe.es/gazeta/dias/1812/08/27/pdfs/GMR-1812-6.pdf#page=6","Abrir facsímil")</f>
        <v>Abrir facsímil</v>
      </c>
      <c r="K1186" s="3" t="s">
        <v>23</v>
      </c>
    </row>
    <row r="1187" spans="1:11" ht="42" customHeight="1">
      <c r="A1187" s="2" t="s">
        <v>3371</v>
      </c>
      <c r="B1187" s="2" t="s">
        <v>3372</v>
      </c>
      <c r="C1187" s="2" t="s">
        <v>17</v>
      </c>
      <c r="D1187" s="2" t="s">
        <v>18</v>
      </c>
      <c r="E1187" s="4">
        <v>-31994</v>
      </c>
      <c r="F1187" s="3" t="s">
        <v>207</v>
      </c>
      <c r="G1187" s="3" t="s">
        <v>1176</v>
      </c>
      <c r="H1187" s="2" t="s">
        <v>21</v>
      </c>
      <c r="I1187" s="2" t="s">
        <v>3373</v>
      </c>
      <c r="J1187" s="3" t="str">
        <f>HYPERLINK("https://www.boe.es/gazeta/dias/1812/05/26/pdfs/GRE-1812-65.pdf#page=8","Abrir facsímil")</f>
        <v>Abrir facsímil</v>
      </c>
      <c r="K1187" s="3" t="s">
        <v>23</v>
      </c>
    </row>
    <row r="1188" spans="1:11" ht="42" customHeight="1">
      <c r="A1188" s="2" t="s">
        <v>3374</v>
      </c>
      <c r="B1188" s="2" t="s">
        <v>3375</v>
      </c>
      <c r="C1188" s="2" t="s">
        <v>26</v>
      </c>
      <c r="D1188" s="2" t="s">
        <v>27</v>
      </c>
      <c r="E1188" s="4">
        <v>-32132</v>
      </c>
      <c r="F1188" s="3" t="s">
        <v>484</v>
      </c>
      <c r="G1188" s="3" t="s">
        <v>485</v>
      </c>
      <c r="H1188" s="2" t="s">
        <v>21</v>
      </c>
      <c r="I1188" s="2" t="s">
        <v>3376</v>
      </c>
      <c r="J1188" s="3" t="str">
        <f>HYPERLINK("https://www.boe.es/gazeta/dias/1812/01/09/pdfs/GEI-1812-4.pdf#page=8","Abrir facsímil")</f>
        <v>Abrir facsímil</v>
      </c>
      <c r="K1188" s="3" t="s">
        <v>23</v>
      </c>
    </row>
    <row r="1189" spans="1:11" ht="42" customHeight="1">
      <c r="A1189" s="2" t="s">
        <v>3377</v>
      </c>
      <c r="B1189" s="2" t="s">
        <v>3378</v>
      </c>
      <c r="C1189" s="2" t="s">
        <v>26</v>
      </c>
      <c r="D1189" s="2" t="s">
        <v>27</v>
      </c>
      <c r="E1189" s="4">
        <v>-32034</v>
      </c>
      <c r="F1189" s="3" t="s">
        <v>1008</v>
      </c>
      <c r="G1189" s="3" t="s">
        <v>1009</v>
      </c>
      <c r="H1189" s="2" t="s">
        <v>21</v>
      </c>
      <c r="I1189" s="2" t="s">
        <v>3379</v>
      </c>
      <c r="J1189" s="3" t="str">
        <f>HYPERLINK("https://www.boe.es/gazeta/dias/1812/04/16/pdfs/GRE-1812-48.pdf#page=8","Abrir facsímil")</f>
        <v>Abrir facsímil</v>
      </c>
      <c r="K1189" s="3" t="s">
        <v>23</v>
      </c>
    </row>
    <row r="1190" spans="1:11" ht="42" customHeight="1">
      <c r="A1190" s="2" t="s">
        <v>3380</v>
      </c>
      <c r="B1190" s="2" t="s">
        <v>3381</v>
      </c>
      <c r="C1190" s="2" t="s">
        <v>26</v>
      </c>
      <c r="D1190" s="2" t="s">
        <v>27</v>
      </c>
      <c r="E1190" s="4">
        <v>-32034</v>
      </c>
      <c r="F1190" s="3" t="s">
        <v>28</v>
      </c>
      <c r="G1190" s="3" t="s">
        <v>45</v>
      </c>
      <c r="H1190" s="2" t="s">
        <v>21</v>
      </c>
      <c r="I1190" s="2" t="s">
        <v>3382</v>
      </c>
      <c r="J1190" s="3" t="str">
        <f>HYPERLINK("https://www.boe.es/gazeta/dias/1812/04/16/pdfs/GMD-1812-107.pdf#page=5","Abrir facsímil")</f>
        <v>Abrir facsímil</v>
      </c>
      <c r="K1190" s="3" t="s">
        <v>23</v>
      </c>
    </row>
    <row r="1191" spans="1:11" ht="42" customHeight="1">
      <c r="A1191" s="2" t="s">
        <v>3383</v>
      </c>
      <c r="B1191" s="2" t="s">
        <v>3384</v>
      </c>
      <c r="C1191" s="2" t="s">
        <v>26</v>
      </c>
      <c r="D1191" s="2" t="s">
        <v>27</v>
      </c>
      <c r="E1191" s="4">
        <v>-31962</v>
      </c>
      <c r="F1191" s="3" t="s">
        <v>153</v>
      </c>
      <c r="G1191" s="3" t="s">
        <v>154</v>
      </c>
      <c r="H1191" s="2" t="s">
        <v>21</v>
      </c>
      <c r="I1191" s="2" t="s">
        <v>3385</v>
      </c>
      <c r="J1191" s="3" t="str">
        <f>HYPERLINK("https://www.boe.es/gazeta/dias/1812/06/27/pdfs/GRE-1812-79.pdf#page=8","Abrir facsímil")</f>
        <v>Abrir facsímil</v>
      </c>
      <c r="K1191" s="3" t="s">
        <v>23</v>
      </c>
    </row>
    <row r="1192" spans="1:11" ht="42" customHeight="1">
      <c r="A1192" s="2" t="s">
        <v>3386</v>
      </c>
      <c r="B1192" s="2" t="s">
        <v>3387</v>
      </c>
      <c r="C1192" s="2" t="s">
        <v>186</v>
      </c>
      <c r="D1192" s="2" t="s">
        <v>27</v>
      </c>
      <c r="E1192" s="4">
        <v>-32127</v>
      </c>
      <c r="F1192" s="3" t="s">
        <v>88</v>
      </c>
      <c r="G1192" s="3" t="s">
        <v>89</v>
      </c>
      <c r="H1192" s="2" t="s">
        <v>21</v>
      </c>
      <c r="I1192" s="2" t="s">
        <v>3388</v>
      </c>
      <c r="J1192" s="3" t="str">
        <f>HYPERLINK("https://www.boe.es/gazeta/dias/1812/01/14/pdfs/GEI-1812-6.pdf#page=8","Abrir facsímil")</f>
        <v>Abrir facsímil</v>
      </c>
      <c r="K1192" s="3" t="s">
        <v>23</v>
      </c>
    </row>
    <row r="1193" spans="1:11" ht="42" customHeight="1">
      <c r="A1193" s="2" t="s">
        <v>3386</v>
      </c>
      <c r="B1193" s="2" t="s">
        <v>3387</v>
      </c>
      <c r="C1193" s="2" t="s">
        <v>17</v>
      </c>
      <c r="D1193" s="2" t="s">
        <v>27</v>
      </c>
      <c r="E1193" s="4">
        <v>-32090</v>
      </c>
      <c r="F1193" s="3" t="s">
        <v>142</v>
      </c>
      <c r="G1193" s="3" t="s">
        <v>29</v>
      </c>
      <c r="H1193" s="2" t="s">
        <v>21</v>
      </c>
      <c r="I1193" s="2" t="s">
        <v>3389</v>
      </c>
      <c r="J1193" s="3" t="str">
        <f>HYPERLINK("https://www.boe.es/gazeta/dias/1812/02/20/pdfs/GRE-1812-22.pdf#page=8","Abrir facsímil")</f>
        <v>Abrir facsímil</v>
      </c>
      <c r="K1193" s="3" t="s">
        <v>23</v>
      </c>
    </row>
    <row r="1194" spans="1:11" ht="42" customHeight="1">
      <c r="A1194" s="2" t="s">
        <v>3390</v>
      </c>
      <c r="B1194" s="2" t="s">
        <v>3391</v>
      </c>
      <c r="C1194" s="2" t="s">
        <v>186</v>
      </c>
      <c r="D1194" s="2" t="s">
        <v>27</v>
      </c>
      <c r="E1194" s="4">
        <v>-32127</v>
      </c>
      <c r="F1194" s="3" t="s">
        <v>88</v>
      </c>
      <c r="G1194" s="3" t="s">
        <v>89</v>
      </c>
      <c r="H1194" s="2" t="s">
        <v>21</v>
      </c>
      <c r="I1194" s="2" t="s">
        <v>3392</v>
      </c>
      <c r="J1194" s="3" t="str">
        <f>HYPERLINK("https://www.boe.es/gazeta/dias/1812/01/14/pdfs/GEI-1812-6.pdf#page=8","Abrir facsímil")</f>
        <v>Abrir facsímil</v>
      </c>
      <c r="K1194" s="3" t="s">
        <v>23</v>
      </c>
    </row>
    <row r="1195" spans="1:11" ht="42" customHeight="1">
      <c r="A1195" s="2" t="s">
        <v>3393</v>
      </c>
      <c r="B1195" s="2" t="s">
        <v>3394</v>
      </c>
      <c r="C1195" s="2" t="s">
        <v>17</v>
      </c>
      <c r="D1195" s="2" t="s">
        <v>18</v>
      </c>
      <c r="E1195" s="4">
        <v>-31816</v>
      </c>
      <c r="F1195" s="3" t="s">
        <v>270</v>
      </c>
      <c r="G1195" s="3" t="s">
        <v>271</v>
      </c>
      <c r="H1195" s="2" t="s">
        <v>21</v>
      </c>
      <c r="I1195" s="2" t="s">
        <v>3395</v>
      </c>
      <c r="J1195" s="3" t="str">
        <f>HYPERLINK("https://www.boe.es/gazeta/dias/1812/11/20/pdfs/GMR-1812-36.pdf#page=6","Abrir facsímil")</f>
        <v>Abrir facsímil</v>
      </c>
      <c r="K1195" s="3" t="s">
        <v>23</v>
      </c>
    </row>
    <row r="1196" spans="1:11" ht="42" customHeight="1">
      <c r="A1196" s="2" t="s">
        <v>3396</v>
      </c>
      <c r="B1196" s="2" t="s">
        <v>3397</v>
      </c>
      <c r="C1196" s="2" t="s">
        <v>17</v>
      </c>
      <c r="D1196" s="2" t="s">
        <v>18</v>
      </c>
      <c r="E1196" s="4">
        <v>-31833</v>
      </c>
      <c r="F1196" s="3" t="s">
        <v>267</v>
      </c>
      <c r="G1196" s="3" t="s">
        <v>268</v>
      </c>
      <c r="H1196" s="2" t="s">
        <v>21</v>
      </c>
      <c r="I1196" s="2" t="s">
        <v>3398</v>
      </c>
      <c r="J1196" s="3" t="str">
        <f>HYPERLINK("https://www.boe.es/gazeta/dias/1812/11/03/pdfs/GRE-1812-147.pdf#page=8","Abrir facsímil")</f>
        <v>Abrir facsímil</v>
      </c>
      <c r="K1196" s="3" t="s">
        <v>23</v>
      </c>
    </row>
    <row r="1197" spans="1:11" ht="42" customHeight="1">
      <c r="A1197" s="2" t="s">
        <v>3399</v>
      </c>
      <c r="B1197" s="2" t="s">
        <v>3400</v>
      </c>
      <c r="C1197" s="2" t="s">
        <v>26</v>
      </c>
      <c r="D1197" s="2" t="s">
        <v>27</v>
      </c>
      <c r="E1197" s="4">
        <v>-32137</v>
      </c>
      <c r="F1197" s="3" t="s">
        <v>355</v>
      </c>
      <c r="G1197" s="3" t="s">
        <v>117</v>
      </c>
      <c r="H1197" s="2" t="s">
        <v>21</v>
      </c>
      <c r="I1197" s="2" t="s">
        <v>3401</v>
      </c>
      <c r="J1197" s="3" t="str">
        <f>HYPERLINK("https://www.boe.es/gazeta/dias/1812/01/04/pdfs/GEI-1812-2.pdf#page=8","Abrir facsímil")</f>
        <v>Abrir facsímil</v>
      </c>
      <c r="K1197" s="3" t="s">
        <v>23</v>
      </c>
    </row>
    <row r="1198" spans="1:11" ht="42" customHeight="1">
      <c r="A1198" s="2" t="s">
        <v>3402</v>
      </c>
      <c r="B1198" s="2" t="s">
        <v>3402</v>
      </c>
      <c r="C1198" s="2" t="s">
        <v>26</v>
      </c>
      <c r="D1198" s="2" t="s">
        <v>27</v>
      </c>
      <c r="E1198" s="4">
        <v>-31801</v>
      </c>
      <c r="F1198" s="3" t="s">
        <v>1914</v>
      </c>
      <c r="G1198" s="3" t="s">
        <v>196</v>
      </c>
      <c r="H1198" s="2" t="s">
        <v>21</v>
      </c>
      <c r="I1198" s="2" t="s">
        <v>3403</v>
      </c>
      <c r="J1198" s="3" t="str">
        <f>HYPERLINK("https://www.boe.es/gazeta/dias/1812/12/05/pdfs/GRE-1812-161.pdf#page=1","Abrir facsímil")</f>
        <v>Abrir facsímil</v>
      </c>
      <c r="K1198" s="3" t="s">
        <v>23</v>
      </c>
    </row>
    <row r="1199" spans="1:11" ht="42" customHeight="1">
      <c r="A1199" s="2" t="s">
        <v>3404</v>
      </c>
      <c r="B1199" s="2" t="s">
        <v>3405</v>
      </c>
      <c r="C1199" s="2" t="s">
        <v>26</v>
      </c>
      <c r="D1199" s="2" t="s">
        <v>27</v>
      </c>
      <c r="E1199" s="4">
        <v>-31964</v>
      </c>
      <c r="F1199" s="3" t="s">
        <v>93</v>
      </c>
      <c r="G1199" s="3" t="s">
        <v>1722</v>
      </c>
      <c r="H1199" s="2" t="s">
        <v>21</v>
      </c>
      <c r="I1199" s="2" t="s">
        <v>3406</v>
      </c>
      <c r="J1199" s="3" t="str">
        <f>HYPERLINK("https://www.boe.es/gazeta/dias/1812/06/25/pdfs/GRE-1812-78.pdf#page=8","Abrir facsímil")</f>
        <v>Abrir facsímil</v>
      </c>
      <c r="K1199" s="3" t="s">
        <v>23</v>
      </c>
    </row>
    <row r="1200" spans="1:11" ht="42" customHeight="1">
      <c r="A1200" s="2" t="s">
        <v>3407</v>
      </c>
      <c r="B1200" s="2" t="s">
        <v>3407</v>
      </c>
      <c r="C1200" s="2" t="s">
        <v>17</v>
      </c>
      <c r="D1200" s="2" t="s">
        <v>27</v>
      </c>
      <c r="E1200" s="4">
        <v>-32085</v>
      </c>
      <c r="F1200" s="3" t="s">
        <v>3321</v>
      </c>
      <c r="G1200" s="3" t="s">
        <v>172</v>
      </c>
      <c r="H1200" s="2" t="s">
        <v>21</v>
      </c>
      <c r="I1200" s="2" t="s">
        <v>3408</v>
      </c>
      <c r="J1200" s="3" t="str">
        <f>HYPERLINK("https://www.boe.es/gazeta/dias/1812/02/25/pdfs/GRE-1812-25.pdf#page=2","Abrir facsímil")</f>
        <v>Abrir facsímil</v>
      </c>
      <c r="K1200" s="3" t="s">
        <v>23</v>
      </c>
    </row>
    <row r="1201" spans="1:11" ht="42" customHeight="1">
      <c r="A1201" s="2" t="s">
        <v>3407</v>
      </c>
      <c r="B1201" s="2" t="s">
        <v>3407</v>
      </c>
      <c r="C1201" s="2" t="s">
        <v>17</v>
      </c>
      <c r="D1201" s="2" t="s">
        <v>27</v>
      </c>
      <c r="E1201" s="4">
        <v>-32085</v>
      </c>
      <c r="F1201" s="3" t="s">
        <v>3321</v>
      </c>
      <c r="G1201" s="3" t="s">
        <v>3409</v>
      </c>
      <c r="H1201" s="2" t="s">
        <v>21</v>
      </c>
      <c r="I1201" s="2" t="s">
        <v>3410</v>
      </c>
      <c r="J1201" s="3" t="str">
        <f>HYPERLINK("https://www.boe.es/gazeta/dias/1812/02/25/pdfs/GRE-1812-25.pdf#page=3","Abrir facsímil")</f>
        <v>Abrir facsímil</v>
      </c>
      <c r="K1201" s="3" t="s">
        <v>23</v>
      </c>
    </row>
    <row r="1202" spans="1:11" ht="42" customHeight="1">
      <c r="A1202" s="2" t="s">
        <v>3411</v>
      </c>
      <c r="B1202" s="2" t="s">
        <v>3412</v>
      </c>
      <c r="C1202" s="2" t="s">
        <v>49</v>
      </c>
      <c r="D1202" s="2" t="s">
        <v>27</v>
      </c>
      <c r="E1202" s="4">
        <v>-31859</v>
      </c>
      <c r="F1202" s="3" t="s">
        <v>158</v>
      </c>
      <c r="G1202" s="3" t="s">
        <v>1497</v>
      </c>
      <c r="H1202" s="2" t="s">
        <v>21</v>
      </c>
      <c r="I1202" s="2" t="s">
        <v>3413</v>
      </c>
      <c r="J1202" s="3" t="str">
        <f>HYPERLINK("https://www.boe.es/gazeta/dias/1812/10/08/pdfs/GMR-1812-24.pdf#page=7","Abrir facsímil")</f>
        <v>Abrir facsímil</v>
      </c>
      <c r="K1202" s="3" t="s">
        <v>23</v>
      </c>
    </row>
    <row r="1203" spans="1:11" ht="42" customHeight="1">
      <c r="A1203" s="2" t="s">
        <v>3414</v>
      </c>
      <c r="B1203" s="2" t="s">
        <v>3415</v>
      </c>
      <c r="C1203" s="2" t="s">
        <v>26</v>
      </c>
      <c r="D1203" s="2" t="s">
        <v>27</v>
      </c>
      <c r="E1203" s="4">
        <v>-31938</v>
      </c>
      <c r="F1203" s="3" t="s">
        <v>324</v>
      </c>
      <c r="G1203" s="3" t="s">
        <v>404</v>
      </c>
      <c r="H1203" s="2" t="s">
        <v>21</v>
      </c>
      <c r="I1203" s="2" t="s">
        <v>3416</v>
      </c>
      <c r="J1203" s="3" t="str">
        <f>HYPERLINK("https://www.boe.es/gazeta/dias/1812/07/21/pdfs/GMD-1812-203.pdf#page=4","Abrir facsímil")</f>
        <v>Abrir facsímil</v>
      </c>
      <c r="K1203" s="3" t="s">
        <v>23</v>
      </c>
    </row>
    <row r="1204" spans="1:11" ht="42" customHeight="1">
      <c r="A1204" s="2" t="s">
        <v>3417</v>
      </c>
      <c r="B1204" s="2" t="s">
        <v>3418</v>
      </c>
      <c r="C1204" s="2" t="s">
        <v>67</v>
      </c>
      <c r="D1204" s="2" t="s">
        <v>27</v>
      </c>
      <c r="E1204" s="4">
        <v>-32066</v>
      </c>
      <c r="F1204" s="3" t="s">
        <v>291</v>
      </c>
      <c r="G1204" s="3" t="s">
        <v>125</v>
      </c>
      <c r="H1204" s="2" t="s">
        <v>21</v>
      </c>
      <c r="I1204" s="2" t="s">
        <v>3419</v>
      </c>
      <c r="J1204" s="3" t="str">
        <f>HYPERLINK("https://www.boe.es/gazeta/dias/1812/03/15/pdfs/GMD-1812-75.pdf#page=4","Abrir facsímil")</f>
        <v>Abrir facsímil</v>
      </c>
      <c r="K1204" s="3" t="s">
        <v>23</v>
      </c>
    </row>
    <row r="1205" spans="1:11" ht="42" customHeight="1">
      <c r="A1205" s="2" t="s">
        <v>3420</v>
      </c>
      <c r="B1205" s="2" t="s">
        <v>3421</v>
      </c>
      <c r="C1205" s="2" t="s">
        <v>17</v>
      </c>
      <c r="D1205" s="2" t="s">
        <v>18</v>
      </c>
      <c r="E1205" s="4">
        <v>-31974</v>
      </c>
      <c r="F1205" s="3" t="s">
        <v>2986</v>
      </c>
      <c r="G1205" s="3" t="s">
        <v>130</v>
      </c>
      <c r="H1205" s="2" t="s">
        <v>21</v>
      </c>
      <c r="I1205" s="2" t="s">
        <v>3422</v>
      </c>
      <c r="J1205" s="3" t="str">
        <f>HYPERLINK("https://www.boe.es/gazeta/dias/1812/06/15/pdfs/GMD-1812-167.pdf#page=4","Abrir facsímil")</f>
        <v>Abrir facsímil</v>
      </c>
      <c r="K1205" s="3" t="s">
        <v>23</v>
      </c>
    </row>
    <row r="1206" spans="1:11" ht="42" customHeight="1">
      <c r="A1206" s="2" t="s">
        <v>3423</v>
      </c>
      <c r="B1206" s="2" t="s">
        <v>3424</v>
      </c>
      <c r="C1206" s="2" t="s">
        <v>26</v>
      </c>
      <c r="D1206" s="2" t="s">
        <v>27</v>
      </c>
      <c r="E1206" s="4">
        <v>-32001</v>
      </c>
      <c r="F1206" s="3" t="s">
        <v>1938</v>
      </c>
      <c r="G1206" s="3" t="s">
        <v>1939</v>
      </c>
      <c r="H1206" s="2" t="s">
        <v>21</v>
      </c>
      <c r="I1206" s="2" t="s">
        <v>3425</v>
      </c>
      <c r="J1206" s="3" t="str">
        <f>HYPERLINK("https://www.boe.es/gazeta/dias/1812/05/19/pdfs/GRE-1812-62.pdf#page=7","Abrir facsímil")</f>
        <v>Abrir facsímil</v>
      </c>
      <c r="K1206" s="3" t="s">
        <v>23</v>
      </c>
    </row>
    <row r="1207" spans="1:11" ht="42" customHeight="1">
      <c r="A1207" s="2" t="s">
        <v>3426</v>
      </c>
      <c r="B1207" s="2" t="s">
        <v>3427</v>
      </c>
      <c r="C1207" s="2" t="s">
        <v>17</v>
      </c>
      <c r="D1207" s="2" t="s">
        <v>18</v>
      </c>
      <c r="E1207" s="4">
        <v>-32030</v>
      </c>
      <c r="F1207" s="3" t="s">
        <v>2226</v>
      </c>
      <c r="G1207" s="3" t="s">
        <v>20</v>
      </c>
      <c r="H1207" s="2" t="s">
        <v>21</v>
      </c>
      <c r="I1207" s="2" t="s">
        <v>3428</v>
      </c>
      <c r="J1207" s="3" t="str">
        <f>HYPERLINK("https://www.boe.es/gazeta/dias/1812/04/20/pdfs/GMD-1812-111.pdf#page=4","Abrir facsímil")</f>
        <v>Abrir facsímil</v>
      </c>
      <c r="K1207" s="3" t="s">
        <v>23</v>
      </c>
    </row>
    <row r="1208" spans="1:11" ht="42" customHeight="1">
      <c r="A1208" s="2" t="s">
        <v>3429</v>
      </c>
      <c r="B1208" s="2" t="s">
        <v>3430</v>
      </c>
      <c r="C1208" s="2" t="s">
        <v>26</v>
      </c>
      <c r="D1208" s="2" t="s">
        <v>27</v>
      </c>
      <c r="E1208" s="4">
        <v>-32019</v>
      </c>
      <c r="F1208" s="3" t="s">
        <v>476</v>
      </c>
      <c r="G1208" s="3" t="s">
        <v>404</v>
      </c>
      <c r="H1208" s="2" t="s">
        <v>21</v>
      </c>
      <c r="I1208" s="2" t="s">
        <v>3431</v>
      </c>
      <c r="J1208" s="3" t="str">
        <f>HYPERLINK("https://www.boe.es/gazeta/dias/1812/05/01/pdfs/GMD-1812-122.pdf#page=3","Abrir facsímil")</f>
        <v>Abrir facsímil</v>
      </c>
      <c r="K1208" s="3" t="s">
        <v>23</v>
      </c>
    </row>
    <row r="1209" spans="1:11" ht="42" customHeight="1">
      <c r="A1209" s="2" t="s">
        <v>3432</v>
      </c>
      <c r="B1209" s="2" t="s">
        <v>3433</v>
      </c>
      <c r="C1209" s="2" t="s">
        <v>26</v>
      </c>
      <c r="D1209" s="2" t="s">
        <v>27</v>
      </c>
      <c r="E1209" s="4">
        <v>-32137</v>
      </c>
      <c r="F1209" s="3" t="s">
        <v>355</v>
      </c>
      <c r="G1209" s="3" t="s">
        <v>117</v>
      </c>
      <c r="H1209" s="2" t="s">
        <v>21</v>
      </c>
      <c r="I1209" s="2" t="s">
        <v>3434</v>
      </c>
      <c r="J1209" s="3" t="str">
        <f>HYPERLINK("https://www.boe.es/gazeta/dias/1812/01/04/pdfs/GEI-1812-2.pdf#page=8","Abrir facsímil")</f>
        <v>Abrir facsímil</v>
      </c>
      <c r="K1209" s="3" t="s">
        <v>23</v>
      </c>
    </row>
    <row r="1210" spans="1:11" ht="42" customHeight="1">
      <c r="A1210" s="2" t="s">
        <v>3432</v>
      </c>
      <c r="B1210" s="2" t="s">
        <v>3433</v>
      </c>
      <c r="C1210" s="2" t="s">
        <v>26</v>
      </c>
      <c r="D1210" s="2" t="s">
        <v>27</v>
      </c>
      <c r="E1210" s="4">
        <v>-31938</v>
      </c>
      <c r="F1210" s="3" t="s">
        <v>324</v>
      </c>
      <c r="G1210" s="3" t="s">
        <v>404</v>
      </c>
      <c r="H1210" s="2" t="s">
        <v>21</v>
      </c>
      <c r="I1210" s="2" t="s">
        <v>3435</v>
      </c>
      <c r="J1210" s="3" t="str">
        <f>HYPERLINK("https://www.boe.es/gazeta/dias/1812/07/21/pdfs/GMD-1812-203.pdf#page=4","Abrir facsímil")</f>
        <v>Abrir facsímil</v>
      </c>
      <c r="K1210" s="3" t="s">
        <v>23</v>
      </c>
    </row>
    <row r="1211" spans="1:11" ht="42" customHeight="1">
      <c r="A1211" s="2" t="s">
        <v>3436</v>
      </c>
      <c r="B1211" s="2" t="s">
        <v>3437</v>
      </c>
      <c r="C1211" s="2" t="s">
        <v>26</v>
      </c>
      <c r="D1211" s="2" t="s">
        <v>134</v>
      </c>
      <c r="E1211" s="4">
        <v>-31983</v>
      </c>
      <c r="F1211" s="3" t="s">
        <v>1437</v>
      </c>
      <c r="G1211" s="3" t="s">
        <v>1438</v>
      </c>
      <c r="H1211" s="2" t="s">
        <v>21</v>
      </c>
      <c r="I1211" s="2" t="s">
        <v>3438</v>
      </c>
      <c r="J1211" s="3" t="str">
        <f>HYPERLINK("https://www.boe.es/gazeta/dias/1812/06/06/pdfs/GRE-F-1812-70.pdf#page=4","Abrir facsímil")</f>
        <v>Abrir facsímil</v>
      </c>
      <c r="K1211" s="3" t="s">
        <v>23</v>
      </c>
    </row>
    <row r="1212" spans="1:11" ht="42" customHeight="1">
      <c r="A1212" s="2" t="s">
        <v>3439</v>
      </c>
      <c r="B1212" s="2" t="s">
        <v>3440</v>
      </c>
      <c r="C1212" s="2" t="s">
        <v>26</v>
      </c>
      <c r="D1212" s="2" t="s">
        <v>27</v>
      </c>
      <c r="E1212" s="4">
        <v>-32055</v>
      </c>
      <c r="F1212" s="3" t="s">
        <v>459</v>
      </c>
      <c r="G1212" s="3" t="s">
        <v>20</v>
      </c>
      <c r="H1212" s="2" t="s">
        <v>21</v>
      </c>
      <c r="I1212" s="2" t="s">
        <v>3441</v>
      </c>
      <c r="J1212" s="3" t="str">
        <f>HYPERLINK("https://www.boe.es/gazeta/dias/1812/03/26/pdfs/GRE-1812-38.pdf#page=8","Abrir facsímil")</f>
        <v>Abrir facsímil</v>
      </c>
      <c r="K1212" s="3" t="s">
        <v>23</v>
      </c>
    </row>
    <row r="1213" spans="1:11" ht="42" customHeight="1">
      <c r="A1213" s="2" t="s">
        <v>3442</v>
      </c>
      <c r="B1213" s="2" t="s">
        <v>3443</v>
      </c>
      <c r="C1213" s="2" t="s">
        <v>26</v>
      </c>
      <c r="D1213" s="2" t="s">
        <v>27</v>
      </c>
      <c r="E1213" s="4">
        <v>-32034</v>
      </c>
      <c r="F1213" s="3" t="s">
        <v>28</v>
      </c>
      <c r="G1213" s="3" t="s">
        <v>45</v>
      </c>
      <c r="H1213" s="2" t="s">
        <v>30</v>
      </c>
      <c r="I1213" s="2" t="s">
        <v>3444</v>
      </c>
      <c r="J1213" s="3" t="str">
        <f>HYPERLINK("https://www.boe.es/gazeta/dias/1812/04/16/pdfs/GMD-1812-107.pdf#page=5","Abrir facsímil")</f>
        <v>Abrir facsímil</v>
      </c>
      <c r="K1213" s="3" t="s">
        <v>32</v>
      </c>
    </row>
    <row r="1214" spans="1:11" ht="42" customHeight="1">
      <c r="A1214" s="2" t="s">
        <v>3445</v>
      </c>
      <c r="B1214" s="2" t="s">
        <v>3445</v>
      </c>
      <c r="C1214" s="2" t="s">
        <v>17</v>
      </c>
      <c r="D1214" s="2" t="s">
        <v>27</v>
      </c>
      <c r="E1214" s="4">
        <v>-32017</v>
      </c>
      <c r="F1214" s="3" t="s">
        <v>3446</v>
      </c>
      <c r="G1214" s="3" t="s">
        <v>20</v>
      </c>
      <c r="H1214" s="2" t="s">
        <v>21</v>
      </c>
      <c r="I1214" s="2" t="s">
        <v>3447</v>
      </c>
      <c r="J1214" s="3" t="str">
        <f>HYPERLINK("https://www.boe.es/gazeta/dias/1812/05/03/pdfs/GMD-1812-124.pdf#page=4","Abrir facsímil")</f>
        <v>Abrir facsímil</v>
      </c>
      <c r="K1214" s="3" t="s">
        <v>23</v>
      </c>
    </row>
    <row r="1215" spans="1:11" ht="42" customHeight="1">
      <c r="A1215" s="2" t="s">
        <v>3448</v>
      </c>
      <c r="B1215" s="2" t="s">
        <v>3449</v>
      </c>
      <c r="C1215" s="2" t="s">
        <v>26</v>
      </c>
      <c r="D1215" s="2" t="s">
        <v>27</v>
      </c>
      <c r="E1215" s="4">
        <v>-31964</v>
      </c>
      <c r="F1215" s="3" t="s">
        <v>305</v>
      </c>
      <c r="G1215" s="3" t="s">
        <v>306</v>
      </c>
      <c r="H1215" s="2" t="s">
        <v>21</v>
      </c>
      <c r="I1215" s="2" t="s">
        <v>3450</v>
      </c>
      <c r="J1215" s="3" t="str">
        <f>HYPERLINK("https://www.boe.es/gazeta/dias/1812/06/25/pdfs/GMD-1812-177.pdf#page=3","Abrir facsímil")</f>
        <v>Abrir facsímil</v>
      </c>
      <c r="K1215" s="3" t="s">
        <v>23</v>
      </c>
    </row>
    <row r="1216" spans="1:11" ht="42" customHeight="1">
      <c r="A1216" s="2" t="s">
        <v>3451</v>
      </c>
      <c r="B1216" s="2" t="s">
        <v>3452</v>
      </c>
      <c r="C1216" s="2" t="s">
        <v>26</v>
      </c>
      <c r="D1216" s="2" t="s">
        <v>27</v>
      </c>
      <c r="E1216" s="4">
        <v>-31969</v>
      </c>
      <c r="F1216" s="3" t="s">
        <v>83</v>
      </c>
      <c r="G1216" s="3" t="s">
        <v>84</v>
      </c>
      <c r="H1216" s="2" t="s">
        <v>21</v>
      </c>
      <c r="I1216" s="2" t="s">
        <v>3453</v>
      </c>
      <c r="J1216" s="3" t="str">
        <f>HYPERLINK("https://www.boe.es/gazeta/dias/1812/06/20/pdfs/GRE-1812-76.pdf#page=8","Abrir facsímil")</f>
        <v>Abrir facsímil</v>
      </c>
      <c r="K1216" s="3" t="s">
        <v>23</v>
      </c>
    </row>
    <row r="1217" spans="1:11" ht="42" customHeight="1">
      <c r="A1217" s="2" t="s">
        <v>3454</v>
      </c>
      <c r="B1217" s="2" t="s">
        <v>3455</v>
      </c>
      <c r="C1217" s="2" t="s">
        <v>26</v>
      </c>
      <c r="D1217" s="2" t="s">
        <v>27</v>
      </c>
      <c r="E1217" s="4">
        <v>-32125</v>
      </c>
      <c r="F1217" s="3" t="s">
        <v>964</v>
      </c>
      <c r="G1217" s="3" t="s">
        <v>1650</v>
      </c>
      <c r="H1217" s="2" t="s">
        <v>21</v>
      </c>
      <c r="I1217" s="2" t="s">
        <v>3456</v>
      </c>
      <c r="J1217" s="3" t="str">
        <f>HYPERLINK("https://www.boe.es/gazeta/dias/1812/01/16/pdfs/GEI-H-1812-7.pdf#page=3","Abrir facsímil")</f>
        <v>Abrir facsímil</v>
      </c>
      <c r="K1217" s="3" t="s">
        <v>23</v>
      </c>
    </row>
    <row r="1218" spans="1:11" ht="42" customHeight="1">
      <c r="A1218" s="2" t="s">
        <v>3457</v>
      </c>
      <c r="B1218" s="2" t="s">
        <v>3458</v>
      </c>
      <c r="C1218" s="2" t="s">
        <v>26</v>
      </c>
      <c r="D1218" s="2" t="s">
        <v>27</v>
      </c>
      <c r="E1218" s="4">
        <v>-31940</v>
      </c>
      <c r="F1218" s="3" t="s">
        <v>187</v>
      </c>
      <c r="G1218" s="3" t="s">
        <v>404</v>
      </c>
      <c r="H1218" s="2" t="s">
        <v>21</v>
      </c>
      <c r="I1218" s="2" t="s">
        <v>3459</v>
      </c>
      <c r="J1218" s="3" t="str">
        <f>HYPERLINK("https://www.boe.es/gazeta/dias/1812/07/19/pdfs/GMD-1812-201.pdf#page=3","Abrir facsímil")</f>
        <v>Abrir facsímil</v>
      </c>
      <c r="K1218" s="3" t="s">
        <v>23</v>
      </c>
    </row>
    <row r="1219" spans="1:11" ht="42" customHeight="1">
      <c r="A1219" s="2" t="s">
        <v>3460</v>
      </c>
      <c r="B1219" s="2" t="s">
        <v>3460</v>
      </c>
      <c r="C1219" s="2" t="s">
        <v>17</v>
      </c>
      <c r="D1219" s="2" t="s">
        <v>27</v>
      </c>
      <c r="E1219" s="4">
        <v>-31969</v>
      </c>
      <c r="F1219" s="3" t="s">
        <v>83</v>
      </c>
      <c r="G1219" s="3" t="s">
        <v>97</v>
      </c>
      <c r="H1219" s="2" t="s">
        <v>21</v>
      </c>
      <c r="I1219" s="2" t="s">
        <v>3461</v>
      </c>
      <c r="J1219" s="3" t="str">
        <f>HYPERLINK("https://www.boe.es/gazeta/dias/1812/06/20/pdfs/GRE-1812-76.pdf#page=5","Abrir facsímil")</f>
        <v>Abrir facsímil</v>
      </c>
      <c r="K1219" s="3" t="s">
        <v>23</v>
      </c>
    </row>
    <row r="1220" spans="1:11" ht="42" customHeight="1">
      <c r="A1220" s="2" t="s">
        <v>3462</v>
      </c>
      <c r="B1220" s="2" t="s">
        <v>3463</v>
      </c>
      <c r="C1220" s="2" t="s">
        <v>26</v>
      </c>
      <c r="D1220" s="2" t="s">
        <v>27</v>
      </c>
      <c r="E1220" s="4">
        <v>-32137</v>
      </c>
      <c r="F1220" s="3" t="s">
        <v>355</v>
      </c>
      <c r="G1220" s="3" t="s">
        <v>117</v>
      </c>
      <c r="H1220" s="2" t="s">
        <v>21</v>
      </c>
      <c r="I1220" s="2" t="s">
        <v>3464</v>
      </c>
      <c r="J1220" s="3" t="str">
        <f>HYPERLINK("https://www.boe.es/gazeta/dias/1812/01/04/pdfs/GEI-1812-2.pdf#page=8","Abrir facsímil")</f>
        <v>Abrir facsímil</v>
      </c>
      <c r="K1220" s="3" t="s">
        <v>23</v>
      </c>
    </row>
    <row r="1221" spans="1:11" ht="42" customHeight="1">
      <c r="A1221" s="2" t="s">
        <v>3465</v>
      </c>
      <c r="B1221" s="2" t="s">
        <v>3466</v>
      </c>
      <c r="C1221" s="2" t="s">
        <v>17</v>
      </c>
      <c r="D1221" s="2" t="s">
        <v>18</v>
      </c>
      <c r="E1221" s="4">
        <v>-32095</v>
      </c>
      <c r="F1221" s="3" t="s">
        <v>284</v>
      </c>
      <c r="G1221" s="3" t="s">
        <v>29</v>
      </c>
      <c r="H1221" s="2" t="s">
        <v>21</v>
      </c>
      <c r="I1221" s="2" t="s">
        <v>3467</v>
      </c>
      <c r="J1221" s="3" t="str">
        <f>HYPERLINK("https://www.boe.es/gazeta/dias/1812/02/15/pdfs/GRE-1812-20.pdf#page=8","Abrir facsímil")</f>
        <v>Abrir facsímil</v>
      </c>
      <c r="K1221" s="3" t="s">
        <v>23</v>
      </c>
    </row>
    <row r="1222" spans="1:11" ht="42" customHeight="1">
      <c r="A1222" s="2" t="s">
        <v>3468</v>
      </c>
      <c r="B1222" s="2" t="s">
        <v>3469</v>
      </c>
      <c r="C1222" s="2" t="s">
        <v>17</v>
      </c>
      <c r="D1222" s="2" t="s">
        <v>27</v>
      </c>
      <c r="E1222" s="4">
        <v>-31798</v>
      </c>
      <c r="F1222" s="3" t="s">
        <v>1849</v>
      </c>
      <c r="G1222" s="3" t="s">
        <v>2280</v>
      </c>
      <c r="H1222" s="2" t="s">
        <v>21</v>
      </c>
      <c r="I1222" s="2" t="s">
        <v>3470</v>
      </c>
      <c r="J1222" s="3" t="str">
        <f>HYPERLINK("https://www.boe.es/gazeta/dias/1812/12/08/pdfs/GMD-1812-231.pdf#page=4","Abrir facsímil")</f>
        <v>Abrir facsímil</v>
      </c>
      <c r="K1222" s="3" t="s">
        <v>23</v>
      </c>
    </row>
    <row r="1223" spans="1:11" ht="42" customHeight="1">
      <c r="A1223" s="2" t="s">
        <v>3471</v>
      </c>
      <c r="B1223" s="2" t="s">
        <v>3472</v>
      </c>
      <c r="C1223" s="2" t="s">
        <v>26</v>
      </c>
      <c r="D1223" s="2" t="s">
        <v>27</v>
      </c>
      <c r="E1223" s="4">
        <v>-31969</v>
      </c>
      <c r="F1223" s="3" t="s">
        <v>83</v>
      </c>
      <c r="G1223" s="3" t="s">
        <v>84</v>
      </c>
      <c r="H1223" s="2" t="s">
        <v>21</v>
      </c>
      <c r="I1223" s="2" t="s">
        <v>3473</v>
      </c>
      <c r="J1223" s="3" t="str">
        <f>HYPERLINK("https://www.boe.es/gazeta/dias/1812/06/20/pdfs/GRE-1812-76.pdf#page=8","Abrir facsímil")</f>
        <v>Abrir facsímil</v>
      </c>
      <c r="K1223" s="3" t="s">
        <v>23</v>
      </c>
    </row>
    <row r="1224" spans="1:11" ht="42" customHeight="1">
      <c r="A1224" s="2" t="s">
        <v>3474</v>
      </c>
      <c r="B1224" s="2" t="s">
        <v>3474</v>
      </c>
      <c r="C1224" s="2" t="s">
        <v>17</v>
      </c>
      <c r="D1224" s="2" t="s">
        <v>18</v>
      </c>
      <c r="E1224" s="4">
        <v>-32109</v>
      </c>
      <c r="F1224" s="3" t="s">
        <v>62</v>
      </c>
      <c r="G1224" s="3" t="s">
        <v>317</v>
      </c>
      <c r="H1224" s="2" t="s">
        <v>21</v>
      </c>
      <c r="I1224" s="2" t="s">
        <v>3475</v>
      </c>
      <c r="J1224" s="3" t="str">
        <f>HYPERLINK("https://www.boe.es/gazeta/dias/1812/02/01/pdfs/GRE-1812-14.pdf#page=6","Abrir facsímil")</f>
        <v>Abrir facsímil</v>
      </c>
      <c r="K1224" s="3" t="s">
        <v>23</v>
      </c>
    </row>
    <row r="1225" spans="1:11" ht="42" customHeight="1">
      <c r="A1225" s="2" t="s">
        <v>3476</v>
      </c>
      <c r="B1225" s="2" t="s">
        <v>3476</v>
      </c>
      <c r="C1225" s="2" t="s">
        <v>17</v>
      </c>
      <c r="D1225" s="2" t="s">
        <v>18</v>
      </c>
      <c r="E1225" s="4">
        <v>-32109</v>
      </c>
      <c r="F1225" s="3" t="s">
        <v>62</v>
      </c>
      <c r="G1225" s="3" t="s">
        <v>214</v>
      </c>
      <c r="H1225" s="2" t="s">
        <v>21</v>
      </c>
      <c r="I1225" s="2" t="s">
        <v>3477</v>
      </c>
      <c r="J1225" s="3" t="str">
        <f>HYPERLINK("https://www.boe.es/gazeta/dias/1812/02/01/pdfs/GRE-1812-14.pdf#page=5","Abrir facsímil")</f>
        <v>Abrir facsímil</v>
      </c>
      <c r="K1225" s="3" t="s">
        <v>23</v>
      </c>
    </row>
    <row r="1226" spans="1:11" ht="42" customHeight="1">
      <c r="A1226" s="2" t="s">
        <v>3476</v>
      </c>
      <c r="B1226" s="2" t="s">
        <v>3476</v>
      </c>
      <c r="C1226" s="2" t="s">
        <v>17</v>
      </c>
      <c r="D1226" s="2" t="s">
        <v>18</v>
      </c>
      <c r="E1226" s="4">
        <v>-32109</v>
      </c>
      <c r="F1226" s="3" t="s">
        <v>62</v>
      </c>
      <c r="G1226" s="3" t="s">
        <v>317</v>
      </c>
      <c r="H1226" s="2" t="s">
        <v>21</v>
      </c>
      <c r="I1226" s="2" t="s">
        <v>3478</v>
      </c>
      <c r="J1226" s="3" t="str">
        <f>HYPERLINK("https://www.boe.es/gazeta/dias/1812/02/01/pdfs/GRE-1812-14.pdf#page=6","Abrir facsímil")</f>
        <v>Abrir facsímil</v>
      </c>
      <c r="K1226" s="3" t="s">
        <v>23</v>
      </c>
    </row>
    <row r="1227" spans="1:11" ht="42" customHeight="1">
      <c r="A1227" s="2" t="s">
        <v>3476</v>
      </c>
      <c r="B1227" s="2" t="s">
        <v>3476</v>
      </c>
      <c r="C1227" s="2" t="s">
        <v>17</v>
      </c>
      <c r="D1227" s="2" t="s">
        <v>18</v>
      </c>
      <c r="E1227" s="4">
        <v>-32069</v>
      </c>
      <c r="F1227" s="3" t="s">
        <v>445</v>
      </c>
      <c r="G1227" s="3" t="s">
        <v>2429</v>
      </c>
      <c r="H1227" s="2" t="s">
        <v>21</v>
      </c>
      <c r="I1227" s="2" t="s">
        <v>3479</v>
      </c>
      <c r="J1227" s="3" t="str">
        <f>HYPERLINK("https://www.boe.es/gazeta/dias/1812/03/12/pdfs/GRE-1812-32.pdf#page=1","Abrir facsímil")</f>
        <v>Abrir facsímil</v>
      </c>
      <c r="K1227" s="3" t="s">
        <v>23</v>
      </c>
    </row>
    <row r="1228" spans="1:11" ht="42" customHeight="1">
      <c r="A1228" s="2" t="s">
        <v>3476</v>
      </c>
      <c r="B1228" s="2" t="s">
        <v>3476</v>
      </c>
      <c r="C1228" s="2" t="s">
        <v>17</v>
      </c>
      <c r="D1228" s="2" t="s">
        <v>27</v>
      </c>
      <c r="E1228" s="4">
        <v>-32025</v>
      </c>
      <c r="F1228" s="3" t="s">
        <v>2323</v>
      </c>
      <c r="G1228" s="3" t="s">
        <v>125</v>
      </c>
      <c r="H1228" s="2" t="s">
        <v>21</v>
      </c>
      <c r="I1228" s="2" t="s">
        <v>3480</v>
      </c>
      <c r="J1228" s="3" t="str">
        <f>HYPERLINK("https://www.boe.es/gazeta/dias/1812/04/25/pdfs/GRE-1812-52.pdf#page=7","Abrir facsímil")</f>
        <v>Abrir facsímil</v>
      </c>
      <c r="K1228" s="3" t="s">
        <v>23</v>
      </c>
    </row>
    <row r="1229" spans="1:11" ht="42" customHeight="1">
      <c r="A1229" s="2" t="s">
        <v>3476</v>
      </c>
      <c r="B1229" s="2" t="s">
        <v>3476</v>
      </c>
      <c r="C1229" s="2" t="s">
        <v>17</v>
      </c>
      <c r="D1229" s="2" t="s">
        <v>194</v>
      </c>
      <c r="E1229" s="4">
        <v>-31921</v>
      </c>
      <c r="F1229" s="3" t="s">
        <v>785</v>
      </c>
      <c r="G1229" s="3" t="s">
        <v>1128</v>
      </c>
      <c r="H1229" s="2" t="s">
        <v>21</v>
      </c>
      <c r="I1229" s="2" t="s">
        <v>3481</v>
      </c>
      <c r="J1229" s="3" t="str">
        <f>HYPERLINK("https://www.boe.es/gazeta/dias/1812/08/07/pdfs/GRE-1812-101E.pdf#page=7","Abrir facsímil")</f>
        <v>Abrir facsímil</v>
      </c>
      <c r="K1229" s="3" t="s">
        <v>23</v>
      </c>
    </row>
    <row r="1230" spans="1:11" ht="42" customHeight="1">
      <c r="A1230" s="2" t="s">
        <v>3476</v>
      </c>
      <c r="B1230" s="2" t="s">
        <v>3476</v>
      </c>
      <c r="C1230" s="2" t="s">
        <v>17</v>
      </c>
      <c r="D1230" s="2" t="s">
        <v>18</v>
      </c>
      <c r="E1230" s="4">
        <v>-31905</v>
      </c>
      <c r="F1230" s="3" t="s">
        <v>855</v>
      </c>
      <c r="G1230" s="3" t="s">
        <v>1826</v>
      </c>
      <c r="H1230" s="2" t="s">
        <v>21</v>
      </c>
      <c r="I1230" s="2" t="s">
        <v>3482</v>
      </c>
      <c r="J1230" s="3" t="str">
        <f>HYPERLINK("https://www.boe.es/gazeta/dias/1812/08/23/pdfs/GMR-1812-4.pdf#page=7","Abrir facsímil")</f>
        <v>Abrir facsímil</v>
      </c>
      <c r="K1230" s="3" t="s">
        <v>23</v>
      </c>
    </row>
    <row r="1231" spans="1:11" ht="42" customHeight="1">
      <c r="A1231" s="2" t="s">
        <v>3476</v>
      </c>
      <c r="B1231" s="2" t="s">
        <v>3476</v>
      </c>
      <c r="C1231" s="2" t="s">
        <v>17</v>
      </c>
      <c r="D1231" s="2" t="s">
        <v>27</v>
      </c>
      <c r="E1231" s="4">
        <v>-31808</v>
      </c>
      <c r="F1231" s="3" t="s">
        <v>416</v>
      </c>
      <c r="G1231" s="3" t="s">
        <v>130</v>
      </c>
      <c r="H1231" s="2" t="s">
        <v>21</v>
      </c>
      <c r="I1231" s="2" t="s">
        <v>3483</v>
      </c>
      <c r="J1231" s="3" t="str">
        <f>HYPERLINK("https://www.boe.es/gazeta/dias/1812/11/28/pdfs/GRE-1812-158.pdf#page=4","Abrir facsímil")</f>
        <v>Abrir facsímil</v>
      </c>
      <c r="K1231" s="3" t="s">
        <v>23</v>
      </c>
    </row>
    <row r="1232" spans="1:11" ht="42" customHeight="1">
      <c r="A1232" s="2" t="s">
        <v>3484</v>
      </c>
      <c r="B1232" s="2" t="s">
        <v>3485</v>
      </c>
      <c r="C1232" s="2" t="s">
        <v>17</v>
      </c>
      <c r="D1232" s="2" t="s">
        <v>27</v>
      </c>
      <c r="E1232" s="4">
        <v>-31945</v>
      </c>
      <c r="F1232" s="3" t="s">
        <v>1485</v>
      </c>
      <c r="G1232" s="3" t="s">
        <v>1486</v>
      </c>
      <c r="H1232" s="2" t="s">
        <v>21</v>
      </c>
      <c r="I1232" s="2" t="s">
        <v>3486</v>
      </c>
      <c r="J1232" s="3" t="str">
        <f>HYPERLINK("https://www.boe.es/gazeta/dias/1812/07/14/pdfs/GRE-1812-88.pdf#page=1","Abrir facsímil")</f>
        <v>Abrir facsímil</v>
      </c>
      <c r="K1232" s="3" t="s">
        <v>23</v>
      </c>
    </row>
    <row r="1233" spans="1:11" ht="42" customHeight="1">
      <c r="A1233" s="2" t="s">
        <v>3487</v>
      </c>
      <c r="B1233" s="2" t="s">
        <v>3488</v>
      </c>
      <c r="C1233" s="2" t="s">
        <v>17</v>
      </c>
      <c r="D1233" s="2" t="s">
        <v>27</v>
      </c>
      <c r="E1233" s="4">
        <v>-32134</v>
      </c>
      <c r="F1233" s="3" t="s">
        <v>50</v>
      </c>
      <c r="G1233" s="3" t="s">
        <v>45</v>
      </c>
      <c r="H1233" s="2" t="s">
        <v>21</v>
      </c>
      <c r="I1233" s="2" t="s">
        <v>3489</v>
      </c>
      <c r="J1233" s="3" t="str">
        <f>HYPERLINK("https://www.boe.es/gazeta/dias/1812/01/07/pdfs/GEI-1812-3.pdf#page=4","Abrir facsímil")</f>
        <v>Abrir facsímil</v>
      </c>
      <c r="K1233" s="3" t="s">
        <v>23</v>
      </c>
    </row>
    <row r="1234" spans="1:11" ht="42" customHeight="1">
      <c r="A1234" s="2" t="s">
        <v>3487</v>
      </c>
      <c r="B1234" s="2" t="s">
        <v>3488</v>
      </c>
      <c r="C1234" s="2" t="s">
        <v>26</v>
      </c>
      <c r="D1234" s="2" t="s">
        <v>27</v>
      </c>
      <c r="E1234" s="4">
        <v>-32125</v>
      </c>
      <c r="F1234" s="3" t="s">
        <v>335</v>
      </c>
      <c r="G1234" s="3" t="s">
        <v>336</v>
      </c>
      <c r="H1234" s="2" t="s">
        <v>21</v>
      </c>
      <c r="I1234" s="2" t="s">
        <v>3490</v>
      </c>
      <c r="J1234" s="3" t="str">
        <f>HYPERLINK("https://www.boe.es/gazeta/dias/1812/01/16/pdfs/GEI-1812-7.pdf#page=8","Abrir facsímil")</f>
        <v>Abrir facsímil</v>
      </c>
      <c r="K1234" s="3" t="s">
        <v>23</v>
      </c>
    </row>
    <row r="1235" spans="1:11" ht="42" customHeight="1">
      <c r="A1235" s="2" t="s">
        <v>3491</v>
      </c>
      <c r="B1235" s="2" t="s">
        <v>3492</v>
      </c>
      <c r="C1235" s="2" t="s">
        <v>17</v>
      </c>
      <c r="D1235" s="2" t="s">
        <v>275</v>
      </c>
      <c r="E1235" s="4">
        <v>-31843</v>
      </c>
      <c r="F1235" s="3" t="s">
        <v>3493</v>
      </c>
      <c r="G1235" s="3" t="s">
        <v>3494</v>
      </c>
      <c r="H1235" s="2" t="s">
        <v>21</v>
      </c>
      <c r="I1235" s="2" t="s">
        <v>3495</v>
      </c>
      <c r="J1235" s="3" t="str">
        <f>HYPERLINK("https://www.boe.es/gazeta/dias/1812/10/24/pdfs/GMR-1812-31.pdf#page=8","Abrir facsímil")</f>
        <v>Abrir facsímil</v>
      </c>
      <c r="K1235" s="3" t="s">
        <v>23</v>
      </c>
    </row>
    <row r="1236" spans="1:11" ht="42" customHeight="1">
      <c r="A1236" s="2" t="s">
        <v>3496</v>
      </c>
      <c r="B1236" s="2" t="s">
        <v>3497</v>
      </c>
      <c r="C1236" s="2" t="s">
        <v>49</v>
      </c>
      <c r="D1236" s="2" t="s">
        <v>27</v>
      </c>
      <c r="E1236" s="4">
        <v>-32106</v>
      </c>
      <c r="F1236" s="3" t="s">
        <v>166</v>
      </c>
      <c r="G1236" s="3" t="s">
        <v>125</v>
      </c>
      <c r="H1236" s="2" t="s">
        <v>30</v>
      </c>
      <c r="I1236" s="2" t="s">
        <v>3498</v>
      </c>
      <c r="J1236" s="3" t="str">
        <f>HYPERLINK("https://www.boe.es/gazeta/dias/1812/02/04/pdfs/GRE-1812-15.pdf#page=2","Abrir facsímil")</f>
        <v>Abrir facsímil</v>
      </c>
      <c r="K1236" s="3" t="s">
        <v>32</v>
      </c>
    </row>
    <row r="1237" spans="1:11" ht="42" customHeight="1">
      <c r="A1237" s="2" t="s">
        <v>3499</v>
      </c>
      <c r="B1237" s="2" t="s">
        <v>3500</v>
      </c>
      <c r="C1237" s="2" t="s">
        <v>17</v>
      </c>
      <c r="D1237" s="2" t="s">
        <v>18</v>
      </c>
      <c r="E1237" s="4">
        <v>-32123</v>
      </c>
      <c r="F1237" s="3" t="s">
        <v>3501</v>
      </c>
      <c r="G1237" s="3" t="s">
        <v>2313</v>
      </c>
      <c r="H1237" s="2" t="s">
        <v>21</v>
      </c>
      <c r="I1237" s="2" t="s">
        <v>3502</v>
      </c>
      <c r="J1237" s="3" t="str">
        <f>HYPERLINK("https://www.boe.es/gazeta/dias/1812/01/18/pdfs/GEI-1812-8.pdf#page=5","Abrir facsímil")</f>
        <v>Abrir facsímil</v>
      </c>
      <c r="K1237" s="3" t="s">
        <v>23</v>
      </c>
    </row>
    <row r="1238" spans="1:11" ht="42" customHeight="1">
      <c r="A1238" s="2" t="s">
        <v>3499</v>
      </c>
      <c r="B1238" s="2" t="s">
        <v>3500</v>
      </c>
      <c r="C1238" s="2" t="s">
        <v>17</v>
      </c>
      <c r="D1238" s="2" t="s">
        <v>27</v>
      </c>
      <c r="E1238" s="4">
        <v>-32039</v>
      </c>
      <c r="F1238" s="3" t="s">
        <v>1910</v>
      </c>
      <c r="G1238" s="3" t="s">
        <v>3503</v>
      </c>
      <c r="H1238" s="2" t="s">
        <v>21</v>
      </c>
      <c r="I1238" s="2" t="s">
        <v>3504</v>
      </c>
      <c r="J1238" s="3" t="str">
        <f>HYPERLINK("https://www.boe.es/gazeta/dias/1812/04/11/pdfs/GRE-1812-46.pdf#page=2","Abrir facsímil")</f>
        <v>Abrir facsímil</v>
      </c>
      <c r="K1238" s="3" t="s">
        <v>23</v>
      </c>
    </row>
    <row r="1239" spans="1:11" ht="42" customHeight="1">
      <c r="A1239" s="2" t="s">
        <v>3505</v>
      </c>
      <c r="B1239" s="2" t="s">
        <v>3506</v>
      </c>
      <c r="C1239" s="2" t="s">
        <v>26</v>
      </c>
      <c r="D1239" s="2" t="s">
        <v>27</v>
      </c>
      <c r="E1239" s="4">
        <v>-31965</v>
      </c>
      <c r="F1239" s="3" t="s">
        <v>1180</v>
      </c>
      <c r="G1239" s="3" t="s">
        <v>777</v>
      </c>
      <c r="H1239" s="2" t="s">
        <v>21</v>
      </c>
      <c r="I1239" s="2" t="s">
        <v>3507</v>
      </c>
      <c r="J1239" s="3" t="str">
        <f>HYPERLINK("https://www.boe.es/gazeta/dias/1812/06/24/pdfs/GMD-1812-176.pdf#page=2","Abrir facsímil")</f>
        <v>Abrir facsímil</v>
      </c>
      <c r="K1239" s="3" t="s">
        <v>23</v>
      </c>
    </row>
    <row r="1240" spans="1:11" ht="42" customHeight="1">
      <c r="A1240" s="2" t="s">
        <v>3508</v>
      </c>
      <c r="B1240" s="2" t="s">
        <v>3509</v>
      </c>
      <c r="C1240" s="2" t="s">
        <v>26</v>
      </c>
      <c r="D1240" s="2" t="s">
        <v>27</v>
      </c>
      <c r="E1240" s="4">
        <v>-31940</v>
      </c>
      <c r="F1240" s="3" t="s">
        <v>187</v>
      </c>
      <c r="G1240" s="3" t="s">
        <v>404</v>
      </c>
      <c r="H1240" s="2" t="s">
        <v>21</v>
      </c>
      <c r="I1240" s="2" t="s">
        <v>3510</v>
      </c>
      <c r="J1240" s="3" t="str">
        <f>HYPERLINK("https://www.boe.es/gazeta/dias/1812/07/19/pdfs/GMD-1812-201.pdf#page=3","Abrir facsímil")</f>
        <v>Abrir facsímil</v>
      </c>
      <c r="K1240" s="3" t="s">
        <v>23</v>
      </c>
    </row>
    <row r="1241" spans="1:11" ht="42" customHeight="1">
      <c r="A1241" s="2" t="s">
        <v>3511</v>
      </c>
      <c r="B1241" s="2" t="s">
        <v>3512</v>
      </c>
      <c r="C1241" s="2" t="s">
        <v>17</v>
      </c>
      <c r="D1241" s="2" t="s">
        <v>27</v>
      </c>
      <c r="E1241" s="4">
        <v>-32139</v>
      </c>
      <c r="F1241" s="3" t="s">
        <v>518</v>
      </c>
      <c r="G1241" s="3" t="s">
        <v>125</v>
      </c>
      <c r="H1241" s="2" t="s">
        <v>21</v>
      </c>
      <c r="I1241" s="2" t="s">
        <v>3513</v>
      </c>
      <c r="J1241" s="3" t="str">
        <f>HYPERLINK("https://www.boe.es/gazeta/dias/1812/01/02/pdfs/GEI-1812-1.pdf#page=8","Abrir facsímil")</f>
        <v>Abrir facsímil</v>
      </c>
      <c r="K1241" s="3" t="s">
        <v>23</v>
      </c>
    </row>
    <row r="1242" spans="1:11" ht="42" customHeight="1">
      <c r="A1242" s="2" t="s">
        <v>3514</v>
      </c>
      <c r="B1242" s="2" t="s">
        <v>3515</v>
      </c>
      <c r="C1242" s="2" t="s">
        <v>26</v>
      </c>
      <c r="D1242" s="2" t="s">
        <v>134</v>
      </c>
      <c r="E1242" s="4">
        <v>-31955</v>
      </c>
      <c r="F1242" s="3" t="s">
        <v>135</v>
      </c>
      <c r="G1242" s="3" t="s">
        <v>514</v>
      </c>
      <c r="H1242" s="2" t="s">
        <v>21</v>
      </c>
      <c r="I1242" s="2" t="s">
        <v>3516</v>
      </c>
      <c r="J1242" s="3" t="str">
        <f>HYPERLINK("https://www.boe.es/gazeta/dias/1812/07/04/pdfs/GRE-F-1812-82.pdf#page=7","Abrir facsímil")</f>
        <v>Abrir facsímil</v>
      </c>
      <c r="K1242" s="3" t="s">
        <v>23</v>
      </c>
    </row>
    <row r="1243" spans="1:11" ht="42" customHeight="1">
      <c r="A1243" s="2" t="s">
        <v>3517</v>
      </c>
      <c r="B1243" s="2" t="s">
        <v>3518</v>
      </c>
      <c r="C1243" s="2" t="s">
        <v>17</v>
      </c>
      <c r="D1243" s="2" t="s">
        <v>27</v>
      </c>
      <c r="E1243" s="4">
        <v>-31950</v>
      </c>
      <c r="F1243" s="3" t="s">
        <v>1024</v>
      </c>
      <c r="G1243" s="3" t="s">
        <v>1025</v>
      </c>
      <c r="H1243" s="2" t="s">
        <v>21</v>
      </c>
      <c r="I1243" s="2" t="s">
        <v>3519</v>
      </c>
      <c r="J1243" s="3" t="str">
        <f>HYPERLINK("https://www.boe.es/gazeta/dias/1812/07/09/pdfs/GRE-1812-84.pdf#page=7","Abrir facsímil")</f>
        <v>Abrir facsímil</v>
      </c>
      <c r="K1243" s="3" t="s">
        <v>23</v>
      </c>
    </row>
    <row r="1244" spans="1:11" ht="42" customHeight="1">
      <c r="A1244" s="2" t="s">
        <v>3520</v>
      </c>
      <c r="B1244" s="2" t="s">
        <v>3521</v>
      </c>
      <c r="C1244" s="2" t="s">
        <v>17</v>
      </c>
      <c r="D1244" s="2" t="s">
        <v>27</v>
      </c>
      <c r="E1244" s="4">
        <v>-31938</v>
      </c>
      <c r="F1244" s="3" t="s">
        <v>370</v>
      </c>
      <c r="G1244" s="3" t="s">
        <v>371</v>
      </c>
      <c r="H1244" s="2" t="s">
        <v>21</v>
      </c>
      <c r="I1244" s="2" t="s">
        <v>3522</v>
      </c>
      <c r="J1244" s="3" t="str">
        <f>HYPERLINK("https://www.boe.es/gazeta/dias/1812/07/21/pdfs/GRE-1812-91.pdf#page=8","Abrir facsímil")</f>
        <v>Abrir facsímil</v>
      </c>
      <c r="K1244" s="3" t="s">
        <v>23</v>
      </c>
    </row>
    <row r="1245" spans="1:11" ht="42" customHeight="1">
      <c r="A1245" s="2" t="s">
        <v>3523</v>
      </c>
      <c r="B1245" s="2" t="s">
        <v>3523</v>
      </c>
      <c r="C1245" s="2" t="s">
        <v>17</v>
      </c>
      <c r="D1245" s="2" t="s">
        <v>18</v>
      </c>
      <c r="E1245" s="4">
        <v>-32120</v>
      </c>
      <c r="F1245" s="3" t="s">
        <v>3524</v>
      </c>
      <c r="G1245" s="3" t="s">
        <v>2262</v>
      </c>
      <c r="H1245" s="2" t="s">
        <v>21</v>
      </c>
      <c r="I1245" s="2" t="s">
        <v>3525</v>
      </c>
      <c r="J1245" s="3" t="str">
        <f>HYPERLINK("https://www.boe.es/gazeta/dias/1812/01/21/pdfs/GEI-1812-9.pdf#page=5","Abrir facsímil")</f>
        <v>Abrir facsímil</v>
      </c>
      <c r="K1245" s="3" t="s">
        <v>23</v>
      </c>
    </row>
    <row r="1246" spans="1:11" ht="42" customHeight="1">
      <c r="A1246" s="2" t="s">
        <v>3526</v>
      </c>
      <c r="B1246" s="2" t="s">
        <v>3527</v>
      </c>
      <c r="C1246" s="2" t="s">
        <v>26</v>
      </c>
      <c r="D1246" s="2" t="s">
        <v>27</v>
      </c>
      <c r="E1246" s="4">
        <v>-31824</v>
      </c>
      <c r="F1246" s="3" t="s">
        <v>3123</v>
      </c>
      <c r="G1246" s="3" t="s">
        <v>3528</v>
      </c>
      <c r="H1246" s="2" t="s">
        <v>21</v>
      </c>
      <c r="I1246" s="2" t="s">
        <v>3529</v>
      </c>
      <c r="J1246" s="3" t="str">
        <f>HYPERLINK("https://www.boe.es/gazeta/dias/1812/11/12/pdfs/GRE-1812-151.pdf#page=2","Abrir facsímil")</f>
        <v>Abrir facsímil</v>
      </c>
      <c r="K1246" s="3" t="s">
        <v>23</v>
      </c>
    </row>
    <row r="1247" spans="1:11" ht="42" customHeight="1">
      <c r="A1247" s="2" t="s">
        <v>3530</v>
      </c>
      <c r="B1247" s="2" t="s">
        <v>3530</v>
      </c>
      <c r="C1247" s="2" t="s">
        <v>17</v>
      </c>
      <c r="D1247" s="2" t="s">
        <v>18</v>
      </c>
      <c r="E1247" s="4">
        <v>-32015</v>
      </c>
      <c r="F1247" s="3" t="s">
        <v>77</v>
      </c>
      <c r="G1247" s="3" t="s">
        <v>3531</v>
      </c>
      <c r="H1247" s="2" t="s">
        <v>21</v>
      </c>
      <c r="I1247" s="2" t="s">
        <v>3532</v>
      </c>
      <c r="J1247" s="3" t="str">
        <f>HYPERLINK("https://www.boe.es/gazeta/dias/1812/05/05/pdfs/GRE-1812-56.pdf#page=1","Abrir facsímil")</f>
        <v>Abrir facsímil</v>
      </c>
      <c r="K1247" s="3" t="s">
        <v>23</v>
      </c>
    </row>
    <row r="1248" spans="1:11" ht="42" customHeight="1">
      <c r="A1248" s="2" t="s">
        <v>3533</v>
      </c>
      <c r="B1248" s="2" t="s">
        <v>3534</v>
      </c>
      <c r="C1248" s="2" t="s">
        <v>49</v>
      </c>
      <c r="D1248" s="2" t="s">
        <v>18</v>
      </c>
      <c r="E1248" s="4">
        <v>-31775</v>
      </c>
      <c r="F1248" s="3" t="s">
        <v>660</v>
      </c>
      <c r="G1248" s="3" t="s">
        <v>2138</v>
      </c>
      <c r="H1248" s="2" t="s">
        <v>21</v>
      </c>
      <c r="I1248" s="2" t="s">
        <v>3535</v>
      </c>
      <c r="J1248" s="3" t="str">
        <f>HYPERLINK("https://www.boe.es/gazeta/dias/1812/12/31/pdfs/GRE-1812-172.pdf#page=8","Abrir facsímil")</f>
        <v>Abrir facsímil</v>
      </c>
      <c r="K1248" s="3" t="s">
        <v>23</v>
      </c>
    </row>
    <row r="1249" spans="1:11" ht="42" customHeight="1">
      <c r="A1249" s="2" t="s">
        <v>3536</v>
      </c>
      <c r="B1249" s="2" t="s">
        <v>3537</v>
      </c>
      <c r="C1249" s="2" t="s">
        <v>26</v>
      </c>
      <c r="D1249" s="2" t="s">
        <v>194</v>
      </c>
      <c r="E1249" s="4">
        <v>-31963</v>
      </c>
      <c r="F1249" s="3" t="s">
        <v>171</v>
      </c>
      <c r="G1249" s="3" t="s">
        <v>1653</v>
      </c>
      <c r="H1249" s="2" t="s">
        <v>21</v>
      </c>
      <c r="I1249" s="2" t="s">
        <v>3538</v>
      </c>
      <c r="J1249" s="3" t="str">
        <f>HYPERLINK("https://www.boe.es/gazeta/dias/1812/06/26/pdfs/GMD-1812-178.pdf#page=2","Abrir facsímil")</f>
        <v>Abrir facsímil</v>
      </c>
      <c r="K1249" s="3" t="s">
        <v>23</v>
      </c>
    </row>
    <row r="1250" spans="1:11" ht="42" customHeight="1">
      <c r="A1250" s="2" t="s">
        <v>3539</v>
      </c>
      <c r="B1250" s="2" t="s">
        <v>3540</v>
      </c>
      <c r="C1250" s="2" t="s">
        <v>186</v>
      </c>
      <c r="D1250" s="2" t="s">
        <v>275</v>
      </c>
      <c r="E1250" s="4">
        <v>-32118</v>
      </c>
      <c r="F1250" s="3" t="s">
        <v>964</v>
      </c>
      <c r="G1250" s="3" t="s">
        <v>965</v>
      </c>
      <c r="H1250" s="2" t="s">
        <v>21</v>
      </c>
      <c r="I1250" s="2" t="s">
        <v>3541</v>
      </c>
      <c r="J1250" s="3" t="str">
        <f>HYPERLINK("https://www.boe.es/gazeta/dias/1812/01/23/pdfs/GEI-H-1812-10.pdf#page=4","Abrir facsímil")</f>
        <v>Abrir facsímil</v>
      </c>
      <c r="K1250" s="3" t="s">
        <v>23</v>
      </c>
    </row>
    <row r="1251" spans="1:11" ht="42" customHeight="1">
      <c r="A1251" s="2" t="s">
        <v>3542</v>
      </c>
      <c r="B1251" s="2" t="s">
        <v>3543</v>
      </c>
      <c r="C1251" s="2" t="s">
        <v>17</v>
      </c>
      <c r="D1251" s="2" t="s">
        <v>18</v>
      </c>
      <c r="E1251" s="4">
        <v>-32125</v>
      </c>
      <c r="F1251" s="3" t="s">
        <v>964</v>
      </c>
      <c r="G1251" s="3" t="s">
        <v>237</v>
      </c>
      <c r="H1251" s="2" t="s">
        <v>21</v>
      </c>
      <c r="I1251" s="2" t="s">
        <v>3544</v>
      </c>
      <c r="J1251" s="3" t="str">
        <f>HYPERLINK("https://www.boe.es/gazeta/dias/1812/01/16/pdfs/GEI-H-1812-7.pdf#page=2","Abrir facsímil")</f>
        <v>Abrir facsímil</v>
      </c>
      <c r="K1251" s="3" t="s">
        <v>23</v>
      </c>
    </row>
    <row r="1252" spans="1:11" ht="42" customHeight="1">
      <c r="A1252" s="2" t="s">
        <v>3545</v>
      </c>
      <c r="B1252" s="2" t="s">
        <v>3546</v>
      </c>
      <c r="C1252" s="2" t="s">
        <v>105</v>
      </c>
      <c r="D1252" s="2" t="s">
        <v>27</v>
      </c>
      <c r="E1252" s="4">
        <v>-32015</v>
      </c>
      <c r="F1252" s="3" t="s">
        <v>77</v>
      </c>
      <c r="G1252" s="3" t="s">
        <v>78</v>
      </c>
      <c r="H1252" s="2" t="s">
        <v>21</v>
      </c>
      <c r="I1252" s="2" t="s">
        <v>3547</v>
      </c>
      <c r="J1252" s="3" t="str">
        <f>HYPERLINK("https://www.boe.es/gazeta/dias/1812/05/05/pdfs/GRE-1812-56.pdf#page=8","Abrir facsímil")</f>
        <v>Abrir facsímil</v>
      </c>
      <c r="K1252" s="3" t="s">
        <v>23</v>
      </c>
    </row>
    <row r="1253" spans="1:11" ht="42" customHeight="1">
      <c r="A1253" s="2" t="s">
        <v>3548</v>
      </c>
      <c r="B1253" s="2" t="s">
        <v>3549</v>
      </c>
      <c r="C1253" s="2" t="s">
        <v>17</v>
      </c>
      <c r="D1253" s="2" t="s">
        <v>18</v>
      </c>
      <c r="E1253" s="4">
        <v>-32111</v>
      </c>
      <c r="F1253" s="3" t="s">
        <v>553</v>
      </c>
      <c r="G1253" s="3" t="s">
        <v>58</v>
      </c>
      <c r="H1253" s="2" t="s">
        <v>21</v>
      </c>
      <c r="I1253" s="2" t="s">
        <v>3550</v>
      </c>
      <c r="J1253" s="3" t="str">
        <f>HYPERLINK("https://www.boe.es/gazeta/dias/1812/01/30/pdfs/GRE-1812-13.pdf#page=4","Abrir facsímil")</f>
        <v>Abrir facsímil</v>
      </c>
      <c r="K1253" s="3" t="s">
        <v>23</v>
      </c>
    </row>
    <row r="1254" spans="1:11" ht="42" customHeight="1">
      <c r="A1254" s="2" t="s">
        <v>3551</v>
      </c>
      <c r="B1254" s="2" t="s">
        <v>3552</v>
      </c>
      <c r="C1254" s="2" t="s">
        <v>26</v>
      </c>
      <c r="D1254" s="2" t="s">
        <v>275</v>
      </c>
      <c r="E1254" s="4">
        <v>-32114</v>
      </c>
      <c r="F1254" s="3" t="s">
        <v>480</v>
      </c>
      <c r="G1254" s="3" t="s">
        <v>481</v>
      </c>
      <c r="H1254" s="2" t="s">
        <v>21</v>
      </c>
      <c r="I1254" s="2" t="s">
        <v>3553</v>
      </c>
      <c r="J1254" s="3" t="str">
        <f>HYPERLINK("https://www.boe.es/gazeta/dias/1812/01/27/pdfs/GMD-1812-27.pdf#page=4","Abrir facsímil")</f>
        <v>Abrir facsímil</v>
      </c>
      <c r="K1254" s="3" t="s">
        <v>23</v>
      </c>
    </row>
    <row r="1255" spans="1:11" ht="42" customHeight="1">
      <c r="A1255" s="2" t="s">
        <v>3554</v>
      </c>
      <c r="B1255" s="2" t="s">
        <v>3555</v>
      </c>
      <c r="C1255" s="2" t="s">
        <v>17</v>
      </c>
      <c r="D1255" s="2" t="s">
        <v>27</v>
      </c>
      <c r="E1255" s="4">
        <v>-31936</v>
      </c>
      <c r="F1255" s="3" t="s">
        <v>614</v>
      </c>
      <c r="G1255" s="3" t="s">
        <v>615</v>
      </c>
      <c r="H1255" s="2" t="s">
        <v>21</v>
      </c>
      <c r="I1255" s="2" t="s">
        <v>3556</v>
      </c>
      <c r="J1255" s="3" t="str">
        <f>HYPERLINK("https://www.boe.es/gazeta/dias/1812/07/23/pdfs/GRE-1812-92.pdf#page=8","Abrir facsímil")</f>
        <v>Abrir facsímil</v>
      </c>
      <c r="K1255" s="3" t="s">
        <v>23</v>
      </c>
    </row>
    <row r="1256" spans="1:11" ht="42" customHeight="1">
      <c r="A1256" s="2" t="s">
        <v>3557</v>
      </c>
      <c r="B1256" s="2" t="s">
        <v>3558</v>
      </c>
      <c r="C1256" s="2" t="s">
        <v>49</v>
      </c>
      <c r="D1256" s="2" t="s">
        <v>27</v>
      </c>
      <c r="E1256" s="4">
        <v>-32075</v>
      </c>
      <c r="F1256" s="3" t="s">
        <v>301</v>
      </c>
      <c r="G1256" s="3" t="s">
        <v>20</v>
      </c>
      <c r="H1256" s="2" t="s">
        <v>21</v>
      </c>
      <c r="I1256" s="2" t="s">
        <v>3559</v>
      </c>
      <c r="J1256" s="3" t="str">
        <f>HYPERLINK("https://www.boe.es/gazeta/dias/1812/03/06/pdfs/GMD-1812-66.pdf#page=4","Abrir facsímil")</f>
        <v>Abrir facsímil</v>
      </c>
      <c r="K1256" s="3" t="s">
        <v>23</v>
      </c>
    </row>
    <row r="1257" spans="1:11" ht="42" customHeight="1">
      <c r="A1257" s="2" t="s">
        <v>3560</v>
      </c>
      <c r="B1257" s="2" t="s">
        <v>3561</v>
      </c>
      <c r="C1257" s="2" t="s">
        <v>17</v>
      </c>
      <c r="D1257" s="2" t="s">
        <v>18</v>
      </c>
      <c r="E1257" s="4">
        <v>-32134</v>
      </c>
      <c r="F1257" s="3" t="s">
        <v>50</v>
      </c>
      <c r="G1257" s="3" t="s">
        <v>45</v>
      </c>
      <c r="H1257" s="2" t="s">
        <v>21</v>
      </c>
      <c r="I1257" s="2" t="s">
        <v>3562</v>
      </c>
      <c r="J1257" s="3" t="str">
        <f>HYPERLINK("https://www.boe.es/gazeta/dias/1812/01/07/pdfs/GEI-1812-3.pdf#page=4","Abrir facsímil")</f>
        <v>Abrir facsímil</v>
      </c>
      <c r="K1257" s="3" t="s">
        <v>23</v>
      </c>
    </row>
    <row r="1258" spans="1:11" ht="42" customHeight="1">
      <c r="A1258" s="2" t="s">
        <v>3563</v>
      </c>
      <c r="B1258" s="2" t="s">
        <v>3564</v>
      </c>
      <c r="C1258" s="2" t="s">
        <v>26</v>
      </c>
      <c r="D1258" s="2" t="s">
        <v>27</v>
      </c>
      <c r="E1258" s="4">
        <v>-31980</v>
      </c>
      <c r="F1258" s="3" t="s">
        <v>40</v>
      </c>
      <c r="G1258" s="3" t="s">
        <v>41</v>
      </c>
      <c r="H1258" s="2" t="s">
        <v>21</v>
      </c>
      <c r="I1258" s="2" t="s">
        <v>3565</v>
      </c>
      <c r="J1258" s="3" t="str">
        <f>HYPERLINK("https://www.boe.es/gazeta/dias/1812/06/09/pdfs/GRE-1812-71.pdf#page=6","Abrir facsímil")</f>
        <v>Abrir facsímil</v>
      </c>
      <c r="K1258" s="3" t="s">
        <v>23</v>
      </c>
    </row>
    <row r="1259" spans="1:11" ht="42" customHeight="1">
      <c r="A1259" s="2" t="s">
        <v>3566</v>
      </c>
      <c r="B1259" s="2" t="s">
        <v>3567</v>
      </c>
      <c r="C1259" s="2" t="s">
        <v>26</v>
      </c>
      <c r="D1259" s="2" t="s">
        <v>27</v>
      </c>
      <c r="E1259" s="4">
        <v>-32125</v>
      </c>
      <c r="F1259" s="3" t="s">
        <v>335</v>
      </c>
      <c r="G1259" s="3" t="s">
        <v>336</v>
      </c>
      <c r="H1259" s="2" t="s">
        <v>21</v>
      </c>
      <c r="I1259" s="2" t="s">
        <v>3568</v>
      </c>
      <c r="J1259" s="3" t="str">
        <f>HYPERLINK("https://www.boe.es/gazeta/dias/1812/01/16/pdfs/GEI-1812-7.pdf#page=8","Abrir facsímil")</f>
        <v>Abrir facsímil</v>
      </c>
      <c r="K1259" s="3" t="s">
        <v>23</v>
      </c>
    </row>
    <row r="1260" spans="1:11" ht="42" customHeight="1">
      <c r="A1260" s="2" t="s">
        <v>3569</v>
      </c>
      <c r="B1260" s="2" t="s">
        <v>3570</v>
      </c>
      <c r="C1260" s="2" t="s">
        <v>26</v>
      </c>
      <c r="D1260" s="2" t="s">
        <v>27</v>
      </c>
      <c r="E1260" s="4">
        <v>-32055</v>
      </c>
      <c r="F1260" s="3" t="s">
        <v>1271</v>
      </c>
      <c r="G1260" s="3" t="s">
        <v>130</v>
      </c>
      <c r="H1260" s="2" t="s">
        <v>21</v>
      </c>
      <c r="I1260" s="2" t="s">
        <v>3571</v>
      </c>
      <c r="J1260" s="3" t="str">
        <f>HYPERLINK("https://www.boe.es/gazeta/dias/1812/03/26/pdfs/GMD-1812-86.pdf#page=4","Abrir facsímil")</f>
        <v>Abrir facsímil</v>
      </c>
      <c r="K1260" s="3" t="s">
        <v>23</v>
      </c>
    </row>
    <row r="1261" spans="1:11" ht="42" customHeight="1">
      <c r="A1261" s="2" t="s">
        <v>3572</v>
      </c>
      <c r="B1261" s="2" t="s">
        <v>3573</v>
      </c>
      <c r="C1261" s="2" t="s">
        <v>26</v>
      </c>
      <c r="D1261" s="2" t="s">
        <v>27</v>
      </c>
      <c r="E1261" s="4">
        <v>-32034</v>
      </c>
      <c r="F1261" s="3" t="s">
        <v>28</v>
      </c>
      <c r="G1261" s="3" t="s">
        <v>317</v>
      </c>
      <c r="H1261" s="2" t="s">
        <v>21</v>
      </c>
      <c r="I1261" s="2" t="s">
        <v>3574</v>
      </c>
      <c r="J1261" s="3" t="str">
        <f>HYPERLINK("https://www.boe.es/gazeta/dias/1812/04/16/pdfs/GMD-1812-107.pdf#page=6","Abrir facsímil")</f>
        <v>Abrir facsímil</v>
      </c>
      <c r="K1261" s="3" t="s">
        <v>23</v>
      </c>
    </row>
    <row r="1262" spans="1:11" ht="42" customHeight="1">
      <c r="A1262" s="2" t="s">
        <v>3575</v>
      </c>
      <c r="B1262" s="2" t="s">
        <v>3576</v>
      </c>
      <c r="C1262" s="2" t="s">
        <v>26</v>
      </c>
      <c r="D1262" s="2" t="s">
        <v>27</v>
      </c>
      <c r="E1262" s="4">
        <v>-31819</v>
      </c>
      <c r="F1262" s="3" t="s">
        <v>1770</v>
      </c>
      <c r="G1262" s="3" t="s">
        <v>1771</v>
      </c>
      <c r="H1262" s="2" t="s">
        <v>21</v>
      </c>
      <c r="I1262" s="2" t="s">
        <v>3577</v>
      </c>
      <c r="J1262" s="3" t="str">
        <f>HYPERLINK("https://www.boe.es/gazeta/dias/1812/11/17/pdfs/GRE-1812-153.pdf#page=4","Abrir facsímil")</f>
        <v>Abrir facsímil</v>
      </c>
      <c r="K1262" s="3" t="s">
        <v>23</v>
      </c>
    </row>
    <row r="1263" spans="1:11" ht="42" customHeight="1">
      <c r="A1263" s="2" t="s">
        <v>3578</v>
      </c>
      <c r="B1263" s="2" t="s">
        <v>3579</v>
      </c>
      <c r="C1263" s="2" t="s">
        <v>17</v>
      </c>
      <c r="D1263" s="2" t="s">
        <v>18</v>
      </c>
      <c r="E1263" s="4">
        <v>-32081</v>
      </c>
      <c r="F1263" s="3" t="s">
        <v>989</v>
      </c>
      <c r="G1263" s="3" t="s">
        <v>683</v>
      </c>
      <c r="H1263" s="2" t="s">
        <v>21</v>
      </c>
      <c r="I1263" s="2" t="s">
        <v>3580</v>
      </c>
      <c r="J1263" s="3" t="str">
        <f>HYPERLINK("https://www.boe.es/gazeta/dias/1812/02/29/pdfs/GMD-1812-60.pdf#page=4","Abrir facsímil")</f>
        <v>Abrir facsímil</v>
      </c>
      <c r="K1263" s="3" t="s">
        <v>23</v>
      </c>
    </row>
    <row r="1264" spans="1:11" ht="42" customHeight="1">
      <c r="A1264" s="2" t="s">
        <v>3581</v>
      </c>
      <c r="B1264" s="2" t="s">
        <v>3582</v>
      </c>
      <c r="C1264" s="2" t="s">
        <v>17</v>
      </c>
      <c r="D1264" s="2" t="s">
        <v>275</v>
      </c>
      <c r="E1264" s="4">
        <v>-31822</v>
      </c>
      <c r="F1264" s="3" t="s">
        <v>541</v>
      </c>
      <c r="G1264" s="3" t="s">
        <v>3583</v>
      </c>
      <c r="H1264" s="2" t="s">
        <v>30</v>
      </c>
      <c r="I1264" s="2" t="s">
        <v>3584</v>
      </c>
      <c r="J1264" s="3" t="str">
        <f>HYPERLINK("https://www.boe.es/gazeta/dias/1812/11/14/pdfs/GRE-1812-152.pdf#page=6","Abrir facsímil")</f>
        <v>Abrir facsímil</v>
      </c>
      <c r="K1264" s="3" t="s">
        <v>32</v>
      </c>
    </row>
    <row r="1265" spans="1:11" ht="42" customHeight="1">
      <c r="A1265" s="2" t="s">
        <v>3585</v>
      </c>
      <c r="B1265" s="2" t="s">
        <v>3586</v>
      </c>
      <c r="C1265" s="2" t="s">
        <v>115</v>
      </c>
      <c r="D1265" s="2" t="s">
        <v>18</v>
      </c>
      <c r="E1265" s="4">
        <v>-31910</v>
      </c>
      <c r="F1265" s="3" t="s">
        <v>2149</v>
      </c>
      <c r="G1265" s="3" t="s">
        <v>3587</v>
      </c>
      <c r="H1265" s="2" t="s">
        <v>21</v>
      </c>
      <c r="I1265" s="2" t="s">
        <v>3588</v>
      </c>
      <c r="J1265" s="3" t="str">
        <f>HYPERLINK("https://www.boe.es/gazeta/dias/1812/08/18/pdfs/GRE-F-1812-106.pdf#page=4","Abrir facsímil")</f>
        <v>Abrir facsímil</v>
      </c>
      <c r="K1265" s="3" t="s">
        <v>23</v>
      </c>
    </row>
    <row r="1266" spans="1:11" ht="42" customHeight="1">
      <c r="A1266" s="2" t="s">
        <v>3589</v>
      </c>
      <c r="B1266" s="2" t="s">
        <v>3590</v>
      </c>
      <c r="C1266" s="2" t="s">
        <v>26</v>
      </c>
      <c r="D1266" s="2" t="s">
        <v>27</v>
      </c>
      <c r="E1266" s="4">
        <v>-32134</v>
      </c>
      <c r="F1266" s="3" t="s">
        <v>50</v>
      </c>
      <c r="G1266" s="3" t="s">
        <v>233</v>
      </c>
      <c r="H1266" s="2" t="s">
        <v>21</v>
      </c>
      <c r="I1266" s="2" t="s">
        <v>3591</v>
      </c>
      <c r="J1266" s="3" t="str">
        <f>HYPERLINK("https://www.boe.es/gazeta/dias/1812/01/07/pdfs/GEI-1812-3.pdf#page=8","Abrir facsímil")</f>
        <v>Abrir facsímil</v>
      </c>
      <c r="K1266" s="3" t="s">
        <v>23</v>
      </c>
    </row>
    <row r="1267" spans="1:11" ht="42" customHeight="1">
      <c r="A1267" s="2" t="s">
        <v>3592</v>
      </c>
      <c r="B1267" s="2" t="s">
        <v>3593</v>
      </c>
      <c r="C1267" s="2" t="s">
        <v>26</v>
      </c>
      <c r="D1267" s="2" t="s">
        <v>27</v>
      </c>
      <c r="E1267" s="4">
        <v>-31901</v>
      </c>
      <c r="F1267" s="3" t="s">
        <v>590</v>
      </c>
      <c r="G1267" s="3" t="s">
        <v>742</v>
      </c>
      <c r="H1267" s="2" t="s">
        <v>21</v>
      </c>
      <c r="I1267" s="2" t="s">
        <v>3594</v>
      </c>
      <c r="J1267" s="3" t="str">
        <f>HYPERLINK("https://www.boe.es/gazeta/dias/1812/08/27/pdfs/GMR-1812-6.pdf#page=5","Abrir facsímil")</f>
        <v>Abrir facsímil</v>
      </c>
      <c r="K1267" s="3" t="s">
        <v>23</v>
      </c>
    </row>
    <row r="1268" spans="1:11" ht="42" customHeight="1">
      <c r="A1268" s="2" t="s">
        <v>3592</v>
      </c>
      <c r="B1268" s="2" t="s">
        <v>3593</v>
      </c>
      <c r="C1268" s="2" t="s">
        <v>26</v>
      </c>
      <c r="D1268" s="2" t="s">
        <v>27</v>
      </c>
      <c r="E1268" s="4">
        <v>-31901</v>
      </c>
      <c r="F1268" s="3" t="s">
        <v>590</v>
      </c>
      <c r="G1268" s="3" t="s">
        <v>674</v>
      </c>
      <c r="H1268" s="2" t="s">
        <v>21</v>
      </c>
      <c r="I1268" s="2" t="s">
        <v>3595</v>
      </c>
      <c r="J1268" s="3" t="str">
        <f>HYPERLINK("https://www.boe.es/gazeta/dias/1812/08/27/pdfs/GMR-1812-6.pdf#page=6","Abrir facsímil")</f>
        <v>Abrir facsímil</v>
      </c>
      <c r="K1268" s="3" t="s">
        <v>23</v>
      </c>
    </row>
    <row r="1269" spans="1:11" ht="42" customHeight="1">
      <c r="A1269" s="2" t="s">
        <v>3596</v>
      </c>
      <c r="B1269" s="2" t="s">
        <v>3597</v>
      </c>
      <c r="C1269" s="2" t="s">
        <v>26</v>
      </c>
      <c r="D1269" s="2" t="s">
        <v>27</v>
      </c>
      <c r="E1269" s="4">
        <v>-31938</v>
      </c>
      <c r="F1269" s="3" t="s">
        <v>324</v>
      </c>
      <c r="G1269" s="3" t="s">
        <v>404</v>
      </c>
      <c r="H1269" s="2" t="s">
        <v>21</v>
      </c>
      <c r="I1269" s="2" t="s">
        <v>3598</v>
      </c>
      <c r="J1269" s="3" t="str">
        <f>HYPERLINK("https://www.boe.es/gazeta/dias/1812/07/21/pdfs/GMD-1812-203.pdf#page=4","Abrir facsímil")</f>
        <v>Abrir facsímil</v>
      </c>
      <c r="K1269" s="3" t="s">
        <v>23</v>
      </c>
    </row>
    <row r="1270" spans="1:11" ht="42" customHeight="1">
      <c r="A1270" s="2" t="s">
        <v>3599</v>
      </c>
      <c r="B1270" s="2" t="s">
        <v>3600</v>
      </c>
      <c r="C1270" s="2" t="s">
        <v>26</v>
      </c>
      <c r="D1270" s="2" t="s">
        <v>27</v>
      </c>
      <c r="E1270" s="4">
        <v>-32071</v>
      </c>
      <c r="F1270" s="3" t="s">
        <v>3601</v>
      </c>
      <c r="G1270" s="3" t="s">
        <v>2708</v>
      </c>
      <c r="H1270" s="2" t="s">
        <v>21</v>
      </c>
      <c r="I1270" s="2" t="s">
        <v>3602</v>
      </c>
      <c r="J1270" s="3" t="str">
        <f>HYPERLINK("https://www.boe.es/gazeta/dias/1812/03/10/pdfs/GMD-1812-70.pdf#page=4","Abrir facsímil")</f>
        <v>Abrir facsímil</v>
      </c>
      <c r="K1270" s="3" t="s">
        <v>23</v>
      </c>
    </row>
    <row r="1271" spans="1:11" ht="42" customHeight="1">
      <c r="A1271" s="2" t="s">
        <v>3603</v>
      </c>
      <c r="B1271" s="2" t="s">
        <v>3604</v>
      </c>
      <c r="C1271" s="2" t="s">
        <v>26</v>
      </c>
      <c r="D1271" s="2" t="s">
        <v>27</v>
      </c>
      <c r="E1271" s="4">
        <v>-32029</v>
      </c>
      <c r="F1271" s="3" t="s">
        <v>3605</v>
      </c>
      <c r="G1271" s="3" t="s">
        <v>514</v>
      </c>
      <c r="H1271" s="2" t="s">
        <v>21</v>
      </c>
      <c r="I1271" s="2" t="s">
        <v>3606</v>
      </c>
      <c r="J1271" s="3" t="str">
        <f>HYPERLINK("https://www.boe.es/gazeta/dias/1812/04/21/pdfs/GMD-1812-112.pdf#page=3","Abrir facsímil")</f>
        <v>Abrir facsímil</v>
      </c>
      <c r="K1271" s="3" t="s">
        <v>23</v>
      </c>
    </row>
    <row r="1272" spans="1:11" ht="42" customHeight="1">
      <c r="A1272" s="2" t="s">
        <v>3607</v>
      </c>
      <c r="B1272" s="2" t="s">
        <v>3607</v>
      </c>
      <c r="C1272" s="2" t="s">
        <v>17</v>
      </c>
      <c r="D1272" s="2" t="s">
        <v>18</v>
      </c>
      <c r="E1272" s="4">
        <v>-32022</v>
      </c>
      <c r="F1272" s="3" t="s">
        <v>1186</v>
      </c>
      <c r="G1272" s="3" t="s">
        <v>125</v>
      </c>
      <c r="H1272" s="2" t="s">
        <v>21</v>
      </c>
      <c r="I1272" s="2" t="s">
        <v>3608</v>
      </c>
      <c r="J1272" s="3" t="str">
        <f>HYPERLINK("https://www.boe.es/gazeta/dias/1812/04/28/pdfs/GRE-1812-53.pdf#page=3","Abrir facsímil")</f>
        <v>Abrir facsímil</v>
      </c>
      <c r="K1272" s="3" t="s">
        <v>23</v>
      </c>
    </row>
    <row r="1273" spans="1:11" ht="42" customHeight="1">
      <c r="A1273" s="2" t="s">
        <v>3609</v>
      </c>
      <c r="B1273" s="2" t="s">
        <v>3609</v>
      </c>
      <c r="C1273" s="2" t="s">
        <v>17</v>
      </c>
      <c r="D1273" s="2" t="s">
        <v>275</v>
      </c>
      <c r="E1273" s="4">
        <v>-32063</v>
      </c>
      <c r="F1273" s="3" t="s">
        <v>384</v>
      </c>
      <c r="G1273" s="3" t="s">
        <v>20</v>
      </c>
      <c r="H1273" s="2" t="s">
        <v>21</v>
      </c>
      <c r="I1273" s="2" t="s">
        <v>3610</v>
      </c>
      <c r="J1273" s="3" t="str">
        <f>HYPERLINK("https://www.boe.es/gazeta/dias/1812/03/18/pdfs/GMD-1812-78.pdf#page=4","Abrir facsímil")</f>
        <v>Abrir facsímil</v>
      </c>
      <c r="K1273" s="3" t="s">
        <v>23</v>
      </c>
    </row>
    <row r="1274" spans="1:11" ht="42" customHeight="1">
      <c r="A1274" s="2" t="s">
        <v>3611</v>
      </c>
      <c r="B1274" s="2" t="s">
        <v>3611</v>
      </c>
      <c r="C1274" s="2" t="s">
        <v>26</v>
      </c>
      <c r="D1274" s="2" t="s">
        <v>27</v>
      </c>
      <c r="E1274" s="4">
        <v>-32129</v>
      </c>
      <c r="F1274" s="3" t="s">
        <v>3162</v>
      </c>
      <c r="G1274" s="3" t="s">
        <v>2313</v>
      </c>
      <c r="H1274" s="2" t="s">
        <v>21</v>
      </c>
      <c r="I1274" s="2" t="s">
        <v>3612</v>
      </c>
      <c r="J1274" s="3" t="str">
        <f>HYPERLINK("https://www.boe.es/gazeta/dias/1812/01/12/pdfs/GMD-1812-12.pdf#page=4","Abrir facsímil")</f>
        <v>Abrir facsímil</v>
      </c>
      <c r="K1274" s="3" t="s">
        <v>23</v>
      </c>
    </row>
    <row r="1275" spans="1:11" ht="42" customHeight="1">
      <c r="A1275" s="2" t="s">
        <v>3613</v>
      </c>
      <c r="B1275" s="2" t="s">
        <v>3613</v>
      </c>
      <c r="C1275" s="2" t="s">
        <v>26</v>
      </c>
      <c r="D1275" s="2" t="s">
        <v>27</v>
      </c>
      <c r="E1275" s="4">
        <v>-32034</v>
      </c>
      <c r="F1275" s="3" t="s">
        <v>28</v>
      </c>
      <c r="G1275" s="3" t="s">
        <v>130</v>
      </c>
      <c r="H1275" s="2" t="s">
        <v>21</v>
      </c>
      <c r="I1275" s="2" t="s">
        <v>3614</v>
      </c>
      <c r="J1275" s="3" t="str">
        <f>HYPERLINK("https://www.boe.es/gazeta/dias/1812/04/16/pdfs/GMD-1812-107.pdf#page=4","Abrir facsímil")</f>
        <v>Abrir facsímil</v>
      </c>
      <c r="K1275" s="3" t="s">
        <v>23</v>
      </c>
    </row>
    <row r="1276" spans="1:11" ht="42" customHeight="1">
      <c r="A1276" s="2" t="s">
        <v>3611</v>
      </c>
      <c r="B1276" s="2" t="s">
        <v>3611</v>
      </c>
      <c r="C1276" s="2" t="s">
        <v>26</v>
      </c>
      <c r="D1276" s="2" t="s">
        <v>27</v>
      </c>
      <c r="E1276" s="4">
        <v>-31983</v>
      </c>
      <c r="F1276" s="3" t="s">
        <v>3615</v>
      </c>
      <c r="G1276" s="3" t="s">
        <v>3616</v>
      </c>
      <c r="H1276" s="2" t="s">
        <v>21</v>
      </c>
      <c r="I1276" s="2" t="s">
        <v>3617</v>
      </c>
      <c r="J1276" s="3" t="str">
        <f>HYPERLINK("https://www.boe.es/gazeta/dias/1812/06/06/pdfs/GMD-1812-158.pdf#page=2","Abrir facsímil")</f>
        <v>Abrir facsímil</v>
      </c>
      <c r="K1276" s="3" t="s">
        <v>23</v>
      </c>
    </row>
    <row r="1277" spans="1:11" ht="42" customHeight="1">
      <c r="A1277" s="2" t="s">
        <v>3618</v>
      </c>
      <c r="B1277" s="2" t="s">
        <v>3619</v>
      </c>
      <c r="C1277" s="2" t="s">
        <v>17</v>
      </c>
      <c r="D1277" s="2" t="s">
        <v>18</v>
      </c>
      <c r="E1277" s="4">
        <v>-32139</v>
      </c>
      <c r="F1277" s="3" t="s">
        <v>288</v>
      </c>
      <c r="G1277" s="3" t="s">
        <v>20</v>
      </c>
      <c r="H1277" s="2" t="s">
        <v>21</v>
      </c>
      <c r="I1277" s="2" t="s">
        <v>3620</v>
      </c>
      <c r="J1277" s="3" t="str">
        <f>HYPERLINK("https://www.boe.es/gazeta/dias/1812/01/02/pdfs/GMD-1812-2.pdf#page=3","Abrir facsímil")</f>
        <v>Abrir facsímil</v>
      </c>
      <c r="K1277" s="3" t="s">
        <v>23</v>
      </c>
    </row>
    <row r="1278" spans="1:11" ht="42" customHeight="1">
      <c r="A1278" s="2" t="s">
        <v>3621</v>
      </c>
      <c r="B1278" s="2" t="s">
        <v>3622</v>
      </c>
      <c r="C1278" s="2" t="s">
        <v>26</v>
      </c>
      <c r="D1278" s="2" t="s">
        <v>27</v>
      </c>
      <c r="E1278" s="4">
        <v>-31973</v>
      </c>
      <c r="F1278" s="3" t="s">
        <v>1735</v>
      </c>
      <c r="G1278" s="3" t="s">
        <v>125</v>
      </c>
      <c r="H1278" s="2" t="s">
        <v>21</v>
      </c>
      <c r="I1278" s="2" t="s">
        <v>3623</v>
      </c>
      <c r="J1278" s="3" t="str">
        <f>HYPERLINK("https://www.boe.es/gazeta/dias/1812/06/16/pdfs/GRE-1812-74.pdf#page=4","Abrir facsímil")</f>
        <v>Abrir facsímil</v>
      </c>
      <c r="K1278" s="3" t="s">
        <v>23</v>
      </c>
    </row>
    <row r="1279" spans="1:11" ht="42" customHeight="1">
      <c r="A1279" s="2" t="s">
        <v>3624</v>
      </c>
      <c r="B1279" s="2" t="s">
        <v>3625</v>
      </c>
      <c r="C1279" s="2" t="s">
        <v>26</v>
      </c>
      <c r="D1279" s="2" t="s">
        <v>27</v>
      </c>
      <c r="E1279" s="4">
        <v>-31938</v>
      </c>
      <c r="F1279" s="3" t="s">
        <v>324</v>
      </c>
      <c r="G1279" s="3" t="s">
        <v>497</v>
      </c>
      <c r="H1279" s="2" t="s">
        <v>21</v>
      </c>
      <c r="I1279" s="2" t="s">
        <v>3626</v>
      </c>
      <c r="J1279" s="3" t="str">
        <f>HYPERLINK("https://www.boe.es/gazeta/dias/1812/07/21/pdfs/GMD-1812-203.pdf#page=3","Abrir facsímil")</f>
        <v>Abrir facsímil</v>
      </c>
      <c r="K1279" s="3" t="s">
        <v>23</v>
      </c>
    </row>
    <row r="1280" spans="1:11" ht="42" customHeight="1">
      <c r="A1280" s="2" t="s">
        <v>3627</v>
      </c>
      <c r="B1280" s="2" t="s">
        <v>3628</v>
      </c>
      <c r="C1280" s="2" t="s">
        <v>26</v>
      </c>
      <c r="D1280" s="2" t="s">
        <v>27</v>
      </c>
      <c r="E1280" s="4">
        <v>-31963</v>
      </c>
      <c r="F1280" s="3" t="s">
        <v>171</v>
      </c>
      <c r="G1280" s="3" t="s">
        <v>1653</v>
      </c>
      <c r="H1280" s="2" t="s">
        <v>21</v>
      </c>
      <c r="I1280" s="2" t="s">
        <v>3629</v>
      </c>
      <c r="J1280" s="3" t="str">
        <f>HYPERLINK("https://www.boe.es/gazeta/dias/1812/06/26/pdfs/GMD-1812-178.pdf#page=2","Abrir facsímil")</f>
        <v>Abrir facsímil</v>
      </c>
      <c r="K1280" s="3" t="s">
        <v>23</v>
      </c>
    </row>
    <row r="1281" spans="1:11" ht="42" customHeight="1">
      <c r="A1281" s="2" t="s">
        <v>3630</v>
      </c>
      <c r="B1281" s="2" t="s">
        <v>3631</v>
      </c>
      <c r="C1281" s="2" t="s">
        <v>67</v>
      </c>
      <c r="D1281" s="2" t="s">
        <v>27</v>
      </c>
      <c r="E1281" s="4">
        <v>-31962</v>
      </c>
      <c r="F1281" s="3" t="s">
        <v>153</v>
      </c>
      <c r="G1281" s="3" t="s">
        <v>154</v>
      </c>
      <c r="H1281" s="2" t="s">
        <v>21</v>
      </c>
      <c r="I1281" s="2" t="s">
        <v>3632</v>
      </c>
      <c r="J1281" s="3" t="str">
        <f>HYPERLINK("https://www.boe.es/gazeta/dias/1812/06/27/pdfs/GRE-1812-79.pdf#page=8","Abrir facsímil")</f>
        <v>Abrir facsímil</v>
      </c>
      <c r="K1281" s="3" t="s">
        <v>23</v>
      </c>
    </row>
    <row r="1282" spans="1:11" ht="42" customHeight="1">
      <c r="A1282" s="2" t="s">
        <v>3633</v>
      </c>
      <c r="B1282" s="2" t="s">
        <v>3634</v>
      </c>
      <c r="C1282" s="2" t="s">
        <v>26</v>
      </c>
      <c r="D1282" s="2" t="s">
        <v>134</v>
      </c>
      <c r="E1282" s="4">
        <v>-31983</v>
      </c>
      <c r="F1282" s="3" t="s">
        <v>1437</v>
      </c>
      <c r="G1282" s="3" t="s">
        <v>1438</v>
      </c>
      <c r="H1282" s="2" t="s">
        <v>21</v>
      </c>
      <c r="I1282" s="2" t="s">
        <v>3635</v>
      </c>
      <c r="J1282" s="3" t="str">
        <f>HYPERLINK("https://www.boe.es/gazeta/dias/1812/06/06/pdfs/GRE-F-1812-70.pdf#page=4","Abrir facsímil")</f>
        <v>Abrir facsímil</v>
      </c>
      <c r="K1282" s="3" t="s">
        <v>23</v>
      </c>
    </row>
    <row r="1283" spans="1:11" ht="42" customHeight="1">
      <c r="A1283" s="2" t="s">
        <v>3636</v>
      </c>
      <c r="B1283" s="2" t="s">
        <v>3637</v>
      </c>
      <c r="C1283" s="2" t="s">
        <v>17</v>
      </c>
      <c r="D1283" s="2" t="s">
        <v>18</v>
      </c>
      <c r="E1283" s="4">
        <v>-31928</v>
      </c>
      <c r="F1283" s="3" t="s">
        <v>3638</v>
      </c>
      <c r="G1283" s="3" t="s">
        <v>3639</v>
      </c>
      <c r="H1283" s="2" t="s">
        <v>21</v>
      </c>
      <c r="I1283" s="2" t="s">
        <v>3640</v>
      </c>
      <c r="J1283" s="3" t="str">
        <f>HYPERLINK("https://www.boe.es/gazeta/dias/1812/07/31/pdfs/GRE-1812-96E.pdf#page=4","Abrir facsímil")</f>
        <v>Abrir facsímil</v>
      </c>
      <c r="K1283" s="3" t="s">
        <v>23</v>
      </c>
    </row>
    <row r="1284" spans="1:11" ht="42" customHeight="1">
      <c r="A1284" s="2" t="s">
        <v>3641</v>
      </c>
      <c r="B1284" s="2" t="s">
        <v>3642</v>
      </c>
      <c r="C1284" s="2" t="s">
        <v>186</v>
      </c>
      <c r="D1284" s="2" t="s">
        <v>275</v>
      </c>
      <c r="E1284" s="4">
        <v>-32078</v>
      </c>
      <c r="F1284" s="3" t="s">
        <v>145</v>
      </c>
      <c r="G1284" s="3" t="s">
        <v>715</v>
      </c>
      <c r="H1284" s="2" t="s">
        <v>21</v>
      </c>
      <c r="I1284" s="2" t="s">
        <v>3643</v>
      </c>
      <c r="J1284" s="3" t="str">
        <f>HYPERLINK("https://www.boe.es/gazeta/dias/1812/03/03/pdfs/GRE-1812-28.pdf#page=8","Abrir facsímil")</f>
        <v>Abrir facsímil</v>
      </c>
      <c r="K1284" s="3" t="s">
        <v>23</v>
      </c>
    </row>
    <row r="1285" spans="1:11" ht="42" customHeight="1">
      <c r="A1285" s="2" t="s">
        <v>3644</v>
      </c>
      <c r="B1285" s="2" t="s">
        <v>3645</v>
      </c>
      <c r="C1285" s="2" t="s">
        <v>105</v>
      </c>
      <c r="D1285" s="2" t="s">
        <v>27</v>
      </c>
      <c r="E1285" s="4">
        <v>-31962</v>
      </c>
      <c r="F1285" s="3" t="s">
        <v>153</v>
      </c>
      <c r="G1285" s="3" t="s">
        <v>154</v>
      </c>
      <c r="H1285" s="2" t="s">
        <v>21</v>
      </c>
      <c r="I1285" s="2" t="s">
        <v>3646</v>
      </c>
      <c r="J1285" s="3" t="str">
        <f>HYPERLINK("https://www.boe.es/gazeta/dias/1812/06/27/pdfs/GRE-1812-79.pdf#page=8","Abrir facsímil")</f>
        <v>Abrir facsímil</v>
      </c>
      <c r="K1285" s="3" t="s">
        <v>23</v>
      </c>
    </row>
    <row r="1286" spans="1:11" ht="42" customHeight="1">
      <c r="A1286" s="2" t="s">
        <v>3644</v>
      </c>
      <c r="B1286" s="2" t="s">
        <v>3645</v>
      </c>
      <c r="C1286" s="2" t="s">
        <v>26</v>
      </c>
      <c r="D1286" s="2" t="s">
        <v>573</v>
      </c>
      <c r="E1286" s="4">
        <v>-31947</v>
      </c>
      <c r="F1286" s="3" t="s">
        <v>3647</v>
      </c>
      <c r="G1286" s="3" t="s">
        <v>3648</v>
      </c>
      <c r="H1286" s="2" t="s">
        <v>21</v>
      </c>
      <c r="I1286" s="2" t="s">
        <v>3649</v>
      </c>
      <c r="J1286" s="3" t="str">
        <f>HYPERLINK("https://www.boe.es/gazeta/dias/1812/07/12/pdfs/GRE-1812-87E.pdf#page=2","Abrir facsímil")</f>
        <v>Abrir facsímil</v>
      </c>
      <c r="K1286" s="3" t="s">
        <v>23</v>
      </c>
    </row>
    <row r="1287" spans="1:11" ht="42" customHeight="1">
      <c r="A1287" s="2" t="s">
        <v>3644</v>
      </c>
      <c r="B1287" s="2" t="s">
        <v>3645</v>
      </c>
      <c r="C1287" s="2" t="s">
        <v>17</v>
      </c>
      <c r="D1287" s="2" t="s">
        <v>18</v>
      </c>
      <c r="E1287" s="4">
        <v>-31947</v>
      </c>
      <c r="F1287" s="3" t="s">
        <v>3647</v>
      </c>
      <c r="G1287" s="3" t="s">
        <v>130</v>
      </c>
      <c r="H1287" s="2" t="s">
        <v>21</v>
      </c>
      <c r="I1287" s="2" t="s">
        <v>3650</v>
      </c>
      <c r="J1287" s="3" t="str">
        <f>HYPERLINK("https://www.boe.es/gazeta/dias/1812/07/12/pdfs/GRE-1812-87E.pdf#page=4","Abrir facsímil")</f>
        <v>Abrir facsímil</v>
      </c>
      <c r="K1287" s="3" t="s">
        <v>23</v>
      </c>
    </row>
    <row r="1288" spans="1:11" ht="42" customHeight="1">
      <c r="A1288" s="2" t="s">
        <v>3651</v>
      </c>
      <c r="B1288" s="2" t="s">
        <v>3652</v>
      </c>
      <c r="C1288" s="2" t="s">
        <v>17</v>
      </c>
      <c r="D1288" s="2" t="s">
        <v>18</v>
      </c>
      <c r="E1288" s="4">
        <v>-32109</v>
      </c>
      <c r="F1288" s="3" t="s">
        <v>62</v>
      </c>
      <c r="G1288" s="3" t="s">
        <v>63</v>
      </c>
      <c r="H1288" s="2" t="s">
        <v>21</v>
      </c>
      <c r="I1288" s="2" t="s">
        <v>3653</v>
      </c>
      <c r="J1288" s="3" t="str">
        <f>HYPERLINK("https://www.boe.es/gazeta/dias/1812/02/01/pdfs/GRE-1812-14.pdf#page=10","Abrir facsímil")</f>
        <v>Abrir facsímil</v>
      </c>
      <c r="K1288" s="3" t="s">
        <v>23</v>
      </c>
    </row>
    <row r="1289" spans="1:11" ht="42" customHeight="1">
      <c r="A1289" s="2" t="s">
        <v>3654</v>
      </c>
      <c r="B1289" s="2" t="s">
        <v>3655</v>
      </c>
      <c r="C1289" s="2" t="s">
        <v>17</v>
      </c>
      <c r="D1289" s="2" t="s">
        <v>134</v>
      </c>
      <c r="E1289" s="4">
        <v>-31983</v>
      </c>
      <c r="F1289" s="3" t="s">
        <v>1437</v>
      </c>
      <c r="G1289" s="3" t="s">
        <v>1438</v>
      </c>
      <c r="H1289" s="2" t="s">
        <v>21</v>
      </c>
      <c r="I1289" s="2" t="s">
        <v>3656</v>
      </c>
      <c r="J1289" s="3" t="str">
        <f>HYPERLINK("https://www.boe.es/gazeta/dias/1812/06/06/pdfs/GRE-F-1812-70.pdf#page=4","Abrir facsímil")</f>
        <v>Abrir facsímil</v>
      </c>
      <c r="K1289" s="3" t="s">
        <v>23</v>
      </c>
    </row>
    <row r="1290" spans="1:11" ht="42" customHeight="1">
      <c r="A1290" s="2" t="s">
        <v>3657</v>
      </c>
      <c r="B1290" s="2" t="s">
        <v>3658</v>
      </c>
      <c r="C1290" s="2" t="s">
        <v>17</v>
      </c>
      <c r="D1290" s="2" t="s">
        <v>27</v>
      </c>
      <c r="E1290" s="4">
        <v>-31936</v>
      </c>
      <c r="F1290" s="3" t="s">
        <v>614</v>
      </c>
      <c r="G1290" s="3" t="s">
        <v>615</v>
      </c>
      <c r="H1290" s="2" t="s">
        <v>21</v>
      </c>
      <c r="I1290" s="2" t="s">
        <v>3659</v>
      </c>
      <c r="J1290" s="3" t="str">
        <f>HYPERLINK("https://www.boe.es/gazeta/dias/1812/07/23/pdfs/GRE-1812-92.pdf#page=8","Abrir facsímil")</f>
        <v>Abrir facsímil</v>
      </c>
      <c r="K1290" s="3" t="s">
        <v>23</v>
      </c>
    </row>
    <row r="1291" spans="1:11" ht="42" customHeight="1">
      <c r="A1291" s="2" t="s">
        <v>3660</v>
      </c>
      <c r="B1291" s="2" t="s">
        <v>3661</v>
      </c>
      <c r="C1291" s="2" t="s">
        <v>105</v>
      </c>
      <c r="D1291" s="2" t="s">
        <v>27</v>
      </c>
      <c r="E1291" s="4">
        <v>-31787</v>
      </c>
      <c r="F1291" s="3" t="s">
        <v>1560</v>
      </c>
      <c r="G1291" s="3" t="s">
        <v>404</v>
      </c>
      <c r="H1291" s="2" t="s">
        <v>21</v>
      </c>
      <c r="I1291" s="2" t="s">
        <v>3662</v>
      </c>
      <c r="J1291" s="3" t="str">
        <f>HYPERLINK("https://www.boe.es/gazeta/dias/1812/12/19/pdfs/GRE-1812-167.pdf#page=8","Abrir facsímil")</f>
        <v>Abrir facsímil</v>
      </c>
      <c r="K1291" s="3" t="s">
        <v>23</v>
      </c>
    </row>
    <row r="1292" spans="1:11" ht="42" customHeight="1">
      <c r="A1292" s="2" t="s">
        <v>3663</v>
      </c>
      <c r="B1292" s="2" t="s">
        <v>3664</v>
      </c>
      <c r="C1292" s="2" t="s">
        <v>17</v>
      </c>
      <c r="D1292" s="2" t="s">
        <v>27</v>
      </c>
      <c r="E1292" s="4">
        <v>-31966</v>
      </c>
      <c r="F1292" s="3" t="s">
        <v>3665</v>
      </c>
      <c r="G1292" s="3" t="s">
        <v>3666</v>
      </c>
      <c r="H1292" s="2" t="s">
        <v>21</v>
      </c>
      <c r="I1292" s="2" t="s">
        <v>3667</v>
      </c>
      <c r="J1292" s="3" t="str">
        <f>HYPERLINK("https://www.boe.es/gazeta/dias/1812/06/23/pdfs/GRE-1812-77.pdf#page=8","Abrir facsímil")</f>
        <v>Abrir facsímil</v>
      </c>
      <c r="K1292" s="3" t="s">
        <v>23</v>
      </c>
    </row>
    <row r="1293" spans="1:11" ht="42" customHeight="1">
      <c r="A1293" s="2" t="s">
        <v>3668</v>
      </c>
      <c r="B1293" s="2" t="s">
        <v>3669</v>
      </c>
      <c r="C1293" s="2" t="s">
        <v>49</v>
      </c>
      <c r="D1293" s="2" t="s">
        <v>27</v>
      </c>
      <c r="E1293" s="4">
        <v>-31957</v>
      </c>
      <c r="F1293" s="3" t="s">
        <v>2173</v>
      </c>
      <c r="G1293" s="3" t="s">
        <v>3034</v>
      </c>
      <c r="H1293" s="2" t="s">
        <v>21</v>
      </c>
      <c r="I1293" s="2" t="s">
        <v>3670</v>
      </c>
      <c r="J1293" s="3" t="str">
        <f>HYPERLINK("https://www.boe.es/gazeta/dias/1812/07/02/pdfs/GRE-1812-81.pdf#page=5","Abrir facsímil")</f>
        <v>Abrir facsímil</v>
      </c>
      <c r="K1293" s="3" t="s">
        <v>23</v>
      </c>
    </row>
    <row r="1294" spans="1:11" ht="42" customHeight="1">
      <c r="A1294" s="2" t="s">
        <v>3671</v>
      </c>
      <c r="B1294" s="2" t="s">
        <v>3672</v>
      </c>
      <c r="C1294" s="2" t="s">
        <v>26</v>
      </c>
      <c r="D1294" s="2" t="s">
        <v>27</v>
      </c>
      <c r="E1294" s="4">
        <v>-31938</v>
      </c>
      <c r="F1294" s="3" t="s">
        <v>324</v>
      </c>
      <c r="G1294" s="3" t="s">
        <v>237</v>
      </c>
      <c r="H1294" s="2" t="s">
        <v>21</v>
      </c>
      <c r="I1294" s="2" t="s">
        <v>3673</v>
      </c>
      <c r="J1294" s="3" t="str">
        <f>HYPERLINK("https://www.boe.es/gazeta/dias/1812/07/21/pdfs/GMD-1812-203.pdf#page=2","Abrir facsímil")</f>
        <v>Abrir facsímil</v>
      </c>
      <c r="K1294" s="3" t="s">
        <v>23</v>
      </c>
    </row>
    <row r="1295" spans="1:11" ht="42" customHeight="1">
      <c r="A1295" s="2" t="s">
        <v>3674</v>
      </c>
      <c r="B1295" s="2" t="s">
        <v>3675</v>
      </c>
      <c r="C1295" s="2" t="s">
        <v>26</v>
      </c>
      <c r="D1295" s="2" t="s">
        <v>27</v>
      </c>
      <c r="E1295" s="4">
        <v>-32067</v>
      </c>
      <c r="F1295" s="3" t="s">
        <v>199</v>
      </c>
      <c r="G1295" s="3" t="s">
        <v>237</v>
      </c>
      <c r="H1295" s="2" t="s">
        <v>21</v>
      </c>
      <c r="I1295" s="2" t="s">
        <v>3676</v>
      </c>
      <c r="J1295" s="3" t="str">
        <f>HYPERLINK("https://www.boe.es/gazeta/dias/1812/03/14/pdfs/GRE-1812-33.pdf#page=8","Abrir facsímil")</f>
        <v>Abrir facsímil</v>
      </c>
      <c r="K1295" s="3" t="s">
        <v>23</v>
      </c>
    </row>
    <row r="1296" spans="1:11" ht="42" customHeight="1">
      <c r="A1296" s="2" t="s">
        <v>3677</v>
      </c>
      <c r="B1296" s="2" t="s">
        <v>3678</v>
      </c>
      <c r="C1296" s="2" t="s">
        <v>26</v>
      </c>
      <c r="D1296" s="2" t="s">
        <v>27</v>
      </c>
      <c r="E1296" s="4">
        <v>-32100</v>
      </c>
      <c r="F1296" s="3" t="s">
        <v>492</v>
      </c>
      <c r="G1296" s="3" t="s">
        <v>493</v>
      </c>
      <c r="H1296" s="2" t="s">
        <v>21</v>
      </c>
      <c r="I1296" s="2" t="s">
        <v>3679</v>
      </c>
      <c r="J1296" s="3" t="str">
        <f>HYPERLINK("https://www.boe.es/gazeta/dias/1812/02/10/pdfs/GRE-1812-31.pdf#page=8","Abrir facsímil")</f>
        <v>Abrir facsímil</v>
      </c>
      <c r="K1296" s="3" t="s">
        <v>23</v>
      </c>
    </row>
    <row r="1297" spans="1:11" ht="42" customHeight="1">
      <c r="A1297" s="2" t="s">
        <v>3677</v>
      </c>
      <c r="B1297" s="2" t="s">
        <v>3678</v>
      </c>
      <c r="C1297" s="2" t="s">
        <v>26</v>
      </c>
      <c r="D1297" s="2" t="s">
        <v>27</v>
      </c>
      <c r="E1297" s="4">
        <v>-32071</v>
      </c>
      <c r="F1297" s="3" t="s">
        <v>492</v>
      </c>
      <c r="G1297" s="3" t="s">
        <v>493</v>
      </c>
      <c r="H1297" s="2" t="s">
        <v>21</v>
      </c>
      <c r="I1297" s="2" t="s">
        <v>3679</v>
      </c>
      <c r="J1297" s="3" t="str">
        <f>HYPERLINK("https://www.boe.es/gazeta/dias/1812/03/10/pdfs/GRE-1812-31.pdf#page=8","Abrir facsímil")</f>
        <v>Abrir facsímil</v>
      </c>
      <c r="K1297" s="3" t="s">
        <v>23</v>
      </c>
    </row>
    <row r="1298" spans="1:11" ht="42" customHeight="1">
      <c r="A1298" s="2" t="s">
        <v>3680</v>
      </c>
      <c r="B1298" s="2" t="s">
        <v>3681</v>
      </c>
      <c r="C1298" s="2" t="s">
        <v>26</v>
      </c>
      <c r="D1298" s="2" t="s">
        <v>27</v>
      </c>
      <c r="E1298" s="4">
        <v>-32018</v>
      </c>
      <c r="F1298" s="3" t="s">
        <v>365</v>
      </c>
      <c r="G1298" s="3" t="s">
        <v>392</v>
      </c>
      <c r="H1298" s="2" t="s">
        <v>21</v>
      </c>
      <c r="I1298" s="2" t="s">
        <v>3682</v>
      </c>
      <c r="J1298" s="3" t="str">
        <f>HYPERLINK("https://www.boe.es/gazeta/dias/1812/05/02/pdfs/GRE-1812-55.pdf#page=2","Abrir facsímil")</f>
        <v>Abrir facsímil</v>
      </c>
      <c r="K1298" s="3" t="s">
        <v>23</v>
      </c>
    </row>
    <row r="1299" spans="1:11" ht="42" customHeight="1">
      <c r="A1299" s="2" t="s">
        <v>3683</v>
      </c>
      <c r="B1299" s="2" t="s">
        <v>3683</v>
      </c>
      <c r="C1299" s="2" t="s">
        <v>17</v>
      </c>
      <c r="D1299" s="2" t="s">
        <v>27</v>
      </c>
      <c r="E1299" s="4">
        <v>-32025</v>
      </c>
      <c r="F1299" s="3" t="s">
        <v>2323</v>
      </c>
      <c r="G1299" s="3" t="s">
        <v>125</v>
      </c>
      <c r="H1299" s="2" t="s">
        <v>21</v>
      </c>
      <c r="I1299" s="2" t="s">
        <v>3684</v>
      </c>
      <c r="J1299" s="3" t="str">
        <f>HYPERLINK("https://www.boe.es/gazeta/dias/1812/04/25/pdfs/GRE-1812-52.pdf#page=7","Abrir facsímil")</f>
        <v>Abrir facsímil</v>
      </c>
      <c r="K1299" s="3" t="s">
        <v>23</v>
      </c>
    </row>
    <row r="1300" spans="1:11" ht="42" customHeight="1">
      <c r="A1300" s="2" t="s">
        <v>3685</v>
      </c>
      <c r="B1300" s="2" t="s">
        <v>3685</v>
      </c>
      <c r="C1300" s="2" t="s">
        <v>105</v>
      </c>
      <c r="D1300" s="2" t="s">
        <v>27</v>
      </c>
      <c r="E1300" s="4">
        <v>-32000</v>
      </c>
      <c r="F1300" s="3" t="s">
        <v>878</v>
      </c>
      <c r="G1300" s="3" t="s">
        <v>130</v>
      </c>
      <c r="H1300" s="2" t="s">
        <v>21</v>
      </c>
      <c r="I1300" s="2" t="s">
        <v>3686</v>
      </c>
      <c r="J1300" s="3" t="str">
        <f>HYPERLINK("https://www.boe.es/gazeta/dias/1812/05/20/pdfs/GMD-1812-141.pdf#page=4","Abrir facsímil")</f>
        <v>Abrir facsímil</v>
      </c>
      <c r="K1300" s="3" t="s">
        <v>23</v>
      </c>
    </row>
    <row r="1301" spans="1:11" ht="42" customHeight="1">
      <c r="A1301" s="2" t="s">
        <v>3687</v>
      </c>
      <c r="B1301" s="2" t="s">
        <v>3687</v>
      </c>
      <c r="C1301" s="2" t="s">
        <v>26</v>
      </c>
      <c r="D1301" s="2" t="s">
        <v>27</v>
      </c>
      <c r="E1301" s="4">
        <v>-32095</v>
      </c>
      <c r="F1301" s="3" t="s">
        <v>1099</v>
      </c>
      <c r="G1301" s="3" t="s">
        <v>438</v>
      </c>
      <c r="H1301" s="2" t="s">
        <v>21</v>
      </c>
      <c r="I1301" s="2" t="s">
        <v>3688</v>
      </c>
      <c r="J1301" s="3" t="str">
        <f>HYPERLINK("https://www.boe.es/gazeta/dias/1812/02/15/pdfs/GMD-1812-46.pdf#page=4","Abrir facsímil")</f>
        <v>Abrir facsímil</v>
      </c>
      <c r="K1301" s="3" t="s">
        <v>23</v>
      </c>
    </row>
    <row r="1302" spans="1:11" ht="42" customHeight="1">
      <c r="A1302" s="2" t="s">
        <v>3689</v>
      </c>
      <c r="B1302" s="2" t="s">
        <v>3689</v>
      </c>
      <c r="C1302" s="2" t="s">
        <v>17</v>
      </c>
      <c r="D1302" s="2" t="s">
        <v>18</v>
      </c>
      <c r="E1302" s="4">
        <v>-32025</v>
      </c>
      <c r="F1302" s="3" t="s">
        <v>2323</v>
      </c>
      <c r="G1302" s="3" t="s">
        <v>45</v>
      </c>
      <c r="H1302" s="2" t="s">
        <v>21</v>
      </c>
      <c r="I1302" s="2" t="s">
        <v>3690</v>
      </c>
      <c r="J1302" s="3" t="str">
        <f>HYPERLINK("https://www.boe.es/gazeta/dias/1812/04/25/pdfs/GRE-1812-52.pdf#page=6","Abrir facsímil")</f>
        <v>Abrir facsímil</v>
      </c>
      <c r="K1302" s="3" t="s">
        <v>23</v>
      </c>
    </row>
    <row r="1303" spans="1:11" ht="42" customHeight="1">
      <c r="A1303" s="2" t="s">
        <v>3691</v>
      </c>
      <c r="B1303" s="2" t="s">
        <v>3692</v>
      </c>
      <c r="C1303" s="2" t="s">
        <v>17</v>
      </c>
      <c r="D1303" s="2" t="s">
        <v>18</v>
      </c>
      <c r="E1303" s="4">
        <v>-32109</v>
      </c>
      <c r="F1303" s="3" t="s">
        <v>62</v>
      </c>
      <c r="G1303" s="3" t="s">
        <v>63</v>
      </c>
      <c r="H1303" s="2" t="s">
        <v>21</v>
      </c>
      <c r="I1303" s="2" t="s">
        <v>3693</v>
      </c>
      <c r="J1303" s="3" t="str">
        <f>HYPERLINK("https://www.boe.es/gazeta/dias/1812/02/01/pdfs/GRE-1812-14.pdf#page=10","Abrir facsímil")</f>
        <v>Abrir facsímil</v>
      </c>
      <c r="K1303" s="3" t="s">
        <v>23</v>
      </c>
    </row>
    <row r="1304" spans="1:11" ht="42" customHeight="1">
      <c r="A1304" s="2" t="s">
        <v>3694</v>
      </c>
      <c r="B1304" s="2" t="s">
        <v>3694</v>
      </c>
      <c r="C1304" s="2" t="s">
        <v>105</v>
      </c>
      <c r="D1304" s="2" t="s">
        <v>275</v>
      </c>
      <c r="E1304" s="4">
        <v>-32040</v>
      </c>
      <c r="F1304" s="3" t="s">
        <v>682</v>
      </c>
      <c r="G1304" s="3" t="s">
        <v>214</v>
      </c>
      <c r="H1304" s="2" t="s">
        <v>21</v>
      </c>
      <c r="I1304" s="2" t="s">
        <v>3695</v>
      </c>
      <c r="J1304" s="3" t="str">
        <f>HYPERLINK("https://www.boe.es/gazeta/dias/1812/04/10/pdfs/GMD-1812-101.pdf#page=3","Abrir facsímil")</f>
        <v>Abrir facsímil</v>
      </c>
      <c r="K1304" s="3" t="s">
        <v>23</v>
      </c>
    </row>
    <row r="1305" spans="1:11" ht="42" customHeight="1">
      <c r="A1305" s="2" t="s">
        <v>3696</v>
      </c>
      <c r="B1305" s="2" t="s">
        <v>3696</v>
      </c>
      <c r="C1305" s="2" t="s">
        <v>26</v>
      </c>
      <c r="D1305" s="2" t="s">
        <v>27</v>
      </c>
      <c r="E1305" s="4">
        <v>-32133</v>
      </c>
      <c r="F1305" s="3" t="s">
        <v>139</v>
      </c>
      <c r="G1305" s="3" t="s">
        <v>140</v>
      </c>
      <c r="H1305" s="2" t="s">
        <v>21</v>
      </c>
      <c r="I1305" s="2" t="s">
        <v>3697</v>
      </c>
      <c r="J1305" s="3" t="str">
        <f>HYPERLINK("https://www.boe.es/gazeta/dias/1812/01/08/pdfs/GMD-1812-8.pdf#page=2","Abrir facsímil")</f>
        <v>Abrir facsímil</v>
      </c>
      <c r="K1305" s="3" t="s">
        <v>23</v>
      </c>
    </row>
    <row r="1306" spans="1:11" ht="42" customHeight="1">
      <c r="A1306" s="2" t="s">
        <v>3696</v>
      </c>
      <c r="B1306" s="2" t="s">
        <v>3696</v>
      </c>
      <c r="C1306" s="2" t="s">
        <v>26</v>
      </c>
      <c r="D1306" s="2" t="s">
        <v>194</v>
      </c>
      <c r="E1306" s="4">
        <v>-32127</v>
      </c>
      <c r="F1306" s="3" t="s">
        <v>3698</v>
      </c>
      <c r="G1306" s="3" t="s">
        <v>172</v>
      </c>
      <c r="H1306" s="2" t="s">
        <v>21</v>
      </c>
      <c r="I1306" s="2" t="s">
        <v>3699</v>
      </c>
      <c r="J1306" s="3" t="str">
        <f>HYPERLINK("https://www.boe.es/gazeta/dias/1812/01/14/pdfs/GMD-1812-14.pdf#page=1","Abrir facsímil")</f>
        <v>Abrir facsímil</v>
      </c>
      <c r="K1306" s="3" t="s">
        <v>23</v>
      </c>
    </row>
    <row r="1307" spans="1:11" ht="42" customHeight="1">
      <c r="A1307" s="2" t="s">
        <v>3696</v>
      </c>
      <c r="B1307" s="2" t="s">
        <v>3696</v>
      </c>
      <c r="C1307" s="2" t="s">
        <v>17</v>
      </c>
      <c r="D1307" s="2" t="s">
        <v>18</v>
      </c>
      <c r="E1307" s="4">
        <v>-32109</v>
      </c>
      <c r="F1307" s="3" t="s">
        <v>62</v>
      </c>
      <c r="G1307" s="3" t="s">
        <v>63</v>
      </c>
      <c r="H1307" s="2" t="s">
        <v>21</v>
      </c>
      <c r="I1307" s="2" t="s">
        <v>3700</v>
      </c>
      <c r="J1307" s="3" t="str">
        <f>HYPERLINK("https://www.boe.es/gazeta/dias/1812/02/01/pdfs/GRE-1812-14.pdf#page=10","Abrir facsímil")</f>
        <v>Abrir facsímil</v>
      </c>
      <c r="K1307" s="3" t="s">
        <v>23</v>
      </c>
    </row>
    <row r="1308" spans="1:11" ht="42" customHeight="1">
      <c r="A1308" s="2" t="s">
        <v>3701</v>
      </c>
      <c r="B1308" s="2" t="s">
        <v>3701</v>
      </c>
      <c r="C1308" s="2" t="s">
        <v>17</v>
      </c>
      <c r="D1308" s="2" t="s">
        <v>18</v>
      </c>
      <c r="E1308" s="4">
        <v>-32063</v>
      </c>
      <c r="F1308" s="3" t="s">
        <v>384</v>
      </c>
      <c r="G1308" s="3" t="s">
        <v>125</v>
      </c>
      <c r="H1308" s="2" t="s">
        <v>21</v>
      </c>
      <c r="I1308" s="2" t="s">
        <v>3702</v>
      </c>
      <c r="J1308" s="3" t="str">
        <f>HYPERLINK("https://www.boe.es/gazeta/dias/1812/03/18/pdfs/GMD-1812-78.pdf#page=3","Abrir facsímil")</f>
        <v>Abrir facsímil</v>
      </c>
      <c r="K1308" s="3" t="s">
        <v>23</v>
      </c>
    </row>
    <row r="1309" spans="1:11" ht="42" customHeight="1">
      <c r="A1309" s="2" t="s">
        <v>3696</v>
      </c>
      <c r="B1309" s="2" t="s">
        <v>3696</v>
      </c>
      <c r="C1309" s="2" t="s">
        <v>26</v>
      </c>
      <c r="D1309" s="2" t="s">
        <v>27</v>
      </c>
      <c r="E1309" s="4">
        <v>-32015</v>
      </c>
      <c r="F1309" s="3" t="s">
        <v>3703</v>
      </c>
      <c r="G1309" s="3" t="s">
        <v>620</v>
      </c>
      <c r="H1309" s="2" t="s">
        <v>21</v>
      </c>
      <c r="I1309" s="2" t="s">
        <v>3704</v>
      </c>
      <c r="J1309" s="3" t="str">
        <f>HYPERLINK("https://www.boe.es/gazeta/dias/1812/05/05/pdfs/GMD-1812-126.pdf#page=4","Abrir facsímil")</f>
        <v>Abrir facsímil</v>
      </c>
      <c r="K1309" s="3" t="s">
        <v>23</v>
      </c>
    </row>
    <row r="1310" spans="1:11" ht="42" customHeight="1">
      <c r="A1310" s="2" t="s">
        <v>3696</v>
      </c>
      <c r="B1310" s="2" t="s">
        <v>3696</v>
      </c>
      <c r="C1310" s="2" t="s">
        <v>26</v>
      </c>
      <c r="D1310" s="2" t="s">
        <v>27</v>
      </c>
      <c r="E1310" s="4">
        <v>-32000</v>
      </c>
      <c r="F1310" s="3" t="s">
        <v>878</v>
      </c>
      <c r="G1310" s="3" t="s">
        <v>514</v>
      </c>
      <c r="H1310" s="2" t="s">
        <v>21</v>
      </c>
      <c r="I1310" s="2" t="s">
        <v>3705</v>
      </c>
      <c r="J1310" s="3" t="str">
        <f>HYPERLINK("https://www.boe.es/gazeta/dias/1812/05/20/pdfs/GMD-1812-141.pdf#page=1","Abrir facsímil")</f>
        <v>Abrir facsímil</v>
      </c>
      <c r="K1310" s="3" t="s">
        <v>23</v>
      </c>
    </row>
    <row r="1311" spans="1:11" ht="42" customHeight="1">
      <c r="A1311" s="2" t="s">
        <v>3696</v>
      </c>
      <c r="B1311" s="2" t="s">
        <v>3696</v>
      </c>
      <c r="C1311" s="2" t="s">
        <v>105</v>
      </c>
      <c r="D1311" s="2" t="s">
        <v>27</v>
      </c>
      <c r="E1311" s="4">
        <v>-31996</v>
      </c>
      <c r="F1311" s="3" t="s">
        <v>3706</v>
      </c>
      <c r="G1311" s="3" t="s">
        <v>2539</v>
      </c>
      <c r="H1311" s="2" t="s">
        <v>21</v>
      </c>
      <c r="I1311" s="2" t="s">
        <v>3707</v>
      </c>
      <c r="J1311" s="3" t="str">
        <f>HYPERLINK("https://www.boe.es/gazeta/dias/1812/05/24/pdfs/GMD-1812-145.pdf#page=2","Abrir facsímil")</f>
        <v>Abrir facsímil</v>
      </c>
      <c r="K1311" s="3" t="s">
        <v>23</v>
      </c>
    </row>
    <row r="1312" spans="1:11" ht="42" customHeight="1">
      <c r="A1312" s="2" t="s">
        <v>3696</v>
      </c>
      <c r="B1312" s="2" t="s">
        <v>3696</v>
      </c>
      <c r="C1312" s="2" t="s">
        <v>17</v>
      </c>
      <c r="D1312" s="2" t="s">
        <v>27</v>
      </c>
      <c r="E1312" s="4">
        <v>-31991</v>
      </c>
      <c r="F1312" s="3" t="s">
        <v>663</v>
      </c>
      <c r="G1312" s="3" t="s">
        <v>404</v>
      </c>
      <c r="H1312" s="2" t="s">
        <v>21</v>
      </c>
      <c r="I1312" s="2" t="s">
        <v>3708</v>
      </c>
      <c r="J1312" s="3" t="str">
        <f>HYPERLINK("https://www.boe.es/gazeta/dias/1812/05/29/pdfs/GMD-1812-150.pdf#page=4","Abrir facsímil")</f>
        <v>Abrir facsímil</v>
      </c>
      <c r="K1312" s="3" t="s">
        <v>23</v>
      </c>
    </row>
    <row r="1313" spans="1:11" ht="42" customHeight="1">
      <c r="A1313" s="2" t="s">
        <v>3696</v>
      </c>
      <c r="B1313" s="2" t="s">
        <v>3696</v>
      </c>
      <c r="C1313" s="2" t="s">
        <v>26</v>
      </c>
      <c r="D1313" s="2" t="s">
        <v>27</v>
      </c>
      <c r="E1313" s="4">
        <v>-31937</v>
      </c>
      <c r="F1313" s="3" t="s">
        <v>1198</v>
      </c>
      <c r="G1313" s="3" t="s">
        <v>140</v>
      </c>
      <c r="H1313" s="2" t="s">
        <v>21</v>
      </c>
      <c r="I1313" s="2" t="s">
        <v>3709</v>
      </c>
      <c r="J1313" s="3" t="str">
        <f>HYPERLINK("https://www.boe.es/gazeta/dias/1812/07/22/pdfs/GMD-1812-204.pdf#page=2","Abrir facsímil")</f>
        <v>Abrir facsímil</v>
      </c>
      <c r="K1313" s="3" t="s">
        <v>23</v>
      </c>
    </row>
    <row r="1314" spans="1:11" ht="42" customHeight="1">
      <c r="A1314" s="2" t="s">
        <v>3696</v>
      </c>
      <c r="B1314" s="2" t="s">
        <v>3696</v>
      </c>
      <c r="C1314" s="2" t="s">
        <v>26</v>
      </c>
      <c r="D1314" s="2" t="s">
        <v>27</v>
      </c>
      <c r="E1314" s="4">
        <v>-31932</v>
      </c>
      <c r="F1314" s="3" t="s">
        <v>3710</v>
      </c>
      <c r="G1314" s="3" t="s">
        <v>3711</v>
      </c>
      <c r="H1314" s="2" t="s">
        <v>21</v>
      </c>
      <c r="I1314" s="2" t="s">
        <v>3712</v>
      </c>
      <c r="J1314" s="3" t="str">
        <f>HYPERLINK("https://www.boe.es/gazeta/dias/1812/07/27/pdfs/GMD-1812-209.pdf#page=2","Abrir facsímil")</f>
        <v>Abrir facsímil</v>
      </c>
      <c r="K1314" s="3" t="s">
        <v>23</v>
      </c>
    </row>
    <row r="1315" spans="1:11" ht="42" customHeight="1">
      <c r="A1315" s="2" t="s">
        <v>3696</v>
      </c>
      <c r="B1315" s="2" t="s">
        <v>3696</v>
      </c>
      <c r="C1315" s="2" t="s">
        <v>17</v>
      </c>
      <c r="D1315" s="2" t="s">
        <v>18</v>
      </c>
      <c r="E1315" s="4">
        <v>-31921</v>
      </c>
      <c r="F1315" s="3" t="s">
        <v>785</v>
      </c>
      <c r="G1315" s="3" t="s">
        <v>3256</v>
      </c>
      <c r="H1315" s="2" t="s">
        <v>21</v>
      </c>
      <c r="I1315" s="2" t="s">
        <v>3713</v>
      </c>
      <c r="J1315" s="3" t="str">
        <f>HYPERLINK("https://www.boe.es/gazeta/dias/1812/08/07/pdfs/GRE-1812-101E.pdf#page=8","Abrir facsímil")</f>
        <v>Abrir facsímil</v>
      </c>
      <c r="K1315" s="3" t="s">
        <v>23</v>
      </c>
    </row>
    <row r="1316" spans="1:11" ht="42" customHeight="1">
      <c r="A1316" s="2" t="s">
        <v>3696</v>
      </c>
      <c r="B1316" s="2" t="s">
        <v>3696</v>
      </c>
      <c r="C1316" s="2" t="s">
        <v>17</v>
      </c>
      <c r="D1316" s="2" t="s">
        <v>27</v>
      </c>
      <c r="E1316" s="4">
        <v>-31911</v>
      </c>
      <c r="F1316" s="3" t="s">
        <v>1950</v>
      </c>
      <c r="G1316" s="3" t="s">
        <v>20</v>
      </c>
      <c r="H1316" s="2" t="s">
        <v>21</v>
      </c>
      <c r="I1316" s="2" t="s">
        <v>3714</v>
      </c>
      <c r="J1316" s="3" t="str">
        <f>HYPERLINK("https://www.boe.es/gazeta/dias/1812/08/17/pdfs/GMR-1812-1.pdf#page=3","Abrir facsímil")</f>
        <v>Abrir facsímil</v>
      </c>
      <c r="K1316" s="3" t="s">
        <v>23</v>
      </c>
    </row>
    <row r="1317" spans="1:11" ht="42" customHeight="1">
      <c r="A1317" s="2" t="s">
        <v>3696</v>
      </c>
      <c r="B1317" s="2" t="s">
        <v>3696</v>
      </c>
      <c r="C1317" s="2" t="s">
        <v>17</v>
      </c>
      <c r="D1317" s="2" t="s">
        <v>18</v>
      </c>
      <c r="E1317" s="4">
        <v>-31909</v>
      </c>
      <c r="F1317" s="3" t="s">
        <v>2735</v>
      </c>
      <c r="G1317" s="3" t="s">
        <v>237</v>
      </c>
      <c r="H1317" s="2" t="s">
        <v>21</v>
      </c>
      <c r="I1317" s="2" t="s">
        <v>3715</v>
      </c>
      <c r="J1317" s="3" t="str">
        <f>HYPERLINK("https://www.boe.es/gazeta/dias/1812/08/19/pdfs/GMR-1812-2.pdf#page=4","Abrir facsímil")</f>
        <v>Abrir facsímil</v>
      </c>
      <c r="K1317" s="3" t="s">
        <v>23</v>
      </c>
    </row>
    <row r="1318" spans="1:11" ht="42" customHeight="1">
      <c r="A1318" s="2" t="s">
        <v>3696</v>
      </c>
      <c r="B1318" s="2" t="s">
        <v>3696</v>
      </c>
      <c r="C1318" s="2" t="s">
        <v>17</v>
      </c>
      <c r="D1318" s="2" t="s">
        <v>27</v>
      </c>
      <c r="E1318" s="4">
        <v>-31905</v>
      </c>
      <c r="F1318" s="3" t="s">
        <v>855</v>
      </c>
      <c r="G1318" s="3" t="s">
        <v>1650</v>
      </c>
      <c r="H1318" s="2" t="s">
        <v>21</v>
      </c>
      <c r="I1318" s="2" t="s">
        <v>3716</v>
      </c>
      <c r="J1318" s="3" t="str">
        <f>HYPERLINK("https://www.boe.es/gazeta/dias/1812/08/23/pdfs/GMR-1812-4.pdf#page=5","Abrir facsímil")</f>
        <v>Abrir facsímil</v>
      </c>
      <c r="K1318" s="3" t="s">
        <v>23</v>
      </c>
    </row>
    <row r="1319" spans="1:11" ht="42" customHeight="1">
      <c r="A1319" s="2" t="s">
        <v>3696</v>
      </c>
      <c r="B1319" s="2" t="s">
        <v>3696</v>
      </c>
      <c r="C1319" s="2" t="s">
        <v>17</v>
      </c>
      <c r="D1319" s="2" t="s">
        <v>18</v>
      </c>
      <c r="E1319" s="4">
        <v>-31905</v>
      </c>
      <c r="F1319" s="3" t="s">
        <v>855</v>
      </c>
      <c r="G1319" s="3" t="s">
        <v>29</v>
      </c>
      <c r="H1319" s="2" t="s">
        <v>21</v>
      </c>
      <c r="I1319" s="2" t="s">
        <v>3717</v>
      </c>
      <c r="J1319" s="3" t="str">
        <f>HYPERLINK("https://www.boe.es/gazeta/dias/1812/08/23/pdfs/GMR-1812-4.pdf#page=8","Abrir facsímil")</f>
        <v>Abrir facsímil</v>
      </c>
      <c r="K1319" s="3" t="s">
        <v>23</v>
      </c>
    </row>
    <row r="1320" spans="1:11" ht="42" customHeight="1">
      <c r="A1320" s="2" t="s">
        <v>3696</v>
      </c>
      <c r="B1320" s="2" t="s">
        <v>3696</v>
      </c>
      <c r="C1320" s="2" t="s">
        <v>17</v>
      </c>
      <c r="D1320" s="2" t="s">
        <v>27</v>
      </c>
      <c r="E1320" s="4">
        <v>-31903</v>
      </c>
      <c r="F1320" s="3" t="s">
        <v>626</v>
      </c>
      <c r="G1320" s="3" t="s">
        <v>196</v>
      </c>
      <c r="H1320" s="2" t="s">
        <v>21</v>
      </c>
      <c r="I1320" s="2" t="s">
        <v>3718</v>
      </c>
      <c r="J1320" s="3" t="str">
        <f>HYPERLINK("https://www.boe.es/gazeta/dias/1812/08/25/pdfs/GMR-1812-5.pdf#page=7","Abrir facsímil")</f>
        <v>Abrir facsímil</v>
      </c>
      <c r="K1320" s="3" t="s">
        <v>23</v>
      </c>
    </row>
    <row r="1321" spans="1:11" ht="42" customHeight="1">
      <c r="A1321" s="2" t="s">
        <v>3701</v>
      </c>
      <c r="B1321" s="2" t="s">
        <v>3701</v>
      </c>
      <c r="C1321" s="2" t="s">
        <v>17</v>
      </c>
      <c r="D1321" s="2" t="s">
        <v>573</v>
      </c>
      <c r="E1321" s="4">
        <v>-31900</v>
      </c>
      <c r="F1321" s="3" t="s">
        <v>276</v>
      </c>
      <c r="G1321" s="3" t="s">
        <v>2313</v>
      </c>
      <c r="H1321" s="2" t="s">
        <v>21</v>
      </c>
      <c r="I1321" s="2" t="s">
        <v>3719</v>
      </c>
      <c r="J1321" s="3" t="str">
        <f>HYPERLINK("https://www.boe.es/gazeta/dias/1812/08/28/pdfs/GRE-1812-113E.pdf#page=3","Abrir facsímil")</f>
        <v>Abrir facsímil</v>
      </c>
      <c r="K1321" s="3" t="s">
        <v>23</v>
      </c>
    </row>
    <row r="1322" spans="1:11" ht="42" customHeight="1">
      <c r="A1322" s="2" t="s">
        <v>3701</v>
      </c>
      <c r="B1322" s="2" t="s">
        <v>3701</v>
      </c>
      <c r="C1322" s="2" t="s">
        <v>17</v>
      </c>
      <c r="D1322" s="2" t="s">
        <v>275</v>
      </c>
      <c r="E1322" s="4">
        <v>-31889</v>
      </c>
      <c r="F1322" s="3" t="s">
        <v>699</v>
      </c>
      <c r="G1322" s="3" t="s">
        <v>20</v>
      </c>
      <c r="H1322" s="2" t="s">
        <v>21</v>
      </c>
      <c r="I1322" s="2" t="s">
        <v>3720</v>
      </c>
      <c r="J1322" s="3" t="str">
        <f>HYPERLINK("https://www.boe.es/gazeta/dias/1812/09/08/pdfs/GMR-1812-11.pdf#page=8","Abrir facsímil")</f>
        <v>Abrir facsímil</v>
      </c>
      <c r="K1322" s="3" t="s">
        <v>23</v>
      </c>
    </row>
    <row r="1323" spans="1:11" ht="42" customHeight="1">
      <c r="A1323" s="2" t="s">
        <v>3696</v>
      </c>
      <c r="B1323" s="2" t="s">
        <v>3696</v>
      </c>
      <c r="C1323" s="2" t="s">
        <v>67</v>
      </c>
      <c r="D1323" s="2" t="s">
        <v>275</v>
      </c>
      <c r="E1323" s="4">
        <v>-31885</v>
      </c>
      <c r="F1323" s="3" t="s">
        <v>750</v>
      </c>
      <c r="G1323" s="3" t="s">
        <v>214</v>
      </c>
      <c r="H1323" s="2" t="s">
        <v>21</v>
      </c>
      <c r="I1323" s="2" t="s">
        <v>3721</v>
      </c>
      <c r="J1323" s="3" t="str">
        <f>HYPERLINK("https://www.boe.es/gazeta/dias/1812/09/12/pdfs/GMR-1812-13.pdf#page=5","Abrir facsímil")</f>
        <v>Abrir facsímil</v>
      </c>
      <c r="K1323" s="3" t="s">
        <v>23</v>
      </c>
    </row>
    <row r="1324" spans="1:11" ht="42" customHeight="1">
      <c r="A1324" s="2" t="s">
        <v>3696</v>
      </c>
      <c r="B1324" s="2" t="s">
        <v>3696</v>
      </c>
      <c r="C1324" s="2" t="s">
        <v>17</v>
      </c>
      <c r="D1324" s="2" t="s">
        <v>27</v>
      </c>
      <c r="E1324" s="4">
        <v>-31871</v>
      </c>
      <c r="F1324" s="3" t="s">
        <v>1399</v>
      </c>
      <c r="G1324" s="3" t="s">
        <v>58</v>
      </c>
      <c r="H1324" s="2" t="s">
        <v>21</v>
      </c>
      <c r="I1324" s="2" t="s">
        <v>3722</v>
      </c>
      <c r="J1324" s="3" t="str">
        <f>HYPERLINK("https://www.boe.es/gazeta/dias/1812/09/26/pdfs/GMR-1812-19.pdf#page=5","Abrir facsímil")</f>
        <v>Abrir facsímil</v>
      </c>
      <c r="K1324" s="3" t="s">
        <v>23</v>
      </c>
    </row>
    <row r="1325" spans="1:11" ht="42" customHeight="1">
      <c r="A1325" s="2" t="s">
        <v>3701</v>
      </c>
      <c r="B1325" s="2" t="s">
        <v>3701</v>
      </c>
      <c r="C1325" s="2" t="s">
        <v>26</v>
      </c>
      <c r="D1325" s="2" t="s">
        <v>275</v>
      </c>
      <c r="E1325" s="4">
        <v>-31868</v>
      </c>
      <c r="F1325" s="3" t="s">
        <v>1833</v>
      </c>
      <c r="G1325" s="3" t="s">
        <v>136</v>
      </c>
      <c r="H1325" s="2" t="s">
        <v>21</v>
      </c>
      <c r="I1325" s="2" t="s">
        <v>3723</v>
      </c>
      <c r="J1325" s="3" t="str">
        <f>HYPERLINK("https://www.boe.es/gazeta/dias/1812/09/29/pdfs/GMR-1812-20.pdf#page=11","Abrir facsímil")</f>
        <v>Abrir facsímil</v>
      </c>
      <c r="K1325" s="3" t="s">
        <v>23</v>
      </c>
    </row>
    <row r="1326" spans="1:11" ht="42" customHeight="1">
      <c r="A1326" s="2" t="s">
        <v>3724</v>
      </c>
      <c r="B1326" s="2" t="s">
        <v>3725</v>
      </c>
      <c r="C1326" s="2" t="s">
        <v>17</v>
      </c>
      <c r="D1326" s="2" t="s">
        <v>18</v>
      </c>
      <c r="E1326" s="4">
        <v>-31861</v>
      </c>
      <c r="F1326" s="3" t="s">
        <v>216</v>
      </c>
      <c r="G1326" s="3" t="s">
        <v>3726</v>
      </c>
      <c r="H1326" s="2" t="s">
        <v>21</v>
      </c>
      <c r="I1326" s="2" t="s">
        <v>3727</v>
      </c>
      <c r="J1326" s="3" t="str">
        <f>HYPERLINK("https://www.boe.es/gazeta/dias/1812/10/06/pdfs/GRE-1812-135.pdf#page=8","Abrir facsímil")</f>
        <v>Abrir facsímil</v>
      </c>
      <c r="K1326" s="3" t="s">
        <v>23</v>
      </c>
    </row>
    <row r="1327" spans="1:11" ht="42" customHeight="1">
      <c r="A1327" s="2" t="s">
        <v>3728</v>
      </c>
      <c r="B1327" s="2" t="s">
        <v>3728</v>
      </c>
      <c r="C1327" s="2" t="s">
        <v>26</v>
      </c>
      <c r="D1327" s="2" t="s">
        <v>27</v>
      </c>
      <c r="E1327" s="4">
        <v>-32124</v>
      </c>
      <c r="F1327" s="3" t="s">
        <v>3729</v>
      </c>
      <c r="G1327" s="3" t="s">
        <v>514</v>
      </c>
      <c r="H1327" s="2" t="s">
        <v>21</v>
      </c>
      <c r="I1327" s="2" t="s">
        <v>3730</v>
      </c>
      <c r="J1327" s="3" t="str">
        <f>HYPERLINK("https://www.boe.es/gazeta/dias/1812/01/17/pdfs/GMD-1812-17.pdf#page=1","Abrir facsímil")</f>
        <v>Abrir facsímil</v>
      </c>
      <c r="K1327" s="3" t="s">
        <v>23</v>
      </c>
    </row>
    <row r="1328" spans="1:11" ht="42" customHeight="1">
      <c r="A1328" s="2" t="s">
        <v>3731</v>
      </c>
      <c r="B1328" s="2" t="s">
        <v>3731</v>
      </c>
      <c r="C1328" s="2" t="s">
        <v>26</v>
      </c>
      <c r="D1328" s="2" t="s">
        <v>27</v>
      </c>
      <c r="E1328" s="4">
        <v>-32065</v>
      </c>
      <c r="F1328" s="3" t="s">
        <v>259</v>
      </c>
      <c r="G1328" s="3" t="s">
        <v>125</v>
      </c>
      <c r="H1328" s="2" t="s">
        <v>21</v>
      </c>
      <c r="I1328" s="2" t="s">
        <v>3732</v>
      </c>
      <c r="J1328" s="3" t="str">
        <f>HYPERLINK("https://www.boe.es/gazeta/dias/1812/03/16/pdfs/GMD-1812-76.pdf#page=3","Abrir facsímil")</f>
        <v>Abrir facsímil</v>
      </c>
      <c r="K1328" s="3" t="s">
        <v>23</v>
      </c>
    </row>
    <row r="1329" spans="1:11" ht="42" customHeight="1">
      <c r="A1329" s="2" t="s">
        <v>3733</v>
      </c>
      <c r="B1329" s="2" t="s">
        <v>3734</v>
      </c>
      <c r="C1329" s="2" t="s">
        <v>26</v>
      </c>
      <c r="D1329" s="2" t="s">
        <v>27</v>
      </c>
      <c r="E1329" s="4">
        <v>-31938</v>
      </c>
      <c r="F1329" s="3" t="s">
        <v>324</v>
      </c>
      <c r="G1329" s="3" t="s">
        <v>404</v>
      </c>
      <c r="H1329" s="2" t="s">
        <v>21</v>
      </c>
      <c r="I1329" s="2" t="s">
        <v>3735</v>
      </c>
      <c r="J1329" s="3" t="str">
        <f>HYPERLINK("https://www.boe.es/gazeta/dias/1812/07/21/pdfs/GMD-1812-203.pdf#page=4","Abrir facsímil")</f>
        <v>Abrir facsímil</v>
      </c>
      <c r="K1329" s="3" t="s">
        <v>23</v>
      </c>
    </row>
    <row r="1330" spans="1:11" ht="42" customHeight="1">
      <c r="A1330" s="2" t="s">
        <v>3736</v>
      </c>
      <c r="B1330" s="2" t="s">
        <v>3737</v>
      </c>
      <c r="C1330" s="2" t="s">
        <v>26</v>
      </c>
      <c r="D1330" s="2" t="s">
        <v>27</v>
      </c>
      <c r="E1330" s="4">
        <v>-31950</v>
      </c>
      <c r="F1330" s="3" t="s">
        <v>1024</v>
      </c>
      <c r="G1330" s="3" t="s">
        <v>1025</v>
      </c>
      <c r="H1330" s="2" t="s">
        <v>21</v>
      </c>
      <c r="I1330" s="2" t="s">
        <v>3738</v>
      </c>
      <c r="J1330" s="3" t="str">
        <f>HYPERLINK("https://www.boe.es/gazeta/dias/1812/07/09/pdfs/GRE-1812-84.pdf#page=7","Abrir facsímil")</f>
        <v>Abrir facsímil</v>
      </c>
      <c r="K1330" s="3" t="s">
        <v>23</v>
      </c>
    </row>
    <row r="1331" spans="1:11" ht="42" customHeight="1">
      <c r="A1331" s="2" t="s">
        <v>3739</v>
      </c>
      <c r="B1331" s="2" t="s">
        <v>3740</v>
      </c>
      <c r="C1331" s="2" t="s">
        <v>26</v>
      </c>
      <c r="D1331" s="2" t="s">
        <v>27</v>
      </c>
      <c r="E1331" s="4">
        <v>-32125</v>
      </c>
      <c r="F1331" s="3" t="s">
        <v>335</v>
      </c>
      <c r="G1331" s="3" t="s">
        <v>336</v>
      </c>
      <c r="H1331" s="2" t="s">
        <v>21</v>
      </c>
      <c r="I1331" s="2" t="s">
        <v>3741</v>
      </c>
      <c r="J1331" s="3" t="str">
        <f>HYPERLINK("https://www.boe.es/gazeta/dias/1812/01/16/pdfs/GEI-1812-7.pdf#page=8","Abrir facsímil")</f>
        <v>Abrir facsímil</v>
      </c>
      <c r="K1331" s="3" t="s">
        <v>23</v>
      </c>
    </row>
    <row r="1332" spans="1:11" ht="42" customHeight="1">
      <c r="A1332" s="2" t="s">
        <v>3742</v>
      </c>
      <c r="B1332" s="2" t="s">
        <v>3743</v>
      </c>
      <c r="C1332" s="2" t="s">
        <v>26</v>
      </c>
      <c r="D1332" s="2" t="s">
        <v>27</v>
      </c>
      <c r="E1332" s="4">
        <v>-31939</v>
      </c>
      <c r="F1332" s="3" t="s">
        <v>408</v>
      </c>
      <c r="G1332" s="3" t="s">
        <v>20</v>
      </c>
      <c r="H1332" s="2" t="s">
        <v>21</v>
      </c>
      <c r="I1332" s="2" t="s">
        <v>3744</v>
      </c>
      <c r="J1332" s="3" t="str">
        <f>HYPERLINK("https://www.boe.es/gazeta/dias/1812/07/20/pdfs/GMD-1812-202.pdf#page=4","Abrir facsímil")</f>
        <v>Abrir facsímil</v>
      </c>
      <c r="K1332" s="3" t="s">
        <v>23</v>
      </c>
    </row>
    <row r="1333" spans="1:11" ht="42" customHeight="1">
      <c r="A1333" s="2" t="s">
        <v>3745</v>
      </c>
      <c r="B1333" s="2" t="s">
        <v>3746</v>
      </c>
      <c r="C1333" s="2" t="s">
        <v>67</v>
      </c>
      <c r="D1333" s="2" t="s">
        <v>27</v>
      </c>
      <c r="E1333" s="4">
        <v>-32034</v>
      </c>
      <c r="F1333" s="3" t="s">
        <v>28</v>
      </c>
      <c r="G1333" s="3" t="s">
        <v>29</v>
      </c>
      <c r="H1333" s="2" t="s">
        <v>21</v>
      </c>
      <c r="I1333" s="2" t="s">
        <v>3747</v>
      </c>
      <c r="J1333" s="3" t="str">
        <f>HYPERLINK("https://www.boe.es/gazeta/dias/1812/04/16/pdfs/GMD-1812-107.pdf#page=8","Abrir facsímil")</f>
        <v>Abrir facsímil</v>
      </c>
      <c r="K1333" s="3" t="s">
        <v>23</v>
      </c>
    </row>
    <row r="1334" spans="1:11" ht="42" customHeight="1">
      <c r="A1334" s="2" t="s">
        <v>3748</v>
      </c>
      <c r="B1334" s="2" t="s">
        <v>3749</v>
      </c>
      <c r="C1334" s="2" t="s">
        <v>26</v>
      </c>
      <c r="D1334" s="2" t="s">
        <v>27</v>
      </c>
      <c r="E1334" s="4">
        <v>-31941</v>
      </c>
      <c r="F1334" s="3" t="s">
        <v>57</v>
      </c>
      <c r="G1334" s="3" t="s">
        <v>58</v>
      </c>
      <c r="H1334" s="2" t="s">
        <v>21</v>
      </c>
      <c r="I1334" s="2" t="s">
        <v>3750</v>
      </c>
      <c r="J1334" s="3" t="str">
        <f>HYPERLINK("https://www.boe.es/gazeta/dias/1812/07/18/pdfs/GMD-1812-200.pdf#page=4","Abrir facsímil")</f>
        <v>Abrir facsímil</v>
      </c>
      <c r="K1334" s="3" t="s">
        <v>23</v>
      </c>
    </row>
    <row r="1335" spans="1:11" ht="42" customHeight="1">
      <c r="A1335" s="2" t="s">
        <v>3751</v>
      </c>
      <c r="B1335" s="2" t="s">
        <v>3752</v>
      </c>
      <c r="C1335" s="2" t="s">
        <v>17</v>
      </c>
      <c r="D1335" s="2" t="s">
        <v>18</v>
      </c>
      <c r="E1335" s="4">
        <v>-32109</v>
      </c>
      <c r="F1335" s="3" t="s">
        <v>62</v>
      </c>
      <c r="G1335" s="3" t="s">
        <v>63</v>
      </c>
      <c r="H1335" s="2" t="s">
        <v>21</v>
      </c>
      <c r="I1335" s="2" t="s">
        <v>3753</v>
      </c>
      <c r="J1335" s="3" t="str">
        <f>HYPERLINK("https://www.boe.es/gazeta/dias/1812/02/01/pdfs/GRE-1812-14.pdf#page=10","Abrir facsímil")</f>
        <v>Abrir facsímil</v>
      </c>
      <c r="K1335" s="3" t="s">
        <v>23</v>
      </c>
    </row>
    <row r="1336" spans="1:11" ht="42" customHeight="1">
      <c r="A1336" s="2" t="s">
        <v>3754</v>
      </c>
      <c r="B1336" s="2" t="s">
        <v>3755</v>
      </c>
      <c r="C1336" s="2" t="s">
        <v>26</v>
      </c>
      <c r="D1336" s="2" t="s">
        <v>27</v>
      </c>
      <c r="E1336" s="4">
        <v>-31940</v>
      </c>
      <c r="F1336" s="3" t="s">
        <v>187</v>
      </c>
      <c r="G1336" s="3" t="s">
        <v>45</v>
      </c>
      <c r="H1336" s="2" t="s">
        <v>21</v>
      </c>
      <c r="I1336" s="2" t="s">
        <v>3756</v>
      </c>
      <c r="J1336" s="3" t="str">
        <f>HYPERLINK("https://www.boe.es/gazeta/dias/1812/07/19/pdfs/GMD-1812-201.pdf#page=2","Abrir facsímil")</f>
        <v>Abrir facsímil</v>
      </c>
      <c r="K1336" s="3" t="s">
        <v>23</v>
      </c>
    </row>
    <row r="1337" spans="1:11" ht="42" customHeight="1">
      <c r="A1337" s="2" t="s">
        <v>3757</v>
      </c>
      <c r="B1337" s="2" t="s">
        <v>3757</v>
      </c>
      <c r="C1337" s="2" t="s">
        <v>26</v>
      </c>
      <c r="D1337" s="2" t="s">
        <v>27</v>
      </c>
      <c r="E1337" s="4">
        <v>-32120</v>
      </c>
      <c r="F1337" s="3" t="s">
        <v>522</v>
      </c>
      <c r="G1337" s="3" t="s">
        <v>3758</v>
      </c>
      <c r="H1337" s="2" t="s">
        <v>21</v>
      </c>
      <c r="I1337" s="2" t="s">
        <v>3759</v>
      </c>
      <c r="J1337" s="3" t="str">
        <f>HYPERLINK("https://www.boe.es/gazeta/dias/1812/01/21/pdfs/GMD-1812-21.pdf#page=1","Abrir facsímil")</f>
        <v>Abrir facsímil</v>
      </c>
      <c r="K1337" s="3" t="s">
        <v>23</v>
      </c>
    </row>
    <row r="1338" spans="1:11" ht="42" customHeight="1">
      <c r="A1338" s="2" t="s">
        <v>3757</v>
      </c>
      <c r="B1338" s="2" t="s">
        <v>3757</v>
      </c>
      <c r="C1338" s="2" t="s">
        <v>26</v>
      </c>
      <c r="D1338" s="2" t="s">
        <v>27</v>
      </c>
      <c r="E1338" s="4">
        <v>-31775</v>
      </c>
      <c r="F1338" s="3" t="s">
        <v>3760</v>
      </c>
      <c r="G1338" s="3" t="s">
        <v>404</v>
      </c>
      <c r="H1338" s="2" t="s">
        <v>21</v>
      </c>
      <c r="I1338" s="2" t="s">
        <v>3761</v>
      </c>
      <c r="J1338" s="3" t="str">
        <f>HYPERLINK("https://www.boe.es/gazeta/dias/1812/12/31/pdfs/GMD-1812-254.pdf#page=2","Abrir facsímil")</f>
        <v>Abrir facsímil</v>
      </c>
      <c r="K1338" s="3" t="s">
        <v>23</v>
      </c>
    </row>
    <row r="1339" spans="1:11" ht="42" customHeight="1">
      <c r="A1339" s="2" t="s">
        <v>3762</v>
      </c>
      <c r="B1339" s="2" t="s">
        <v>3763</v>
      </c>
      <c r="C1339" s="2" t="s">
        <v>17</v>
      </c>
      <c r="D1339" s="2" t="s">
        <v>27</v>
      </c>
      <c r="E1339" s="4">
        <v>-32108</v>
      </c>
      <c r="F1339" s="3" t="s">
        <v>1143</v>
      </c>
      <c r="G1339" s="3" t="s">
        <v>45</v>
      </c>
      <c r="H1339" s="2" t="s">
        <v>21</v>
      </c>
      <c r="I1339" s="2" t="s">
        <v>3764</v>
      </c>
      <c r="J1339" s="3" t="str">
        <f>HYPERLINK("https://www.boe.es/gazeta/dias/1812/02/02/pdfs/GMD-1812-33.pdf#page=4","Abrir facsímil")</f>
        <v>Abrir facsímil</v>
      </c>
      <c r="K1339" s="3" t="s">
        <v>23</v>
      </c>
    </row>
    <row r="1340" spans="1:11" ht="42" customHeight="1">
      <c r="A1340" s="2" t="s">
        <v>3765</v>
      </c>
      <c r="B1340" s="2" t="s">
        <v>3766</v>
      </c>
      <c r="C1340" s="2" t="s">
        <v>26</v>
      </c>
      <c r="D1340" s="2" t="s">
        <v>27</v>
      </c>
      <c r="E1340" s="4">
        <v>-31964</v>
      </c>
      <c r="F1340" s="3" t="s">
        <v>305</v>
      </c>
      <c r="G1340" s="3" t="s">
        <v>306</v>
      </c>
      <c r="H1340" s="2" t="s">
        <v>21</v>
      </c>
      <c r="I1340" s="2" t="s">
        <v>3767</v>
      </c>
      <c r="J1340" s="3" t="str">
        <f>HYPERLINK("https://www.boe.es/gazeta/dias/1812/06/25/pdfs/GMD-1812-177.pdf#page=3","Abrir facsímil")</f>
        <v>Abrir facsímil</v>
      </c>
      <c r="K1340" s="3" t="s">
        <v>23</v>
      </c>
    </row>
    <row r="1341" spans="1:11" ht="42" customHeight="1">
      <c r="A1341" s="2" t="s">
        <v>3768</v>
      </c>
      <c r="B1341" s="2" t="s">
        <v>3769</v>
      </c>
      <c r="C1341" s="2" t="s">
        <v>26</v>
      </c>
      <c r="D1341" s="2" t="s">
        <v>27</v>
      </c>
      <c r="E1341" s="4">
        <v>-32095</v>
      </c>
      <c r="F1341" s="3" t="s">
        <v>1099</v>
      </c>
      <c r="G1341" s="3" t="s">
        <v>438</v>
      </c>
      <c r="H1341" s="2" t="s">
        <v>21</v>
      </c>
      <c r="I1341" s="2" t="s">
        <v>3770</v>
      </c>
      <c r="J1341" s="3" t="str">
        <f>HYPERLINK("https://www.boe.es/gazeta/dias/1812/02/15/pdfs/GMD-1812-46.pdf#page=4","Abrir facsímil")</f>
        <v>Abrir facsímil</v>
      </c>
      <c r="K1341" s="3" t="s">
        <v>23</v>
      </c>
    </row>
    <row r="1342" spans="1:11" ht="42" customHeight="1">
      <c r="A1342" s="2" t="s">
        <v>3771</v>
      </c>
      <c r="B1342" s="2" t="s">
        <v>3772</v>
      </c>
      <c r="C1342" s="2" t="s">
        <v>26</v>
      </c>
      <c r="D1342" s="2" t="s">
        <v>27</v>
      </c>
      <c r="E1342" s="4">
        <v>-32034</v>
      </c>
      <c r="F1342" s="3" t="s">
        <v>28</v>
      </c>
      <c r="G1342" s="3" t="s">
        <v>29</v>
      </c>
      <c r="H1342" s="2" t="s">
        <v>21</v>
      </c>
      <c r="I1342" s="2" t="s">
        <v>3773</v>
      </c>
      <c r="J1342" s="3" t="str">
        <f>HYPERLINK("https://www.boe.es/gazeta/dias/1812/04/16/pdfs/GMD-1812-107.pdf#page=8","Abrir facsímil")</f>
        <v>Abrir facsímil</v>
      </c>
      <c r="K1342" s="3" t="s">
        <v>23</v>
      </c>
    </row>
    <row r="1343" spans="1:11" ht="42" customHeight="1">
      <c r="A1343" s="2" t="s">
        <v>3774</v>
      </c>
      <c r="B1343" s="2" t="s">
        <v>3775</v>
      </c>
      <c r="C1343" s="2" t="s">
        <v>26</v>
      </c>
      <c r="D1343" s="2" t="s">
        <v>27</v>
      </c>
      <c r="E1343" s="4">
        <v>-32095</v>
      </c>
      <c r="F1343" s="3" t="s">
        <v>284</v>
      </c>
      <c r="G1343" s="3" t="s">
        <v>29</v>
      </c>
      <c r="H1343" s="2" t="s">
        <v>21</v>
      </c>
      <c r="I1343" s="2" t="s">
        <v>3776</v>
      </c>
      <c r="J1343" s="3" t="str">
        <f>HYPERLINK("https://www.boe.es/gazeta/dias/1812/02/15/pdfs/GRE-1812-20.pdf#page=8","Abrir facsímil")</f>
        <v>Abrir facsímil</v>
      </c>
      <c r="K1343" s="3" t="s">
        <v>23</v>
      </c>
    </row>
    <row r="1344" spans="1:11" ht="42" customHeight="1">
      <c r="A1344" s="2" t="s">
        <v>3777</v>
      </c>
      <c r="B1344" s="2" t="s">
        <v>3778</v>
      </c>
      <c r="C1344" s="2" t="s">
        <v>115</v>
      </c>
      <c r="D1344" s="2" t="s">
        <v>27</v>
      </c>
      <c r="E1344" s="4">
        <v>-31962</v>
      </c>
      <c r="F1344" s="3" t="s">
        <v>643</v>
      </c>
      <c r="G1344" s="3" t="s">
        <v>644</v>
      </c>
      <c r="H1344" s="2" t="s">
        <v>21</v>
      </c>
      <c r="I1344" s="2" t="s">
        <v>3779</v>
      </c>
      <c r="J1344" s="3" t="str">
        <f>HYPERLINK("https://www.boe.es/gazeta/dias/1812/06/27/pdfs/GMD-1812-179.pdf#page=2","Abrir facsímil")</f>
        <v>Abrir facsímil</v>
      </c>
      <c r="K1344" s="3" t="s">
        <v>23</v>
      </c>
    </row>
    <row r="1345" spans="1:11" ht="42" customHeight="1">
      <c r="A1345" s="2" t="s">
        <v>3780</v>
      </c>
      <c r="B1345" s="2" t="s">
        <v>3781</v>
      </c>
      <c r="C1345" s="2" t="s">
        <v>17</v>
      </c>
      <c r="D1345" s="2" t="s">
        <v>18</v>
      </c>
      <c r="E1345" s="4">
        <v>-31833</v>
      </c>
      <c r="F1345" s="3" t="s">
        <v>267</v>
      </c>
      <c r="G1345" s="3" t="s">
        <v>268</v>
      </c>
      <c r="H1345" s="2" t="s">
        <v>21</v>
      </c>
      <c r="I1345" s="2" t="s">
        <v>3782</v>
      </c>
      <c r="J1345" s="3" t="str">
        <f>HYPERLINK("https://www.boe.es/gazeta/dias/1812/11/03/pdfs/GRE-1812-147.pdf#page=8","Abrir facsímil")</f>
        <v>Abrir facsímil</v>
      </c>
      <c r="K1345" s="3" t="s">
        <v>23</v>
      </c>
    </row>
    <row r="1346" spans="1:11" ht="42" customHeight="1">
      <c r="A1346" s="2" t="s">
        <v>3783</v>
      </c>
      <c r="B1346" s="2" t="s">
        <v>3784</v>
      </c>
      <c r="C1346" s="2" t="s">
        <v>17</v>
      </c>
      <c r="D1346" s="2" t="s">
        <v>18</v>
      </c>
      <c r="E1346" s="4">
        <v>-31816</v>
      </c>
      <c r="F1346" s="3" t="s">
        <v>270</v>
      </c>
      <c r="G1346" s="3" t="s">
        <v>271</v>
      </c>
      <c r="H1346" s="2" t="s">
        <v>21</v>
      </c>
      <c r="I1346" s="2" t="s">
        <v>3785</v>
      </c>
      <c r="J1346" s="3" t="str">
        <f>HYPERLINK("https://www.boe.es/gazeta/dias/1812/11/20/pdfs/GMR-1812-36.pdf#page=6","Abrir facsímil")</f>
        <v>Abrir facsímil</v>
      </c>
      <c r="K1346" s="3" t="s">
        <v>23</v>
      </c>
    </row>
    <row r="1347" spans="1:11" ht="42" customHeight="1">
      <c r="A1347" s="2" t="s">
        <v>3786</v>
      </c>
      <c r="B1347" s="2" t="s">
        <v>3787</v>
      </c>
      <c r="C1347" s="2" t="s">
        <v>26</v>
      </c>
      <c r="D1347" s="2" t="s">
        <v>27</v>
      </c>
      <c r="E1347" s="4">
        <v>-32000</v>
      </c>
      <c r="F1347" s="3" t="s">
        <v>878</v>
      </c>
      <c r="G1347" s="3" t="s">
        <v>214</v>
      </c>
      <c r="H1347" s="2" t="s">
        <v>21</v>
      </c>
      <c r="I1347" s="2" t="s">
        <v>3788</v>
      </c>
      <c r="J1347" s="3" t="str">
        <f>HYPERLINK("https://www.boe.es/gazeta/dias/1812/05/20/pdfs/GMD-1812-141.pdf#page=2","Abrir facsímil")</f>
        <v>Abrir facsímil</v>
      </c>
      <c r="K1347" s="3" t="s">
        <v>23</v>
      </c>
    </row>
    <row r="1348" spans="1:11" ht="42" customHeight="1">
      <c r="A1348" s="2" t="s">
        <v>3789</v>
      </c>
      <c r="B1348" s="2" t="s">
        <v>3790</v>
      </c>
      <c r="C1348" s="2" t="s">
        <v>26</v>
      </c>
      <c r="D1348" s="2" t="s">
        <v>27</v>
      </c>
      <c r="E1348" s="4">
        <v>-31929</v>
      </c>
      <c r="F1348" s="3" t="s">
        <v>1148</v>
      </c>
      <c r="G1348" s="3" t="s">
        <v>125</v>
      </c>
      <c r="H1348" s="2" t="s">
        <v>21</v>
      </c>
      <c r="I1348" s="2" t="s">
        <v>3791</v>
      </c>
      <c r="J1348" s="3" t="str">
        <f>HYPERLINK("https://www.boe.es/gazeta/dias/1812/07/30/pdfs/GRE-1812-95.pdf#page=7","Abrir facsímil")</f>
        <v>Abrir facsímil</v>
      </c>
      <c r="K1348" s="3" t="s">
        <v>23</v>
      </c>
    </row>
    <row r="1349" spans="1:11" ht="42" customHeight="1">
      <c r="A1349" s="2" t="s">
        <v>3792</v>
      </c>
      <c r="B1349" s="2" t="s">
        <v>3793</v>
      </c>
      <c r="C1349" s="2" t="s">
        <v>26</v>
      </c>
      <c r="D1349" s="2" t="s">
        <v>27</v>
      </c>
      <c r="E1349" s="4">
        <v>-31999</v>
      </c>
      <c r="F1349" s="3" t="s">
        <v>806</v>
      </c>
      <c r="G1349" s="3" t="s">
        <v>3794</v>
      </c>
      <c r="H1349" s="2" t="s">
        <v>21</v>
      </c>
      <c r="I1349" s="2" t="s">
        <v>3795</v>
      </c>
      <c r="J1349" s="3" t="str">
        <f>HYPERLINK("https://www.boe.es/gazeta/dias/1812/05/21/pdfs/GRE-1812-63.pdf#page=4","Abrir facsímil")</f>
        <v>Abrir facsímil</v>
      </c>
      <c r="K1349" s="3" t="s">
        <v>23</v>
      </c>
    </row>
    <row r="1350" spans="1:11" ht="42" customHeight="1">
      <c r="A1350" s="2" t="s">
        <v>3796</v>
      </c>
      <c r="B1350" s="2" t="s">
        <v>3796</v>
      </c>
      <c r="C1350" s="2" t="s">
        <v>17</v>
      </c>
      <c r="D1350" s="2" t="s">
        <v>18</v>
      </c>
      <c r="E1350" s="4">
        <v>-32097</v>
      </c>
      <c r="F1350" s="3" t="s">
        <v>3797</v>
      </c>
      <c r="G1350" s="3" t="s">
        <v>3798</v>
      </c>
      <c r="H1350" s="2" t="s">
        <v>21</v>
      </c>
      <c r="I1350" s="2" t="s">
        <v>3799</v>
      </c>
      <c r="J1350" s="3" t="str">
        <f>HYPERLINK("https://www.boe.es/gazeta/dias/1812/02/13/pdfs/GRE-1812-19.pdf#page=3","Abrir facsímil")</f>
        <v>Abrir facsímil</v>
      </c>
      <c r="K1350" s="3" t="s">
        <v>23</v>
      </c>
    </row>
    <row r="1351" spans="1:11" ht="42" customHeight="1">
      <c r="A1351" s="2" t="s">
        <v>3800</v>
      </c>
      <c r="B1351" s="2" t="s">
        <v>3801</v>
      </c>
      <c r="C1351" s="2" t="s">
        <v>105</v>
      </c>
      <c r="D1351" s="2" t="s">
        <v>27</v>
      </c>
      <c r="E1351" s="4">
        <v>-32097</v>
      </c>
      <c r="F1351" s="3" t="s">
        <v>3797</v>
      </c>
      <c r="G1351" s="3" t="s">
        <v>3802</v>
      </c>
      <c r="H1351" s="2" t="s">
        <v>21</v>
      </c>
      <c r="I1351" s="2" t="s">
        <v>3803</v>
      </c>
      <c r="J1351" s="3" t="str">
        <f>HYPERLINK("https://www.boe.es/gazeta/dias/1812/02/13/pdfs/GRE-1812-19.pdf#page=2","Abrir facsímil")</f>
        <v>Abrir facsímil</v>
      </c>
      <c r="K1351" s="3" t="s">
        <v>23</v>
      </c>
    </row>
    <row r="1352" spans="1:11" ht="42" customHeight="1">
      <c r="A1352" s="2" t="s">
        <v>3800</v>
      </c>
      <c r="B1352" s="2" t="s">
        <v>3801</v>
      </c>
      <c r="C1352" s="2" t="s">
        <v>17</v>
      </c>
      <c r="D1352" s="2" t="s">
        <v>18</v>
      </c>
      <c r="E1352" s="4">
        <v>-31900</v>
      </c>
      <c r="F1352" s="3" t="s">
        <v>276</v>
      </c>
      <c r="G1352" s="3" t="s">
        <v>794</v>
      </c>
      <c r="H1352" s="2" t="s">
        <v>21</v>
      </c>
      <c r="I1352" s="2" t="s">
        <v>3804</v>
      </c>
      <c r="J1352" s="3" t="str">
        <f>HYPERLINK("https://www.boe.es/gazeta/dias/1812/08/28/pdfs/GRE-1812-113E.pdf#page=7","Abrir facsímil")</f>
        <v>Abrir facsímil</v>
      </c>
      <c r="K1352" s="3" t="s">
        <v>23</v>
      </c>
    </row>
    <row r="1353" spans="1:11" ht="42" customHeight="1">
      <c r="A1353" s="2" t="s">
        <v>3805</v>
      </c>
      <c r="B1353" s="2" t="s">
        <v>3806</v>
      </c>
      <c r="C1353" s="2" t="s">
        <v>26</v>
      </c>
      <c r="D1353" s="2" t="s">
        <v>27</v>
      </c>
      <c r="E1353" s="4">
        <v>-32130</v>
      </c>
      <c r="F1353" s="3" t="s">
        <v>927</v>
      </c>
      <c r="G1353" s="3" t="s">
        <v>130</v>
      </c>
      <c r="H1353" s="2" t="s">
        <v>21</v>
      </c>
      <c r="I1353" s="2" t="s">
        <v>3807</v>
      </c>
      <c r="J1353" s="3" t="str">
        <f>HYPERLINK("https://www.boe.es/gazeta/dias/1812/01/11/pdfs/GMD-1812-11.pdf#page=4","Abrir facsímil")</f>
        <v>Abrir facsímil</v>
      </c>
      <c r="K1353" s="3" t="s">
        <v>23</v>
      </c>
    </row>
    <row r="1354" spans="1:11" ht="42" customHeight="1">
      <c r="A1354" s="2" t="s">
        <v>3808</v>
      </c>
      <c r="B1354" s="2" t="s">
        <v>3809</v>
      </c>
      <c r="C1354" s="2" t="s">
        <v>26</v>
      </c>
      <c r="D1354" s="2" t="s">
        <v>27</v>
      </c>
      <c r="E1354" s="4">
        <v>-31938</v>
      </c>
      <c r="F1354" s="3" t="s">
        <v>324</v>
      </c>
      <c r="G1354" s="3" t="s">
        <v>404</v>
      </c>
      <c r="H1354" s="2" t="s">
        <v>21</v>
      </c>
      <c r="I1354" s="2" t="s">
        <v>3810</v>
      </c>
      <c r="J1354" s="3" t="str">
        <f>HYPERLINK("https://www.boe.es/gazeta/dias/1812/07/21/pdfs/GMD-1812-203.pdf#page=4","Abrir facsímil")</f>
        <v>Abrir facsímil</v>
      </c>
      <c r="K1354" s="3" t="s">
        <v>23</v>
      </c>
    </row>
    <row r="1355" spans="1:11" ht="42" customHeight="1">
      <c r="A1355" s="2" t="s">
        <v>3811</v>
      </c>
      <c r="B1355" s="2" t="s">
        <v>3812</v>
      </c>
      <c r="C1355" s="2" t="s">
        <v>26</v>
      </c>
      <c r="D1355" s="2" t="s">
        <v>27</v>
      </c>
      <c r="E1355" s="4">
        <v>-31857</v>
      </c>
      <c r="F1355" s="3" t="s">
        <v>1000</v>
      </c>
      <c r="G1355" s="3" t="s">
        <v>136</v>
      </c>
      <c r="H1355" s="2" t="s">
        <v>21</v>
      </c>
      <c r="I1355" s="2" t="s">
        <v>3813</v>
      </c>
      <c r="J1355" s="3" t="str">
        <f>HYPERLINK("https://www.boe.es/gazeta/dias/1812/10/10/pdfs/GRE-1812-137.pdf#page=8","Abrir facsímil")</f>
        <v>Abrir facsímil</v>
      </c>
      <c r="K1355" s="3" t="s">
        <v>23</v>
      </c>
    </row>
    <row r="1356" spans="1:11" ht="42" customHeight="1">
      <c r="A1356" s="2" t="s">
        <v>3814</v>
      </c>
      <c r="B1356" s="2" t="s">
        <v>3814</v>
      </c>
      <c r="C1356" s="2" t="s">
        <v>17</v>
      </c>
      <c r="D1356" s="2" t="s">
        <v>27</v>
      </c>
      <c r="E1356" s="4">
        <v>-32050</v>
      </c>
      <c r="F1356" s="3" t="s">
        <v>864</v>
      </c>
      <c r="G1356" s="3" t="s">
        <v>2847</v>
      </c>
      <c r="H1356" s="2" t="s">
        <v>21</v>
      </c>
      <c r="I1356" s="2" t="s">
        <v>3815</v>
      </c>
      <c r="J1356" s="3" t="str">
        <f>HYPERLINK("https://www.boe.es/gazeta/dias/1812/03/31/pdfs/GRE-1812-40.pdf#page=5","Abrir facsímil")</f>
        <v>Abrir facsímil</v>
      </c>
      <c r="K1356" s="3" t="s">
        <v>23</v>
      </c>
    </row>
    <row r="1357" spans="1:11" ht="42" customHeight="1">
      <c r="A1357" s="2" t="s">
        <v>3814</v>
      </c>
      <c r="B1357" s="2" t="s">
        <v>3814</v>
      </c>
      <c r="C1357" s="2" t="s">
        <v>17</v>
      </c>
      <c r="D1357" s="2" t="s">
        <v>194</v>
      </c>
      <c r="E1357" s="4">
        <v>-31909</v>
      </c>
      <c r="F1357" s="3" t="s">
        <v>2735</v>
      </c>
      <c r="G1357" s="3" t="s">
        <v>2262</v>
      </c>
      <c r="H1357" s="2" t="s">
        <v>21</v>
      </c>
      <c r="I1357" s="2" t="s">
        <v>3816</v>
      </c>
      <c r="J1357" s="3" t="str">
        <f>HYPERLINK("https://www.boe.es/gazeta/dias/1812/08/19/pdfs/GMR-1812-2.pdf#page=5","Abrir facsímil")</f>
        <v>Abrir facsímil</v>
      </c>
      <c r="K1357" s="3" t="s">
        <v>23</v>
      </c>
    </row>
    <row r="1358" spans="1:11" ht="42" customHeight="1">
      <c r="A1358" s="2" t="s">
        <v>3817</v>
      </c>
      <c r="B1358" s="2" t="s">
        <v>3818</v>
      </c>
      <c r="C1358" s="2" t="s">
        <v>17</v>
      </c>
      <c r="D1358" s="2" t="s">
        <v>27</v>
      </c>
      <c r="E1358" s="4">
        <v>-32075</v>
      </c>
      <c r="F1358" s="3" t="s">
        <v>301</v>
      </c>
      <c r="G1358" s="3" t="s">
        <v>20</v>
      </c>
      <c r="H1358" s="2" t="s">
        <v>21</v>
      </c>
      <c r="I1358" s="2" t="s">
        <v>3819</v>
      </c>
      <c r="J1358" s="3" t="str">
        <f>HYPERLINK("https://www.boe.es/gazeta/dias/1812/03/06/pdfs/GMD-1812-66.pdf#page=4","Abrir facsímil")</f>
        <v>Abrir facsímil</v>
      </c>
      <c r="K1358" s="3" t="s">
        <v>23</v>
      </c>
    </row>
    <row r="1359" spans="1:11" ht="42" customHeight="1">
      <c r="A1359" s="2" t="s">
        <v>3820</v>
      </c>
      <c r="B1359" s="2" t="s">
        <v>3821</v>
      </c>
      <c r="C1359" s="2" t="s">
        <v>26</v>
      </c>
      <c r="D1359" s="2" t="s">
        <v>27</v>
      </c>
      <c r="E1359" s="4">
        <v>-32067</v>
      </c>
      <c r="F1359" s="3" t="s">
        <v>199</v>
      </c>
      <c r="G1359" s="3" t="s">
        <v>237</v>
      </c>
      <c r="H1359" s="2" t="s">
        <v>21</v>
      </c>
      <c r="I1359" s="2" t="s">
        <v>3822</v>
      </c>
      <c r="J1359" s="3" t="str">
        <f>HYPERLINK("https://www.boe.es/gazeta/dias/1812/03/14/pdfs/GRE-1812-33.pdf#page=8","Abrir facsímil")</f>
        <v>Abrir facsímil</v>
      </c>
      <c r="K1359" s="3" t="s">
        <v>23</v>
      </c>
    </row>
    <row r="1360" spans="1:11" ht="42" customHeight="1">
      <c r="A1360" s="2" t="s">
        <v>3823</v>
      </c>
      <c r="B1360" s="2" t="s">
        <v>3824</v>
      </c>
      <c r="C1360" s="2" t="s">
        <v>26</v>
      </c>
      <c r="D1360" s="2" t="s">
        <v>27</v>
      </c>
      <c r="E1360" s="4">
        <v>-32075</v>
      </c>
      <c r="F1360" s="3" t="s">
        <v>301</v>
      </c>
      <c r="G1360" s="3" t="s">
        <v>20</v>
      </c>
      <c r="H1360" s="2" t="s">
        <v>21</v>
      </c>
      <c r="I1360" s="2" t="s">
        <v>3825</v>
      </c>
      <c r="J1360" s="3" t="str">
        <f>HYPERLINK("https://www.boe.es/gazeta/dias/1812/03/06/pdfs/GMD-1812-66.pdf#page=4","Abrir facsímil")</f>
        <v>Abrir facsímil</v>
      </c>
      <c r="K1360" s="3" t="s">
        <v>23</v>
      </c>
    </row>
    <row r="1361" spans="1:11" ht="42" customHeight="1">
      <c r="A1361" s="2" t="s">
        <v>3826</v>
      </c>
      <c r="B1361" s="2" t="s">
        <v>3827</v>
      </c>
      <c r="C1361" s="2" t="s">
        <v>26</v>
      </c>
      <c r="D1361" s="2" t="s">
        <v>27</v>
      </c>
      <c r="E1361" s="4">
        <v>-32100</v>
      </c>
      <c r="F1361" s="3" t="s">
        <v>492</v>
      </c>
      <c r="G1361" s="3" t="s">
        <v>493</v>
      </c>
      <c r="H1361" s="2" t="s">
        <v>21</v>
      </c>
      <c r="I1361" s="2" t="s">
        <v>3828</v>
      </c>
      <c r="J1361" s="3" t="str">
        <f>HYPERLINK("https://www.boe.es/gazeta/dias/1812/02/10/pdfs/GRE-1812-31.pdf#page=8","Abrir facsímil")</f>
        <v>Abrir facsímil</v>
      </c>
      <c r="K1361" s="3" t="s">
        <v>23</v>
      </c>
    </row>
    <row r="1362" spans="1:11" ht="42" customHeight="1">
      <c r="A1362" s="2" t="s">
        <v>3826</v>
      </c>
      <c r="B1362" s="2" t="s">
        <v>3827</v>
      </c>
      <c r="C1362" s="2" t="s">
        <v>26</v>
      </c>
      <c r="D1362" s="2" t="s">
        <v>27</v>
      </c>
      <c r="E1362" s="4">
        <v>-32071</v>
      </c>
      <c r="F1362" s="3" t="s">
        <v>492</v>
      </c>
      <c r="G1362" s="3" t="s">
        <v>493</v>
      </c>
      <c r="H1362" s="2" t="s">
        <v>21</v>
      </c>
      <c r="I1362" s="2" t="s">
        <v>3828</v>
      </c>
      <c r="J1362" s="3" t="str">
        <f>HYPERLINK("https://www.boe.es/gazeta/dias/1812/03/10/pdfs/GRE-1812-31.pdf#page=8","Abrir facsímil")</f>
        <v>Abrir facsímil</v>
      </c>
      <c r="K1362" s="3" t="s">
        <v>23</v>
      </c>
    </row>
    <row r="1363" spans="1:11" ht="42" customHeight="1">
      <c r="A1363" s="2" t="s">
        <v>3829</v>
      </c>
      <c r="B1363" s="2" t="s">
        <v>3830</v>
      </c>
      <c r="C1363" s="2" t="s">
        <v>17</v>
      </c>
      <c r="D1363" s="2" t="s">
        <v>27</v>
      </c>
      <c r="E1363" s="4">
        <v>-32118</v>
      </c>
      <c r="F1363" s="3" t="s">
        <v>964</v>
      </c>
      <c r="G1363" s="3" t="s">
        <v>965</v>
      </c>
      <c r="H1363" s="2" t="s">
        <v>21</v>
      </c>
      <c r="I1363" s="2" t="s">
        <v>3831</v>
      </c>
      <c r="J1363" s="3" t="str">
        <f>HYPERLINK("https://www.boe.es/gazeta/dias/1812/01/23/pdfs/GEI-H-1812-10.pdf#page=4","Abrir facsímil")</f>
        <v>Abrir facsímil</v>
      </c>
      <c r="K1363" s="3" t="s">
        <v>23</v>
      </c>
    </row>
    <row r="1364" spans="1:11" ht="42" customHeight="1">
      <c r="A1364" s="2" t="s">
        <v>3832</v>
      </c>
      <c r="B1364" s="2" t="s">
        <v>3833</v>
      </c>
      <c r="C1364" s="2" t="s">
        <v>26</v>
      </c>
      <c r="D1364" s="2" t="s">
        <v>27</v>
      </c>
      <c r="E1364" s="4">
        <v>-32075</v>
      </c>
      <c r="F1364" s="3" t="s">
        <v>301</v>
      </c>
      <c r="G1364" s="3" t="s">
        <v>20</v>
      </c>
      <c r="H1364" s="2" t="s">
        <v>21</v>
      </c>
      <c r="I1364" s="2" t="s">
        <v>3834</v>
      </c>
      <c r="J1364" s="3" t="str">
        <f>HYPERLINK("https://www.boe.es/gazeta/dias/1812/03/06/pdfs/GMD-1812-66.pdf#page=4","Abrir facsímil")</f>
        <v>Abrir facsímil</v>
      </c>
      <c r="K1364" s="3" t="s">
        <v>23</v>
      </c>
    </row>
    <row r="1365" spans="1:11" ht="42" customHeight="1">
      <c r="A1365" s="2" t="s">
        <v>3835</v>
      </c>
      <c r="B1365" s="2" t="s">
        <v>3836</v>
      </c>
      <c r="C1365" s="2" t="s">
        <v>26</v>
      </c>
      <c r="D1365" s="2" t="s">
        <v>27</v>
      </c>
      <c r="E1365" s="4">
        <v>-32067</v>
      </c>
      <c r="F1365" s="3" t="s">
        <v>199</v>
      </c>
      <c r="G1365" s="3" t="s">
        <v>237</v>
      </c>
      <c r="H1365" s="2" t="s">
        <v>21</v>
      </c>
      <c r="I1365" s="2" t="s">
        <v>3837</v>
      </c>
      <c r="J1365" s="3" t="str">
        <f>HYPERLINK("https://www.boe.es/gazeta/dias/1812/03/14/pdfs/GRE-1812-33.pdf#page=8","Abrir facsímil")</f>
        <v>Abrir facsímil</v>
      </c>
      <c r="K1365" s="3" t="s">
        <v>23</v>
      </c>
    </row>
    <row r="1366" spans="1:11" ht="42" customHeight="1">
      <c r="A1366" s="2" t="s">
        <v>3838</v>
      </c>
      <c r="B1366" s="2" t="s">
        <v>3839</v>
      </c>
      <c r="C1366" s="2" t="s">
        <v>26</v>
      </c>
      <c r="D1366" s="2" t="s">
        <v>27</v>
      </c>
      <c r="E1366" s="4">
        <v>-32137</v>
      </c>
      <c r="F1366" s="3" t="s">
        <v>355</v>
      </c>
      <c r="G1366" s="3" t="s">
        <v>117</v>
      </c>
      <c r="H1366" s="2" t="s">
        <v>21</v>
      </c>
      <c r="I1366" s="2" t="s">
        <v>3840</v>
      </c>
      <c r="J1366" s="3" t="str">
        <f>HYPERLINK("https://www.boe.es/gazeta/dias/1812/01/04/pdfs/GEI-1812-2.pdf#page=8","Abrir facsímil")</f>
        <v>Abrir facsímil</v>
      </c>
      <c r="K1366" s="3" t="s">
        <v>23</v>
      </c>
    </row>
    <row r="1367" spans="1:11" ht="42" customHeight="1">
      <c r="A1367" s="2" t="s">
        <v>3841</v>
      </c>
      <c r="B1367" s="2" t="s">
        <v>3842</v>
      </c>
      <c r="C1367" s="2" t="s">
        <v>26</v>
      </c>
      <c r="D1367" s="2" t="s">
        <v>27</v>
      </c>
      <c r="E1367" s="4">
        <v>-31973</v>
      </c>
      <c r="F1367" s="3" t="s">
        <v>1735</v>
      </c>
      <c r="G1367" s="3" t="s">
        <v>125</v>
      </c>
      <c r="H1367" s="2" t="s">
        <v>21</v>
      </c>
      <c r="I1367" s="2" t="s">
        <v>3843</v>
      </c>
      <c r="J1367" s="3" t="str">
        <f>HYPERLINK("https://www.boe.es/gazeta/dias/1812/06/16/pdfs/GRE-1812-74.pdf#page=4","Abrir facsímil")</f>
        <v>Abrir facsímil</v>
      </c>
      <c r="K1367" s="3" t="s">
        <v>23</v>
      </c>
    </row>
    <row r="1368" spans="1:11" ht="42" customHeight="1">
      <c r="A1368" s="2" t="s">
        <v>3844</v>
      </c>
      <c r="B1368" s="2" t="s">
        <v>3844</v>
      </c>
      <c r="C1368" s="2" t="s">
        <v>17</v>
      </c>
      <c r="D1368" s="2" t="s">
        <v>27</v>
      </c>
      <c r="E1368" s="4">
        <v>-31934</v>
      </c>
      <c r="F1368" s="3" t="s">
        <v>509</v>
      </c>
      <c r="G1368" s="3" t="s">
        <v>510</v>
      </c>
      <c r="H1368" s="2" t="s">
        <v>21</v>
      </c>
      <c r="I1368" s="2" t="s">
        <v>3845</v>
      </c>
      <c r="J1368" s="3" t="str">
        <f>HYPERLINK("https://www.boe.es/gazeta/dias/1812/07/25/pdfs/GRE-1812-93.pdf#page=5","Abrir facsímil")</f>
        <v>Abrir facsímil</v>
      </c>
      <c r="K1368" s="3" t="s">
        <v>23</v>
      </c>
    </row>
    <row r="1369" spans="1:11" ht="42" customHeight="1">
      <c r="A1369" s="2" t="s">
        <v>3844</v>
      </c>
      <c r="B1369" s="2" t="s">
        <v>3844</v>
      </c>
      <c r="C1369" s="2" t="s">
        <v>17</v>
      </c>
      <c r="D1369" s="2" t="s">
        <v>27</v>
      </c>
      <c r="E1369" s="4">
        <v>-31878</v>
      </c>
      <c r="F1369" s="3" t="s">
        <v>2891</v>
      </c>
      <c r="G1369" s="3" t="s">
        <v>3846</v>
      </c>
      <c r="H1369" s="2" t="s">
        <v>21</v>
      </c>
      <c r="I1369" s="2" t="s">
        <v>3847</v>
      </c>
      <c r="J1369" s="3" t="str">
        <f>HYPERLINK("https://www.boe.es/gazeta/dias/1812/09/19/pdfs/GRE-1812-127.pdf#page=2","Abrir facsímil")</f>
        <v>Abrir facsímil</v>
      </c>
      <c r="K1369" s="3" t="s">
        <v>23</v>
      </c>
    </row>
    <row r="1370" spans="1:11" ht="42" customHeight="1">
      <c r="A1370" s="2" t="s">
        <v>3848</v>
      </c>
      <c r="B1370" s="2" t="s">
        <v>3849</v>
      </c>
      <c r="C1370" s="2" t="s">
        <v>17</v>
      </c>
      <c r="D1370" s="2" t="s">
        <v>18</v>
      </c>
      <c r="E1370" s="4">
        <v>-31929</v>
      </c>
      <c r="F1370" s="3" t="s">
        <v>1148</v>
      </c>
      <c r="G1370" s="3" t="s">
        <v>1301</v>
      </c>
      <c r="H1370" s="2" t="s">
        <v>21</v>
      </c>
      <c r="I1370" s="2" t="s">
        <v>3850</v>
      </c>
      <c r="J1370" s="3" t="str">
        <f>HYPERLINK("https://www.boe.es/gazeta/dias/1812/07/30/pdfs/GRE-1812-95.pdf#page=8","Abrir facsímil")</f>
        <v>Abrir facsímil</v>
      </c>
      <c r="K1370" s="3" t="s">
        <v>23</v>
      </c>
    </row>
    <row r="1371" spans="1:11" ht="42" customHeight="1">
      <c r="A1371" s="2" t="s">
        <v>3851</v>
      </c>
      <c r="B1371" s="2" t="s">
        <v>3852</v>
      </c>
      <c r="C1371" s="2" t="s">
        <v>105</v>
      </c>
      <c r="D1371" s="2" t="s">
        <v>27</v>
      </c>
      <c r="E1371" s="4">
        <v>-31978</v>
      </c>
      <c r="F1371" s="3" t="s">
        <v>1790</v>
      </c>
      <c r="G1371" s="3" t="s">
        <v>1791</v>
      </c>
      <c r="H1371" s="2" t="s">
        <v>21</v>
      </c>
      <c r="I1371" s="2" t="s">
        <v>3853</v>
      </c>
      <c r="J1371" s="3" t="str">
        <f>HYPERLINK("https://www.boe.es/gazeta/dias/1812/06/11/pdfs/GRE-1812-72.pdf#page=8","Abrir facsímil")</f>
        <v>Abrir facsímil</v>
      </c>
      <c r="K1371" s="3" t="s">
        <v>23</v>
      </c>
    </row>
    <row r="1372" spans="1:11" ht="42" customHeight="1">
      <c r="A1372" s="2" t="s">
        <v>3854</v>
      </c>
      <c r="B1372" s="2" t="s">
        <v>3855</v>
      </c>
      <c r="C1372" s="2" t="s">
        <v>26</v>
      </c>
      <c r="D1372" s="2" t="s">
        <v>27</v>
      </c>
      <c r="E1372" s="4">
        <v>-31978</v>
      </c>
      <c r="F1372" s="3" t="s">
        <v>1790</v>
      </c>
      <c r="G1372" s="3" t="s">
        <v>1791</v>
      </c>
      <c r="H1372" s="2" t="s">
        <v>21</v>
      </c>
      <c r="I1372" s="2" t="s">
        <v>3856</v>
      </c>
      <c r="J1372" s="3" t="str">
        <f>HYPERLINK("https://www.boe.es/gazeta/dias/1812/06/11/pdfs/GRE-1812-72.pdf#page=8","Abrir facsímil")</f>
        <v>Abrir facsímil</v>
      </c>
      <c r="K1372" s="3" t="s">
        <v>23</v>
      </c>
    </row>
    <row r="1373" spans="1:11" ht="42" customHeight="1">
      <c r="A1373" s="2" t="s">
        <v>3857</v>
      </c>
      <c r="B1373" s="2" t="s">
        <v>3858</v>
      </c>
      <c r="C1373" s="2" t="s">
        <v>105</v>
      </c>
      <c r="D1373" s="2" t="s">
        <v>27</v>
      </c>
      <c r="E1373" s="4">
        <v>-32018</v>
      </c>
      <c r="F1373" s="3" t="s">
        <v>365</v>
      </c>
      <c r="G1373" s="3" t="s">
        <v>392</v>
      </c>
      <c r="H1373" s="2" t="s">
        <v>21</v>
      </c>
      <c r="I1373" s="2" t="s">
        <v>3859</v>
      </c>
      <c r="J1373" s="3" t="str">
        <f>HYPERLINK("https://www.boe.es/gazeta/dias/1812/05/02/pdfs/GRE-1812-55.pdf#page=2","Abrir facsímil")</f>
        <v>Abrir facsímil</v>
      </c>
      <c r="K1373" s="3" t="s">
        <v>23</v>
      </c>
    </row>
    <row r="1374" spans="1:11" ht="42" customHeight="1">
      <c r="A1374" s="2" t="s">
        <v>3860</v>
      </c>
      <c r="B1374" s="2" t="s">
        <v>3861</v>
      </c>
      <c r="C1374" s="2" t="s">
        <v>105</v>
      </c>
      <c r="D1374" s="2" t="s">
        <v>275</v>
      </c>
      <c r="E1374" s="4">
        <v>-31791</v>
      </c>
      <c r="F1374" s="3" t="s">
        <v>905</v>
      </c>
      <c r="G1374" s="3" t="s">
        <v>3862</v>
      </c>
      <c r="H1374" s="2" t="s">
        <v>21</v>
      </c>
      <c r="I1374" s="2" t="s">
        <v>3863</v>
      </c>
      <c r="J1374" s="3" t="str">
        <f>HYPERLINK("https://www.boe.es/gazeta/dias/1812/12/15/pdfs/GRE-1812-165.pdf#page=6","Abrir facsímil")</f>
        <v>Abrir facsímil</v>
      </c>
      <c r="K1374" s="3" t="s">
        <v>23</v>
      </c>
    </row>
    <row r="1375" spans="1:11" ht="42" customHeight="1">
      <c r="A1375" s="2" t="s">
        <v>3864</v>
      </c>
      <c r="B1375" s="2" t="s">
        <v>3865</v>
      </c>
      <c r="C1375" s="2" t="s">
        <v>26</v>
      </c>
      <c r="D1375" s="2" t="s">
        <v>27</v>
      </c>
      <c r="E1375" s="4">
        <v>-32069</v>
      </c>
      <c r="F1375" s="3" t="s">
        <v>445</v>
      </c>
      <c r="G1375" s="3" t="s">
        <v>446</v>
      </c>
      <c r="H1375" s="2" t="s">
        <v>21</v>
      </c>
      <c r="I1375" s="2" t="s">
        <v>3866</v>
      </c>
      <c r="J1375" s="3" t="str">
        <f>HYPERLINK("https://www.boe.es/gazeta/dias/1812/03/12/pdfs/GRE-1812-32.pdf#page=8","Abrir facsímil")</f>
        <v>Abrir facsímil</v>
      </c>
      <c r="K1375" s="3" t="s">
        <v>23</v>
      </c>
    </row>
    <row r="1376" spans="1:11" ht="42" customHeight="1">
      <c r="A1376" s="2" t="s">
        <v>3867</v>
      </c>
      <c r="B1376" s="2" t="s">
        <v>3868</v>
      </c>
      <c r="C1376" s="2" t="s">
        <v>26</v>
      </c>
      <c r="D1376" s="2" t="s">
        <v>134</v>
      </c>
      <c r="E1376" s="4">
        <v>-31915</v>
      </c>
      <c r="F1376" s="3" t="s">
        <v>2827</v>
      </c>
      <c r="G1376" s="3" t="s">
        <v>3869</v>
      </c>
      <c r="H1376" s="2" t="s">
        <v>21</v>
      </c>
      <c r="I1376" s="2" t="s">
        <v>3870</v>
      </c>
      <c r="J1376" s="3" t="str">
        <f>HYPERLINK("https://www.boe.es/gazeta/dias/1812/08/13/pdfs/GRE-F-1812-104.pdf#page=2","Abrir facsímil")</f>
        <v>Abrir facsímil</v>
      </c>
      <c r="K1376" s="3" t="s">
        <v>23</v>
      </c>
    </row>
    <row r="1377" spans="1:11" ht="42" customHeight="1">
      <c r="A1377" s="2" t="s">
        <v>3871</v>
      </c>
      <c r="B1377" s="2" t="s">
        <v>3871</v>
      </c>
      <c r="C1377" s="2" t="s">
        <v>105</v>
      </c>
      <c r="D1377" s="2" t="s">
        <v>194</v>
      </c>
      <c r="E1377" s="4">
        <v>-31957</v>
      </c>
      <c r="F1377" s="3" t="s">
        <v>598</v>
      </c>
      <c r="G1377" s="3" t="s">
        <v>1980</v>
      </c>
      <c r="H1377" s="2" t="s">
        <v>21</v>
      </c>
      <c r="I1377" s="2" t="s">
        <v>3872</v>
      </c>
      <c r="J1377" s="3" t="str">
        <f>HYPERLINK("https://www.boe.es/gazeta/dias/1812/07/02/pdfs/GMD-1812-184.pdf#page=3","Abrir facsímil")</f>
        <v>Abrir facsímil</v>
      </c>
      <c r="K1377" s="3" t="s">
        <v>23</v>
      </c>
    </row>
    <row r="1378" spans="1:11" ht="42" customHeight="1">
      <c r="A1378" s="2" t="s">
        <v>3873</v>
      </c>
      <c r="B1378" s="2" t="s">
        <v>3873</v>
      </c>
      <c r="C1378" s="2" t="s">
        <v>17</v>
      </c>
      <c r="D1378" s="2" t="s">
        <v>275</v>
      </c>
      <c r="E1378" s="4">
        <v>-32078</v>
      </c>
      <c r="F1378" s="3" t="s">
        <v>145</v>
      </c>
      <c r="G1378" s="3" t="s">
        <v>1930</v>
      </c>
      <c r="H1378" s="2" t="s">
        <v>21</v>
      </c>
      <c r="I1378" s="2" t="s">
        <v>3874</v>
      </c>
      <c r="J1378" s="3" t="str">
        <f>HYPERLINK("https://www.boe.es/gazeta/dias/1812/03/03/pdfs/GRE-1812-28.pdf#page=7","Abrir facsímil")</f>
        <v>Abrir facsímil</v>
      </c>
      <c r="K1378" s="3" t="s">
        <v>23</v>
      </c>
    </row>
    <row r="1379" spans="1:11" ht="42" customHeight="1">
      <c r="A1379" s="2" t="s">
        <v>3875</v>
      </c>
      <c r="B1379" s="2" t="s">
        <v>3876</v>
      </c>
      <c r="C1379" s="2" t="s">
        <v>26</v>
      </c>
      <c r="D1379" s="2" t="s">
        <v>27</v>
      </c>
      <c r="E1379" s="4">
        <v>-31938</v>
      </c>
      <c r="F1379" s="3" t="s">
        <v>324</v>
      </c>
      <c r="G1379" s="3" t="s">
        <v>237</v>
      </c>
      <c r="H1379" s="2" t="s">
        <v>21</v>
      </c>
      <c r="I1379" s="2" t="s">
        <v>3877</v>
      </c>
      <c r="J1379" s="3" t="str">
        <f>HYPERLINK("https://www.boe.es/gazeta/dias/1812/07/21/pdfs/GMD-1812-203.pdf#page=2","Abrir facsímil")</f>
        <v>Abrir facsímil</v>
      </c>
      <c r="K1379" s="3" t="s">
        <v>23</v>
      </c>
    </row>
    <row r="1380" spans="1:11" ht="42" customHeight="1">
      <c r="A1380" s="2" t="s">
        <v>3878</v>
      </c>
      <c r="B1380" s="2" t="s">
        <v>3879</v>
      </c>
      <c r="C1380" s="2" t="s">
        <v>26</v>
      </c>
      <c r="D1380" s="2" t="s">
        <v>27</v>
      </c>
      <c r="E1380" s="4">
        <v>-31938</v>
      </c>
      <c r="F1380" s="3" t="s">
        <v>324</v>
      </c>
      <c r="G1380" s="3" t="s">
        <v>237</v>
      </c>
      <c r="H1380" s="2" t="s">
        <v>21</v>
      </c>
      <c r="I1380" s="2" t="s">
        <v>3880</v>
      </c>
      <c r="J1380" s="3" t="str">
        <f>HYPERLINK("https://www.boe.es/gazeta/dias/1812/07/21/pdfs/GMD-1812-203.pdf#page=2","Abrir facsímil")</f>
        <v>Abrir facsímil</v>
      </c>
      <c r="K1380" s="3" t="s">
        <v>23</v>
      </c>
    </row>
    <row r="1381" spans="1:11" ht="42" customHeight="1">
      <c r="A1381" s="2" t="s">
        <v>3881</v>
      </c>
      <c r="B1381" s="2" t="s">
        <v>3882</v>
      </c>
      <c r="C1381" s="2" t="s">
        <v>26</v>
      </c>
      <c r="D1381" s="2" t="s">
        <v>27</v>
      </c>
      <c r="E1381" s="4">
        <v>-31964</v>
      </c>
      <c r="F1381" s="3" t="s">
        <v>305</v>
      </c>
      <c r="G1381" s="3" t="s">
        <v>58</v>
      </c>
      <c r="H1381" s="2" t="s">
        <v>21</v>
      </c>
      <c r="I1381" s="2" t="s">
        <v>3883</v>
      </c>
      <c r="J1381" s="3" t="str">
        <f>HYPERLINK("https://www.boe.es/gazeta/dias/1812/06/25/pdfs/GMD-1812-177.pdf#page=2","Abrir facsímil")</f>
        <v>Abrir facsímil</v>
      </c>
      <c r="K1381" s="3" t="s">
        <v>23</v>
      </c>
    </row>
    <row r="1382" spans="1:11" ht="42" customHeight="1">
      <c r="A1382" s="2" t="s">
        <v>3884</v>
      </c>
      <c r="B1382" s="2" t="s">
        <v>3884</v>
      </c>
      <c r="C1382" s="2" t="s">
        <v>17</v>
      </c>
      <c r="D1382" s="2" t="s">
        <v>27</v>
      </c>
      <c r="E1382" s="4">
        <v>-31873</v>
      </c>
      <c r="F1382" s="3" t="s">
        <v>213</v>
      </c>
      <c r="G1382" s="3" t="s">
        <v>214</v>
      </c>
      <c r="H1382" s="2" t="s">
        <v>21</v>
      </c>
      <c r="I1382" s="2" t="s">
        <v>3885</v>
      </c>
      <c r="J1382" s="3" t="str">
        <f>HYPERLINK("https://www.boe.es/gazeta/dias/1812/09/24/pdfs/GMR-1812-18.pdf#page=6","Abrir facsímil")</f>
        <v>Abrir facsímil</v>
      </c>
      <c r="K1382" s="3" t="s">
        <v>23</v>
      </c>
    </row>
    <row r="1383" spans="1:11" ht="42" customHeight="1">
      <c r="A1383" s="2" t="s">
        <v>3884</v>
      </c>
      <c r="B1383" s="2" t="s">
        <v>3884</v>
      </c>
      <c r="C1383" s="2" t="s">
        <v>17</v>
      </c>
      <c r="D1383" s="2" t="s">
        <v>27</v>
      </c>
      <c r="E1383" s="4">
        <v>-31838</v>
      </c>
      <c r="F1383" s="3" t="s">
        <v>1960</v>
      </c>
      <c r="G1383" s="3" t="s">
        <v>3886</v>
      </c>
      <c r="H1383" s="2" t="s">
        <v>21</v>
      </c>
      <c r="I1383" s="2" t="s">
        <v>3887</v>
      </c>
      <c r="J1383" s="3" t="str">
        <f>HYPERLINK("https://www.boe.es/gazeta/dias/1812/10/29/pdfs/GRE-1812-145.pdf#page=4","Abrir facsímil")</f>
        <v>Abrir facsímil</v>
      </c>
      <c r="K1383" s="3" t="s">
        <v>23</v>
      </c>
    </row>
    <row r="1384" spans="1:11" ht="42" customHeight="1">
      <c r="A1384" s="2" t="s">
        <v>3888</v>
      </c>
      <c r="B1384" s="2" t="s">
        <v>3889</v>
      </c>
      <c r="C1384" s="2" t="s">
        <v>26</v>
      </c>
      <c r="D1384" s="2" t="s">
        <v>27</v>
      </c>
      <c r="E1384" s="4">
        <v>-31955</v>
      </c>
      <c r="F1384" s="3" t="s">
        <v>789</v>
      </c>
      <c r="G1384" s="3" t="s">
        <v>237</v>
      </c>
      <c r="H1384" s="2" t="s">
        <v>21</v>
      </c>
      <c r="I1384" s="2" t="s">
        <v>3890</v>
      </c>
      <c r="J1384" s="3" t="str">
        <f>HYPERLINK("https://www.boe.es/gazeta/dias/1812/07/04/pdfs/GRE-1812-82.pdf#page=8","Abrir facsímil")</f>
        <v>Abrir facsímil</v>
      </c>
      <c r="K1384" s="3" t="s">
        <v>23</v>
      </c>
    </row>
    <row r="1385" spans="1:11" ht="42" customHeight="1">
      <c r="A1385" s="2" t="s">
        <v>3891</v>
      </c>
      <c r="B1385" s="2" t="s">
        <v>3892</v>
      </c>
      <c r="C1385" s="2" t="s">
        <v>186</v>
      </c>
      <c r="D1385" s="2" t="s">
        <v>573</v>
      </c>
      <c r="E1385" s="4">
        <v>-31900</v>
      </c>
      <c r="F1385" s="3" t="s">
        <v>276</v>
      </c>
      <c r="G1385" s="3" t="s">
        <v>794</v>
      </c>
      <c r="H1385" s="2" t="s">
        <v>21</v>
      </c>
      <c r="I1385" s="2" t="s">
        <v>3893</v>
      </c>
      <c r="J1385" s="3" t="str">
        <f>HYPERLINK("https://www.boe.es/gazeta/dias/1812/08/28/pdfs/GRE-1812-113E.pdf#page=7","Abrir facsímil")</f>
        <v>Abrir facsímil</v>
      </c>
      <c r="K1385" s="3" t="s">
        <v>23</v>
      </c>
    </row>
    <row r="1386" spans="1:11" ht="42" customHeight="1">
      <c r="A1386" s="2" t="s">
        <v>3894</v>
      </c>
      <c r="B1386" s="2" t="s">
        <v>3894</v>
      </c>
      <c r="C1386" s="2" t="s">
        <v>17</v>
      </c>
      <c r="D1386" s="2" t="s">
        <v>27</v>
      </c>
      <c r="E1386" s="4">
        <v>-32102</v>
      </c>
      <c r="F1386" s="3" t="s">
        <v>1783</v>
      </c>
      <c r="G1386" s="3" t="s">
        <v>514</v>
      </c>
      <c r="H1386" s="2" t="s">
        <v>21</v>
      </c>
      <c r="I1386" s="2" t="s">
        <v>3895</v>
      </c>
      <c r="J1386" s="3" t="str">
        <f>HYPERLINK("https://www.boe.es/gazeta/dias/1812/02/08/pdfs/GRE-1812-17.pdf#page=3","Abrir facsímil")</f>
        <v>Abrir facsímil</v>
      </c>
      <c r="K1386" s="3" t="s">
        <v>23</v>
      </c>
    </row>
    <row r="1387" spans="1:11" ht="42" customHeight="1">
      <c r="A1387" s="2" t="s">
        <v>3894</v>
      </c>
      <c r="B1387" s="2" t="s">
        <v>3894</v>
      </c>
      <c r="C1387" s="2" t="s">
        <v>17</v>
      </c>
      <c r="D1387" s="2" t="s">
        <v>27</v>
      </c>
      <c r="E1387" s="4">
        <v>-32095</v>
      </c>
      <c r="F1387" s="3" t="s">
        <v>284</v>
      </c>
      <c r="G1387" s="3" t="s">
        <v>36</v>
      </c>
      <c r="H1387" s="2" t="s">
        <v>21</v>
      </c>
      <c r="I1387" s="2" t="s">
        <v>3896</v>
      </c>
      <c r="J1387" s="3" t="str">
        <f>HYPERLINK("https://www.boe.es/gazeta/dias/1812/02/15/pdfs/GRE-1812-20.pdf#page=3","Abrir facsímil")</f>
        <v>Abrir facsímil</v>
      </c>
      <c r="K1387" s="3" t="s">
        <v>23</v>
      </c>
    </row>
    <row r="1388" spans="1:11" ht="42" customHeight="1">
      <c r="A1388" s="2" t="s">
        <v>3894</v>
      </c>
      <c r="B1388" s="2" t="s">
        <v>3894</v>
      </c>
      <c r="C1388" s="2" t="s">
        <v>17</v>
      </c>
      <c r="D1388" s="2" t="s">
        <v>27</v>
      </c>
      <c r="E1388" s="4">
        <v>-31882</v>
      </c>
      <c r="F1388" s="3" t="s">
        <v>1798</v>
      </c>
      <c r="G1388" s="3" t="s">
        <v>3897</v>
      </c>
      <c r="H1388" s="2" t="s">
        <v>21</v>
      </c>
      <c r="I1388" s="2" t="s">
        <v>3898</v>
      </c>
      <c r="J1388" s="3" t="str">
        <f>HYPERLINK("https://www.boe.es/gazeta/dias/1812/09/15/pdfs/GMR-1812-14.pdf#page=4","Abrir facsímil")</f>
        <v>Abrir facsímil</v>
      </c>
      <c r="K1388" s="3" t="s">
        <v>23</v>
      </c>
    </row>
    <row r="1389" spans="1:11" ht="42" customHeight="1">
      <c r="A1389" s="2" t="s">
        <v>3899</v>
      </c>
      <c r="B1389" s="2" t="s">
        <v>3900</v>
      </c>
      <c r="C1389" s="2" t="s">
        <v>26</v>
      </c>
      <c r="D1389" s="2" t="s">
        <v>27</v>
      </c>
      <c r="E1389" s="4">
        <v>-32137</v>
      </c>
      <c r="F1389" s="3" t="s">
        <v>355</v>
      </c>
      <c r="G1389" s="3" t="s">
        <v>117</v>
      </c>
      <c r="H1389" s="2" t="s">
        <v>21</v>
      </c>
      <c r="I1389" s="2" t="s">
        <v>3901</v>
      </c>
      <c r="J1389" s="3" t="str">
        <f>HYPERLINK("https://www.boe.es/gazeta/dias/1812/01/04/pdfs/GEI-1812-2.pdf#page=8","Abrir facsímil")</f>
        <v>Abrir facsímil</v>
      </c>
      <c r="K1389" s="3" t="s">
        <v>23</v>
      </c>
    </row>
    <row r="1390" spans="1:11" ht="42" customHeight="1">
      <c r="A1390" s="2" t="s">
        <v>3902</v>
      </c>
      <c r="B1390" s="2" t="s">
        <v>3903</v>
      </c>
      <c r="C1390" s="2" t="s">
        <v>105</v>
      </c>
      <c r="D1390" s="2" t="s">
        <v>27</v>
      </c>
      <c r="E1390" s="4">
        <v>-32003</v>
      </c>
      <c r="F1390" s="3" t="s">
        <v>585</v>
      </c>
      <c r="G1390" s="3" t="s">
        <v>1805</v>
      </c>
      <c r="H1390" s="2" t="s">
        <v>21</v>
      </c>
      <c r="I1390" s="2" t="s">
        <v>3904</v>
      </c>
      <c r="J1390" s="3" t="str">
        <f>HYPERLINK("https://www.boe.es/gazeta/dias/1812/05/17/pdfs/GMD-1812-138.pdf#page=1","Abrir facsímil")</f>
        <v>Abrir facsímil</v>
      </c>
      <c r="K1390" s="3" t="s">
        <v>23</v>
      </c>
    </row>
    <row r="1391" spans="1:11" ht="42" customHeight="1">
      <c r="A1391" s="2" t="s">
        <v>3905</v>
      </c>
      <c r="B1391" s="2" t="s">
        <v>3905</v>
      </c>
      <c r="C1391" s="2" t="s">
        <v>26</v>
      </c>
      <c r="D1391" s="2" t="s">
        <v>27</v>
      </c>
      <c r="E1391" s="4">
        <v>-32027</v>
      </c>
      <c r="F1391" s="3" t="s">
        <v>803</v>
      </c>
      <c r="G1391" s="3" t="s">
        <v>3906</v>
      </c>
      <c r="H1391" s="2" t="s">
        <v>21</v>
      </c>
      <c r="I1391" s="2" t="s">
        <v>3907</v>
      </c>
      <c r="J1391" s="3" t="str">
        <f>HYPERLINK("https://www.boe.es/gazeta/dias/1812/04/23/pdfs/GRE-1812-51.pdf#page=7","Abrir facsímil")</f>
        <v>Abrir facsímil</v>
      </c>
      <c r="K1391" s="3" t="s">
        <v>23</v>
      </c>
    </row>
    <row r="1392" spans="1:11" ht="42" customHeight="1">
      <c r="A1392" s="2" t="s">
        <v>3908</v>
      </c>
      <c r="B1392" s="2" t="s">
        <v>3909</v>
      </c>
      <c r="C1392" s="2" t="s">
        <v>105</v>
      </c>
      <c r="D1392" s="2" t="s">
        <v>27</v>
      </c>
      <c r="E1392" s="4">
        <v>-31833</v>
      </c>
      <c r="F1392" s="3" t="s">
        <v>267</v>
      </c>
      <c r="G1392" s="3" t="s">
        <v>268</v>
      </c>
      <c r="H1392" s="2" t="s">
        <v>21</v>
      </c>
      <c r="I1392" s="2" t="s">
        <v>3910</v>
      </c>
      <c r="J1392" s="3" t="str">
        <f>HYPERLINK("https://www.boe.es/gazeta/dias/1812/11/03/pdfs/GRE-1812-147.pdf#page=8","Abrir facsímil")</f>
        <v>Abrir facsímil</v>
      </c>
      <c r="K1392" s="3" t="s">
        <v>23</v>
      </c>
    </row>
    <row r="1393" spans="1:11" ht="42" customHeight="1">
      <c r="A1393" s="2" t="s">
        <v>3908</v>
      </c>
      <c r="B1393" s="2" t="s">
        <v>3909</v>
      </c>
      <c r="C1393" s="2" t="s">
        <v>105</v>
      </c>
      <c r="D1393" s="2" t="s">
        <v>27</v>
      </c>
      <c r="E1393" s="4">
        <v>-31816</v>
      </c>
      <c r="F1393" s="3" t="s">
        <v>270</v>
      </c>
      <c r="G1393" s="3" t="s">
        <v>271</v>
      </c>
      <c r="H1393" s="2" t="s">
        <v>21</v>
      </c>
      <c r="I1393" s="2" t="s">
        <v>3911</v>
      </c>
      <c r="J1393" s="3" t="str">
        <f>HYPERLINK("https://www.boe.es/gazeta/dias/1812/11/20/pdfs/GMR-1812-36.pdf#page=6","Abrir facsímil")</f>
        <v>Abrir facsímil</v>
      </c>
      <c r="K1393" s="3" t="s">
        <v>23</v>
      </c>
    </row>
    <row r="1394" spans="1:11" ht="42" customHeight="1">
      <c r="A1394" s="2" t="s">
        <v>3912</v>
      </c>
      <c r="B1394" s="2" t="s">
        <v>3912</v>
      </c>
      <c r="C1394" s="2" t="s">
        <v>17</v>
      </c>
      <c r="D1394" s="2" t="s">
        <v>27</v>
      </c>
      <c r="E1394" s="4">
        <v>-32088</v>
      </c>
      <c r="F1394" s="3" t="s">
        <v>250</v>
      </c>
      <c r="G1394" s="3" t="s">
        <v>1919</v>
      </c>
      <c r="H1394" s="2" t="s">
        <v>21</v>
      </c>
      <c r="I1394" s="2" t="s">
        <v>3913</v>
      </c>
      <c r="J1394" s="3" t="str">
        <f>HYPERLINK("https://www.boe.es/gazeta/dias/1812/02/22/pdfs/GRE-1812-23.pdf#page=7","Abrir facsímil")</f>
        <v>Abrir facsímil</v>
      </c>
      <c r="K1394" s="3" t="s">
        <v>23</v>
      </c>
    </row>
    <row r="1395" spans="1:11" ht="42" customHeight="1">
      <c r="A1395" s="2" t="s">
        <v>3914</v>
      </c>
      <c r="B1395" s="2" t="s">
        <v>3915</v>
      </c>
      <c r="C1395" s="2" t="s">
        <v>26</v>
      </c>
      <c r="D1395" s="2" t="s">
        <v>27</v>
      </c>
      <c r="E1395" s="4">
        <v>-31939</v>
      </c>
      <c r="F1395" s="3" t="s">
        <v>408</v>
      </c>
      <c r="G1395" s="3" t="s">
        <v>404</v>
      </c>
      <c r="H1395" s="2" t="s">
        <v>21</v>
      </c>
      <c r="I1395" s="2" t="s">
        <v>3916</v>
      </c>
      <c r="J1395" s="3" t="str">
        <f>HYPERLINK("https://www.boe.es/gazeta/dias/1812/07/20/pdfs/GMD-1812-202.pdf#page=2","Abrir facsímil")</f>
        <v>Abrir facsímil</v>
      </c>
      <c r="K1395" s="3" t="s">
        <v>23</v>
      </c>
    </row>
    <row r="1396" spans="1:11" ht="42" customHeight="1">
      <c r="A1396" s="2" t="s">
        <v>3917</v>
      </c>
      <c r="B1396" s="2" t="s">
        <v>3918</v>
      </c>
      <c r="C1396" s="2" t="s">
        <v>26</v>
      </c>
      <c r="D1396" s="2" t="s">
        <v>27</v>
      </c>
      <c r="E1396" s="4">
        <v>-31938</v>
      </c>
      <c r="F1396" s="3" t="s">
        <v>324</v>
      </c>
      <c r="G1396" s="3" t="s">
        <v>497</v>
      </c>
      <c r="H1396" s="2" t="s">
        <v>21</v>
      </c>
      <c r="I1396" s="2" t="s">
        <v>3919</v>
      </c>
      <c r="J1396" s="3" t="str">
        <f>HYPERLINK("https://www.boe.es/gazeta/dias/1812/07/21/pdfs/GMD-1812-203.pdf#page=3","Abrir facsímil")</f>
        <v>Abrir facsímil</v>
      </c>
      <c r="K1396" s="3" t="s">
        <v>23</v>
      </c>
    </row>
    <row r="1397" spans="1:11" ht="42" customHeight="1">
      <c r="A1397" s="2" t="s">
        <v>3920</v>
      </c>
      <c r="B1397" s="2" t="s">
        <v>3921</v>
      </c>
      <c r="C1397" s="2" t="s">
        <v>26</v>
      </c>
      <c r="D1397" s="2" t="s">
        <v>27</v>
      </c>
      <c r="E1397" s="4">
        <v>-32034</v>
      </c>
      <c r="F1397" s="3" t="s">
        <v>28</v>
      </c>
      <c r="G1397" s="3" t="s">
        <v>317</v>
      </c>
      <c r="H1397" s="2" t="s">
        <v>21</v>
      </c>
      <c r="I1397" s="2" t="s">
        <v>3922</v>
      </c>
      <c r="J1397" s="3" t="str">
        <f>HYPERLINK("https://www.boe.es/gazeta/dias/1812/04/16/pdfs/GMD-1812-107.pdf#page=6","Abrir facsímil")</f>
        <v>Abrir facsímil</v>
      </c>
      <c r="K1397" s="3" t="s">
        <v>23</v>
      </c>
    </row>
    <row r="1398" spans="1:11" ht="42" customHeight="1">
      <c r="A1398" s="2" t="s">
        <v>3923</v>
      </c>
      <c r="B1398" s="2" t="s">
        <v>3924</v>
      </c>
      <c r="C1398" s="2" t="s">
        <v>115</v>
      </c>
      <c r="D1398" s="2" t="s">
        <v>27</v>
      </c>
      <c r="E1398" s="4">
        <v>-32019</v>
      </c>
      <c r="F1398" s="3" t="s">
        <v>476</v>
      </c>
      <c r="G1398" s="3" t="s">
        <v>404</v>
      </c>
      <c r="H1398" s="2" t="s">
        <v>21</v>
      </c>
      <c r="I1398" s="2" t="s">
        <v>3925</v>
      </c>
      <c r="J1398" s="3" t="str">
        <f>HYPERLINK("https://www.boe.es/gazeta/dias/1812/05/01/pdfs/GMD-1812-122.pdf#page=3","Abrir facsímil")</f>
        <v>Abrir facsímil</v>
      </c>
      <c r="K1398" s="3" t="s">
        <v>23</v>
      </c>
    </row>
    <row r="1399" spans="1:11" ht="42" customHeight="1">
      <c r="A1399" s="2" t="s">
        <v>3926</v>
      </c>
      <c r="B1399" s="2" t="s">
        <v>3927</v>
      </c>
      <c r="C1399" s="2" t="s">
        <v>26</v>
      </c>
      <c r="D1399" s="2" t="s">
        <v>27</v>
      </c>
      <c r="E1399" s="4">
        <v>-32132</v>
      </c>
      <c r="F1399" s="3" t="s">
        <v>484</v>
      </c>
      <c r="G1399" s="3" t="s">
        <v>485</v>
      </c>
      <c r="H1399" s="2" t="s">
        <v>21</v>
      </c>
      <c r="I1399" s="2" t="s">
        <v>3928</v>
      </c>
      <c r="J1399" s="3" t="str">
        <f>HYPERLINK("https://www.boe.es/gazeta/dias/1812/01/09/pdfs/GEI-1812-4.pdf#page=8","Abrir facsímil")</f>
        <v>Abrir facsímil</v>
      </c>
      <c r="K1399" s="3" t="s">
        <v>23</v>
      </c>
    </row>
    <row r="1400" spans="1:11" ht="42" customHeight="1">
      <c r="A1400" s="2" t="s">
        <v>3929</v>
      </c>
      <c r="B1400" s="2" t="s">
        <v>3930</v>
      </c>
      <c r="C1400" s="2" t="s">
        <v>26</v>
      </c>
      <c r="D1400" s="2" t="s">
        <v>27</v>
      </c>
      <c r="E1400" s="4">
        <v>-32060</v>
      </c>
      <c r="F1400" s="3" t="s">
        <v>399</v>
      </c>
      <c r="G1400" s="3" t="s">
        <v>136</v>
      </c>
      <c r="H1400" s="2" t="s">
        <v>21</v>
      </c>
      <c r="I1400" s="2" t="s">
        <v>3931</v>
      </c>
      <c r="J1400" s="3" t="str">
        <f>HYPERLINK("https://www.boe.es/gazeta/dias/1812/03/21/pdfs/GMD-1812-81.pdf#page=4","Abrir facsímil")</f>
        <v>Abrir facsímil</v>
      </c>
      <c r="K1400" s="3" t="s">
        <v>23</v>
      </c>
    </row>
    <row r="1401" spans="1:11" ht="42" customHeight="1">
      <c r="A1401" s="2" t="s">
        <v>3932</v>
      </c>
      <c r="B1401" s="2" t="s">
        <v>3932</v>
      </c>
      <c r="C1401" s="2" t="s">
        <v>17</v>
      </c>
      <c r="D1401" s="2" t="s">
        <v>18</v>
      </c>
      <c r="E1401" s="4">
        <v>-32063</v>
      </c>
      <c r="F1401" s="3" t="s">
        <v>384</v>
      </c>
      <c r="G1401" s="3" t="s">
        <v>125</v>
      </c>
      <c r="H1401" s="2" t="s">
        <v>21</v>
      </c>
      <c r="I1401" s="2" t="s">
        <v>3933</v>
      </c>
      <c r="J1401" s="3" t="str">
        <f>HYPERLINK("https://www.boe.es/gazeta/dias/1812/03/18/pdfs/GMD-1812-78.pdf#page=3","Abrir facsímil")</f>
        <v>Abrir facsímil</v>
      </c>
      <c r="K1401" s="3" t="s">
        <v>23</v>
      </c>
    </row>
    <row r="1402" spans="1:11" ht="42" customHeight="1">
      <c r="A1402" s="2" t="s">
        <v>3934</v>
      </c>
      <c r="B1402" s="2" t="s">
        <v>3935</v>
      </c>
      <c r="C1402" s="2" t="s">
        <v>26</v>
      </c>
      <c r="D1402" s="2" t="s">
        <v>27</v>
      </c>
      <c r="E1402" s="4">
        <v>-32110</v>
      </c>
      <c r="F1402" s="3" t="s">
        <v>68</v>
      </c>
      <c r="G1402" s="3" t="s">
        <v>20</v>
      </c>
      <c r="H1402" s="2" t="s">
        <v>21</v>
      </c>
      <c r="I1402" s="2" t="s">
        <v>3936</v>
      </c>
      <c r="J1402" s="3" t="str">
        <f>HYPERLINK("https://www.boe.es/gazeta/dias/1812/01/31/pdfs/GMD-1812-31.pdf#page=3","Abrir facsímil")</f>
        <v>Abrir facsímil</v>
      </c>
      <c r="K1402" s="3" t="s">
        <v>23</v>
      </c>
    </row>
    <row r="1403" spans="1:11" ht="42" customHeight="1">
      <c r="A1403" s="2" t="s">
        <v>3937</v>
      </c>
      <c r="B1403" s="2" t="s">
        <v>3937</v>
      </c>
      <c r="C1403" s="2" t="s">
        <v>49</v>
      </c>
      <c r="D1403" s="2" t="s">
        <v>27</v>
      </c>
      <c r="E1403" s="4">
        <v>-32048</v>
      </c>
      <c r="F1403" s="3" t="s">
        <v>3938</v>
      </c>
      <c r="G1403" s="3" t="s">
        <v>3939</v>
      </c>
      <c r="H1403" s="2" t="s">
        <v>21</v>
      </c>
      <c r="I1403" s="2" t="s">
        <v>3940</v>
      </c>
      <c r="J1403" s="3" t="str">
        <f>HYPERLINK("https://www.boe.es/gazeta/dias/1812/04/02/pdfs/GMD-1812-93.pdf#page=2","Abrir facsímil")</f>
        <v>Abrir facsímil</v>
      </c>
      <c r="K1403" s="3" t="s">
        <v>23</v>
      </c>
    </row>
    <row r="1404" spans="1:11" ht="42" customHeight="1">
      <c r="A1404" s="2" t="s">
        <v>3941</v>
      </c>
      <c r="B1404" s="2" t="s">
        <v>3942</v>
      </c>
      <c r="C1404" s="2" t="s">
        <v>17</v>
      </c>
      <c r="D1404" s="2" t="s">
        <v>18</v>
      </c>
      <c r="E1404" s="4">
        <v>-31952</v>
      </c>
      <c r="F1404" s="3" t="s">
        <v>210</v>
      </c>
      <c r="G1404" s="3" t="s">
        <v>3943</v>
      </c>
      <c r="H1404" s="2" t="s">
        <v>21</v>
      </c>
      <c r="I1404" s="2" t="s">
        <v>3944</v>
      </c>
      <c r="J1404" s="3" t="str">
        <f>HYPERLINK("https://www.boe.es/gazeta/dias/1812/07/07/pdfs/GRE-1812-83.pdf#page=6","Abrir facsímil")</f>
        <v>Abrir facsímil</v>
      </c>
      <c r="K1404" s="3" t="s">
        <v>23</v>
      </c>
    </row>
    <row r="1405" spans="1:11" ht="42" customHeight="1">
      <c r="A1405" s="2" t="s">
        <v>3945</v>
      </c>
      <c r="B1405" s="2" t="s">
        <v>3946</v>
      </c>
      <c r="C1405" s="2" t="s">
        <v>26</v>
      </c>
      <c r="D1405" s="2" t="s">
        <v>27</v>
      </c>
      <c r="E1405" s="4">
        <v>-32036</v>
      </c>
      <c r="F1405" s="3" t="s">
        <v>781</v>
      </c>
      <c r="G1405" s="3" t="s">
        <v>782</v>
      </c>
      <c r="H1405" s="2" t="s">
        <v>21</v>
      </c>
      <c r="I1405" s="2" t="s">
        <v>3947</v>
      </c>
      <c r="J1405" s="3" t="str">
        <f>HYPERLINK("https://www.boe.es/gazeta/dias/1812/04/14/pdfs/GRE-1812-47.pdf#page=8","Abrir facsímil")</f>
        <v>Abrir facsímil</v>
      </c>
      <c r="K1405" s="3" t="s">
        <v>23</v>
      </c>
    </row>
    <row r="1406" spans="1:11" ht="42" customHeight="1">
      <c r="A1406" s="2" t="s">
        <v>3948</v>
      </c>
      <c r="B1406" s="2" t="s">
        <v>3949</v>
      </c>
      <c r="C1406" s="2" t="s">
        <v>26</v>
      </c>
      <c r="D1406" s="2" t="s">
        <v>27</v>
      </c>
      <c r="E1406" s="4">
        <v>-31940</v>
      </c>
      <c r="F1406" s="3" t="s">
        <v>187</v>
      </c>
      <c r="G1406" s="3" t="s">
        <v>404</v>
      </c>
      <c r="H1406" s="2" t="s">
        <v>21</v>
      </c>
      <c r="I1406" s="2" t="s">
        <v>3950</v>
      </c>
      <c r="J1406" s="3" t="str">
        <f>HYPERLINK("https://www.boe.es/gazeta/dias/1812/07/19/pdfs/GMD-1812-201.pdf#page=4","Abrir facsímil")</f>
        <v>Abrir facsímil</v>
      </c>
      <c r="K1406" s="3" t="s">
        <v>23</v>
      </c>
    </row>
    <row r="1407" spans="1:11" ht="42" customHeight="1">
      <c r="A1407" s="2" t="s">
        <v>3951</v>
      </c>
      <c r="B1407" s="2" t="s">
        <v>3952</v>
      </c>
      <c r="C1407" s="2" t="s">
        <v>17</v>
      </c>
      <c r="D1407" s="2" t="s">
        <v>18</v>
      </c>
      <c r="E1407" s="4">
        <v>-31894</v>
      </c>
      <c r="F1407" s="3" t="s">
        <v>3953</v>
      </c>
      <c r="G1407" s="3" t="s">
        <v>2433</v>
      </c>
      <c r="H1407" s="2" t="s">
        <v>21</v>
      </c>
      <c r="I1407" s="2" t="s">
        <v>3954</v>
      </c>
      <c r="J1407" s="3" t="str">
        <f>HYPERLINK("https://www.boe.es/gazeta/dias/1812/09/03/pdfs/GMR-1812-9.pdf#page=6","Abrir facsímil")</f>
        <v>Abrir facsímil</v>
      </c>
      <c r="K1407" s="3" t="s">
        <v>23</v>
      </c>
    </row>
    <row r="1408" spans="1:11" ht="42" customHeight="1">
      <c r="A1408" s="2" t="s">
        <v>3955</v>
      </c>
      <c r="B1408" s="2" t="s">
        <v>3956</v>
      </c>
      <c r="C1408" s="2" t="s">
        <v>17</v>
      </c>
      <c r="D1408" s="2" t="s">
        <v>27</v>
      </c>
      <c r="E1408" s="4">
        <v>-32062</v>
      </c>
      <c r="F1408" s="3" t="s">
        <v>2168</v>
      </c>
      <c r="G1408" s="3" t="s">
        <v>2815</v>
      </c>
      <c r="H1408" s="2" t="s">
        <v>21</v>
      </c>
      <c r="I1408" s="2" t="s">
        <v>3957</v>
      </c>
      <c r="J1408" s="3" t="str">
        <f>HYPERLINK("https://www.boe.es/gazeta/dias/1812/03/19/pdfs/GRE-1812-35.pdf#page=7","Abrir facsímil")</f>
        <v>Abrir facsímil</v>
      </c>
      <c r="K1408" s="3" t="s">
        <v>23</v>
      </c>
    </row>
    <row r="1409" spans="1:11" ht="42" customHeight="1">
      <c r="A1409" s="2" t="s">
        <v>3958</v>
      </c>
      <c r="B1409" s="2" t="s">
        <v>3959</v>
      </c>
      <c r="C1409" s="2" t="s">
        <v>26</v>
      </c>
      <c r="D1409" s="2" t="s">
        <v>275</v>
      </c>
      <c r="E1409" s="4">
        <v>-31940</v>
      </c>
      <c r="F1409" s="3" t="s">
        <v>187</v>
      </c>
      <c r="G1409" s="3" t="s">
        <v>45</v>
      </c>
      <c r="H1409" s="2" t="s">
        <v>21</v>
      </c>
      <c r="I1409" s="2" t="s">
        <v>3960</v>
      </c>
      <c r="J1409" s="3" t="str">
        <f>HYPERLINK("https://www.boe.es/gazeta/dias/1812/07/19/pdfs/GMD-1812-201.pdf#page=2","Abrir facsímil")</f>
        <v>Abrir facsímil</v>
      </c>
      <c r="K1409" s="3" t="s">
        <v>23</v>
      </c>
    </row>
    <row r="1410" spans="1:11" ht="42" customHeight="1">
      <c r="A1410" s="2" t="s">
        <v>3961</v>
      </c>
      <c r="B1410" s="2" t="s">
        <v>3961</v>
      </c>
      <c r="C1410" s="2" t="s">
        <v>17</v>
      </c>
      <c r="D1410" s="2" t="s">
        <v>18</v>
      </c>
      <c r="E1410" s="4">
        <v>-32136</v>
      </c>
      <c r="F1410" s="3" t="s">
        <v>2800</v>
      </c>
      <c r="G1410" s="3" t="s">
        <v>45</v>
      </c>
      <c r="H1410" s="2" t="s">
        <v>21</v>
      </c>
      <c r="I1410" s="2" t="s">
        <v>3962</v>
      </c>
      <c r="J1410" s="3" t="str">
        <f>HYPERLINK("https://www.boe.es/gazeta/dias/1812/01/05/pdfs/GMD-1812-5.pdf#page=4","Abrir facsímil")</f>
        <v>Abrir facsímil</v>
      </c>
      <c r="K1410" s="3" t="s">
        <v>23</v>
      </c>
    </row>
    <row r="1411" spans="1:11" ht="42" customHeight="1">
      <c r="A1411" s="2" t="s">
        <v>3961</v>
      </c>
      <c r="B1411" s="2" t="s">
        <v>3961</v>
      </c>
      <c r="C1411" s="2" t="s">
        <v>17</v>
      </c>
      <c r="D1411" s="2" t="s">
        <v>27</v>
      </c>
      <c r="E1411" s="4">
        <v>-32133</v>
      </c>
      <c r="F1411" s="3" t="s">
        <v>139</v>
      </c>
      <c r="G1411" s="3" t="s">
        <v>125</v>
      </c>
      <c r="H1411" s="2" t="s">
        <v>21</v>
      </c>
      <c r="I1411" s="2" t="s">
        <v>3963</v>
      </c>
      <c r="J1411" s="3" t="str">
        <f>HYPERLINK("https://www.boe.es/gazeta/dias/1812/01/08/pdfs/GMD-1812-8.pdf#page=4","Abrir facsímil")</f>
        <v>Abrir facsímil</v>
      </c>
      <c r="K1411" s="3" t="s">
        <v>23</v>
      </c>
    </row>
    <row r="1412" spans="1:11" ht="42" customHeight="1">
      <c r="A1412" s="2" t="s">
        <v>3961</v>
      </c>
      <c r="B1412" s="2" t="s">
        <v>3961</v>
      </c>
      <c r="C1412" s="2" t="s">
        <v>17</v>
      </c>
      <c r="D1412" s="2" t="s">
        <v>27</v>
      </c>
      <c r="E1412" s="4">
        <v>-32125</v>
      </c>
      <c r="F1412" s="3" t="s">
        <v>335</v>
      </c>
      <c r="G1412" s="3" t="s">
        <v>742</v>
      </c>
      <c r="H1412" s="2" t="s">
        <v>21</v>
      </c>
      <c r="I1412" s="2" t="s">
        <v>3964</v>
      </c>
      <c r="J1412" s="3" t="str">
        <f>HYPERLINK("https://www.boe.es/gazeta/dias/1812/01/16/pdfs/GEI-1812-7.pdf#page=5","Abrir facsímil")</f>
        <v>Abrir facsímil</v>
      </c>
      <c r="K1412" s="3" t="s">
        <v>23</v>
      </c>
    </row>
    <row r="1413" spans="1:11" ht="42" customHeight="1">
      <c r="A1413" s="2" t="s">
        <v>3961</v>
      </c>
      <c r="B1413" s="2" t="s">
        <v>3961</v>
      </c>
      <c r="C1413" s="2" t="s">
        <v>17</v>
      </c>
      <c r="D1413" s="2" t="s">
        <v>27</v>
      </c>
      <c r="E1413" s="4">
        <v>-32116</v>
      </c>
      <c r="F1413" s="3" t="s">
        <v>993</v>
      </c>
      <c r="G1413" s="3" t="s">
        <v>2650</v>
      </c>
      <c r="H1413" s="2" t="s">
        <v>21</v>
      </c>
      <c r="I1413" s="2" t="s">
        <v>3965</v>
      </c>
      <c r="J1413" s="3" t="str">
        <f>HYPERLINK("https://www.boe.es/gazeta/dias/1812/01/25/pdfs/GEI-1812-11.pdf#page=2","Abrir facsímil")</f>
        <v>Abrir facsímil</v>
      </c>
      <c r="K1413" s="3" t="s">
        <v>23</v>
      </c>
    </row>
    <row r="1414" spans="1:11" ht="42" customHeight="1">
      <c r="A1414" s="2" t="s">
        <v>3961</v>
      </c>
      <c r="B1414" s="2" t="s">
        <v>3961</v>
      </c>
      <c r="C1414" s="2" t="s">
        <v>17</v>
      </c>
      <c r="D1414" s="2" t="s">
        <v>27</v>
      </c>
      <c r="E1414" s="4">
        <v>-32092</v>
      </c>
      <c r="F1414" s="3" t="s">
        <v>1621</v>
      </c>
      <c r="G1414" s="3" t="s">
        <v>1650</v>
      </c>
      <c r="H1414" s="2" t="s">
        <v>21</v>
      </c>
      <c r="I1414" s="2" t="s">
        <v>3966</v>
      </c>
      <c r="J1414" s="3" t="str">
        <f>HYPERLINK("https://www.boe.es/gazeta/dias/1812/02/18/pdfs/GRE-1812-21.pdf#page=7","Abrir facsímil")</f>
        <v>Abrir facsímil</v>
      </c>
      <c r="K1414" s="3" t="s">
        <v>23</v>
      </c>
    </row>
    <row r="1415" spans="1:11" ht="42" customHeight="1">
      <c r="A1415" s="2" t="s">
        <v>3961</v>
      </c>
      <c r="B1415" s="2" t="s">
        <v>3961</v>
      </c>
      <c r="C1415" s="2" t="s">
        <v>17</v>
      </c>
      <c r="D1415" s="2" t="s">
        <v>27</v>
      </c>
      <c r="E1415" s="4">
        <v>-32078</v>
      </c>
      <c r="F1415" s="3" t="s">
        <v>145</v>
      </c>
      <c r="G1415" s="3" t="s">
        <v>1930</v>
      </c>
      <c r="H1415" s="2" t="s">
        <v>21</v>
      </c>
      <c r="I1415" s="2" t="s">
        <v>3967</v>
      </c>
      <c r="J1415" s="3" t="str">
        <f>HYPERLINK("https://www.boe.es/gazeta/dias/1812/03/03/pdfs/GRE-1812-28.pdf#page=7","Abrir facsímil")</f>
        <v>Abrir facsímil</v>
      </c>
      <c r="K1415" s="3" t="s">
        <v>23</v>
      </c>
    </row>
    <row r="1416" spans="1:11" ht="42" customHeight="1">
      <c r="A1416" s="2" t="s">
        <v>3961</v>
      </c>
      <c r="B1416" s="2" t="s">
        <v>3961</v>
      </c>
      <c r="C1416" s="2" t="s">
        <v>49</v>
      </c>
      <c r="D1416" s="2" t="s">
        <v>194</v>
      </c>
      <c r="E1416" s="4">
        <v>-32057</v>
      </c>
      <c r="F1416" s="3" t="s">
        <v>677</v>
      </c>
      <c r="G1416" s="3" t="s">
        <v>678</v>
      </c>
      <c r="H1416" s="2" t="s">
        <v>21</v>
      </c>
      <c r="I1416" s="2" t="s">
        <v>3968</v>
      </c>
      <c r="J1416" s="3" t="str">
        <f>HYPERLINK("https://www.boe.es/gazeta/dias/1812/03/24/pdfs/GRE-1812-37.pdf#page=6","Abrir facsímil")</f>
        <v>Abrir facsímil</v>
      </c>
      <c r="K1416" s="3" t="s">
        <v>23</v>
      </c>
    </row>
    <row r="1417" spans="1:11" ht="42" customHeight="1">
      <c r="A1417" s="2" t="s">
        <v>3961</v>
      </c>
      <c r="B1417" s="2" t="s">
        <v>3961</v>
      </c>
      <c r="C1417" s="2" t="s">
        <v>115</v>
      </c>
      <c r="D1417" s="2" t="s">
        <v>27</v>
      </c>
      <c r="E1417" s="4">
        <v>-32053</v>
      </c>
      <c r="F1417" s="3" t="s">
        <v>910</v>
      </c>
      <c r="G1417" s="3" t="s">
        <v>2448</v>
      </c>
      <c r="H1417" s="2" t="s">
        <v>21</v>
      </c>
      <c r="I1417" s="2" t="s">
        <v>3969</v>
      </c>
      <c r="J1417" s="3" t="str">
        <f>HYPERLINK("https://www.boe.es/gazeta/dias/1812/03/28/pdfs/GRE-1812-39.pdf#page=1","Abrir facsímil")</f>
        <v>Abrir facsímil</v>
      </c>
      <c r="K1417" s="3" t="s">
        <v>23</v>
      </c>
    </row>
    <row r="1418" spans="1:11" ht="42" customHeight="1">
      <c r="A1418" s="2" t="s">
        <v>3961</v>
      </c>
      <c r="B1418" s="2" t="s">
        <v>3961</v>
      </c>
      <c r="C1418" s="2" t="s">
        <v>17</v>
      </c>
      <c r="D1418" s="2" t="s">
        <v>27</v>
      </c>
      <c r="E1418" s="4">
        <v>-32046</v>
      </c>
      <c r="F1418" s="3" t="s">
        <v>1013</v>
      </c>
      <c r="G1418" s="3" t="s">
        <v>3970</v>
      </c>
      <c r="H1418" s="2" t="s">
        <v>21</v>
      </c>
      <c r="I1418" s="2" t="s">
        <v>3971</v>
      </c>
      <c r="J1418" s="3" t="str">
        <f>HYPERLINK("https://www.boe.es/gazeta/dias/1812/04/04/pdfs/GRE-1812-42.pdf#page=3","Abrir facsímil")</f>
        <v>Abrir facsímil</v>
      </c>
      <c r="K1418" s="3" t="s">
        <v>23</v>
      </c>
    </row>
    <row r="1419" spans="1:11" ht="42" customHeight="1">
      <c r="A1419" s="2" t="s">
        <v>3961</v>
      </c>
      <c r="B1419" s="2" t="s">
        <v>3961</v>
      </c>
      <c r="C1419" s="2" t="s">
        <v>17</v>
      </c>
      <c r="D1419" s="2" t="s">
        <v>27</v>
      </c>
      <c r="E1419" s="4">
        <v>-32006</v>
      </c>
      <c r="F1419" s="3" t="s">
        <v>190</v>
      </c>
      <c r="G1419" s="3" t="s">
        <v>1380</v>
      </c>
      <c r="H1419" s="2" t="s">
        <v>21</v>
      </c>
      <c r="I1419" s="2" t="s">
        <v>3972</v>
      </c>
      <c r="J1419" s="3" t="str">
        <f>HYPERLINK("https://www.boe.es/gazeta/dias/1812/05/14/pdfs/GRE-1812-60.pdf#page=6","Abrir facsímil")</f>
        <v>Abrir facsímil</v>
      </c>
      <c r="K1419" s="3" t="s">
        <v>23</v>
      </c>
    </row>
    <row r="1420" spans="1:11" ht="42" customHeight="1">
      <c r="A1420" s="2" t="s">
        <v>3961</v>
      </c>
      <c r="B1420" s="2" t="s">
        <v>3961</v>
      </c>
      <c r="C1420" s="2" t="s">
        <v>17</v>
      </c>
      <c r="D1420" s="2" t="s">
        <v>27</v>
      </c>
      <c r="E1420" s="4">
        <v>-31922</v>
      </c>
      <c r="F1420" s="3" t="s">
        <v>375</v>
      </c>
      <c r="G1420" s="3" t="s">
        <v>3973</v>
      </c>
      <c r="H1420" s="2" t="s">
        <v>21</v>
      </c>
      <c r="I1420" s="2" t="s">
        <v>3974</v>
      </c>
      <c r="J1420" s="3" t="str">
        <f>HYPERLINK("https://www.boe.es/gazeta/dias/1812/08/06/pdfs/GRE-1812-100.pdf#page=5","Abrir facsímil")</f>
        <v>Abrir facsímil</v>
      </c>
      <c r="K1420" s="3" t="s">
        <v>23</v>
      </c>
    </row>
    <row r="1421" spans="1:11" ht="42" customHeight="1">
      <c r="A1421" s="2" t="s">
        <v>3961</v>
      </c>
      <c r="B1421" s="2" t="s">
        <v>3961</v>
      </c>
      <c r="C1421" s="2" t="s">
        <v>17</v>
      </c>
      <c r="D1421" s="2" t="s">
        <v>275</v>
      </c>
      <c r="E1421" s="4">
        <v>-31905</v>
      </c>
      <c r="F1421" s="3" t="s">
        <v>855</v>
      </c>
      <c r="G1421" s="3" t="s">
        <v>3975</v>
      </c>
      <c r="H1421" s="2" t="s">
        <v>21</v>
      </c>
      <c r="I1421" s="2" t="s">
        <v>3976</v>
      </c>
      <c r="J1421" s="3" t="str">
        <f>HYPERLINK("https://www.boe.es/gazeta/dias/1812/08/23/pdfs/GMR-1812-4.pdf#page=9","Abrir facsímil")</f>
        <v>Abrir facsímil</v>
      </c>
      <c r="K1421" s="3" t="s">
        <v>23</v>
      </c>
    </row>
    <row r="1422" spans="1:11" ht="42" customHeight="1">
      <c r="A1422" s="2" t="s">
        <v>3961</v>
      </c>
      <c r="B1422" s="2" t="s">
        <v>3961</v>
      </c>
      <c r="C1422" s="2" t="s">
        <v>17</v>
      </c>
      <c r="D1422" s="2" t="s">
        <v>18</v>
      </c>
      <c r="E1422" s="4">
        <v>-31859</v>
      </c>
      <c r="F1422" s="3" t="s">
        <v>3024</v>
      </c>
      <c r="G1422" s="3" t="s">
        <v>739</v>
      </c>
      <c r="H1422" s="2" t="s">
        <v>21</v>
      </c>
      <c r="I1422" s="2" t="s">
        <v>3977</v>
      </c>
      <c r="J1422" s="3" t="str">
        <f>HYPERLINK("https://www.boe.es/gazeta/dias/1812/10/08/pdfs/GRE-1812-136.pdf#page=7","Abrir facsímil")</f>
        <v>Abrir facsímil</v>
      </c>
      <c r="K1422" s="3" t="s">
        <v>23</v>
      </c>
    </row>
    <row r="1423" spans="1:11" ht="42" customHeight="1">
      <c r="A1423" s="2" t="s">
        <v>3978</v>
      </c>
      <c r="B1423" s="2" t="s">
        <v>3979</v>
      </c>
      <c r="C1423" s="2" t="s">
        <v>17</v>
      </c>
      <c r="D1423" s="2" t="s">
        <v>18</v>
      </c>
      <c r="E1423" s="4">
        <v>-31895</v>
      </c>
      <c r="F1423" s="3" t="s">
        <v>3980</v>
      </c>
      <c r="G1423" s="3" t="s">
        <v>20</v>
      </c>
      <c r="H1423" s="2" t="s">
        <v>21</v>
      </c>
      <c r="I1423" s="2" t="s">
        <v>3981</v>
      </c>
      <c r="J1423" s="3" t="str">
        <f>HYPERLINK("https://www.boe.es/gazeta/dias/1812/09/02/pdfs/GRE-1812-118E.pdf#page=1","Abrir facsímil")</f>
        <v>Abrir facsímil</v>
      </c>
      <c r="K1423" s="3" t="s">
        <v>23</v>
      </c>
    </row>
    <row r="1424" spans="1:11" ht="42" customHeight="1">
      <c r="A1424" s="2" t="s">
        <v>3978</v>
      </c>
      <c r="B1424" s="2" t="s">
        <v>3979</v>
      </c>
      <c r="C1424" s="2" t="s">
        <v>17</v>
      </c>
      <c r="D1424" s="2" t="s">
        <v>18</v>
      </c>
      <c r="E1424" s="4">
        <v>-31894</v>
      </c>
      <c r="F1424" s="3" t="s">
        <v>3953</v>
      </c>
      <c r="G1424" s="3" t="s">
        <v>20</v>
      </c>
      <c r="H1424" s="2" t="s">
        <v>21</v>
      </c>
      <c r="I1424" s="2" t="s">
        <v>3982</v>
      </c>
      <c r="J1424" s="3" t="str">
        <f>HYPERLINK("https://www.boe.es/gazeta/dias/1812/09/03/pdfs/GMR-1812-9.pdf#page=8","Abrir facsímil")</f>
        <v>Abrir facsímil</v>
      </c>
      <c r="K1424" s="3" t="s">
        <v>23</v>
      </c>
    </row>
    <row r="1425" spans="1:11" ht="42" customHeight="1">
      <c r="A1425" s="2" t="s">
        <v>3978</v>
      </c>
      <c r="B1425" s="2" t="s">
        <v>3979</v>
      </c>
      <c r="C1425" s="2" t="s">
        <v>17</v>
      </c>
      <c r="D1425" s="2" t="s">
        <v>18</v>
      </c>
      <c r="E1425" s="4">
        <v>-31882</v>
      </c>
      <c r="F1425" s="3" t="s">
        <v>1798</v>
      </c>
      <c r="G1425" s="3" t="s">
        <v>1799</v>
      </c>
      <c r="H1425" s="2" t="s">
        <v>21</v>
      </c>
      <c r="I1425" s="2" t="s">
        <v>3983</v>
      </c>
      <c r="J1425" s="3" t="str">
        <f>HYPERLINK("https://www.boe.es/gazeta/dias/1812/09/15/pdfs/GMR-1812-14.pdf#page=12","Abrir facsímil")</f>
        <v>Abrir facsímil</v>
      </c>
      <c r="K1425" s="3" t="s">
        <v>23</v>
      </c>
    </row>
    <row r="1426" spans="1:11" ht="42" customHeight="1">
      <c r="A1426" s="2" t="s">
        <v>3978</v>
      </c>
      <c r="B1426" s="2" t="s">
        <v>3979</v>
      </c>
      <c r="C1426" s="2" t="s">
        <v>17</v>
      </c>
      <c r="D1426" s="2" t="s">
        <v>18</v>
      </c>
      <c r="E1426" s="4">
        <v>-31789</v>
      </c>
      <c r="F1426" s="3" t="s">
        <v>350</v>
      </c>
      <c r="G1426" s="3" t="s">
        <v>3984</v>
      </c>
      <c r="H1426" s="2" t="s">
        <v>21</v>
      </c>
      <c r="I1426" s="2" t="s">
        <v>3985</v>
      </c>
      <c r="J1426" s="3" t="str">
        <f>HYPERLINK("https://www.boe.es/gazeta/dias/1812/12/17/pdfs/GRE-1812-166.pdf#page=5","Abrir facsímil")</f>
        <v>Abrir facsímil</v>
      </c>
      <c r="K1426" s="3" t="s">
        <v>23</v>
      </c>
    </row>
    <row r="1427" spans="1:11" ht="42" customHeight="1">
      <c r="A1427" s="2" t="s">
        <v>3986</v>
      </c>
      <c r="B1427" s="2" t="s">
        <v>3987</v>
      </c>
      <c r="C1427" s="2" t="s">
        <v>186</v>
      </c>
      <c r="D1427" s="2" t="s">
        <v>27</v>
      </c>
      <c r="E1427" s="4">
        <v>-31939</v>
      </c>
      <c r="F1427" s="3" t="s">
        <v>408</v>
      </c>
      <c r="G1427" s="3" t="s">
        <v>20</v>
      </c>
      <c r="H1427" s="2" t="s">
        <v>21</v>
      </c>
      <c r="I1427" s="2" t="s">
        <v>3988</v>
      </c>
      <c r="J1427" s="3" t="str">
        <f>HYPERLINK("https://www.boe.es/gazeta/dias/1812/07/20/pdfs/GMD-1812-202.pdf#page=4","Abrir facsímil")</f>
        <v>Abrir facsímil</v>
      </c>
      <c r="K1427" s="3" t="s">
        <v>23</v>
      </c>
    </row>
    <row r="1428" spans="1:11" ht="42" customHeight="1">
      <c r="A1428" s="2" t="s">
        <v>3989</v>
      </c>
      <c r="B1428" s="2" t="s">
        <v>3990</v>
      </c>
      <c r="C1428" s="2" t="s">
        <v>26</v>
      </c>
      <c r="D1428" s="2" t="s">
        <v>27</v>
      </c>
      <c r="E1428" s="4">
        <v>-32033</v>
      </c>
      <c r="F1428" s="3" t="s">
        <v>771</v>
      </c>
      <c r="G1428" s="3" t="s">
        <v>130</v>
      </c>
      <c r="H1428" s="2" t="s">
        <v>21</v>
      </c>
      <c r="I1428" s="2" t="s">
        <v>3991</v>
      </c>
      <c r="J1428" s="3" t="str">
        <f>HYPERLINK("https://www.boe.es/gazeta/dias/1812/04/17/pdfs/GMD-1812-108.pdf#page=4","Abrir facsímil")</f>
        <v>Abrir facsímil</v>
      </c>
      <c r="K1428" s="3" t="s">
        <v>23</v>
      </c>
    </row>
    <row r="1429" spans="1:11" ht="42" customHeight="1">
      <c r="A1429" s="2" t="s">
        <v>3992</v>
      </c>
      <c r="B1429" s="2" t="s">
        <v>3993</v>
      </c>
      <c r="C1429" s="2" t="s">
        <v>26</v>
      </c>
      <c r="D1429" s="2" t="s">
        <v>27</v>
      </c>
      <c r="E1429" s="4">
        <v>-32066</v>
      </c>
      <c r="F1429" s="3" t="s">
        <v>291</v>
      </c>
      <c r="G1429" s="3" t="s">
        <v>125</v>
      </c>
      <c r="H1429" s="2" t="s">
        <v>21</v>
      </c>
      <c r="I1429" s="2" t="s">
        <v>3994</v>
      </c>
      <c r="J1429" s="3" t="str">
        <f>HYPERLINK("https://www.boe.es/gazeta/dias/1812/03/15/pdfs/GMD-1812-75.pdf#page=4","Abrir facsímil")</f>
        <v>Abrir facsímil</v>
      </c>
      <c r="K1429" s="3" t="s">
        <v>23</v>
      </c>
    </row>
    <row r="1430" spans="1:11" ht="42" customHeight="1">
      <c r="A1430" s="2" t="s">
        <v>3995</v>
      </c>
      <c r="B1430" s="2" t="s">
        <v>3996</v>
      </c>
      <c r="C1430" s="2" t="s">
        <v>26</v>
      </c>
      <c r="D1430" s="2" t="s">
        <v>27</v>
      </c>
      <c r="E1430" s="4">
        <v>-31936</v>
      </c>
      <c r="F1430" s="3" t="s">
        <v>614</v>
      </c>
      <c r="G1430" s="3" t="s">
        <v>615</v>
      </c>
      <c r="H1430" s="2" t="s">
        <v>21</v>
      </c>
      <c r="I1430" s="2" t="s">
        <v>3997</v>
      </c>
      <c r="J1430" s="3" t="str">
        <f>HYPERLINK("https://www.boe.es/gazeta/dias/1812/07/23/pdfs/GRE-1812-92.pdf#page=8","Abrir facsímil")</f>
        <v>Abrir facsímil</v>
      </c>
      <c r="K1430" s="3" t="s">
        <v>23</v>
      </c>
    </row>
    <row r="1431" spans="1:11" ht="42" customHeight="1">
      <c r="A1431" s="2" t="s">
        <v>3998</v>
      </c>
      <c r="B1431" s="2" t="s">
        <v>3999</v>
      </c>
      <c r="C1431" s="2" t="s">
        <v>17</v>
      </c>
      <c r="D1431" s="2" t="s">
        <v>27</v>
      </c>
      <c r="E1431" s="4">
        <v>-32127</v>
      </c>
      <c r="F1431" s="3" t="s">
        <v>88</v>
      </c>
      <c r="G1431" s="3" t="s">
        <v>89</v>
      </c>
      <c r="H1431" s="2" t="s">
        <v>21</v>
      </c>
      <c r="I1431" s="2" t="s">
        <v>4000</v>
      </c>
      <c r="J1431" s="3" t="str">
        <f>HYPERLINK("https://www.boe.es/gazeta/dias/1812/01/14/pdfs/GEI-1812-6.pdf#page=8","Abrir facsímil")</f>
        <v>Abrir facsímil</v>
      </c>
      <c r="K1431" s="3" t="s">
        <v>23</v>
      </c>
    </row>
    <row r="1432" spans="1:11" ht="42" customHeight="1">
      <c r="A1432" s="2" t="s">
        <v>4001</v>
      </c>
      <c r="B1432" s="2" t="s">
        <v>4001</v>
      </c>
      <c r="C1432" s="2" t="s">
        <v>17</v>
      </c>
      <c r="D1432" s="2" t="s">
        <v>18</v>
      </c>
      <c r="E1432" s="4">
        <v>-32134</v>
      </c>
      <c r="F1432" s="3" t="s">
        <v>50</v>
      </c>
      <c r="G1432" s="3" t="s">
        <v>1650</v>
      </c>
      <c r="H1432" s="2" t="s">
        <v>21</v>
      </c>
      <c r="I1432" s="2" t="s">
        <v>4002</v>
      </c>
      <c r="J1432" s="3" t="str">
        <f>HYPERLINK("https://www.boe.es/gazeta/dias/1812/01/07/pdfs/GEI-1812-3.pdf#page=6","Abrir facsímil")</f>
        <v>Abrir facsímil</v>
      </c>
      <c r="K1432" s="3" t="s">
        <v>23</v>
      </c>
    </row>
    <row r="1433" spans="1:11" ht="42" customHeight="1">
      <c r="A1433" s="2" t="s">
        <v>4003</v>
      </c>
      <c r="B1433" s="2" t="s">
        <v>4004</v>
      </c>
      <c r="C1433" s="2" t="s">
        <v>26</v>
      </c>
      <c r="D1433" s="2" t="s">
        <v>27</v>
      </c>
      <c r="E1433" s="4">
        <v>-31938</v>
      </c>
      <c r="F1433" s="3" t="s">
        <v>324</v>
      </c>
      <c r="G1433" s="3" t="s">
        <v>497</v>
      </c>
      <c r="H1433" s="2" t="s">
        <v>21</v>
      </c>
      <c r="I1433" s="2" t="s">
        <v>4005</v>
      </c>
      <c r="J1433" s="3" t="str">
        <f>HYPERLINK("https://www.boe.es/gazeta/dias/1812/07/21/pdfs/GMD-1812-203.pdf#page=3","Abrir facsímil")</f>
        <v>Abrir facsímil</v>
      </c>
      <c r="K1433" s="3" t="s">
        <v>23</v>
      </c>
    </row>
    <row r="1434" spans="1:11" ht="42" customHeight="1">
      <c r="A1434" s="2" t="s">
        <v>4006</v>
      </c>
      <c r="B1434" s="2" t="s">
        <v>4006</v>
      </c>
      <c r="C1434" s="2" t="s">
        <v>17</v>
      </c>
      <c r="D1434" s="2" t="s">
        <v>27</v>
      </c>
      <c r="E1434" s="4">
        <v>-31793</v>
      </c>
      <c r="F1434" s="3" t="s">
        <v>2570</v>
      </c>
      <c r="G1434" s="3" t="s">
        <v>1953</v>
      </c>
      <c r="H1434" s="2" t="s">
        <v>21</v>
      </c>
      <c r="I1434" s="2" t="s">
        <v>4007</v>
      </c>
      <c r="J1434" s="3" t="str">
        <f>HYPERLINK("https://www.boe.es/gazeta/dias/1812/12/13/pdfs/GMD-1812-236.pdf#page=3","Abrir facsímil")</f>
        <v>Abrir facsímil</v>
      </c>
      <c r="K1434" s="3" t="s">
        <v>23</v>
      </c>
    </row>
    <row r="1435" spans="1:11" ht="42" customHeight="1">
      <c r="A1435" s="2" t="s">
        <v>4006</v>
      </c>
      <c r="B1435" s="2" t="s">
        <v>4006</v>
      </c>
      <c r="C1435" s="2" t="s">
        <v>17</v>
      </c>
      <c r="D1435" s="2" t="s">
        <v>18</v>
      </c>
      <c r="E1435" s="4">
        <v>-31793</v>
      </c>
      <c r="F1435" s="3" t="s">
        <v>2570</v>
      </c>
      <c r="G1435" s="3" t="s">
        <v>217</v>
      </c>
      <c r="H1435" s="2" t="s">
        <v>21</v>
      </c>
      <c r="I1435" s="2" t="s">
        <v>4008</v>
      </c>
      <c r="J1435" s="3" t="str">
        <f>HYPERLINK("https://www.boe.es/gazeta/dias/1812/12/13/pdfs/GMD-1812-236.pdf#page=4","Abrir facsímil")</f>
        <v>Abrir facsímil</v>
      </c>
      <c r="K1435" s="3" t="s">
        <v>23</v>
      </c>
    </row>
    <row r="1436" spans="1:11" ht="42" customHeight="1">
      <c r="A1436" s="2" t="s">
        <v>4009</v>
      </c>
      <c r="B1436" s="2" t="s">
        <v>4010</v>
      </c>
      <c r="C1436" s="2" t="s">
        <v>17</v>
      </c>
      <c r="D1436" s="2" t="s">
        <v>27</v>
      </c>
      <c r="E1436" s="4">
        <v>-31968</v>
      </c>
      <c r="F1436" s="3" t="s">
        <v>4011</v>
      </c>
      <c r="G1436" s="3" t="s">
        <v>237</v>
      </c>
      <c r="H1436" s="2" t="s">
        <v>21</v>
      </c>
      <c r="I1436" s="2" t="s">
        <v>4012</v>
      </c>
      <c r="J1436" s="3" t="str">
        <f>HYPERLINK("https://www.boe.es/gazeta/dias/1812/06/21/pdfs/GMD-1812-173.pdf#page=4","Abrir facsímil")</f>
        <v>Abrir facsímil</v>
      </c>
      <c r="K1436" s="3" t="s">
        <v>23</v>
      </c>
    </row>
    <row r="1437" spans="1:11" ht="42" customHeight="1">
      <c r="A1437" s="2" t="s">
        <v>4013</v>
      </c>
      <c r="B1437" s="2" t="s">
        <v>4014</v>
      </c>
      <c r="C1437" s="2" t="s">
        <v>67</v>
      </c>
      <c r="D1437" s="2" t="s">
        <v>27</v>
      </c>
      <c r="E1437" s="4">
        <v>-32075</v>
      </c>
      <c r="F1437" s="3" t="s">
        <v>301</v>
      </c>
      <c r="G1437" s="3" t="s">
        <v>20</v>
      </c>
      <c r="H1437" s="2" t="s">
        <v>21</v>
      </c>
      <c r="I1437" s="2" t="s">
        <v>4015</v>
      </c>
      <c r="J1437" s="3" t="str">
        <f>HYPERLINK("https://www.boe.es/gazeta/dias/1812/03/06/pdfs/GMD-1812-66.pdf#page=4","Abrir facsímil")</f>
        <v>Abrir facsímil</v>
      </c>
      <c r="K1437" s="3" t="s">
        <v>23</v>
      </c>
    </row>
    <row r="1438" spans="1:11" ht="42" customHeight="1">
      <c r="A1438" s="2" t="s">
        <v>4016</v>
      </c>
      <c r="B1438" s="2" t="s">
        <v>4017</v>
      </c>
      <c r="C1438" s="2" t="s">
        <v>17</v>
      </c>
      <c r="D1438" s="2" t="s">
        <v>18</v>
      </c>
      <c r="E1438" s="4">
        <v>-32061</v>
      </c>
      <c r="F1438" s="3" t="s">
        <v>798</v>
      </c>
      <c r="G1438" s="3" t="s">
        <v>36</v>
      </c>
      <c r="H1438" s="2" t="s">
        <v>21</v>
      </c>
      <c r="I1438" s="2" t="s">
        <v>4018</v>
      </c>
      <c r="J1438" s="3" t="str">
        <f>HYPERLINK("https://www.boe.es/gazeta/dias/1812/03/20/pdfs/GMD-1812-80.pdf#page=3","Abrir facsímil")</f>
        <v>Abrir facsímil</v>
      </c>
      <c r="K1438" s="3" t="s">
        <v>23</v>
      </c>
    </row>
    <row r="1439" spans="1:11" ht="42" customHeight="1">
      <c r="A1439" s="2" t="s">
        <v>4019</v>
      </c>
      <c r="B1439" s="2" t="s">
        <v>4019</v>
      </c>
      <c r="C1439" s="2" t="s">
        <v>17</v>
      </c>
      <c r="D1439" s="2" t="s">
        <v>18</v>
      </c>
      <c r="E1439" s="4">
        <v>-31982</v>
      </c>
      <c r="F1439" s="3" t="s">
        <v>1630</v>
      </c>
      <c r="G1439" s="3" t="s">
        <v>1631</v>
      </c>
      <c r="H1439" s="2" t="s">
        <v>21</v>
      </c>
      <c r="I1439" s="2" t="s">
        <v>4020</v>
      </c>
      <c r="J1439" s="3" t="str">
        <f>HYPERLINK("https://www.boe.es/gazeta/dias/1812/06/07/pdfs/GMD-1812-159.pdf#page=4","Abrir facsímil")</f>
        <v>Abrir facsímil</v>
      </c>
      <c r="K1439" s="3" t="s">
        <v>23</v>
      </c>
    </row>
    <row r="1440" spans="1:11" ht="42" customHeight="1">
      <c r="A1440" s="2" t="s">
        <v>4021</v>
      </c>
      <c r="B1440" s="2" t="s">
        <v>4022</v>
      </c>
      <c r="C1440" s="2" t="s">
        <v>26</v>
      </c>
      <c r="D1440" s="2" t="s">
        <v>27</v>
      </c>
      <c r="E1440" s="4">
        <v>-32118</v>
      </c>
      <c r="F1440" s="3" t="s">
        <v>964</v>
      </c>
      <c r="G1440" s="3" t="s">
        <v>965</v>
      </c>
      <c r="H1440" s="2" t="s">
        <v>21</v>
      </c>
      <c r="I1440" s="2" t="s">
        <v>4023</v>
      </c>
      <c r="J1440" s="3" t="str">
        <f>HYPERLINK("https://www.boe.es/gazeta/dias/1812/01/23/pdfs/GEI-H-1812-10.pdf#page=4","Abrir facsímil")</f>
        <v>Abrir facsímil</v>
      </c>
      <c r="K1440" s="3" t="s">
        <v>23</v>
      </c>
    </row>
    <row r="1441" spans="1:11" ht="42" customHeight="1">
      <c r="A1441" s="2" t="s">
        <v>4024</v>
      </c>
      <c r="B1441" s="2" t="s">
        <v>4024</v>
      </c>
      <c r="C1441" s="2" t="s">
        <v>105</v>
      </c>
      <c r="D1441" s="2" t="s">
        <v>27</v>
      </c>
      <c r="E1441" s="4">
        <v>-31896</v>
      </c>
      <c r="F1441" s="3" t="s">
        <v>1808</v>
      </c>
      <c r="G1441" s="3" t="s">
        <v>214</v>
      </c>
      <c r="H1441" s="2" t="s">
        <v>21</v>
      </c>
      <c r="I1441" s="2" t="s">
        <v>4025</v>
      </c>
      <c r="J1441" s="3" t="str">
        <f>HYPERLINK("https://www.boe.es/gazeta/dias/1812/09/01/pdfs/GMR-1812-8.pdf#page=6","Abrir facsímil")</f>
        <v>Abrir facsímil</v>
      </c>
      <c r="K1441" s="3" t="s">
        <v>23</v>
      </c>
    </row>
    <row r="1442" spans="1:11" ht="42" customHeight="1">
      <c r="A1442" s="2" t="s">
        <v>4024</v>
      </c>
      <c r="B1442" s="2" t="s">
        <v>4024</v>
      </c>
      <c r="C1442" s="2" t="s">
        <v>105</v>
      </c>
      <c r="D1442" s="2" t="s">
        <v>27</v>
      </c>
      <c r="E1442" s="4">
        <v>-31843</v>
      </c>
      <c r="F1442" s="3" t="s">
        <v>3493</v>
      </c>
      <c r="G1442" s="3" t="s">
        <v>125</v>
      </c>
      <c r="H1442" s="2" t="s">
        <v>21</v>
      </c>
      <c r="I1442" s="2" t="s">
        <v>4026</v>
      </c>
      <c r="J1442" s="3" t="str">
        <f>HYPERLINK("https://www.boe.es/gazeta/dias/1812/10/24/pdfs/GMR-1812-31.pdf#page=2","Abrir facsímil")</f>
        <v>Abrir facsímil</v>
      </c>
      <c r="K1442" s="3" t="s">
        <v>23</v>
      </c>
    </row>
    <row r="1443" spans="1:11" ht="42" customHeight="1">
      <c r="A1443" s="2" t="s">
        <v>4024</v>
      </c>
      <c r="B1443" s="2" t="s">
        <v>4024</v>
      </c>
      <c r="C1443" s="2" t="s">
        <v>17</v>
      </c>
      <c r="D1443" s="2" t="s">
        <v>194</v>
      </c>
      <c r="E1443" s="4">
        <v>-31836</v>
      </c>
      <c r="F1443" s="3" t="s">
        <v>729</v>
      </c>
      <c r="G1443" s="3" t="s">
        <v>730</v>
      </c>
      <c r="H1443" s="2" t="s">
        <v>21</v>
      </c>
      <c r="I1443" s="2" t="s">
        <v>4027</v>
      </c>
      <c r="J1443" s="3" t="str">
        <f>HYPERLINK("https://www.boe.es/gazeta/dias/1812/10/31/pdfs/GRE-1812-146.pdf#page=1","Abrir facsímil")</f>
        <v>Abrir facsímil</v>
      </c>
      <c r="K1443" s="3" t="s">
        <v>23</v>
      </c>
    </row>
    <row r="1444" spans="1:11" ht="42" customHeight="1">
      <c r="A1444" s="2" t="s">
        <v>4024</v>
      </c>
      <c r="B1444" s="2" t="s">
        <v>4024</v>
      </c>
      <c r="C1444" s="2" t="s">
        <v>26</v>
      </c>
      <c r="D1444" s="2" t="s">
        <v>27</v>
      </c>
      <c r="E1444" s="4">
        <v>-31801</v>
      </c>
      <c r="F1444" s="3" t="s">
        <v>1914</v>
      </c>
      <c r="G1444" s="3" t="s">
        <v>196</v>
      </c>
      <c r="H1444" s="2" t="s">
        <v>21</v>
      </c>
      <c r="I1444" s="2" t="s">
        <v>4028</v>
      </c>
      <c r="J1444" s="3" t="str">
        <f>HYPERLINK("https://www.boe.es/gazeta/dias/1812/12/05/pdfs/GRE-1812-161.pdf#page=1","Abrir facsímil")</f>
        <v>Abrir facsímil</v>
      </c>
      <c r="K1444" s="3" t="s">
        <v>23</v>
      </c>
    </row>
    <row r="1445" spans="1:11" ht="42" customHeight="1">
      <c r="A1445" s="2" t="s">
        <v>4029</v>
      </c>
      <c r="B1445" s="2" t="s">
        <v>4029</v>
      </c>
      <c r="C1445" s="2" t="s">
        <v>105</v>
      </c>
      <c r="D1445" s="2" t="s">
        <v>27</v>
      </c>
      <c r="E1445" s="4">
        <v>-31906</v>
      </c>
      <c r="F1445" s="3" t="s">
        <v>124</v>
      </c>
      <c r="G1445" s="3" t="s">
        <v>4030</v>
      </c>
      <c r="H1445" s="2" t="s">
        <v>21</v>
      </c>
      <c r="I1445" s="2" t="s">
        <v>4031</v>
      </c>
      <c r="J1445" s="3" t="str">
        <f>HYPERLINK("https://www.boe.es/gazeta/dias/1812/08/22/pdfs/GRE-1812-109.pdf#page=1","Abrir facsímil")</f>
        <v>Abrir facsímil</v>
      </c>
      <c r="K1445" s="3" t="s">
        <v>23</v>
      </c>
    </row>
    <row r="1446" spans="1:11" ht="42" customHeight="1">
      <c r="A1446" s="2" t="s">
        <v>4032</v>
      </c>
      <c r="B1446" s="2" t="s">
        <v>4033</v>
      </c>
      <c r="C1446" s="2" t="s">
        <v>17</v>
      </c>
      <c r="D1446" s="2" t="s">
        <v>27</v>
      </c>
      <c r="E1446" s="4">
        <v>-32032</v>
      </c>
      <c r="F1446" s="3" t="s">
        <v>421</v>
      </c>
      <c r="G1446" s="3" t="s">
        <v>777</v>
      </c>
      <c r="H1446" s="2" t="s">
        <v>21</v>
      </c>
      <c r="I1446" s="2" t="s">
        <v>4034</v>
      </c>
      <c r="J1446" s="3" t="str">
        <f>HYPERLINK("https://www.boe.es/gazeta/dias/1812/04/18/pdfs/GRE-1812-49.pdf#page=3","Abrir facsímil")</f>
        <v>Abrir facsímil</v>
      </c>
      <c r="K1446" s="3" t="s">
        <v>23</v>
      </c>
    </row>
    <row r="1447" spans="1:11" ht="42" customHeight="1">
      <c r="A1447" s="2" t="s">
        <v>4035</v>
      </c>
      <c r="B1447" s="2" t="s">
        <v>4036</v>
      </c>
      <c r="C1447" s="2" t="s">
        <v>26</v>
      </c>
      <c r="D1447" s="2" t="s">
        <v>27</v>
      </c>
      <c r="E1447" s="4">
        <v>-32055</v>
      </c>
      <c r="F1447" s="3" t="s">
        <v>1271</v>
      </c>
      <c r="G1447" s="3" t="s">
        <v>130</v>
      </c>
      <c r="H1447" s="2" t="s">
        <v>21</v>
      </c>
      <c r="I1447" s="2" t="s">
        <v>4037</v>
      </c>
      <c r="J1447" s="3" t="str">
        <f>HYPERLINK("https://www.boe.es/gazeta/dias/1812/03/26/pdfs/GMD-1812-86.pdf#page=4","Abrir facsímil")</f>
        <v>Abrir facsímil</v>
      </c>
      <c r="K1447" s="3" t="s">
        <v>23</v>
      </c>
    </row>
    <row r="1448" spans="1:11" ht="42" customHeight="1">
      <c r="A1448" s="2" t="s">
        <v>4038</v>
      </c>
      <c r="B1448" s="2" t="s">
        <v>4039</v>
      </c>
      <c r="C1448" s="2" t="s">
        <v>26</v>
      </c>
      <c r="D1448" s="2" t="s">
        <v>134</v>
      </c>
      <c r="E1448" s="4">
        <v>-31983</v>
      </c>
      <c r="F1448" s="3" t="s">
        <v>1437</v>
      </c>
      <c r="G1448" s="3" t="s">
        <v>1438</v>
      </c>
      <c r="H1448" s="2" t="s">
        <v>21</v>
      </c>
      <c r="I1448" s="2" t="s">
        <v>4040</v>
      </c>
      <c r="J1448" s="3" t="str">
        <f>HYPERLINK("https://www.boe.es/gazeta/dias/1812/06/06/pdfs/GRE-F-1812-70.pdf#page=4","Abrir facsímil")</f>
        <v>Abrir facsímil</v>
      </c>
      <c r="K1448" s="3" t="s">
        <v>23</v>
      </c>
    </row>
    <row r="1449" spans="1:11" ht="42" customHeight="1">
      <c r="A1449" s="2" t="s">
        <v>4041</v>
      </c>
      <c r="B1449" s="2" t="s">
        <v>4042</v>
      </c>
      <c r="C1449" s="2" t="s">
        <v>17</v>
      </c>
      <c r="D1449" s="2" t="s">
        <v>18</v>
      </c>
      <c r="E1449" s="4">
        <v>-32132</v>
      </c>
      <c r="F1449" s="3" t="s">
        <v>484</v>
      </c>
      <c r="G1449" s="3" t="s">
        <v>485</v>
      </c>
      <c r="H1449" s="2" t="s">
        <v>21</v>
      </c>
      <c r="I1449" s="2" t="s">
        <v>4043</v>
      </c>
      <c r="J1449" s="3" t="str">
        <f>HYPERLINK("https://www.boe.es/gazeta/dias/1812/01/09/pdfs/GEI-1812-4.pdf#page=8","Abrir facsímil")</f>
        <v>Abrir facsímil</v>
      </c>
      <c r="K1449" s="3" t="s">
        <v>23</v>
      </c>
    </row>
    <row r="1450" spans="1:11" ht="42" customHeight="1">
      <c r="A1450" s="2" t="s">
        <v>4044</v>
      </c>
      <c r="B1450" s="2" t="s">
        <v>4045</v>
      </c>
      <c r="C1450" s="2" t="s">
        <v>17</v>
      </c>
      <c r="D1450" s="2" t="s">
        <v>27</v>
      </c>
      <c r="E1450" s="4">
        <v>-32022</v>
      </c>
      <c r="F1450" s="3" t="s">
        <v>1186</v>
      </c>
      <c r="G1450" s="3" t="s">
        <v>336</v>
      </c>
      <c r="H1450" s="2" t="s">
        <v>21</v>
      </c>
      <c r="I1450" s="2" t="s">
        <v>4046</v>
      </c>
      <c r="J1450" s="3" t="str">
        <f>HYPERLINK("https://www.boe.es/gazeta/dias/1812/04/28/pdfs/GRE-1812-53.pdf#page=8","Abrir facsímil")</f>
        <v>Abrir facsímil</v>
      </c>
      <c r="K1450" s="3" t="s">
        <v>23</v>
      </c>
    </row>
    <row r="1451" spans="1:11" ht="42" customHeight="1">
      <c r="A1451" s="2" t="s">
        <v>4047</v>
      </c>
      <c r="B1451" s="2" t="s">
        <v>4048</v>
      </c>
      <c r="C1451" s="2" t="s">
        <v>549</v>
      </c>
      <c r="D1451" s="2" t="s">
        <v>27</v>
      </c>
      <c r="E1451" s="4">
        <v>-31955</v>
      </c>
      <c r="F1451" s="3" t="s">
        <v>789</v>
      </c>
      <c r="G1451" s="3" t="s">
        <v>237</v>
      </c>
      <c r="H1451" s="2" t="s">
        <v>21</v>
      </c>
      <c r="I1451" s="2" t="s">
        <v>4049</v>
      </c>
      <c r="J1451" s="3" t="str">
        <f>HYPERLINK("https://www.boe.es/gazeta/dias/1812/07/04/pdfs/GRE-1812-82.pdf#page=8","Abrir facsímil")</f>
        <v>Abrir facsímil</v>
      </c>
      <c r="K1451" s="3" t="s">
        <v>23</v>
      </c>
    </row>
    <row r="1452" spans="1:11" ht="42" customHeight="1">
      <c r="A1452" s="2" t="s">
        <v>4050</v>
      </c>
      <c r="B1452" s="2" t="s">
        <v>4051</v>
      </c>
      <c r="C1452" s="2" t="s">
        <v>26</v>
      </c>
      <c r="D1452" s="2" t="s">
        <v>27</v>
      </c>
      <c r="E1452" s="4">
        <v>-32132</v>
      </c>
      <c r="F1452" s="3" t="s">
        <v>484</v>
      </c>
      <c r="G1452" s="3" t="s">
        <v>485</v>
      </c>
      <c r="H1452" s="2" t="s">
        <v>21</v>
      </c>
      <c r="I1452" s="2" t="s">
        <v>4052</v>
      </c>
      <c r="J1452" s="3" t="str">
        <f>HYPERLINK("https://www.boe.es/gazeta/dias/1812/01/09/pdfs/GEI-1812-4.pdf#page=8","Abrir facsímil")</f>
        <v>Abrir facsímil</v>
      </c>
      <c r="K1452" s="3" t="s">
        <v>23</v>
      </c>
    </row>
    <row r="1453" spans="1:11" ht="42" customHeight="1">
      <c r="A1453" s="2" t="s">
        <v>4053</v>
      </c>
      <c r="B1453" s="2" t="s">
        <v>4054</v>
      </c>
      <c r="C1453" s="2" t="s">
        <v>186</v>
      </c>
      <c r="D1453" s="2" t="s">
        <v>27</v>
      </c>
      <c r="E1453" s="4">
        <v>-32002</v>
      </c>
      <c r="F1453" s="3" t="s">
        <v>619</v>
      </c>
      <c r="G1453" s="3" t="s">
        <v>20</v>
      </c>
      <c r="H1453" s="2" t="s">
        <v>21</v>
      </c>
      <c r="I1453" s="2" t="s">
        <v>4055</v>
      </c>
      <c r="J1453" s="3" t="str">
        <f>HYPERLINK("https://www.boe.es/gazeta/dias/1812/05/18/pdfs/GMD-1812-139.pdf#page=3","Abrir facsímil")</f>
        <v>Abrir facsímil</v>
      </c>
      <c r="K1453" s="3" t="s">
        <v>23</v>
      </c>
    </row>
    <row r="1454" spans="1:11" ht="42" customHeight="1">
      <c r="A1454" s="2" t="s">
        <v>4056</v>
      </c>
      <c r="B1454" s="2" t="s">
        <v>4056</v>
      </c>
      <c r="C1454" s="2" t="s">
        <v>186</v>
      </c>
      <c r="D1454" s="2" t="s">
        <v>27</v>
      </c>
      <c r="E1454" s="4">
        <v>-32128</v>
      </c>
      <c r="F1454" s="3" t="s">
        <v>1927</v>
      </c>
      <c r="G1454" s="3" t="s">
        <v>514</v>
      </c>
      <c r="H1454" s="2" t="s">
        <v>21</v>
      </c>
      <c r="I1454" s="2" t="s">
        <v>4057</v>
      </c>
      <c r="J1454" s="3" t="str">
        <f>HYPERLINK("https://www.boe.es/gazeta/dias/1812/01/13/pdfs/GMD-1812-13.pdf#page=2","Abrir facsímil")</f>
        <v>Abrir facsímil</v>
      </c>
      <c r="K1454" s="3" t="s">
        <v>23</v>
      </c>
    </row>
    <row r="1455" spans="1:11" ht="42" customHeight="1">
      <c r="A1455" s="2" t="s">
        <v>4056</v>
      </c>
      <c r="B1455" s="2" t="s">
        <v>4056</v>
      </c>
      <c r="C1455" s="2" t="s">
        <v>17</v>
      </c>
      <c r="D1455" s="2" t="s">
        <v>194</v>
      </c>
      <c r="E1455" s="4">
        <v>-31861</v>
      </c>
      <c r="F1455" s="3" t="s">
        <v>1080</v>
      </c>
      <c r="G1455" s="3" t="s">
        <v>2403</v>
      </c>
      <c r="H1455" s="2" t="s">
        <v>21</v>
      </c>
      <c r="I1455" s="2" t="s">
        <v>4058</v>
      </c>
      <c r="J1455" s="3" t="str">
        <f>HYPERLINK("https://www.boe.es/gazeta/dias/1812/10/06/pdfs/GMR-1812-23.pdf#page=14","Abrir facsímil")</f>
        <v>Abrir facsímil</v>
      </c>
      <c r="K1455" s="3" t="s">
        <v>23</v>
      </c>
    </row>
    <row r="1456" spans="1:11" ht="42" customHeight="1">
      <c r="A1456" s="2" t="s">
        <v>4059</v>
      </c>
      <c r="B1456" s="2" t="s">
        <v>4060</v>
      </c>
      <c r="C1456" s="2" t="s">
        <v>26</v>
      </c>
      <c r="D1456" s="2" t="s">
        <v>27</v>
      </c>
      <c r="E1456" s="4">
        <v>-32139</v>
      </c>
      <c r="F1456" s="3" t="s">
        <v>288</v>
      </c>
      <c r="G1456" s="3" t="s">
        <v>130</v>
      </c>
      <c r="H1456" s="2" t="s">
        <v>21</v>
      </c>
      <c r="I1456" s="2" t="s">
        <v>4061</v>
      </c>
      <c r="J1456" s="3" t="str">
        <f>HYPERLINK("https://www.boe.es/gazeta/dias/1812/01/02/pdfs/GMD-1812-2.pdf#page=4","Abrir facsímil")</f>
        <v>Abrir facsímil</v>
      </c>
      <c r="K1456" s="3" t="s">
        <v>23</v>
      </c>
    </row>
    <row r="1457" spans="1:11" ht="42" customHeight="1">
      <c r="A1457" s="2" t="s">
        <v>4062</v>
      </c>
      <c r="B1457" s="2" t="s">
        <v>4062</v>
      </c>
      <c r="C1457" s="2" t="s">
        <v>26</v>
      </c>
      <c r="D1457" s="2" t="s">
        <v>27</v>
      </c>
      <c r="E1457" s="4">
        <v>-31889</v>
      </c>
      <c r="F1457" s="3" t="s">
        <v>699</v>
      </c>
      <c r="G1457" s="3" t="s">
        <v>58</v>
      </c>
      <c r="H1457" s="2" t="s">
        <v>21</v>
      </c>
      <c r="I1457" s="2" t="s">
        <v>4063</v>
      </c>
      <c r="J1457" s="3" t="str">
        <f>HYPERLINK("https://www.boe.es/gazeta/dias/1812/09/08/pdfs/GMR-1812-11.pdf#page=5","Abrir facsímil")</f>
        <v>Abrir facsímil</v>
      </c>
      <c r="K1457" s="3" t="s">
        <v>23</v>
      </c>
    </row>
    <row r="1458" spans="1:11" ht="42" customHeight="1">
      <c r="A1458" s="2" t="s">
        <v>4064</v>
      </c>
      <c r="B1458" s="2" t="s">
        <v>4065</v>
      </c>
      <c r="C1458" s="2" t="s">
        <v>17</v>
      </c>
      <c r="D1458" s="2" t="s">
        <v>134</v>
      </c>
      <c r="E1458" s="4">
        <v>-31955</v>
      </c>
      <c r="F1458" s="3" t="s">
        <v>135</v>
      </c>
      <c r="G1458" s="3" t="s">
        <v>136</v>
      </c>
      <c r="H1458" s="2" t="s">
        <v>21</v>
      </c>
      <c r="I1458" s="2" t="s">
        <v>4066</v>
      </c>
      <c r="J1458" s="3" t="str">
        <f>HYPERLINK("https://www.boe.es/gazeta/dias/1812/07/04/pdfs/GRE-F-1812-82.pdf#page=8","Abrir facsímil")</f>
        <v>Abrir facsímil</v>
      </c>
      <c r="K1458" s="3" t="s">
        <v>23</v>
      </c>
    </row>
    <row r="1459" spans="1:11" ht="42" customHeight="1">
      <c r="A1459" s="2" t="s">
        <v>4067</v>
      </c>
      <c r="B1459" s="2" t="s">
        <v>4067</v>
      </c>
      <c r="C1459" s="2" t="s">
        <v>49</v>
      </c>
      <c r="D1459" s="2" t="s">
        <v>194</v>
      </c>
      <c r="E1459" s="4">
        <v>-31903</v>
      </c>
      <c r="F1459" s="3" t="s">
        <v>626</v>
      </c>
      <c r="G1459" s="3" t="s">
        <v>20</v>
      </c>
      <c r="H1459" s="2" t="s">
        <v>21</v>
      </c>
      <c r="I1459" s="2" t="s">
        <v>4068</v>
      </c>
      <c r="J1459" s="3" t="str">
        <f>HYPERLINK("https://www.boe.es/gazeta/dias/1812/08/25/pdfs/GMR-1812-5.pdf#page=5","Abrir facsímil")</f>
        <v>Abrir facsímil</v>
      </c>
      <c r="K1459" s="3" t="s">
        <v>23</v>
      </c>
    </row>
    <row r="1460" spans="1:11" ht="42" customHeight="1">
      <c r="A1460" s="2" t="s">
        <v>4067</v>
      </c>
      <c r="B1460" s="2" t="s">
        <v>4067</v>
      </c>
      <c r="C1460" s="2" t="s">
        <v>49</v>
      </c>
      <c r="D1460" s="2" t="s">
        <v>194</v>
      </c>
      <c r="E1460" s="4">
        <v>-31894</v>
      </c>
      <c r="F1460" s="3" t="s">
        <v>3953</v>
      </c>
      <c r="G1460" s="3" t="s">
        <v>404</v>
      </c>
      <c r="H1460" s="2" t="s">
        <v>21</v>
      </c>
      <c r="I1460" s="2" t="s">
        <v>4069</v>
      </c>
      <c r="J1460" s="3" t="str">
        <f>HYPERLINK("https://www.boe.es/gazeta/dias/1812/09/03/pdfs/GMR-1812-9.pdf#page=4","Abrir facsímil")</f>
        <v>Abrir facsímil</v>
      </c>
      <c r="K1460" s="3" t="s">
        <v>23</v>
      </c>
    </row>
    <row r="1461" spans="1:11" ht="42" customHeight="1">
      <c r="A1461" s="2" t="s">
        <v>4067</v>
      </c>
      <c r="B1461" s="2" t="s">
        <v>4067</v>
      </c>
      <c r="C1461" s="2" t="s">
        <v>17</v>
      </c>
      <c r="D1461" s="2" t="s">
        <v>194</v>
      </c>
      <c r="E1461" s="4">
        <v>-31836</v>
      </c>
      <c r="F1461" s="3" t="s">
        <v>729</v>
      </c>
      <c r="G1461" s="3" t="s">
        <v>730</v>
      </c>
      <c r="H1461" s="2" t="s">
        <v>21</v>
      </c>
      <c r="I1461" s="2" t="s">
        <v>4070</v>
      </c>
      <c r="J1461" s="3" t="str">
        <f>HYPERLINK("https://www.boe.es/gazeta/dias/1812/10/31/pdfs/GRE-1812-146.pdf#page=1","Abrir facsímil")</f>
        <v>Abrir facsímil</v>
      </c>
      <c r="K1461" s="3" t="s">
        <v>23</v>
      </c>
    </row>
    <row r="1462" spans="1:11" ht="42" customHeight="1">
      <c r="A1462" s="2" t="s">
        <v>4067</v>
      </c>
      <c r="B1462" s="2" t="s">
        <v>4067</v>
      </c>
      <c r="C1462" s="2" t="s">
        <v>26</v>
      </c>
      <c r="D1462" s="2" t="s">
        <v>194</v>
      </c>
      <c r="E1462" s="4">
        <v>-31775</v>
      </c>
      <c r="F1462" s="3" t="s">
        <v>660</v>
      </c>
      <c r="G1462" s="3" t="s">
        <v>4071</v>
      </c>
      <c r="H1462" s="2" t="s">
        <v>21</v>
      </c>
      <c r="I1462" s="2" t="s">
        <v>4072</v>
      </c>
      <c r="J1462" s="3" t="str">
        <f>HYPERLINK("https://www.boe.es/gazeta/dias/1812/12/31/pdfs/GRE-1812-172.pdf#page=4","Abrir facsímil")</f>
        <v>Abrir facsímil</v>
      </c>
      <c r="K1462" s="3" t="s">
        <v>23</v>
      </c>
    </row>
    <row r="1463" spans="1:11" ht="42" customHeight="1">
      <c r="A1463" s="2" t="s">
        <v>4073</v>
      </c>
      <c r="B1463" s="2" t="s">
        <v>4073</v>
      </c>
      <c r="C1463" s="2" t="s">
        <v>26</v>
      </c>
      <c r="D1463" s="2" t="s">
        <v>194</v>
      </c>
      <c r="E1463" s="4">
        <v>-31932</v>
      </c>
      <c r="F1463" s="3" t="s">
        <v>3710</v>
      </c>
      <c r="G1463" s="3" t="s">
        <v>36</v>
      </c>
      <c r="H1463" s="2" t="s">
        <v>21</v>
      </c>
      <c r="I1463" s="2" t="s">
        <v>4074</v>
      </c>
      <c r="J1463" s="3" t="str">
        <f>HYPERLINK("https://www.boe.es/gazeta/dias/1812/07/27/pdfs/GMD-1812-209.pdf#page=3","Abrir facsímil")</f>
        <v>Abrir facsímil</v>
      </c>
      <c r="K1463" s="3" t="s">
        <v>23</v>
      </c>
    </row>
    <row r="1464" spans="1:11" ht="42" customHeight="1">
      <c r="A1464" s="2" t="s">
        <v>4075</v>
      </c>
      <c r="B1464" s="2" t="s">
        <v>4075</v>
      </c>
      <c r="C1464" s="2" t="s">
        <v>26</v>
      </c>
      <c r="D1464" s="2" t="s">
        <v>27</v>
      </c>
      <c r="E1464" s="4">
        <v>-31791</v>
      </c>
      <c r="F1464" s="3" t="s">
        <v>1668</v>
      </c>
      <c r="G1464" s="3" t="s">
        <v>1852</v>
      </c>
      <c r="H1464" s="2" t="s">
        <v>21</v>
      </c>
      <c r="I1464" s="2" t="s">
        <v>4076</v>
      </c>
      <c r="J1464" s="3" t="str">
        <f>HYPERLINK("https://www.boe.es/gazeta/dias/1812/12/15/pdfs/GMD-1812-238.pdf#page=2","Abrir facsímil")</f>
        <v>Abrir facsímil</v>
      </c>
      <c r="K1464" s="3" t="s">
        <v>23</v>
      </c>
    </row>
    <row r="1465" spans="1:11" ht="42" customHeight="1">
      <c r="A1465" s="2" t="s">
        <v>4077</v>
      </c>
      <c r="B1465" s="2" t="s">
        <v>4077</v>
      </c>
      <c r="C1465" s="2" t="s">
        <v>17</v>
      </c>
      <c r="D1465" s="2" t="s">
        <v>27</v>
      </c>
      <c r="E1465" s="4">
        <v>-31783</v>
      </c>
      <c r="F1465" s="3" t="s">
        <v>2074</v>
      </c>
      <c r="G1465" s="3" t="s">
        <v>4078</v>
      </c>
      <c r="H1465" s="2" t="s">
        <v>21</v>
      </c>
      <c r="I1465" s="2" t="s">
        <v>4079</v>
      </c>
      <c r="J1465" s="3" t="str">
        <f>HYPERLINK("https://www.boe.es/gazeta/dias/1812/12/23/pdfs/GMD-1812-246.pdf#page=2","Abrir facsímil")</f>
        <v>Abrir facsímil</v>
      </c>
      <c r="K1465" s="3" t="s">
        <v>23</v>
      </c>
    </row>
    <row r="1466" spans="1:11" ht="42" customHeight="1">
      <c r="A1466" s="2" t="s">
        <v>4080</v>
      </c>
      <c r="B1466" s="2" t="s">
        <v>4080</v>
      </c>
      <c r="C1466" s="2" t="s">
        <v>17</v>
      </c>
      <c r="D1466" s="2" t="s">
        <v>27</v>
      </c>
      <c r="E1466" s="4">
        <v>-31963</v>
      </c>
      <c r="F1466" s="3" t="s">
        <v>171</v>
      </c>
      <c r="G1466" s="3" t="s">
        <v>1653</v>
      </c>
      <c r="H1466" s="2" t="s">
        <v>21</v>
      </c>
      <c r="I1466" s="2" t="s">
        <v>4081</v>
      </c>
      <c r="J1466" s="3" t="str">
        <f>HYPERLINK("https://www.boe.es/gazeta/dias/1812/06/26/pdfs/GMD-1812-178.pdf#page=2","Abrir facsímil")</f>
        <v>Abrir facsímil</v>
      </c>
      <c r="K1466" s="3" t="s">
        <v>23</v>
      </c>
    </row>
    <row r="1467" spans="1:11" ht="42" customHeight="1">
      <c r="A1467" s="2" t="s">
        <v>4082</v>
      </c>
      <c r="B1467" s="2" t="s">
        <v>4082</v>
      </c>
      <c r="C1467" s="2" t="s">
        <v>17</v>
      </c>
      <c r="D1467" s="2" t="s">
        <v>27</v>
      </c>
      <c r="E1467" s="4">
        <v>-32025</v>
      </c>
      <c r="F1467" s="3" t="s">
        <v>2323</v>
      </c>
      <c r="G1467" s="3" t="s">
        <v>4083</v>
      </c>
      <c r="H1467" s="2" t="s">
        <v>21</v>
      </c>
      <c r="I1467" s="2" t="s">
        <v>4084</v>
      </c>
      <c r="J1467" s="3" t="str">
        <f>HYPERLINK("https://www.boe.es/gazeta/dias/1812/04/25/pdfs/GRE-1812-52.pdf#page=8","Abrir facsímil")</f>
        <v>Abrir facsímil</v>
      </c>
      <c r="K1467" s="3" t="s">
        <v>23</v>
      </c>
    </row>
    <row r="1468" spans="1:11" ht="42" customHeight="1">
      <c r="A1468" s="2" t="s">
        <v>4085</v>
      </c>
      <c r="B1468" s="2" t="s">
        <v>4085</v>
      </c>
      <c r="C1468" s="2" t="s">
        <v>17</v>
      </c>
      <c r="D1468" s="2" t="s">
        <v>18</v>
      </c>
      <c r="E1468" s="4">
        <v>-31843</v>
      </c>
      <c r="F1468" s="3" t="s">
        <v>3493</v>
      </c>
      <c r="G1468" s="3" t="s">
        <v>4086</v>
      </c>
      <c r="H1468" s="2" t="s">
        <v>21</v>
      </c>
      <c r="I1468" s="2" t="s">
        <v>4087</v>
      </c>
      <c r="J1468" s="3" t="str">
        <f>HYPERLINK("https://www.boe.es/gazeta/dias/1812/10/24/pdfs/GMR-1812-31.pdf#page=3","Abrir facsímil")</f>
        <v>Abrir facsímil</v>
      </c>
      <c r="K1468" s="3" t="s">
        <v>23</v>
      </c>
    </row>
    <row r="1469" spans="1:11" ht="42" customHeight="1">
      <c r="A1469" s="2" t="s">
        <v>4088</v>
      </c>
      <c r="B1469" s="2" t="s">
        <v>4089</v>
      </c>
      <c r="C1469" s="2" t="s">
        <v>26</v>
      </c>
      <c r="D1469" s="2" t="s">
        <v>27</v>
      </c>
      <c r="E1469" s="4">
        <v>-32001</v>
      </c>
      <c r="F1469" s="3" t="s">
        <v>1938</v>
      </c>
      <c r="G1469" s="3" t="s">
        <v>1939</v>
      </c>
      <c r="H1469" s="2" t="s">
        <v>21</v>
      </c>
      <c r="I1469" s="2" t="s">
        <v>4090</v>
      </c>
      <c r="J1469" s="3" t="str">
        <f>HYPERLINK("https://www.boe.es/gazeta/dias/1812/05/19/pdfs/GRE-1812-62.pdf#page=7","Abrir facsímil")</f>
        <v>Abrir facsímil</v>
      </c>
      <c r="K1469" s="3" t="s">
        <v>23</v>
      </c>
    </row>
    <row r="1470" spans="1:11" ht="42" customHeight="1">
      <c r="A1470" s="2" t="s">
        <v>4091</v>
      </c>
      <c r="B1470" s="2" t="s">
        <v>4092</v>
      </c>
      <c r="C1470" s="2" t="s">
        <v>26</v>
      </c>
      <c r="D1470" s="2" t="s">
        <v>27</v>
      </c>
      <c r="E1470" s="4">
        <v>-31994</v>
      </c>
      <c r="F1470" s="3" t="s">
        <v>207</v>
      </c>
      <c r="G1470" s="3" t="s">
        <v>1176</v>
      </c>
      <c r="H1470" s="2" t="s">
        <v>21</v>
      </c>
      <c r="I1470" s="2" t="s">
        <v>4093</v>
      </c>
      <c r="J1470" s="3" t="str">
        <f>HYPERLINK("https://www.boe.es/gazeta/dias/1812/05/26/pdfs/GRE-1812-65.pdf#page=8","Abrir facsímil")</f>
        <v>Abrir facsímil</v>
      </c>
      <c r="K1470" s="3" t="s">
        <v>23</v>
      </c>
    </row>
    <row r="1471" spans="1:11" ht="42" customHeight="1">
      <c r="A1471" s="2" t="s">
        <v>4094</v>
      </c>
      <c r="B1471" s="2" t="s">
        <v>4095</v>
      </c>
      <c r="C1471" s="2" t="s">
        <v>82</v>
      </c>
      <c r="D1471" s="2" t="s">
        <v>27</v>
      </c>
      <c r="E1471" s="4">
        <v>-32095</v>
      </c>
      <c r="F1471" s="3" t="s">
        <v>284</v>
      </c>
      <c r="G1471" s="3" t="s">
        <v>29</v>
      </c>
      <c r="H1471" s="2" t="s">
        <v>21</v>
      </c>
      <c r="I1471" s="2" t="s">
        <v>4096</v>
      </c>
      <c r="J1471" s="3" t="str">
        <f>HYPERLINK("https://www.boe.es/gazeta/dias/1812/02/15/pdfs/GRE-1812-20.pdf#page=8","Abrir facsímil")</f>
        <v>Abrir facsímil</v>
      </c>
      <c r="K1471" s="3" t="s">
        <v>23</v>
      </c>
    </row>
    <row r="1472" spans="1:11" ht="42" customHeight="1">
      <c r="A1472" s="2" t="s">
        <v>4097</v>
      </c>
      <c r="B1472" s="2" t="s">
        <v>4098</v>
      </c>
      <c r="C1472" s="2" t="s">
        <v>26</v>
      </c>
      <c r="D1472" s="2" t="s">
        <v>27</v>
      </c>
      <c r="E1472" s="4">
        <v>-31857</v>
      </c>
      <c r="F1472" s="3" t="s">
        <v>1000</v>
      </c>
      <c r="G1472" s="3" t="s">
        <v>136</v>
      </c>
      <c r="H1472" s="2" t="s">
        <v>21</v>
      </c>
      <c r="I1472" s="2" t="s">
        <v>4099</v>
      </c>
      <c r="J1472" s="3" t="str">
        <f>HYPERLINK("https://www.boe.es/gazeta/dias/1812/10/10/pdfs/GRE-1812-137.pdf#page=8","Abrir facsímil")</f>
        <v>Abrir facsímil</v>
      </c>
      <c r="K1472" s="3" t="s">
        <v>23</v>
      </c>
    </row>
    <row r="1473" spans="1:11" ht="42" customHeight="1">
      <c r="A1473" s="2" t="s">
        <v>4100</v>
      </c>
      <c r="B1473" s="2" t="s">
        <v>4100</v>
      </c>
      <c r="C1473" s="2" t="s">
        <v>17</v>
      </c>
      <c r="D1473" s="2" t="s">
        <v>18</v>
      </c>
      <c r="E1473" s="4">
        <v>-32109</v>
      </c>
      <c r="F1473" s="3" t="s">
        <v>62</v>
      </c>
      <c r="G1473" s="3" t="s">
        <v>4101</v>
      </c>
      <c r="H1473" s="2" t="s">
        <v>21</v>
      </c>
      <c r="I1473" s="2" t="s">
        <v>4102</v>
      </c>
      <c r="J1473" s="3" t="str">
        <f>HYPERLINK("https://www.boe.es/gazeta/dias/1812/02/01/pdfs/GRE-1812-14.pdf#page=9","Abrir facsímil")</f>
        <v>Abrir facsímil</v>
      </c>
      <c r="K1473" s="3" t="s">
        <v>23</v>
      </c>
    </row>
    <row r="1474" spans="1:11" ht="42" customHeight="1">
      <c r="A1474" s="2" t="s">
        <v>4103</v>
      </c>
      <c r="B1474" s="2" t="s">
        <v>4104</v>
      </c>
      <c r="C1474" s="2" t="s">
        <v>26</v>
      </c>
      <c r="D1474" s="2" t="s">
        <v>27</v>
      </c>
      <c r="E1474" s="4">
        <v>-31938</v>
      </c>
      <c r="F1474" s="3" t="s">
        <v>324</v>
      </c>
      <c r="G1474" s="3" t="s">
        <v>237</v>
      </c>
      <c r="H1474" s="2" t="s">
        <v>21</v>
      </c>
      <c r="I1474" s="2" t="s">
        <v>4105</v>
      </c>
      <c r="J1474" s="3" t="str">
        <f>HYPERLINK("https://www.boe.es/gazeta/dias/1812/07/21/pdfs/GMD-1812-203.pdf#page=2","Abrir facsímil")</f>
        <v>Abrir facsímil</v>
      </c>
      <c r="K1474" s="3" t="s">
        <v>23</v>
      </c>
    </row>
    <row r="1475" spans="1:11" ht="42" customHeight="1">
      <c r="A1475" s="2" t="s">
        <v>4106</v>
      </c>
      <c r="B1475" s="2" t="s">
        <v>4106</v>
      </c>
      <c r="C1475" s="2" t="s">
        <v>17</v>
      </c>
      <c r="D1475" s="2" t="s">
        <v>18</v>
      </c>
      <c r="E1475" s="4">
        <v>-31801</v>
      </c>
      <c r="F1475" s="3" t="s">
        <v>1914</v>
      </c>
      <c r="G1475" s="3" t="s">
        <v>1915</v>
      </c>
      <c r="H1475" s="2" t="s">
        <v>21</v>
      </c>
      <c r="I1475" s="2" t="s">
        <v>4107</v>
      </c>
      <c r="J1475" s="3" t="str">
        <f>HYPERLINK("https://www.boe.es/gazeta/dias/1812/12/05/pdfs/GRE-1812-161.pdf#page=3","Abrir facsímil")</f>
        <v>Abrir facsímil</v>
      </c>
      <c r="K1475" s="3" t="s">
        <v>23</v>
      </c>
    </row>
    <row r="1476" spans="1:11" ht="42" customHeight="1">
      <c r="A1476" s="2" t="s">
        <v>4108</v>
      </c>
      <c r="B1476" s="2" t="s">
        <v>4109</v>
      </c>
      <c r="C1476" s="2" t="s">
        <v>26</v>
      </c>
      <c r="D1476" s="2" t="s">
        <v>27</v>
      </c>
      <c r="E1476" s="4">
        <v>-32095</v>
      </c>
      <c r="F1476" s="3" t="s">
        <v>284</v>
      </c>
      <c r="G1476" s="3" t="s">
        <v>29</v>
      </c>
      <c r="H1476" s="2" t="s">
        <v>21</v>
      </c>
      <c r="I1476" s="2" t="s">
        <v>4110</v>
      </c>
      <c r="J1476" s="3" t="str">
        <f>HYPERLINK("https://www.boe.es/gazeta/dias/1812/02/15/pdfs/GRE-1812-20.pdf#page=8","Abrir facsímil")</f>
        <v>Abrir facsímil</v>
      </c>
      <c r="K1476" s="3" t="s">
        <v>23</v>
      </c>
    </row>
    <row r="1477" spans="1:11" ht="42" customHeight="1">
      <c r="A1477" s="2" t="s">
        <v>4111</v>
      </c>
      <c r="B1477" s="2" t="s">
        <v>4111</v>
      </c>
      <c r="C1477" s="2" t="s">
        <v>17</v>
      </c>
      <c r="D1477" s="2" t="s">
        <v>27</v>
      </c>
      <c r="E1477" s="4">
        <v>-32025</v>
      </c>
      <c r="F1477" s="3" t="s">
        <v>2323</v>
      </c>
      <c r="G1477" s="3" t="s">
        <v>2445</v>
      </c>
      <c r="H1477" s="2" t="s">
        <v>21</v>
      </c>
      <c r="I1477" s="2" t="s">
        <v>4112</v>
      </c>
      <c r="J1477" s="3" t="str">
        <f>HYPERLINK("https://www.boe.es/gazeta/dias/1812/04/25/pdfs/GRE-1812-52.pdf#page=5","Abrir facsímil")</f>
        <v>Abrir facsímil</v>
      </c>
      <c r="K1477" s="3" t="s">
        <v>23</v>
      </c>
    </row>
    <row r="1478" spans="1:11" ht="42" customHeight="1">
      <c r="A1478" s="2" t="s">
        <v>4113</v>
      </c>
      <c r="B1478" s="2" t="s">
        <v>4113</v>
      </c>
      <c r="C1478" s="2" t="s">
        <v>17</v>
      </c>
      <c r="D1478" s="2" t="s">
        <v>27</v>
      </c>
      <c r="E1478" s="4">
        <v>-32017</v>
      </c>
      <c r="F1478" s="3" t="s">
        <v>3446</v>
      </c>
      <c r="G1478" s="3" t="s">
        <v>404</v>
      </c>
      <c r="H1478" s="2" t="s">
        <v>21</v>
      </c>
      <c r="I1478" s="2" t="s">
        <v>4114</v>
      </c>
      <c r="J1478" s="3" t="str">
        <f>HYPERLINK("https://www.boe.es/gazeta/dias/1812/05/03/pdfs/GMD-1812-124.pdf#page=3","Abrir facsímil")</f>
        <v>Abrir facsímil</v>
      </c>
      <c r="K1478" s="3" t="s">
        <v>23</v>
      </c>
    </row>
    <row r="1479" spans="1:11" ht="42" customHeight="1">
      <c r="A1479" s="2" t="s">
        <v>4115</v>
      </c>
      <c r="B1479" s="2" t="s">
        <v>4116</v>
      </c>
      <c r="C1479" s="2" t="s">
        <v>26</v>
      </c>
      <c r="D1479" s="2" t="s">
        <v>27</v>
      </c>
      <c r="E1479" s="4">
        <v>-31965</v>
      </c>
      <c r="F1479" s="3" t="s">
        <v>1180</v>
      </c>
      <c r="G1479" s="3" t="s">
        <v>777</v>
      </c>
      <c r="H1479" s="2" t="s">
        <v>21</v>
      </c>
      <c r="I1479" s="2" t="s">
        <v>4117</v>
      </c>
      <c r="J1479" s="3" t="str">
        <f>HYPERLINK("https://www.boe.es/gazeta/dias/1812/06/24/pdfs/GMD-1812-176.pdf#page=2","Abrir facsímil")</f>
        <v>Abrir facsímil</v>
      </c>
      <c r="K1479" s="3" t="s">
        <v>23</v>
      </c>
    </row>
    <row r="1480" spans="1:11" ht="42" customHeight="1">
      <c r="A1480" s="2" t="s">
        <v>4118</v>
      </c>
      <c r="B1480" s="2" t="s">
        <v>4119</v>
      </c>
      <c r="C1480" s="2" t="s">
        <v>26</v>
      </c>
      <c r="D1480" s="2" t="s">
        <v>275</v>
      </c>
      <c r="E1480" s="4">
        <v>-31965</v>
      </c>
      <c r="F1480" s="3" t="s">
        <v>1180</v>
      </c>
      <c r="G1480" s="3" t="s">
        <v>777</v>
      </c>
      <c r="H1480" s="2" t="s">
        <v>21</v>
      </c>
      <c r="I1480" s="2" t="s">
        <v>4120</v>
      </c>
      <c r="J1480" s="3" t="str">
        <f>HYPERLINK("https://www.boe.es/gazeta/dias/1812/06/24/pdfs/GMD-1812-176.pdf#page=2","Abrir facsímil")</f>
        <v>Abrir facsímil</v>
      </c>
      <c r="K1480" s="3" t="s">
        <v>23</v>
      </c>
    </row>
    <row r="1481" spans="1:11" ht="42" customHeight="1">
      <c r="A1481" s="2" t="s">
        <v>4121</v>
      </c>
      <c r="B1481" s="2" t="s">
        <v>4121</v>
      </c>
      <c r="C1481" s="2" t="s">
        <v>17</v>
      </c>
      <c r="D1481" s="2" t="s">
        <v>27</v>
      </c>
      <c r="E1481" s="4">
        <v>-31929</v>
      </c>
      <c r="F1481" s="3" t="s">
        <v>1148</v>
      </c>
      <c r="G1481" s="3" t="s">
        <v>4122</v>
      </c>
      <c r="H1481" s="2" t="s">
        <v>21</v>
      </c>
      <c r="I1481" s="2" t="s">
        <v>4123</v>
      </c>
      <c r="J1481" s="3" t="str">
        <f>HYPERLINK("https://www.boe.es/gazeta/dias/1812/07/30/pdfs/GRE-1812-95.pdf#page=5","Abrir facsímil")</f>
        <v>Abrir facsímil</v>
      </c>
      <c r="K1481" s="3" t="s">
        <v>23</v>
      </c>
    </row>
    <row r="1482" spans="1:11" ht="42" customHeight="1">
      <c r="A1482" s="2" t="s">
        <v>4124</v>
      </c>
      <c r="B1482" s="2" t="s">
        <v>4125</v>
      </c>
      <c r="C1482" s="2" t="s">
        <v>17</v>
      </c>
      <c r="D1482" s="2" t="s">
        <v>27</v>
      </c>
      <c r="E1482" s="4">
        <v>-32015</v>
      </c>
      <c r="F1482" s="3" t="s">
        <v>77</v>
      </c>
      <c r="G1482" s="3" t="s">
        <v>78</v>
      </c>
      <c r="H1482" s="2" t="s">
        <v>21</v>
      </c>
      <c r="I1482" s="2" t="s">
        <v>4126</v>
      </c>
      <c r="J1482" s="3" t="str">
        <f>HYPERLINK("https://www.boe.es/gazeta/dias/1812/05/05/pdfs/GRE-1812-56.pdf#page=8","Abrir facsímil")</f>
        <v>Abrir facsímil</v>
      </c>
      <c r="K1482" s="3" t="s">
        <v>23</v>
      </c>
    </row>
    <row r="1483" spans="1:11" ht="42" customHeight="1">
      <c r="A1483" s="2" t="s">
        <v>4127</v>
      </c>
      <c r="B1483" s="2" t="s">
        <v>4128</v>
      </c>
      <c r="C1483" s="2" t="s">
        <v>26</v>
      </c>
      <c r="D1483" s="2" t="s">
        <v>27</v>
      </c>
      <c r="E1483" s="4">
        <v>-32083</v>
      </c>
      <c r="F1483" s="3" t="s">
        <v>1496</v>
      </c>
      <c r="G1483" s="3" t="s">
        <v>2658</v>
      </c>
      <c r="H1483" s="2" t="s">
        <v>21</v>
      </c>
      <c r="I1483" s="2" t="s">
        <v>4129</v>
      </c>
      <c r="J1483" s="3" t="str">
        <f>HYPERLINK("https://www.boe.es/gazeta/dias/1812/02/27/pdfs/GRE-1812-26.pdf#page=7","Abrir facsímil")</f>
        <v>Abrir facsímil</v>
      </c>
      <c r="K1483" s="3" t="s">
        <v>23</v>
      </c>
    </row>
    <row r="1484" spans="1:11" ht="42" customHeight="1">
      <c r="A1484" s="2" t="s">
        <v>4130</v>
      </c>
      <c r="B1484" s="2" t="s">
        <v>4131</v>
      </c>
      <c r="C1484" s="2" t="s">
        <v>49</v>
      </c>
      <c r="D1484" s="2" t="s">
        <v>27</v>
      </c>
      <c r="E1484" s="4">
        <v>-31850</v>
      </c>
      <c r="F1484" s="3" t="s">
        <v>719</v>
      </c>
      <c r="G1484" s="3" t="s">
        <v>217</v>
      </c>
      <c r="H1484" s="2" t="s">
        <v>21</v>
      </c>
      <c r="I1484" s="2" t="s">
        <v>4132</v>
      </c>
      <c r="J1484" s="3" t="str">
        <f>HYPERLINK("https://www.boe.es/gazeta/dias/1812/10/17/pdfs/GMR-1812-28.pdf#page=5","Abrir facsímil")</f>
        <v>Abrir facsímil</v>
      </c>
      <c r="K1484" s="3" t="s">
        <v>23</v>
      </c>
    </row>
    <row r="1485" spans="1:11" ht="42" customHeight="1">
      <c r="A1485" s="2" t="s">
        <v>4130</v>
      </c>
      <c r="B1485" s="2" t="s">
        <v>4131</v>
      </c>
      <c r="C1485" s="2" t="s">
        <v>82</v>
      </c>
      <c r="D1485" s="2" t="s">
        <v>275</v>
      </c>
      <c r="E1485" s="4">
        <v>-31847</v>
      </c>
      <c r="F1485" s="3" t="s">
        <v>4133</v>
      </c>
      <c r="G1485" s="3" t="s">
        <v>125</v>
      </c>
      <c r="H1485" s="2" t="s">
        <v>21</v>
      </c>
      <c r="I1485" s="2" t="s">
        <v>4134</v>
      </c>
      <c r="J1485" s="3" t="str">
        <f>HYPERLINK("https://www.boe.es/gazeta/dias/1812/10/20/pdfs/GMR-1812-29.pdf#page=12","Abrir facsímil")</f>
        <v>Abrir facsímil</v>
      </c>
      <c r="K1485" s="3" t="s">
        <v>23</v>
      </c>
    </row>
    <row r="1486" spans="1:11" ht="42" customHeight="1">
      <c r="A1486" s="2" t="s">
        <v>4135</v>
      </c>
      <c r="B1486" s="2" t="s">
        <v>4136</v>
      </c>
      <c r="C1486" s="2" t="s">
        <v>17</v>
      </c>
      <c r="D1486" s="2" t="s">
        <v>134</v>
      </c>
      <c r="E1486" s="4">
        <v>-31955</v>
      </c>
      <c r="F1486" s="3" t="s">
        <v>135</v>
      </c>
      <c r="G1486" s="3" t="s">
        <v>514</v>
      </c>
      <c r="H1486" s="2" t="s">
        <v>21</v>
      </c>
      <c r="I1486" s="2" t="s">
        <v>4137</v>
      </c>
      <c r="J1486" s="3" t="str">
        <f>HYPERLINK("https://www.boe.es/gazeta/dias/1812/07/04/pdfs/GRE-F-1812-82.pdf#page=7","Abrir facsímil")</f>
        <v>Abrir facsímil</v>
      </c>
      <c r="K1486" s="3" t="s">
        <v>23</v>
      </c>
    </row>
    <row r="1487" spans="1:11" ht="42" customHeight="1">
      <c r="A1487" s="2" t="s">
        <v>4138</v>
      </c>
      <c r="B1487" s="2" t="s">
        <v>4139</v>
      </c>
      <c r="C1487" s="2" t="s">
        <v>26</v>
      </c>
      <c r="D1487" s="2" t="s">
        <v>275</v>
      </c>
      <c r="E1487" s="4">
        <v>-32018</v>
      </c>
      <c r="F1487" s="3" t="s">
        <v>365</v>
      </c>
      <c r="G1487" s="3" t="s">
        <v>392</v>
      </c>
      <c r="H1487" s="2" t="s">
        <v>21</v>
      </c>
      <c r="I1487" s="2" t="s">
        <v>4140</v>
      </c>
      <c r="J1487" s="3" t="str">
        <f>HYPERLINK("https://www.boe.es/gazeta/dias/1812/05/02/pdfs/GRE-1812-55.pdf#page=2","Abrir facsímil")</f>
        <v>Abrir facsímil</v>
      </c>
      <c r="K1487" s="3" t="s">
        <v>23</v>
      </c>
    </row>
    <row r="1488" spans="1:11" ht="42" customHeight="1">
      <c r="A1488" s="2" t="s">
        <v>4141</v>
      </c>
      <c r="B1488" s="2" t="s">
        <v>4142</v>
      </c>
      <c r="C1488" s="2" t="s">
        <v>26</v>
      </c>
      <c r="D1488" s="2" t="s">
        <v>27</v>
      </c>
      <c r="E1488" s="4">
        <v>-32137</v>
      </c>
      <c r="F1488" s="3" t="s">
        <v>355</v>
      </c>
      <c r="G1488" s="3" t="s">
        <v>117</v>
      </c>
      <c r="H1488" s="2" t="s">
        <v>21</v>
      </c>
      <c r="I1488" s="2" t="s">
        <v>4143</v>
      </c>
      <c r="J1488" s="3" t="str">
        <f>HYPERLINK("https://www.boe.es/gazeta/dias/1812/01/04/pdfs/GEI-1812-2.pdf#page=8","Abrir facsímil")</f>
        <v>Abrir facsímil</v>
      </c>
      <c r="K1488" s="3" t="s">
        <v>23</v>
      </c>
    </row>
    <row r="1489" spans="1:11" ht="42" customHeight="1">
      <c r="A1489" s="2" t="s">
        <v>4144</v>
      </c>
      <c r="B1489" s="2" t="s">
        <v>4145</v>
      </c>
      <c r="C1489" s="2" t="s">
        <v>105</v>
      </c>
      <c r="D1489" s="2" t="s">
        <v>27</v>
      </c>
      <c r="E1489" s="4">
        <v>-32139</v>
      </c>
      <c r="F1489" s="3" t="s">
        <v>518</v>
      </c>
      <c r="G1489" s="3" t="s">
        <v>125</v>
      </c>
      <c r="H1489" s="2" t="s">
        <v>21</v>
      </c>
      <c r="I1489" s="2" t="s">
        <v>4146</v>
      </c>
      <c r="J1489" s="3" t="str">
        <f>HYPERLINK("https://www.boe.es/gazeta/dias/1812/01/02/pdfs/GEI-1812-1.pdf#page=8","Abrir facsímil")</f>
        <v>Abrir facsímil</v>
      </c>
      <c r="K1489" s="3" t="s">
        <v>23</v>
      </c>
    </row>
    <row r="1490" spans="1:11" ht="42" customHeight="1">
      <c r="A1490" s="2" t="s">
        <v>4147</v>
      </c>
      <c r="B1490" s="2" t="s">
        <v>4148</v>
      </c>
      <c r="C1490" s="2" t="s">
        <v>17</v>
      </c>
      <c r="D1490" s="2" t="s">
        <v>18</v>
      </c>
      <c r="E1490" s="4">
        <v>-32096</v>
      </c>
      <c r="F1490" s="3" t="s">
        <v>4149</v>
      </c>
      <c r="G1490" s="3" t="s">
        <v>214</v>
      </c>
      <c r="H1490" s="2" t="s">
        <v>21</v>
      </c>
      <c r="I1490" s="2" t="s">
        <v>4150</v>
      </c>
      <c r="J1490" s="3" t="str">
        <f>HYPERLINK("https://www.boe.es/gazeta/dias/1812/02/14/pdfs/GMD-1812-45.pdf#page=4","Abrir facsímil")</f>
        <v>Abrir facsímil</v>
      </c>
      <c r="K1490" s="3" t="s">
        <v>23</v>
      </c>
    </row>
    <row r="1491" spans="1:11" ht="42" customHeight="1">
      <c r="A1491" s="2" t="s">
        <v>4151</v>
      </c>
      <c r="B1491" s="2" t="s">
        <v>4152</v>
      </c>
      <c r="C1491" s="2" t="s">
        <v>186</v>
      </c>
      <c r="D1491" s="2" t="s">
        <v>194</v>
      </c>
      <c r="E1491" s="4">
        <v>-32044</v>
      </c>
      <c r="F1491" s="3" t="s">
        <v>1031</v>
      </c>
      <c r="G1491" s="3" t="s">
        <v>1873</v>
      </c>
      <c r="H1491" s="2" t="s">
        <v>21</v>
      </c>
      <c r="I1491" s="2" t="s">
        <v>4153</v>
      </c>
      <c r="J1491" s="3" t="str">
        <f>HYPERLINK("https://www.boe.es/gazeta/dias/1812/04/06/pdfs/GMD-1812-97.pdf#page=4","Abrir facsímil")</f>
        <v>Abrir facsímil</v>
      </c>
      <c r="K1491" s="3" t="s">
        <v>23</v>
      </c>
    </row>
    <row r="1492" spans="1:11" ht="42" customHeight="1">
      <c r="A1492" s="2" t="s">
        <v>4154</v>
      </c>
      <c r="B1492" s="2" t="s">
        <v>4155</v>
      </c>
      <c r="C1492" s="2" t="s">
        <v>26</v>
      </c>
      <c r="D1492" s="2" t="s">
        <v>27</v>
      </c>
      <c r="E1492" s="4">
        <v>-31969</v>
      </c>
      <c r="F1492" s="3" t="s">
        <v>83</v>
      </c>
      <c r="G1492" s="3" t="s">
        <v>84</v>
      </c>
      <c r="H1492" s="2" t="s">
        <v>21</v>
      </c>
      <c r="I1492" s="2" t="s">
        <v>4156</v>
      </c>
      <c r="J1492" s="3" t="str">
        <f>HYPERLINK("https://www.boe.es/gazeta/dias/1812/06/20/pdfs/GRE-1812-76.pdf#page=8","Abrir facsímil")</f>
        <v>Abrir facsímil</v>
      </c>
      <c r="K1492" s="3" t="s">
        <v>23</v>
      </c>
    </row>
    <row r="1493" spans="1:11" ht="42" customHeight="1">
      <c r="A1493" s="2" t="s">
        <v>4157</v>
      </c>
      <c r="B1493" s="2" t="s">
        <v>4158</v>
      </c>
      <c r="C1493" s="2" t="s">
        <v>17</v>
      </c>
      <c r="D1493" s="2" t="s">
        <v>18</v>
      </c>
      <c r="E1493" s="4">
        <v>-32127</v>
      </c>
      <c r="F1493" s="3" t="s">
        <v>88</v>
      </c>
      <c r="G1493" s="3" t="s">
        <v>89</v>
      </c>
      <c r="H1493" s="2" t="s">
        <v>21</v>
      </c>
      <c r="I1493" s="2" t="s">
        <v>4159</v>
      </c>
      <c r="J1493" s="3" t="str">
        <f>HYPERLINK("https://www.boe.es/gazeta/dias/1812/01/14/pdfs/GEI-1812-6.pdf#page=8","Abrir facsímil")</f>
        <v>Abrir facsímil</v>
      </c>
      <c r="K1493" s="3" t="s">
        <v>23</v>
      </c>
    </row>
    <row r="1494" spans="1:11" ht="42" customHeight="1">
      <c r="A1494" s="2" t="s">
        <v>4160</v>
      </c>
      <c r="B1494" s="2" t="s">
        <v>4161</v>
      </c>
      <c r="C1494" s="2" t="s">
        <v>17</v>
      </c>
      <c r="D1494" s="2" t="s">
        <v>18</v>
      </c>
      <c r="E1494" s="4">
        <v>-32078</v>
      </c>
      <c r="F1494" s="3" t="s">
        <v>145</v>
      </c>
      <c r="G1494" s="3" t="s">
        <v>739</v>
      </c>
      <c r="H1494" s="2" t="s">
        <v>21</v>
      </c>
      <c r="I1494" s="2" t="s">
        <v>4162</v>
      </c>
      <c r="J1494" s="3" t="str">
        <f>HYPERLINK("https://www.boe.es/gazeta/dias/1812/03/03/pdfs/GRE-1812-28.pdf#page=1","Abrir facsímil")</f>
        <v>Abrir facsímil</v>
      </c>
      <c r="K1494" s="3" t="s">
        <v>23</v>
      </c>
    </row>
    <row r="1495" spans="1:11" ht="42" customHeight="1">
      <c r="A1495" s="2" t="s">
        <v>4163</v>
      </c>
      <c r="B1495" s="2" t="s">
        <v>4164</v>
      </c>
      <c r="C1495" s="2" t="s">
        <v>26</v>
      </c>
      <c r="D1495" s="2" t="s">
        <v>27</v>
      </c>
      <c r="E1495" s="4">
        <v>-32088</v>
      </c>
      <c r="F1495" s="3" t="s">
        <v>1217</v>
      </c>
      <c r="G1495" s="3" t="s">
        <v>1218</v>
      </c>
      <c r="H1495" s="2" t="s">
        <v>21</v>
      </c>
      <c r="I1495" s="2" t="s">
        <v>4165</v>
      </c>
      <c r="J1495" s="3" t="str">
        <f>HYPERLINK("https://www.boe.es/gazeta/dias/1812/02/22/pdfs/GMD-1812-53.pdf#page=4","Abrir facsímil")</f>
        <v>Abrir facsímil</v>
      </c>
      <c r="K1495" s="3" t="s">
        <v>23</v>
      </c>
    </row>
    <row r="1496" spans="1:11" ht="42" customHeight="1">
      <c r="A1496" s="2" t="s">
        <v>4166</v>
      </c>
      <c r="B1496" s="2" t="s">
        <v>4167</v>
      </c>
      <c r="C1496" s="2" t="s">
        <v>115</v>
      </c>
      <c r="D1496" s="2" t="s">
        <v>27</v>
      </c>
      <c r="E1496" s="4">
        <v>-32019</v>
      </c>
      <c r="F1496" s="3" t="s">
        <v>476</v>
      </c>
      <c r="G1496" s="3" t="s">
        <v>404</v>
      </c>
      <c r="H1496" s="2" t="s">
        <v>21</v>
      </c>
      <c r="I1496" s="2" t="s">
        <v>4168</v>
      </c>
      <c r="J1496" s="3" t="str">
        <f>HYPERLINK("https://www.boe.es/gazeta/dias/1812/05/01/pdfs/GMD-1812-122.pdf#page=3","Abrir facsímil")</f>
        <v>Abrir facsímil</v>
      </c>
      <c r="K1496" s="3" t="s">
        <v>23</v>
      </c>
    </row>
    <row r="1497" spans="1:11" ht="42" customHeight="1">
      <c r="A1497" s="2" t="s">
        <v>4169</v>
      </c>
      <c r="B1497" s="2" t="s">
        <v>4170</v>
      </c>
      <c r="C1497" s="2" t="s">
        <v>26</v>
      </c>
      <c r="D1497" s="2" t="s">
        <v>27</v>
      </c>
      <c r="E1497" s="4">
        <v>-32113</v>
      </c>
      <c r="F1497" s="3" t="s">
        <v>121</v>
      </c>
      <c r="G1497" s="3" t="s">
        <v>122</v>
      </c>
      <c r="H1497" s="2" t="s">
        <v>21</v>
      </c>
      <c r="I1497" s="2" t="s">
        <v>4171</v>
      </c>
      <c r="J1497" s="3" t="str">
        <f>HYPERLINK("https://www.boe.es/gazeta/dias/1812/01/28/pdfs/GRE-1812-12.pdf#page=3","Abrir facsímil")</f>
        <v>Abrir facsímil</v>
      </c>
      <c r="K1497" s="3" t="s">
        <v>23</v>
      </c>
    </row>
    <row r="1498" spans="1:11" ht="42" customHeight="1">
      <c r="A1498" s="2" t="s">
        <v>4172</v>
      </c>
      <c r="B1498" s="2" t="s">
        <v>4173</v>
      </c>
      <c r="C1498" s="2" t="s">
        <v>17</v>
      </c>
      <c r="D1498" s="2" t="s">
        <v>27</v>
      </c>
      <c r="E1498" s="4">
        <v>-31931</v>
      </c>
      <c r="F1498" s="3" t="s">
        <v>4174</v>
      </c>
      <c r="G1498" s="3" t="s">
        <v>4175</v>
      </c>
      <c r="H1498" s="2" t="s">
        <v>21</v>
      </c>
      <c r="I1498" s="2" t="s">
        <v>4176</v>
      </c>
      <c r="J1498" s="3" t="str">
        <f>HYPERLINK("https://www.boe.es/gazeta/dias/1812/07/28/pdfs/GRE-1812-94.pdf#page=5","Abrir facsímil")</f>
        <v>Abrir facsímil</v>
      </c>
      <c r="K1498" s="3" t="s">
        <v>23</v>
      </c>
    </row>
    <row r="1499" spans="1:11" ht="42" customHeight="1">
      <c r="A1499" s="2" t="s">
        <v>4177</v>
      </c>
      <c r="B1499" s="2" t="s">
        <v>4178</v>
      </c>
      <c r="C1499" s="2" t="s">
        <v>26</v>
      </c>
      <c r="D1499" s="2" t="s">
        <v>27</v>
      </c>
      <c r="E1499" s="4">
        <v>-32137</v>
      </c>
      <c r="F1499" s="3" t="s">
        <v>355</v>
      </c>
      <c r="G1499" s="3" t="s">
        <v>117</v>
      </c>
      <c r="H1499" s="2" t="s">
        <v>21</v>
      </c>
      <c r="I1499" s="2" t="s">
        <v>4179</v>
      </c>
      <c r="J1499" s="3" t="str">
        <f>HYPERLINK("https://www.boe.es/gazeta/dias/1812/01/04/pdfs/GEI-1812-2.pdf#page=8","Abrir facsímil")</f>
        <v>Abrir facsímil</v>
      </c>
      <c r="K1499" s="3" t="s">
        <v>23</v>
      </c>
    </row>
    <row r="1500" spans="1:11" ht="42" customHeight="1">
      <c r="A1500" s="2" t="s">
        <v>4180</v>
      </c>
      <c r="B1500" s="2" t="s">
        <v>4181</v>
      </c>
      <c r="C1500" s="2" t="s">
        <v>17</v>
      </c>
      <c r="D1500" s="2" t="s">
        <v>18</v>
      </c>
      <c r="E1500" s="4">
        <v>-32050</v>
      </c>
      <c r="F1500" s="3" t="s">
        <v>864</v>
      </c>
      <c r="G1500" s="3" t="s">
        <v>29</v>
      </c>
      <c r="H1500" s="2" t="s">
        <v>21</v>
      </c>
      <c r="I1500" s="2" t="s">
        <v>4182</v>
      </c>
      <c r="J1500" s="3" t="str">
        <f>HYPERLINK("https://www.boe.es/gazeta/dias/1812/03/31/pdfs/GRE-1812-40.pdf#page=8","Abrir facsímil")</f>
        <v>Abrir facsímil</v>
      </c>
      <c r="K1500" s="3" t="s">
        <v>23</v>
      </c>
    </row>
    <row r="1501" spans="1:11" ht="42" customHeight="1">
      <c r="A1501" s="2" t="s">
        <v>4183</v>
      </c>
      <c r="B1501" s="2" t="s">
        <v>4184</v>
      </c>
      <c r="C1501" s="2" t="s">
        <v>26</v>
      </c>
      <c r="D1501" s="2" t="s">
        <v>27</v>
      </c>
      <c r="E1501" s="4">
        <v>-32011</v>
      </c>
      <c r="F1501" s="3" t="s">
        <v>1656</v>
      </c>
      <c r="G1501" s="3" t="s">
        <v>777</v>
      </c>
      <c r="H1501" s="2" t="s">
        <v>21</v>
      </c>
      <c r="I1501" s="2" t="s">
        <v>4185</v>
      </c>
      <c r="J1501" s="3" t="str">
        <f>HYPERLINK("https://www.boe.es/gazeta/dias/1812/05/09/pdfs/GMD-1812-130.pdf#page=2","Abrir facsímil")</f>
        <v>Abrir facsímil</v>
      </c>
      <c r="K1501" s="3" t="s">
        <v>23</v>
      </c>
    </row>
    <row r="1502" spans="1:11" ht="42" customHeight="1">
      <c r="A1502" s="2" t="s">
        <v>4186</v>
      </c>
      <c r="B1502" s="2" t="s">
        <v>4187</v>
      </c>
      <c r="C1502" s="2" t="s">
        <v>17</v>
      </c>
      <c r="D1502" s="2" t="s">
        <v>18</v>
      </c>
      <c r="E1502" s="4">
        <v>-31812</v>
      </c>
      <c r="F1502" s="3" t="s">
        <v>1533</v>
      </c>
      <c r="G1502" s="3" t="s">
        <v>4188</v>
      </c>
      <c r="H1502" s="2" t="s">
        <v>21</v>
      </c>
      <c r="I1502" s="2" t="s">
        <v>4189</v>
      </c>
      <c r="J1502" s="3" t="str">
        <f>HYPERLINK("https://www.boe.es/gazeta/dias/1812/11/24/pdfs/GMR-1812-37.pdf#page=3","Abrir facsímil")</f>
        <v>Abrir facsímil</v>
      </c>
      <c r="K1502" s="3" t="s">
        <v>23</v>
      </c>
    </row>
    <row r="1503" spans="1:11" ht="42" customHeight="1">
      <c r="A1503" s="2" t="s">
        <v>4190</v>
      </c>
      <c r="B1503" s="2" t="s">
        <v>4191</v>
      </c>
      <c r="C1503" s="2" t="s">
        <v>17</v>
      </c>
      <c r="D1503" s="2" t="s">
        <v>27</v>
      </c>
      <c r="E1503" s="4">
        <v>-31780</v>
      </c>
      <c r="F1503" s="3" t="s">
        <v>4192</v>
      </c>
      <c r="G1503" s="3" t="s">
        <v>130</v>
      </c>
      <c r="H1503" s="2" t="s">
        <v>21</v>
      </c>
      <c r="I1503" s="2" t="s">
        <v>4193</v>
      </c>
      <c r="J1503" s="3" t="str">
        <f>HYPERLINK("https://www.boe.es/gazeta/dias/1812/12/26/pdfs/GMD-1812-249.pdf#page=4","Abrir facsímil")</f>
        <v>Abrir facsímil</v>
      </c>
      <c r="K1503" s="3" t="s">
        <v>23</v>
      </c>
    </row>
    <row r="1504" spans="1:11" ht="42" customHeight="1">
      <c r="A1504" s="2" t="s">
        <v>4194</v>
      </c>
      <c r="B1504" s="2" t="s">
        <v>4195</v>
      </c>
      <c r="C1504" s="2" t="s">
        <v>17</v>
      </c>
      <c r="D1504" s="2" t="s">
        <v>18</v>
      </c>
      <c r="E1504" s="4">
        <v>-31880</v>
      </c>
      <c r="F1504" s="3" t="s">
        <v>3148</v>
      </c>
      <c r="G1504" s="3" t="s">
        <v>3149</v>
      </c>
      <c r="H1504" s="2" t="s">
        <v>21</v>
      </c>
      <c r="I1504" s="2" t="s">
        <v>4196</v>
      </c>
      <c r="J1504" s="3" t="str">
        <f>HYPERLINK("https://www.boe.es/gazeta/dias/1812/09/17/pdfs/GRE-1812-126.pdf#page=8","Abrir facsímil")</f>
        <v>Abrir facsímil</v>
      </c>
      <c r="K1504" s="3" t="s">
        <v>23</v>
      </c>
    </row>
    <row r="1505" spans="1:11" ht="42" customHeight="1">
      <c r="A1505" s="2" t="s">
        <v>4197</v>
      </c>
      <c r="B1505" s="2" t="s">
        <v>4198</v>
      </c>
      <c r="C1505" s="2" t="s">
        <v>49</v>
      </c>
      <c r="D1505" s="2" t="s">
        <v>27</v>
      </c>
      <c r="E1505" s="4">
        <v>-32018</v>
      </c>
      <c r="F1505" s="3" t="s">
        <v>365</v>
      </c>
      <c r="G1505" s="3" t="s">
        <v>366</v>
      </c>
      <c r="H1505" s="2" t="s">
        <v>21</v>
      </c>
      <c r="I1505" s="2" t="s">
        <v>4199</v>
      </c>
      <c r="J1505" s="3" t="str">
        <f>HYPERLINK("https://www.boe.es/gazeta/dias/1812/05/02/pdfs/GRE-1812-55.pdf#page=3","Abrir facsímil")</f>
        <v>Abrir facsímil</v>
      </c>
      <c r="K1505" s="3" t="s">
        <v>23</v>
      </c>
    </row>
    <row r="1506" spans="1:11" ht="42" customHeight="1">
      <c r="A1506" s="2" t="s">
        <v>4200</v>
      </c>
      <c r="B1506" s="2" t="s">
        <v>4201</v>
      </c>
      <c r="C1506" s="2" t="s">
        <v>17</v>
      </c>
      <c r="D1506" s="2" t="s">
        <v>27</v>
      </c>
      <c r="E1506" s="4">
        <v>-31866</v>
      </c>
      <c r="F1506" s="3" t="s">
        <v>845</v>
      </c>
      <c r="G1506" s="3" t="s">
        <v>2358</v>
      </c>
      <c r="H1506" s="2" t="s">
        <v>21</v>
      </c>
      <c r="I1506" s="2" t="s">
        <v>4202</v>
      </c>
      <c r="J1506" s="3" t="str">
        <f>HYPERLINK("https://www.boe.es/gazeta/dias/1812/10/01/pdfs/GRE-1812-133.pdf#page=4","Abrir facsímil")</f>
        <v>Abrir facsímil</v>
      </c>
      <c r="K1506" s="3" t="s">
        <v>23</v>
      </c>
    </row>
    <row r="1507" spans="1:11" ht="42" customHeight="1">
      <c r="A1507" s="2" t="s">
        <v>4203</v>
      </c>
      <c r="B1507" s="2" t="s">
        <v>4203</v>
      </c>
      <c r="C1507" s="2" t="s">
        <v>17</v>
      </c>
      <c r="D1507" s="2" t="s">
        <v>27</v>
      </c>
      <c r="E1507" s="4">
        <v>-32097</v>
      </c>
      <c r="F1507" s="3" t="s">
        <v>3797</v>
      </c>
      <c r="G1507" s="3" t="s">
        <v>4204</v>
      </c>
      <c r="H1507" s="2" t="s">
        <v>21</v>
      </c>
      <c r="I1507" s="2" t="s">
        <v>4205</v>
      </c>
      <c r="J1507" s="3" t="str">
        <f>HYPERLINK("https://www.boe.es/gazeta/dias/1812/02/13/pdfs/GRE-1812-19.pdf#page=5","Abrir facsímil")</f>
        <v>Abrir facsímil</v>
      </c>
      <c r="K1507" s="3" t="s">
        <v>23</v>
      </c>
    </row>
    <row r="1508" spans="1:11" ht="42" customHeight="1">
      <c r="A1508" s="2" t="s">
        <v>4206</v>
      </c>
      <c r="B1508" s="2" t="s">
        <v>4207</v>
      </c>
      <c r="C1508" s="2" t="s">
        <v>17</v>
      </c>
      <c r="D1508" s="2" t="s">
        <v>18</v>
      </c>
      <c r="E1508" s="4">
        <v>-32139</v>
      </c>
      <c r="F1508" s="3" t="s">
        <v>518</v>
      </c>
      <c r="G1508" s="3" t="s">
        <v>214</v>
      </c>
      <c r="H1508" s="2" t="s">
        <v>21</v>
      </c>
      <c r="I1508" s="2" t="s">
        <v>4208</v>
      </c>
      <c r="J1508" s="3" t="str">
        <f>HYPERLINK("https://www.boe.es/gazeta/dias/1812/01/02/pdfs/GEI-1812-1.pdf#page=7","Abrir facsímil")</f>
        <v>Abrir facsímil</v>
      </c>
      <c r="K1508" s="3" t="s">
        <v>23</v>
      </c>
    </row>
    <row r="1509" spans="1:11" ht="42" customHeight="1">
      <c r="A1509" s="2" t="s">
        <v>4209</v>
      </c>
      <c r="B1509" s="2" t="s">
        <v>4209</v>
      </c>
      <c r="C1509" s="2" t="s">
        <v>17</v>
      </c>
      <c r="D1509" s="2" t="s">
        <v>27</v>
      </c>
      <c r="E1509" s="4">
        <v>-31910</v>
      </c>
      <c r="F1509" s="3" t="s">
        <v>72</v>
      </c>
      <c r="G1509" s="3" t="s">
        <v>4210</v>
      </c>
      <c r="H1509" s="2" t="s">
        <v>21</v>
      </c>
      <c r="I1509" s="2" t="s">
        <v>4211</v>
      </c>
      <c r="J1509" s="3" t="str">
        <f>HYPERLINK("https://www.boe.es/gazeta/dias/1812/08/18/pdfs/GRE-1812-106.pdf#page=8","Abrir facsímil")</f>
        <v>Abrir facsímil</v>
      </c>
      <c r="K1509" s="3" t="s">
        <v>23</v>
      </c>
    </row>
    <row r="1510" spans="1:11" ht="42" customHeight="1">
      <c r="A1510" s="2" t="s">
        <v>4212</v>
      </c>
      <c r="B1510" s="2" t="s">
        <v>4213</v>
      </c>
      <c r="C1510" s="2" t="s">
        <v>26</v>
      </c>
      <c r="D1510" s="2" t="s">
        <v>27</v>
      </c>
      <c r="E1510" s="4">
        <v>-31994</v>
      </c>
      <c r="F1510" s="3" t="s">
        <v>207</v>
      </c>
      <c r="G1510" s="3" t="s">
        <v>1176</v>
      </c>
      <c r="H1510" s="2" t="s">
        <v>21</v>
      </c>
      <c r="I1510" s="2" t="s">
        <v>4214</v>
      </c>
      <c r="J1510" s="3" t="str">
        <f>HYPERLINK("https://www.boe.es/gazeta/dias/1812/05/26/pdfs/GRE-1812-65.pdf#page=8","Abrir facsímil")</f>
        <v>Abrir facsímil</v>
      </c>
      <c r="K1510" s="3" t="s">
        <v>23</v>
      </c>
    </row>
    <row r="1511" spans="1:11" ht="42" customHeight="1">
      <c r="A1511" s="2" t="s">
        <v>4215</v>
      </c>
      <c r="B1511" s="2" t="s">
        <v>4216</v>
      </c>
      <c r="C1511" s="2" t="s">
        <v>105</v>
      </c>
      <c r="D1511" s="2" t="s">
        <v>27</v>
      </c>
      <c r="E1511" s="4">
        <v>-31922</v>
      </c>
      <c r="F1511" s="3" t="s">
        <v>375</v>
      </c>
      <c r="G1511" s="3" t="s">
        <v>986</v>
      </c>
      <c r="H1511" s="2" t="s">
        <v>21</v>
      </c>
      <c r="I1511" s="2" t="s">
        <v>4217</v>
      </c>
      <c r="J1511" s="3" t="str">
        <f>HYPERLINK("https://www.boe.es/gazeta/dias/1812/08/06/pdfs/GRE-1812-100.pdf#page=8","Abrir facsímil")</f>
        <v>Abrir facsímil</v>
      </c>
      <c r="K1511" s="3" t="s">
        <v>23</v>
      </c>
    </row>
    <row r="1512" spans="1:11" ht="42" customHeight="1">
      <c r="A1512" s="2" t="s">
        <v>4218</v>
      </c>
      <c r="B1512" s="2" t="s">
        <v>4219</v>
      </c>
      <c r="C1512" s="2" t="s">
        <v>26</v>
      </c>
      <c r="D1512" s="2" t="s">
        <v>27</v>
      </c>
      <c r="E1512" s="4">
        <v>-32019</v>
      </c>
      <c r="F1512" s="3" t="s">
        <v>476</v>
      </c>
      <c r="G1512" s="3" t="s">
        <v>404</v>
      </c>
      <c r="H1512" s="2" t="s">
        <v>21</v>
      </c>
      <c r="I1512" s="2" t="s">
        <v>4220</v>
      </c>
      <c r="J1512" s="3" t="str">
        <f>HYPERLINK("https://www.boe.es/gazeta/dias/1812/05/01/pdfs/GMD-1812-122.pdf#page=3","Abrir facsímil")</f>
        <v>Abrir facsímil</v>
      </c>
      <c r="K1512" s="3" t="s">
        <v>23</v>
      </c>
    </row>
    <row r="1513" spans="1:11" ht="42" customHeight="1">
      <c r="A1513" s="2" t="s">
        <v>4221</v>
      </c>
      <c r="B1513" s="2" t="s">
        <v>4222</v>
      </c>
      <c r="C1513" s="2" t="s">
        <v>26</v>
      </c>
      <c r="D1513" s="2" t="s">
        <v>27</v>
      </c>
      <c r="E1513" s="4">
        <v>-32055</v>
      </c>
      <c r="F1513" s="3" t="s">
        <v>1271</v>
      </c>
      <c r="G1513" s="3" t="s">
        <v>130</v>
      </c>
      <c r="H1513" s="2" t="s">
        <v>21</v>
      </c>
      <c r="I1513" s="2" t="s">
        <v>4223</v>
      </c>
      <c r="J1513" s="3" t="str">
        <f>HYPERLINK("https://www.boe.es/gazeta/dias/1812/03/26/pdfs/GMD-1812-86.pdf#page=4","Abrir facsímil")</f>
        <v>Abrir facsímil</v>
      </c>
      <c r="K1513" s="3" t="s">
        <v>23</v>
      </c>
    </row>
    <row r="1514" spans="1:11" ht="42" customHeight="1">
      <c r="A1514" s="2" t="s">
        <v>4224</v>
      </c>
      <c r="B1514" s="2" t="s">
        <v>4225</v>
      </c>
      <c r="C1514" s="2" t="s">
        <v>67</v>
      </c>
      <c r="D1514" s="2" t="s">
        <v>27</v>
      </c>
      <c r="E1514" s="4">
        <v>-32095</v>
      </c>
      <c r="F1514" s="3" t="s">
        <v>284</v>
      </c>
      <c r="G1514" s="3" t="s">
        <v>29</v>
      </c>
      <c r="H1514" s="2" t="s">
        <v>21</v>
      </c>
      <c r="I1514" s="2" t="s">
        <v>4226</v>
      </c>
      <c r="J1514" s="3" t="str">
        <f>HYPERLINK("https://www.boe.es/gazeta/dias/1812/02/15/pdfs/GRE-1812-20.pdf#page=8","Abrir facsímil")</f>
        <v>Abrir facsímil</v>
      </c>
      <c r="K1514" s="3" t="s">
        <v>23</v>
      </c>
    </row>
    <row r="1515" spans="1:11" ht="42" customHeight="1">
      <c r="A1515" s="2" t="s">
        <v>4227</v>
      </c>
      <c r="B1515" s="2" t="s">
        <v>4228</v>
      </c>
      <c r="C1515" s="2" t="s">
        <v>26</v>
      </c>
      <c r="D1515" s="2" t="s">
        <v>27</v>
      </c>
      <c r="E1515" s="4">
        <v>-32137</v>
      </c>
      <c r="F1515" s="3" t="s">
        <v>355</v>
      </c>
      <c r="G1515" s="3" t="s">
        <v>117</v>
      </c>
      <c r="H1515" s="2" t="s">
        <v>21</v>
      </c>
      <c r="I1515" s="2" t="s">
        <v>4229</v>
      </c>
      <c r="J1515" s="3" t="str">
        <f>HYPERLINK("https://www.boe.es/gazeta/dias/1812/01/04/pdfs/GEI-1812-2.pdf#page=8","Abrir facsímil")</f>
        <v>Abrir facsímil</v>
      </c>
      <c r="K1515" s="3" t="s">
        <v>23</v>
      </c>
    </row>
    <row r="1516" spans="1:11" ht="42" customHeight="1">
      <c r="A1516" s="2" t="s">
        <v>4230</v>
      </c>
      <c r="B1516" s="2" t="s">
        <v>4231</v>
      </c>
      <c r="C1516" s="2" t="s">
        <v>17</v>
      </c>
      <c r="D1516" s="2" t="s">
        <v>27</v>
      </c>
      <c r="E1516" s="4">
        <v>-31988</v>
      </c>
      <c r="F1516" s="3" t="s">
        <v>1094</v>
      </c>
      <c r="G1516" s="3" t="s">
        <v>1095</v>
      </c>
      <c r="H1516" s="2" t="s">
        <v>21</v>
      </c>
      <c r="I1516" s="2" t="s">
        <v>4232</v>
      </c>
      <c r="J1516" s="3" t="str">
        <f>HYPERLINK("https://www.boe.es/gazeta/dias/1812/06/01/pdfs/GMD-1812-153.pdf#page=2","Abrir facsímil")</f>
        <v>Abrir facsímil</v>
      </c>
      <c r="K1516" s="3" t="s">
        <v>23</v>
      </c>
    </row>
    <row r="1517" spans="1:11" ht="42" customHeight="1">
      <c r="A1517" s="2" t="s">
        <v>4233</v>
      </c>
      <c r="B1517" s="2" t="s">
        <v>4234</v>
      </c>
      <c r="C1517" s="2" t="s">
        <v>26</v>
      </c>
      <c r="D1517" s="2" t="s">
        <v>27</v>
      </c>
      <c r="E1517" s="4">
        <v>-31917</v>
      </c>
      <c r="F1517" s="3" t="s">
        <v>946</v>
      </c>
      <c r="G1517" s="3" t="s">
        <v>947</v>
      </c>
      <c r="H1517" s="2" t="s">
        <v>21</v>
      </c>
      <c r="I1517" s="2" t="s">
        <v>4235</v>
      </c>
      <c r="J1517" s="3" t="str">
        <f>HYPERLINK("https://www.boe.es/gazeta/dias/1812/08/11/pdfs/GRE-1812-103.pdf#page=8","Abrir facsímil")</f>
        <v>Abrir facsímil</v>
      </c>
      <c r="K1517" s="3" t="s">
        <v>23</v>
      </c>
    </row>
    <row r="1518" spans="1:11" ht="42" customHeight="1">
      <c r="A1518" s="2" t="s">
        <v>4236</v>
      </c>
      <c r="B1518" s="2" t="s">
        <v>4237</v>
      </c>
      <c r="C1518" s="2" t="s">
        <v>26</v>
      </c>
      <c r="D1518" s="2" t="s">
        <v>134</v>
      </c>
      <c r="E1518" s="4">
        <v>-31983</v>
      </c>
      <c r="F1518" s="3" t="s">
        <v>1437</v>
      </c>
      <c r="G1518" s="3" t="s">
        <v>1438</v>
      </c>
      <c r="H1518" s="2" t="s">
        <v>21</v>
      </c>
      <c r="I1518" s="2" t="s">
        <v>4238</v>
      </c>
      <c r="J1518" s="3" t="str">
        <f>HYPERLINK("https://www.boe.es/gazeta/dias/1812/06/06/pdfs/GRE-F-1812-70.pdf#page=4","Abrir facsímil")</f>
        <v>Abrir facsímil</v>
      </c>
      <c r="K1518" s="3" t="s">
        <v>23</v>
      </c>
    </row>
    <row r="1519" spans="1:11" ht="42" customHeight="1">
      <c r="A1519" s="2" t="s">
        <v>4239</v>
      </c>
      <c r="B1519" s="2" t="s">
        <v>4240</v>
      </c>
      <c r="C1519" s="2" t="s">
        <v>17</v>
      </c>
      <c r="D1519" s="2" t="s">
        <v>27</v>
      </c>
      <c r="E1519" s="4">
        <v>-31951</v>
      </c>
      <c r="F1519" s="3" t="s">
        <v>1603</v>
      </c>
      <c r="G1519" s="3" t="s">
        <v>214</v>
      </c>
      <c r="H1519" s="2" t="s">
        <v>21</v>
      </c>
      <c r="I1519" s="2" t="s">
        <v>4241</v>
      </c>
      <c r="J1519" s="3" t="str">
        <f>HYPERLINK("https://www.boe.es/gazeta/dias/1812/07/08/pdfs/GMD-1812-190.pdf#page=4","Abrir facsímil")</f>
        <v>Abrir facsímil</v>
      </c>
      <c r="K1519" s="3" t="s">
        <v>23</v>
      </c>
    </row>
    <row r="1520" spans="1:11" ht="42" customHeight="1">
      <c r="A1520" s="2" t="s">
        <v>4242</v>
      </c>
      <c r="B1520" s="2" t="s">
        <v>4242</v>
      </c>
      <c r="C1520" s="2" t="s">
        <v>17</v>
      </c>
      <c r="D1520" s="2" t="s">
        <v>18</v>
      </c>
      <c r="E1520" s="4">
        <v>-32113</v>
      </c>
      <c r="F1520" s="3" t="s">
        <v>121</v>
      </c>
      <c r="G1520" s="3" t="s">
        <v>106</v>
      </c>
      <c r="H1520" s="2" t="s">
        <v>21</v>
      </c>
      <c r="I1520" s="2" t="s">
        <v>4243</v>
      </c>
      <c r="J1520" s="3" t="str">
        <f>HYPERLINK("https://www.boe.es/gazeta/dias/1812/01/28/pdfs/GRE-1812-12.pdf#page=4","Abrir facsímil")</f>
        <v>Abrir facsímil</v>
      </c>
      <c r="K1520" s="3" t="s">
        <v>23</v>
      </c>
    </row>
    <row r="1521" spans="1:11" ht="42" customHeight="1">
      <c r="A1521" s="2" t="s">
        <v>4244</v>
      </c>
      <c r="B1521" s="2" t="s">
        <v>4245</v>
      </c>
      <c r="C1521" s="2" t="s">
        <v>17</v>
      </c>
      <c r="D1521" s="2" t="s">
        <v>27</v>
      </c>
      <c r="E1521" s="4">
        <v>-31988</v>
      </c>
      <c r="F1521" s="3" t="s">
        <v>1094</v>
      </c>
      <c r="G1521" s="3" t="s">
        <v>1095</v>
      </c>
      <c r="H1521" s="2" t="s">
        <v>21</v>
      </c>
      <c r="I1521" s="2" t="s">
        <v>4246</v>
      </c>
      <c r="J1521" s="3" t="str">
        <f>HYPERLINK("https://www.boe.es/gazeta/dias/1812/06/01/pdfs/GMD-1812-153.pdf#page=2","Abrir facsímil")</f>
        <v>Abrir facsímil</v>
      </c>
      <c r="K1521" s="3" t="s">
        <v>23</v>
      </c>
    </row>
    <row r="1522" spans="1:11" ht="42" customHeight="1">
      <c r="A1522" s="2" t="s">
        <v>4247</v>
      </c>
      <c r="B1522" s="2" t="s">
        <v>4247</v>
      </c>
      <c r="C1522" s="2" t="s">
        <v>26</v>
      </c>
      <c r="D1522" s="2" t="s">
        <v>27</v>
      </c>
      <c r="E1522" s="4">
        <v>-32115</v>
      </c>
      <c r="F1522" s="3" t="s">
        <v>747</v>
      </c>
      <c r="G1522" s="3" t="s">
        <v>739</v>
      </c>
      <c r="H1522" s="2" t="s">
        <v>21</v>
      </c>
      <c r="I1522" s="2" t="s">
        <v>4248</v>
      </c>
      <c r="J1522" s="3" t="str">
        <f>HYPERLINK("https://www.boe.es/gazeta/dias/1812/01/26/pdfs/GMD-1812-26.pdf#page=3","Abrir facsímil")</f>
        <v>Abrir facsímil</v>
      </c>
      <c r="K1522" s="3" t="s">
        <v>23</v>
      </c>
    </row>
    <row r="1523" spans="1:11" ht="42" customHeight="1">
      <c r="A1523" s="2" t="s">
        <v>4249</v>
      </c>
      <c r="B1523" s="2" t="s">
        <v>4250</v>
      </c>
      <c r="C1523" s="2" t="s">
        <v>26</v>
      </c>
      <c r="D1523" s="2" t="s">
        <v>27</v>
      </c>
      <c r="E1523" s="4">
        <v>-32075</v>
      </c>
      <c r="F1523" s="3" t="s">
        <v>301</v>
      </c>
      <c r="G1523" s="3" t="s">
        <v>20</v>
      </c>
      <c r="H1523" s="2" t="s">
        <v>21</v>
      </c>
      <c r="I1523" s="2" t="s">
        <v>4251</v>
      </c>
      <c r="J1523" s="3" t="str">
        <f>HYPERLINK("https://www.boe.es/gazeta/dias/1812/03/06/pdfs/GMD-1812-66.pdf#page=4","Abrir facsímil")</f>
        <v>Abrir facsímil</v>
      </c>
      <c r="K1523" s="3" t="s">
        <v>23</v>
      </c>
    </row>
    <row r="1524" spans="1:11" ht="42" customHeight="1">
      <c r="A1524" s="2" t="s">
        <v>4252</v>
      </c>
      <c r="B1524" s="2" t="s">
        <v>4253</v>
      </c>
      <c r="C1524" s="2" t="s">
        <v>26</v>
      </c>
      <c r="D1524" s="2" t="s">
        <v>27</v>
      </c>
      <c r="E1524" s="4">
        <v>-31938</v>
      </c>
      <c r="F1524" s="3" t="s">
        <v>324</v>
      </c>
      <c r="G1524" s="3" t="s">
        <v>497</v>
      </c>
      <c r="H1524" s="2" t="s">
        <v>21</v>
      </c>
      <c r="I1524" s="2" t="s">
        <v>4254</v>
      </c>
      <c r="J1524" s="3" t="str">
        <f>HYPERLINK("https://www.boe.es/gazeta/dias/1812/07/21/pdfs/GMD-1812-203.pdf#page=3","Abrir facsímil")</f>
        <v>Abrir facsímil</v>
      </c>
      <c r="K1524" s="3" t="s">
        <v>23</v>
      </c>
    </row>
    <row r="1525" spans="1:11" ht="42" customHeight="1">
      <c r="A1525" s="2" t="s">
        <v>4255</v>
      </c>
      <c r="B1525" s="2" t="s">
        <v>4255</v>
      </c>
      <c r="C1525" s="2" t="s">
        <v>17</v>
      </c>
      <c r="D1525" s="2" t="s">
        <v>27</v>
      </c>
      <c r="E1525" s="4">
        <v>-32104</v>
      </c>
      <c r="F1525" s="3" t="s">
        <v>753</v>
      </c>
      <c r="G1525" s="3" t="s">
        <v>130</v>
      </c>
      <c r="H1525" s="2" t="s">
        <v>21</v>
      </c>
      <c r="I1525" s="2" t="s">
        <v>4256</v>
      </c>
      <c r="J1525" s="3" t="str">
        <f>HYPERLINK("https://www.boe.es/gazeta/dias/1812/02/06/pdfs/GMD-1812-37.pdf#page=4","Abrir facsímil")</f>
        <v>Abrir facsímil</v>
      </c>
      <c r="K1525" s="3" t="s">
        <v>23</v>
      </c>
    </row>
    <row r="1526" spans="1:11" ht="42" customHeight="1">
      <c r="A1526" s="2" t="s">
        <v>4257</v>
      </c>
      <c r="B1526" s="2" t="s">
        <v>4257</v>
      </c>
      <c r="C1526" s="2" t="s">
        <v>17</v>
      </c>
      <c r="D1526" s="2" t="s">
        <v>27</v>
      </c>
      <c r="E1526" s="4">
        <v>-31864</v>
      </c>
      <c r="F1526" s="3" t="s">
        <v>4258</v>
      </c>
      <c r="G1526" s="3" t="s">
        <v>4259</v>
      </c>
      <c r="H1526" s="2" t="s">
        <v>21</v>
      </c>
      <c r="I1526" s="2" t="s">
        <v>4260</v>
      </c>
      <c r="J1526" s="3" t="str">
        <f>HYPERLINK("https://www.boe.es/gazeta/dias/1812/10/03/pdfs/GMR-1812-22.pdf#page=4","Abrir facsímil")</f>
        <v>Abrir facsímil</v>
      </c>
      <c r="K1526" s="3" t="s">
        <v>23</v>
      </c>
    </row>
    <row r="1527" spans="1:11" ht="42" customHeight="1">
      <c r="A1527" s="2" t="s">
        <v>4261</v>
      </c>
      <c r="B1527" s="2" t="s">
        <v>4262</v>
      </c>
      <c r="C1527" s="2" t="s">
        <v>17</v>
      </c>
      <c r="D1527" s="2" t="s">
        <v>27</v>
      </c>
      <c r="E1527" s="4">
        <v>-31931</v>
      </c>
      <c r="F1527" s="3" t="s">
        <v>2350</v>
      </c>
      <c r="G1527" s="3" t="s">
        <v>2351</v>
      </c>
      <c r="H1527" s="2" t="s">
        <v>21</v>
      </c>
      <c r="I1527" s="2" t="s">
        <v>4263</v>
      </c>
      <c r="J1527" s="3" t="str">
        <f>HYPERLINK("https://www.boe.es/gazeta/dias/1812/07/28/pdfs/GMD-1812-210.pdf#page=2","Abrir facsímil")</f>
        <v>Abrir facsímil</v>
      </c>
      <c r="K1527" s="3" t="s">
        <v>23</v>
      </c>
    </row>
    <row r="1528" spans="1:11" ht="42" customHeight="1">
      <c r="A1528" s="2" t="s">
        <v>4264</v>
      </c>
      <c r="B1528" s="2" t="s">
        <v>4265</v>
      </c>
      <c r="C1528" s="2" t="s">
        <v>26</v>
      </c>
      <c r="D1528" s="2" t="s">
        <v>27</v>
      </c>
      <c r="E1528" s="4">
        <v>-32139</v>
      </c>
      <c r="F1528" s="3" t="s">
        <v>518</v>
      </c>
      <c r="G1528" s="3" t="s">
        <v>125</v>
      </c>
      <c r="H1528" s="2" t="s">
        <v>21</v>
      </c>
      <c r="I1528" s="2" t="s">
        <v>4266</v>
      </c>
      <c r="J1528" s="3" t="str">
        <f>HYPERLINK("https://www.boe.es/gazeta/dias/1812/01/02/pdfs/GEI-1812-1.pdf#page=8","Abrir facsímil")</f>
        <v>Abrir facsímil</v>
      </c>
      <c r="K1528" s="3" t="s">
        <v>23</v>
      </c>
    </row>
    <row r="1529" spans="1:11" ht="42" customHeight="1">
      <c r="A1529" s="2" t="s">
        <v>4267</v>
      </c>
      <c r="B1529" s="2" t="s">
        <v>4267</v>
      </c>
      <c r="C1529" s="2" t="s">
        <v>49</v>
      </c>
      <c r="D1529" s="2" t="s">
        <v>27</v>
      </c>
      <c r="E1529" s="4">
        <v>-31959</v>
      </c>
      <c r="F1529" s="3" t="s">
        <v>1035</v>
      </c>
      <c r="G1529" s="3" t="s">
        <v>4268</v>
      </c>
      <c r="H1529" s="2" t="s">
        <v>21</v>
      </c>
      <c r="I1529" s="2" t="s">
        <v>4269</v>
      </c>
      <c r="J1529" s="3" t="str">
        <f>HYPERLINK("https://www.boe.es/gazeta/dias/1812/06/30/pdfs/GRE-1812-80.pdf#page=3","Abrir facsímil")</f>
        <v>Abrir facsímil</v>
      </c>
      <c r="K1529" s="3" t="s">
        <v>23</v>
      </c>
    </row>
    <row r="1530" spans="1:11" ht="42" customHeight="1">
      <c r="A1530" s="2" t="s">
        <v>4270</v>
      </c>
      <c r="B1530" s="2" t="s">
        <v>4270</v>
      </c>
      <c r="C1530" s="2" t="s">
        <v>17</v>
      </c>
      <c r="D1530" s="2" t="s">
        <v>18</v>
      </c>
      <c r="E1530" s="4">
        <v>-31905</v>
      </c>
      <c r="F1530" s="3" t="s">
        <v>855</v>
      </c>
      <c r="G1530" s="3" t="s">
        <v>2708</v>
      </c>
      <c r="H1530" s="2" t="s">
        <v>21</v>
      </c>
      <c r="I1530" s="2" t="s">
        <v>4271</v>
      </c>
      <c r="J1530" s="3" t="str">
        <f>HYPERLINK("https://www.boe.es/gazeta/dias/1812/08/23/pdfs/GMR-1812-4.pdf#page=4","Abrir facsímil")</f>
        <v>Abrir facsímil</v>
      </c>
      <c r="K1530" s="3" t="s">
        <v>23</v>
      </c>
    </row>
    <row r="1531" spans="1:11" ht="42" customHeight="1">
      <c r="A1531" s="2" t="s">
        <v>4272</v>
      </c>
      <c r="B1531" s="2" t="s">
        <v>4273</v>
      </c>
      <c r="C1531" s="2" t="s">
        <v>17</v>
      </c>
      <c r="D1531" s="2" t="s">
        <v>27</v>
      </c>
      <c r="E1531" s="4">
        <v>-31936</v>
      </c>
      <c r="F1531" s="3" t="s">
        <v>614</v>
      </c>
      <c r="G1531" s="3" t="s">
        <v>615</v>
      </c>
      <c r="H1531" s="2" t="s">
        <v>21</v>
      </c>
      <c r="I1531" s="2" t="s">
        <v>4274</v>
      </c>
      <c r="J1531" s="3" t="str">
        <f>HYPERLINK("https://www.boe.es/gazeta/dias/1812/07/23/pdfs/GRE-1812-92.pdf#page=8","Abrir facsímil")</f>
        <v>Abrir facsímil</v>
      </c>
      <c r="K1531" s="3" t="s">
        <v>23</v>
      </c>
    </row>
    <row r="1532" spans="1:11" ht="42" customHeight="1">
      <c r="A1532" s="2" t="s">
        <v>4275</v>
      </c>
      <c r="B1532" s="2" t="s">
        <v>4276</v>
      </c>
      <c r="C1532" s="2" t="s">
        <v>17</v>
      </c>
      <c r="D1532" s="2" t="s">
        <v>27</v>
      </c>
      <c r="E1532" s="4">
        <v>-32069</v>
      </c>
      <c r="F1532" s="3" t="s">
        <v>445</v>
      </c>
      <c r="G1532" s="3" t="s">
        <v>446</v>
      </c>
      <c r="H1532" s="2" t="s">
        <v>21</v>
      </c>
      <c r="I1532" s="2" t="s">
        <v>4277</v>
      </c>
      <c r="J1532" s="3" t="str">
        <f>HYPERLINK("https://www.boe.es/gazeta/dias/1812/03/12/pdfs/GRE-1812-32.pdf#page=8","Abrir facsímil")</f>
        <v>Abrir facsímil</v>
      </c>
      <c r="K1532" s="3" t="s">
        <v>23</v>
      </c>
    </row>
    <row r="1533" spans="1:11" ht="42" customHeight="1">
      <c r="A1533" s="2" t="s">
        <v>4278</v>
      </c>
      <c r="B1533" s="2" t="s">
        <v>4278</v>
      </c>
      <c r="C1533" s="2" t="s">
        <v>17</v>
      </c>
      <c r="D1533" s="2" t="s">
        <v>18</v>
      </c>
      <c r="E1533" s="4">
        <v>-31969</v>
      </c>
      <c r="F1533" s="3" t="s">
        <v>83</v>
      </c>
      <c r="G1533" s="3" t="s">
        <v>97</v>
      </c>
      <c r="H1533" s="2" t="s">
        <v>21</v>
      </c>
      <c r="I1533" s="2" t="s">
        <v>4279</v>
      </c>
      <c r="J1533" s="3" t="str">
        <f>HYPERLINK("https://www.boe.es/gazeta/dias/1812/06/20/pdfs/GRE-1812-76.pdf#page=5","Abrir facsímil")</f>
        <v>Abrir facsímil</v>
      </c>
      <c r="K1533" s="3" t="s">
        <v>23</v>
      </c>
    </row>
    <row r="1534" spans="1:11" ht="42" customHeight="1">
      <c r="A1534" s="2" t="s">
        <v>4280</v>
      </c>
      <c r="B1534" s="2" t="s">
        <v>4281</v>
      </c>
      <c r="C1534" s="2" t="s">
        <v>17</v>
      </c>
      <c r="D1534" s="2" t="s">
        <v>27</v>
      </c>
      <c r="E1534" s="4">
        <v>-32116</v>
      </c>
      <c r="F1534" s="3" t="s">
        <v>993</v>
      </c>
      <c r="G1534" s="3" t="s">
        <v>1958</v>
      </c>
      <c r="H1534" s="2" t="s">
        <v>30</v>
      </c>
      <c r="I1534" s="2" t="s">
        <v>4282</v>
      </c>
      <c r="J1534" s="3" t="str">
        <f>HYPERLINK("https://www.boe.es/gazeta/dias/1812/01/25/pdfs/GEI-1812-11.pdf#page=5","Abrir facsímil")</f>
        <v>Abrir facsímil</v>
      </c>
      <c r="K1534" s="3" t="s">
        <v>32</v>
      </c>
    </row>
    <row r="1535" spans="1:11" ht="42" customHeight="1">
      <c r="A1535" s="2" t="s">
        <v>4283</v>
      </c>
      <c r="B1535" s="2" t="s">
        <v>4284</v>
      </c>
      <c r="C1535" s="2" t="s">
        <v>17</v>
      </c>
      <c r="D1535" s="2" t="s">
        <v>27</v>
      </c>
      <c r="E1535" s="4">
        <v>-31812</v>
      </c>
      <c r="F1535" s="3" t="s">
        <v>1533</v>
      </c>
      <c r="G1535" s="3" t="s">
        <v>644</v>
      </c>
      <c r="H1535" s="2" t="s">
        <v>21</v>
      </c>
      <c r="I1535" s="2" t="s">
        <v>4285</v>
      </c>
      <c r="J1535" s="3" t="str">
        <f>HYPERLINK("https://www.boe.es/gazeta/dias/1812/11/24/pdfs/GMR-1812-37.pdf#page=4","Abrir facsímil")</f>
        <v>Abrir facsímil</v>
      </c>
      <c r="K1535" s="3" t="s">
        <v>23</v>
      </c>
    </row>
    <row r="1536" spans="1:11" ht="42" customHeight="1">
      <c r="A1536" s="2" t="s">
        <v>4286</v>
      </c>
      <c r="B1536" s="2" t="s">
        <v>4287</v>
      </c>
      <c r="C1536" s="2" t="s">
        <v>26</v>
      </c>
      <c r="D1536" s="2" t="s">
        <v>27</v>
      </c>
      <c r="E1536" s="4">
        <v>-32097</v>
      </c>
      <c r="F1536" s="3" t="s">
        <v>4288</v>
      </c>
      <c r="G1536" s="3" t="s">
        <v>130</v>
      </c>
      <c r="H1536" s="2" t="s">
        <v>21</v>
      </c>
      <c r="I1536" s="2" t="s">
        <v>4289</v>
      </c>
      <c r="J1536" s="3" t="str">
        <f>HYPERLINK("https://www.boe.es/gazeta/dias/1812/02/13/pdfs/GMD-1812-44.pdf#page=4","Abrir facsímil")</f>
        <v>Abrir facsímil</v>
      </c>
      <c r="K1536" s="3" t="s">
        <v>23</v>
      </c>
    </row>
    <row r="1537" spans="1:11" ht="42" customHeight="1">
      <c r="A1537" s="2" t="s">
        <v>4290</v>
      </c>
      <c r="B1537" s="2" t="s">
        <v>4290</v>
      </c>
      <c r="C1537" s="2" t="s">
        <v>17</v>
      </c>
      <c r="D1537" s="2" t="s">
        <v>27</v>
      </c>
      <c r="E1537" s="4">
        <v>-31990</v>
      </c>
      <c r="F1537" s="3" t="s">
        <v>629</v>
      </c>
      <c r="G1537" s="3" t="s">
        <v>101</v>
      </c>
      <c r="H1537" s="2" t="s">
        <v>21</v>
      </c>
      <c r="I1537" s="2" t="s">
        <v>4291</v>
      </c>
      <c r="J1537" s="3" t="str">
        <f>HYPERLINK("https://www.boe.es/gazeta/dias/1812/05/30/pdfs/GMD-1812-151.pdf#page=1","Abrir facsímil")</f>
        <v>Abrir facsímil</v>
      </c>
      <c r="K1537" s="3" t="s">
        <v>23</v>
      </c>
    </row>
    <row r="1538" spans="1:11" ht="42" customHeight="1">
      <c r="A1538" s="2" t="s">
        <v>4292</v>
      </c>
      <c r="B1538" s="2" t="s">
        <v>4293</v>
      </c>
      <c r="C1538" s="2" t="s">
        <v>26</v>
      </c>
      <c r="D1538" s="2" t="s">
        <v>27</v>
      </c>
      <c r="E1538" s="4">
        <v>-32040</v>
      </c>
      <c r="F1538" s="3" t="s">
        <v>682</v>
      </c>
      <c r="G1538" s="3" t="s">
        <v>45</v>
      </c>
      <c r="H1538" s="2" t="s">
        <v>21</v>
      </c>
      <c r="I1538" s="2" t="s">
        <v>4294</v>
      </c>
      <c r="J1538" s="3" t="str">
        <f>HYPERLINK("https://www.boe.es/gazeta/dias/1812/04/10/pdfs/GMD-1812-101.pdf#page=2","Abrir facsímil")</f>
        <v>Abrir facsímil</v>
      </c>
      <c r="K1538" s="3" t="s">
        <v>23</v>
      </c>
    </row>
    <row r="1539" spans="1:11" ht="42" customHeight="1">
      <c r="A1539" s="2" t="s">
        <v>4292</v>
      </c>
      <c r="B1539" s="2" t="s">
        <v>4293</v>
      </c>
      <c r="C1539" s="2" t="s">
        <v>26</v>
      </c>
      <c r="D1539" s="2" t="s">
        <v>27</v>
      </c>
      <c r="E1539" s="4">
        <v>-31932</v>
      </c>
      <c r="F1539" s="3" t="s">
        <v>3710</v>
      </c>
      <c r="G1539" s="3" t="s">
        <v>739</v>
      </c>
      <c r="H1539" s="2" t="s">
        <v>21</v>
      </c>
      <c r="I1539" s="2" t="s">
        <v>4295</v>
      </c>
      <c r="J1539" s="3" t="str">
        <f>HYPERLINK("https://www.boe.es/gazeta/dias/1812/07/27/pdfs/GMD-1812-209.pdf#page=1","Abrir facsímil")</f>
        <v>Abrir facsímil</v>
      </c>
      <c r="K1539" s="3" t="s">
        <v>23</v>
      </c>
    </row>
    <row r="1540" spans="1:11" ht="42" customHeight="1">
      <c r="A1540" s="2" t="s">
        <v>4296</v>
      </c>
      <c r="B1540" s="2" t="s">
        <v>4296</v>
      </c>
      <c r="C1540" s="2" t="s">
        <v>17</v>
      </c>
      <c r="D1540" s="2" t="s">
        <v>27</v>
      </c>
      <c r="E1540" s="4">
        <v>-31909</v>
      </c>
      <c r="F1540" s="3" t="s">
        <v>2735</v>
      </c>
      <c r="G1540" s="3" t="s">
        <v>794</v>
      </c>
      <c r="H1540" s="2" t="s">
        <v>21</v>
      </c>
      <c r="I1540" s="2" t="s">
        <v>4297</v>
      </c>
      <c r="J1540" s="3" t="str">
        <f>HYPERLINK("https://www.boe.es/gazeta/dias/1812/08/19/pdfs/GMR-1812-2.pdf#page=7","Abrir facsímil")</f>
        <v>Abrir facsímil</v>
      </c>
      <c r="K1540" s="3" t="s">
        <v>23</v>
      </c>
    </row>
    <row r="1541" spans="1:11" ht="42" customHeight="1">
      <c r="A1541" s="2" t="s">
        <v>4298</v>
      </c>
      <c r="B1541" s="2" t="s">
        <v>4299</v>
      </c>
      <c r="C1541" s="2" t="s">
        <v>49</v>
      </c>
      <c r="D1541" s="2" t="s">
        <v>27</v>
      </c>
      <c r="E1541" s="4">
        <v>-31956</v>
      </c>
      <c r="F1541" s="3" t="s">
        <v>19</v>
      </c>
      <c r="G1541" s="3" t="s">
        <v>20</v>
      </c>
      <c r="H1541" s="2" t="s">
        <v>21</v>
      </c>
      <c r="I1541" s="2" t="s">
        <v>4300</v>
      </c>
      <c r="J1541" s="3" t="str">
        <f>HYPERLINK("https://www.boe.es/gazeta/dias/1812/07/03/pdfs/GMD-1812-185.pdf#page=2","Abrir facsímil")</f>
        <v>Abrir facsímil</v>
      </c>
      <c r="K1541" s="3" t="s">
        <v>23</v>
      </c>
    </row>
    <row r="1542" spans="1:11" ht="42" customHeight="1">
      <c r="A1542" s="2" t="s">
        <v>4298</v>
      </c>
      <c r="B1542" s="2" t="s">
        <v>4299</v>
      </c>
      <c r="C1542" s="2" t="s">
        <v>26</v>
      </c>
      <c r="D1542" s="2" t="s">
        <v>27</v>
      </c>
      <c r="E1542" s="4">
        <v>-31939</v>
      </c>
      <c r="F1542" s="3" t="s">
        <v>408</v>
      </c>
      <c r="G1542" s="3" t="s">
        <v>404</v>
      </c>
      <c r="H1542" s="2" t="s">
        <v>21</v>
      </c>
      <c r="I1542" s="2" t="s">
        <v>4301</v>
      </c>
      <c r="J1542" s="3" t="str">
        <f>HYPERLINK("https://www.boe.es/gazeta/dias/1812/07/20/pdfs/GMD-1812-202.pdf#page=2","Abrir facsímil")</f>
        <v>Abrir facsímil</v>
      </c>
      <c r="K1542" s="3" t="s">
        <v>23</v>
      </c>
    </row>
    <row r="1543" spans="1:11" ht="42" customHeight="1">
      <c r="A1543" s="2" t="s">
        <v>4302</v>
      </c>
      <c r="B1543" s="2" t="s">
        <v>4302</v>
      </c>
      <c r="C1543" s="2" t="s">
        <v>17</v>
      </c>
      <c r="D1543" s="2" t="s">
        <v>18</v>
      </c>
      <c r="E1543" s="4">
        <v>-31921</v>
      </c>
      <c r="F1543" s="3" t="s">
        <v>785</v>
      </c>
      <c r="G1543" s="3" t="s">
        <v>45</v>
      </c>
      <c r="H1543" s="2" t="s">
        <v>21</v>
      </c>
      <c r="I1543" s="2" t="s">
        <v>4303</v>
      </c>
      <c r="J1543" s="3" t="str">
        <f>HYPERLINK("https://www.boe.es/gazeta/dias/1812/08/07/pdfs/GRE-1812-101E.pdf#page=5","Abrir facsímil")</f>
        <v>Abrir facsímil</v>
      </c>
      <c r="K1543" s="3" t="s">
        <v>23</v>
      </c>
    </row>
    <row r="1544" spans="1:11" ht="42" customHeight="1">
      <c r="A1544" s="2" t="s">
        <v>4304</v>
      </c>
      <c r="B1544" s="2" t="s">
        <v>4304</v>
      </c>
      <c r="C1544" s="2" t="s">
        <v>17</v>
      </c>
      <c r="D1544" s="2" t="s">
        <v>27</v>
      </c>
      <c r="E1544" s="4">
        <v>-31875</v>
      </c>
      <c r="F1544" s="3" t="s">
        <v>110</v>
      </c>
      <c r="G1544" s="3" t="s">
        <v>4305</v>
      </c>
      <c r="H1544" s="2" t="s">
        <v>21</v>
      </c>
      <c r="I1544" s="2" t="s">
        <v>4306</v>
      </c>
      <c r="J1544" s="3" t="str">
        <f>HYPERLINK("https://www.boe.es/gazeta/dias/1812/09/22/pdfs/GRE-1812-128.pdf#page=1","Abrir facsímil")</f>
        <v>Abrir facsímil</v>
      </c>
      <c r="K1544" s="3" t="s">
        <v>23</v>
      </c>
    </row>
    <row r="1545" spans="1:11" ht="42" customHeight="1">
      <c r="A1545" s="2" t="s">
        <v>4307</v>
      </c>
      <c r="B1545" s="2" t="s">
        <v>4307</v>
      </c>
      <c r="C1545" s="2" t="s">
        <v>17</v>
      </c>
      <c r="D1545" s="2" t="s">
        <v>18</v>
      </c>
      <c r="E1545" s="4">
        <v>-31878</v>
      </c>
      <c r="F1545" s="3" t="s">
        <v>2891</v>
      </c>
      <c r="G1545" s="3" t="s">
        <v>4308</v>
      </c>
      <c r="H1545" s="2" t="s">
        <v>21</v>
      </c>
      <c r="I1545" s="2" t="s">
        <v>4309</v>
      </c>
      <c r="J1545" s="3" t="str">
        <f>HYPERLINK("https://www.boe.es/gazeta/dias/1812/09/19/pdfs/GRE-1812-127.pdf#page=8","Abrir facsímil")</f>
        <v>Abrir facsímil</v>
      </c>
      <c r="K1545" s="3" t="s">
        <v>23</v>
      </c>
    </row>
    <row r="1546" spans="1:11" ht="42" customHeight="1">
      <c r="A1546" s="2" t="s">
        <v>4310</v>
      </c>
      <c r="B1546" s="2" t="s">
        <v>4311</v>
      </c>
      <c r="C1546" s="2" t="s">
        <v>115</v>
      </c>
      <c r="D1546" s="2" t="s">
        <v>27</v>
      </c>
      <c r="E1546" s="4">
        <v>-32139</v>
      </c>
      <c r="F1546" s="3" t="s">
        <v>288</v>
      </c>
      <c r="G1546" s="3" t="s">
        <v>130</v>
      </c>
      <c r="H1546" s="2" t="s">
        <v>21</v>
      </c>
      <c r="I1546" s="2" t="s">
        <v>4312</v>
      </c>
      <c r="J1546" s="3" t="str">
        <f>HYPERLINK("https://www.boe.es/gazeta/dias/1812/01/02/pdfs/GMD-1812-2.pdf#page=4","Abrir facsímil")</f>
        <v>Abrir facsímil</v>
      </c>
      <c r="K1546" s="3" t="s">
        <v>23</v>
      </c>
    </row>
    <row r="1547" spans="1:11" ht="42" customHeight="1">
      <c r="A1547" s="2" t="s">
        <v>4313</v>
      </c>
      <c r="B1547" s="2" t="s">
        <v>4314</v>
      </c>
      <c r="C1547" s="2" t="s">
        <v>26</v>
      </c>
      <c r="D1547" s="2" t="s">
        <v>27</v>
      </c>
      <c r="E1547" s="4">
        <v>-31940</v>
      </c>
      <c r="F1547" s="3" t="s">
        <v>187</v>
      </c>
      <c r="G1547" s="3" t="s">
        <v>404</v>
      </c>
      <c r="H1547" s="2" t="s">
        <v>21</v>
      </c>
      <c r="I1547" s="2" t="s">
        <v>4315</v>
      </c>
      <c r="J1547" s="3" t="str">
        <f>HYPERLINK("https://www.boe.es/gazeta/dias/1812/07/19/pdfs/GMD-1812-201.pdf#page=4","Abrir facsímil")</f>
        <v>Abrir facsímil</v>
      </c>
      <c r="K1547" s="3" t="s">
        <v>23</v>
      </c>
    </row>
    <row r="1548" spans="1:11" ht="42" customHeight="1">
      <c r="A1548" s="2" t="s">
        <v>4316</v>
      </c>
      <c r="B1548" s="2" t="s">
        <v>4316</v>
      </c>
      <c r="C1548" s="2" t="s">
        <v>26</v>
      </c>
      <c r="D1548" s="2" t="s">
        <v>27</v>
      </c>
      <c r="E1548" s="4">
        <v>-31936</v>
      </c>
      <c r="F1548" s="3" t="s">
        <v>603</v>
      </c>
      <c r="G1548" s="3" t="s">
        <v>2410</v>
      </c>
      <c r="H1548" s="2" t="s">
        <v>21</v>
      </c>
      <c r="I1548" s="2" t="s">
        <v>4317</v>
      </c>
      <c r="J1548" s="3" t="str">
        <f>HYPERLINK("https://www.boe.es/gazeta/dias/1812/07/23/pdfs/GMD-1812-205.pdf#page=4","Abrir facsímil")</f>
        <v>Abrir facsímil</v>
      </c>
      <c r="K1548" s="3" t="s">
        <v>23</v>
      </c>
    </row>
    <row r="1549" spans="1:11" ht="42" customHeight="1">
      <c r="A1549" s="2" t="s">
        <v>4318</v>
      </c>
      <c r="B1549" s="2" t="s">
        <v>4318</v>
      </c>
      <c r="C1549" s="2" t="s">
        <v>26</v>
      </c>
      <c r="D1549" s="2" t="s">
        <v>27</v>
      </c>
      <c r="E1549" s="4">
        <v>-31910</v>
      </c>
      <c r="F1549" s="3" t="s">
        <v>72</v>
      </c>
      <c r="G1549" s="3" t="s">
        <v>317</v>
      </c>
      <c r="H1549" s="2" t="s">
        <v>21</v>
      </c>
      <c r="I1549" s="2" t="s">
        <v>4319</v>
      </c>
      <c r="J1549" s="3" t="str">
        <f>HYPERLINK("https://www.boe.es/gazeta/dias/1812/08/18/pdfs/GRE-1812-106.pdf#page=6","Abrir facsímil")</f>
        <v>Abrir facsímil</v>
      </c>
      <c r="K1549" s="3" t="s">
        <v>23</v>
      </c>
    </row>
    <row r="1550" spans="1:11" ht="42" customHeight="1">
      <c r="A1550" s="2" t="s">
        <v>4320</v>
      </c>
      <c r="B1550" s="2" t="s">
        <v>4320</v>
      </c>
      <c r="C1550" s="2" t="s">
        <v>17</v>
      </c>
      <c r="D1550" s="2" t="s">
        <v>18</v>
      </c>
      <c r="E1550" s="4">
        <v>-31959</v>
      </c>
      <c r="F1550" s="3" t="s">
        <v>1035</v>
      </c>
      <c r="G1550" s="3" t="s">
        <v>4321</v>
      </c>
      <c r="H1550" s="2" t="s">
        <v>21</v>
      </c>
      <c r="I1550" s="2" t="s">
        <v>4322</v>
      </c>
      <c r="J1550" s="3" t="str">
        <f>HYPERLINK("https://www.boe.es/gazeta/dias/1812/06/30/pdfs/GRE-1812-80.pdf#page=5","Abrir facsímil")</f>
        <v>Abrir facsímil</v>
      </c>
      <c r="K1550" s="3" t="s">
        <v>23</v>
      </c>
    </row>
    <row r="1551" spans="1:11" ht="42" customHeight="1">
      <c r="A1551" s="2" t="s">
        <v>4323</v>
      </c>
      <c r="B1551" s="2" t="s">
        <v>4324</v>
      </c>
      <c r="C1551" s="2" t="s">
        <v>17</v>
      </c>
      <c r="D1551" s="2" t="s">
        <v>18</v>
      </c>
      <c r="E1551" s="4">
        <v>-31857</v>
      </c>
      <c r="F1551" s="3" t="s">
        <v>1000</v>
      </c>
      <c r="G1551" s="3" t="s">
        <v>1001</v>
      </c>
      <c r="H1551" s="2" t="s">
        <v>21</v>
      </c>
      <c r="I1551" s="2" t="s">
        <v>4325</v>
      </c>
      <c r="J1551" s="3" t="str">
        <f>HYPERLINK("https://www.boe.es/gazeta/dias/1812/10/10/pdfs/GRE-1812-137.pdf#page=7","Abrir facsímil")</f>
        <v>Abrir facsímil</v>
      </c>
      <c r="K1551" s="3" t="s">
        <v>23</v>
      </c>
    </row>
    <row r="1552" spans="1:11" ht="42" customHeight="1">
      <c r="A1552" s="2" t="s">
        <v>4326</v>
      </c>
      <c r="B1552" s="2" t="s">
        <v>4327</v>
      </c>
      <c r="C1552" s="2" t="s">
        <v>26</v>
      </c>
      <c r="D1552" s="2" t="s">
        <v>27</v>
      </c>
      <c r="E1552" s="4">
        <v>-32095</v>
      </c>
      <c r="F1552" s="3" t="s">
        <v>1099</v>
      </c>
      <c r="G1552" s="3" t="s">
        <v>438</v>
      </c>
      <c r="H1552" s="2" t="s">
        <v>21</v>
      </c>
      <c r="I1552" s="2" t="s">
        <v>4328</v>
      </c>
      <c r="J1552" s="3" t="str">
        <f>HYPERLINK("https://www.boe.es/gazeta/dias/1812/02/15/pdfs/GMD-1812-46.pdf#page=4","Abrir facsímil")</f>
        <v>Abrir facsímil</v>
      </c>
      <c r="K1552" s="3" t="s">
        <v>23</v>
      </c>
    </row>
    <row r="1553" spans="1:11" ht="42" customHeight="1">
      <c r="A1553" s="2" t="s">
        <v>4329</v>
      </c>
      <c r="B1553" s="2" t="s">
        <v>4330</v>
      </c>
      <c r="C1553" s="2" t="s">
        <v>26</v>
      </c>
      <c r="D1553" s="2" t="s">
        <v>27</v>
      </c>
      <c r="E1553" s="4">
        <v>-31964</v>
      </c>
      <c r="F1553" s="3" t="s">
        <v>305</v>
      </c>
      <c r="G1553" s="3" t="s">
        <v>306</v>
      </c>
      <c r="H1553" s="2" t="s">
        <v>21</v>
      </c>
      <c r="I1553" s="2" t="s">
        <v>4331</v>
      </c>
      <c r="J1553" s="3" t="str">
        <f>HYPERLINK("https://www.boe.es/gazeta/dias/1812/06/25/pdfs/GMD-1812-177.pdf#page=3","Abrir facsímil")</f>
        <v>Abrir facsímil</v>
      </c>
      <c r="K1553" s="3" t="s">
        <v>23</v>
      </c>
    </row>
    <row r="1554" spans="1:11" ht="42" customHeight="1">
      <c r="A1554" s="2" t="s">
        <v>4332</v>
      </c>
      <c r="B1554" s="2" t="s">
        <v>4333</v>
      </c>
      <c r="C1554" s="2" t="s">
        <v>49</v>
      </c>
      <c r="D1554" s="2" t="s">
        <v>27</v>
      </c>
      <c r="E1554" s="4">
        <v>-31857</v>
      </c>
      <c r="F1554" s="3" t="s">
        <v>1000</v>
      </c>
      <c r="G1554" s="3" t="s">
        <v>1001</v>
      </c>
      <c r="H1554" s="2" t="s">
        <v>21</v>
      </c>
      <c r="I1554" s="2" t="s">
        <v>4334</v>
      </c>
      <c r="J1554" s="3" t="str">
        <f>HYPERLINK("https://www.boe.es/gazeta/dias/1812/10/10/pdfs/GRE-1812-137.pdf#page=7","Abrir facsímil")</f>
        <v>Abrir facsímil</v>
      </c>
      <c r="K1554" s="3" t="s">
        <v>23</v>
      </c>
    </row>
    <row r="1555" spans="1:11" ht="42" customHeight="1">
      <c r="A1555" s="2" t="s">
        <v>4335</v>
      </c>
      <c r="B1555" s="2" t="s">
        <v>4336</v>
      </c>
      <c r="C1555" s="2" t="s">
        <v>17</v>
      </c>
      <c r="D1555" s="2" t="s">
        <v>275</v>
      </c>
      <c r="E1555" s="4">
        <v>-31887</v>
      </c>
      <c r="F1555" s="3" t="s">
        <v>703</v>
      </c>
      <c r="G1555" s="3" t="s">
        <v>2262</v>
      </c>
      <c r="H1555" s="2" t="s">
        <v>21</v>
      </c>
      <c r="I1555" s="2" t="s">
        <v>4337</v>
      </c>
      <c r="J1555" s="3" t="str">
        <f>HYPERLINK("https://www.boe.es/gazeta/dias/1812/09/10/pdfs/GRE-1812-122.pdf#page=5","Abrir facsímil")</f>
        <v>Abrir facsímil</v>
      </c>
      <c r="K1555" s="3" t="s">
        <v>23</v>
      </c>
    </row>
    <row r="1556" spans="1:11" ht="42" customHeight="1">
      <c r="A1556" s="2" t="s">
        <v>4338</v>
      </c>
      <c r="B1556" s="2" t="s">
        <v>4338</v>
      </c>
      <c r="C1556" s="2" t="s">
        <v>26</v>
      </c>
      <c r="D1556" s="2" t="s">
        <v>27</v>
      </c>
      <c r="E1556" s="4">
        <v>-31992</v>
      </c>
      <c r="F1556" s="3" t="s">
        <v>2239</v>
      </c>
      <c r="G1556" s="3" t="s">
        <v>36</v>
      </c>
      <c r="H1556" s="2" t="s">
        <v>21</v>
      </c>
      <c r="I1556" s="2" t="s">
        <v>4339</v>
      </c>
      <c r="J1556" s="3" t="str">
        <f>HYPERLINK("https://www.boe.es/gazeta/dias/1812/05/28/pdfs/GMD-1812-149.pdf#page=3","Abrir facsímil")</f>
        <v>Abrir facsímil</v>
      </c>
      <c r="K1556" s="3" t="s">
        <v>23</v>
      </c>
    </row>
    <row r="1557" spans="1:11" ht="42" customHeight="1">
      <c r="A1557" s="2" t="s">
        <v>4340</v>
      </c>
      <c r="B1557" s="2" t="s">
        <v>4340</v>
      </c>
      <c r="C1557" s="2" t="s">
        <v>26</v>
      </c>
      <c r="D1557" s="2" t="s">
        <v>27</v>
      </c>
      <c r="E1557" s="4">
        <v>-32113</v>
      </c>
      <c r="F1557" s="3" t="s">
        <v>4341</v>
      </c>
      <c r="G1557" s="3" t="s">
        <v>688</v>
      </c>
      <c r="H1557" s="2" t="s">
        <v>21</v>
      </c>
      <c r="I1557" s="2" t="s">
        <v>4342</v>
      </c>
      <c r="J1557" s="3" t="str">
        <f>HYPERLINK("https://www.boe.es/gazeta/dias/1812/01/28/pdfs/GMD-1812-28.pdf#page=2","Abrir facsímil")</f>
        <v>Abrir facsímil</v>
      </c>
      <c r="K1557" s="3" t="s">
        <v>23</v>
      </c>
    </row>
    <row r="1558" spans="1:11" ht="42" customHeight="1">
      <c r="A1558" s="2" t="s">
        <v>4340</v>
      </c>
      <c r="B1558" s="2" t="s">
        <v>4340</v>
      </c>
      <c r="C1558" s="2" t="s">
        <v>17</v>
      </c>
      <c r="D1558" s="2" t="s">
        <v>18</v>
      </c>
      <c r="E1558" s="4">
        <v>-31943</v>
      </c>
      <c r="F1558" s="3" t="s">
        <v>2825</v>
      </c>
      <c r="G1558" s="3" t="s">
        <v>214</v>
      </c>
      <c r="H1558" s="2" t="s">
        <v>21</v>
      </c>
      <c r="I1558" s="2" t="s">
        <v>4343</v>
      </c>
      <c r="J1558" s="3" t="str">
        <f>HYPERLINK("https://www.boe.es/gazeta/dias/1812/07/16/pdfs/GRE-1812-89.pdf#page=4","Abrir facsímil")</f>
        <v>Abrir facsímil</v>
      </c>
      <c r="K1558" s="3" t="s">
        <v>23</v>
      </c>
    </row>
    <row r="1559" spans="1:11" ht="42" customHeight="1">
      <c r="A1559" s="2" t="s">
        <v>4340</v>
      </c>
      <c r="B1559" s="2" t="s">
        <v>4340</v>
      </c>
      <c r="C1559" s="2" t="s">
        <v>26</v>
      </c>
      <c r="D1559" s="2" t="s">
        <v>275</v>
      </c>
      <c r="E1559" s="4">
        <v>-31896</v>
      </c>
      <c r="F1559" s="3" t="s">
        <v>3158</v>
      </c>
      <c r="G1559" s="3" t="s">
        <v>4344</v>
      </c>
      <c r="H1559" s="2" t="s">
        <v>21</v>
      </c>
      <c r="I1559" s="2" t="s">
        <v>4345</v>
      </c>
      <c r="J1559" s="3" t="str">
        <f>HYPERLINK("https://www.boe.es/gazeta/dias/1812/09/01/pdfs/GRE-1812-117.pdf#page=6","Abrir facsímil")</f>
        <v>Abrir facsímil</v>
      </c>
      <c r="K1559" s="3" t="s">
        <v>23</v>
      </c>
    </row>
    <row r="1560" spans="1:11" ht="42" customHeight="1">
      <c r="A1560" s="2" t="s">
        <v>4340</v>
      </c>
      <c r="B1560" s="2" t="s">
        <v>4340</v>
      </c>
      <c r="C1560" s="2" t="s">
        <v>17</v>
      </c>
      <c r="D1560" s="2" t="s">
        <v>18</v>
      </c>
      <c r="E1560" s="4">
        <v>-31805</v>
      </c>
      <c r="F1560" s="3" t="s">
        <v>4346</v>
      </c>
      <c r="G1560" s="3" t="s">
        <v>45</v>
      </c>
      <c r="H1560" s="2" t="s">
        <v>21</v>
      </c>
      <c r="I1560" s="2" t="s">
        <v>4347</v>
      </c>
      <c r="J1560" s="3" t="str">
        <f>HYPERLINK("https://www.boe.es/gazeta/dias/1812/12/01/pdfs/GRE-1812-159.pdf#page=4","Abrir facsímil")</f>
        <v>Abrir facsímil</v>
      </c>
      <c r="K1560" s="3" t="s">
        <v>23</v>
      </c>
    </row>
    <row r="1561" spans="1:11" ht="42" customHeight="1">
      <c r="A1561" s="2" t="s">
        <v>4348</v>
      </c>
      <c r="B1561" s="2" t="s">
        <v>4348</v>
      </c>
      <c r="C1561" s="2" t="s">
        <v>49</v>
      </c>
      <c r="D1561" s="2" t="s">
        <v>27</v>
      </c>
      <c r="E1561" s="4">
        <v>-31990</v>
      </c>
      <c r="F1561" s="3" t="s">
        <v>629</v>
      </c>
      <c r="G1561" s="3" t="s">
        <v>514</v>
      </c>
      <c r="H1561" s="2" t="s">
        <v>21</v>
      </c>
      <c r="I1561" s="2" t="s">
        <v>4349</v>
      </c>
      <c r="J1561" s="3" t="str">
        <f>HYPERLINK("https://www.boe.es/gazeta/dias/1812/05/30/pdfs/GMD-1812-151.pdf#page=4","Abrir facsímil")</f>
        <v>Abrir facsímil</v>
      </c>
      <c r="K1561" s="3" t="s">
        <v>23</v>
      </c>
    </row>
    <row r="1562" spans="1:11" ht="42" customHeight="1">
      <c r="A1562" s="2" t="s">
        <v>4350</v>
      </c>
      <c r="B1562" s="2" t="s">
        <v>4350</v>
      </c>
      <c r="C1562" s="2" t="s">
        <v>67</v>
      </c>
      <c r="D1562" s="2" t="s">
        <v>27</v>
      </c>
      <c r="E1562" s="4">
        <v>-31938</v>
      </c>
      <c r="F1562" s="3" t="s">
        <v>324</v>
      </c>
      <c r="G1562" s="3" t="s">
        <v>404</v>
      </c>
      <c r="H1562" s="2" t="s">
        <v>21</v>
      </c>
      <c r="I1562" s="2" t="s">
        <v>4351</v>
      </c>
      <c r="J1562" s="3" t="str">
        <f>HYPERLINK("https://www.boe.es/gazeta/dias/1812/07/21/pdfs/GMD-1812-203.pdf#page=1","Abrir facsímil")</f>
        <v>Abrir facsímil</v>
      </c>
      <c r="K1562" s="3" t="s">
        <v>23</v>
      </c>
    </row>
    <row r="1563" spans="1:11" ht="42" customHeight="1">
      <c r="A1563" s="2" t="s">
        <v>4352</v>
      </c>
      <c r="B1563" s="2" t="s">
        <v>4352</v>
      </c>
      <c r="C1563" s="2" t="s">
        <v>17</v>
      </c>
      <c r="D1563" s="2" t="s">
        <v>194</v>
      </c>
      <c r="E1563" s="4">
        <v>-32137</v>
      </c>
      <c r="F1563" s="3" t="s">
        <v>4353</v>
      </c>
      <c r="G1563" s="3" t="s">
        <v>36</v>
      </c>
      <c r="H1563" s="2" t="s">
        <v>21</v>
      </c>
      <c r="I1563" s="2" t="s">
        <v>4354</v>
      </c>
      <c r="J1563" s="3" t="str">
        <f>HYPERLINK("https://www.boe.es/gazeta/dias/1812/01/04/pdfs/GMD-1812-4.pdf#page=3","Abrir facsímil")</f>
        <v>Abrir facsímil</v>
      </c>
      <c r="K1563" s="3" t="s">
        <v>23</v>
      </c>
    </row>
    <row r="1564" spans="1:11" ht="42" customHeight="1">
      <c r="A1564" s="2" t="s">
        <v>4355</v>
      </c>
      <c r="B1564" s="2" t="s">
        <v>4356</v>
      </c>
      <c r="C1564" s="2" t="s">
        <v>49</v>
      </c>
      <c r="D1564" s="2" t="s">
        <v>18</v>
      </c>
      <c r="E1564" s="4">
        <v>-31873</v>
      </c>
      <c r="F1564" s="3" t="s">
        <v>654</v>
      </c>
      <c r="G1564" s="3" t="s">
        <v>4344</v>
      </c>
      <c r="H1564" s="2" t="s">
        <v>21</v>
      </c>
      <c r="I1564" s="2" t="s">
        <v>4357</v>
      </c>
      <c r="J1564" s="3" t="str">
        <f>HYPERLINK("https://www.boe.es/gazeta/dias/1812/09/24/pdfs/GRE-1812-130.pdf#page=6","Abrir facsímil")</f>
        <v>Abrir facsímil</v>
      </c>
      <c r="K1564" s="3" t="s">
        <v>23</v>
      </c>
    </row>
    <row r="1565" spans="1:11" ht="42" customHeight="1">
      <c r="A1565" s="2" t="s">
        <v>4358</v>
      </c>
      <c r="B1565" s="2" t="s">
        <v>4359</v>
      </c>
      <c r="C1565" s="2" t="s">
        <v>26</v>
      </c>
      <c r="D1565" s="2" t="s">
        <v>27</v>
      </c>
      <c r="E1565" s="4">
        <v>-31780</v>
      </c>
      <c r="F1565" s="3" t="s">
        <v>3317</v>
      </c>
      <c r="G1565" s="3" t="s">
        <v>125</v>
      </c>
      <c r="H1565" s="2" t="s">
        <v>21</v>
      </c>
      <c r="I1565" s="2" t="s">
        <v>4360</v>
      </c>
      <c r="J1565" s="3" t="str">
        <f>HYPERLINK("https://www.boe.es/gazeta/dias/1812/12/26/pdfs/GRE-1812-170.pdf#page=6","Abrir facsímil")</f>
        <v>Abrir facsímil</v>
      </c>
      <c r="K1565" s="3" t="s">
        <v>23</v>
      </c>
    </row>
    <row r="1566" spans="1:11" ht="42" customHeight="1">
      <c r="A1566" s="2" t="s">
        <v>4361</v>
      </c>
      <c r="B1566" s="2" t="s">
        <v>4362</v>
      </c>
      <c r="C1566" s="2" t="s">
        <v>17</v>
      </c>
      <c r="D1566" s="2" t="s">
        <v>18</v>
      </c>
      <c r="E1566" s="4">
        <v>-32118</v>
      </c>
      <c r="F1566" s="3" t="s">
        <v>1420</v>
      </c>
      <c r="G1566" s="3" t="s">
        <v>1128</v>
      </c>
      <c r="H1566" s="2" t="s">
        <v>21</v>
      </c>
      <c r="I1566" s="2" t="s">
        <v>4363</v>
      </c>
      <c r="J1566" s="3" t="str">
        <f>HYPERLINK("https://www.boe.es/gazeta/dias/1812/01/23/pdfs/GEI-1812-10.pdf#page=3","Abrir facsímil")</f>
        <v>Abrir facsímil</v>
      </c>
      <c r="K1566" s="3" t="s">
        <v>23</v>
      </c>
    </row>
    <row r="1567" spans="1:11" ht="42" customHeight="1">
      <c r="A1567" s="2" t="s">
        <v>4361</v>
      </c>
      <c r="B1567" s="2" t="s">
        <v>4362</v>
      </c>
      <c r="C1567" s="2" t="s">
        <v>17</v>
      </c>
      <c r="D1567" s="2" t="s">
        <v>18</v>
      </c>
      <c r="E1567" s="4">
        <v>-32083</v>
      </c>
      <c r="F1567" s="3" t="s">
        <v>1496</v>
      </c>
      <c r="G1567" s="3" t="s">
        <v>2658</v>
      </c>
      <c r="H1567" s="2" t="s">
        <v>21</v>
      </c>
      <c r="I1567" s="2" t="s">
        <v>4364</v>
      </c>
      <c r="J1567" s="3" t="str">
        <f>HYPERLINK("https://www.boe.es/gazeta/dias/1812/02/27/pdfs/GRE-1812-26.pdf#page=7","Abrir facsímil")</f>
        <v>Abrir facsímil</v>
      </c>
      <c r="K1567" s="3" t="s">
        <v>23</v>
      </c>
    </row>
    <row r="1568" spans="1:11" ht="42" customHeight="1">
      <c r="A1568" s="2" t="s">
        <v>4365</v>
      </c>
      <c r="B1568" s="2" t="s">
        <v>4366</v>
      </c>
      <c r="C1568" s="2" t="s">
        <v>26</v>
      </c>
      <c r="D1568" s="2" t="s">
        <v>27</v>
      </c>
      <c r="E1568" s="4">
        <v>-32134</v>
      </c>
      <c r="F1568" s="3" t="s">
        <v>50</v>
      </c>
      <c r="G1568" s="3" t="s">
        <v>233</v>
      </c>
      <c r="H1568" s="2" t="s">
        <v>21</v>
      </c>
      <c r="I1568" s="2" t="s">
        <v>4367</v>
      </c>
      <c r="J1568" s="3" t="str">
        <f>HYPERLINK("https://www.boe.es/gazeta/dias/1812/01/07/pdfs/GEI-1812-3.pdf#page=8","Abrir facsímil")</f>
        <v>Abrir facsímil</v>
      </c>
      <c r="K1568" s="3" t="s">
        <v>23</v>
      </c>
    </row>
    <row r="1569" spans="1:11" ht="42" customHeight="1">
      <c r="A1569" s="2" t="s">
        <v>4368</v>
      </c>
      <c r="B1569" s="2" t="s">
        <v>4369</v>
      </c>
      <c r="C1569" s="2" t="s">
        <v>17</v>
      </c>
      <c r="D1569" s="2" t="s">
        <v>27</v>
      </c>
      <c r="E1569" s="4">
        <v>-31852</v>
      </c>
      <c r="F1569" s="3" t="s">
        <v>4370</v>
      </c>
      <c r="G1569" s="3" t="s">
        <v>196</v>
      </c>
      <c r="H1569" s="2" t="s">
        <v>21</v>
      </c>
      <c r="I1569" s="2" t="s">
        <v>4371</v>
      </c>
      <c r="J1569" s="3" t="str">
        <f>HYPERLINK("https://www.boe.es/gazeta/dias/1812/10/15/pdfs/GMR-1812-27.pdf#page=7","Abrir facsímil")</f>
        <v>Abrir facsímil</v>
      </c>
      <c r="K1569" s="3" t="s">
        <v>23</v>
      </c>
    </row>
    <row r="1570" spans="1:11" ht="42" customHeight="1">
      <c r="A1570" s="2" t="s">
        <v>4372</v>
      </c>
      <c r="B1570" s="2" t="s">
        <v>4373</v>
      </c>
      <c r="C1570" s="2" t="s">
        <v>17</v>
      </c>
      <c r="D1570" s="2" t="s">
        <v>27</v>
      </c>
      <c r="E1570" s="4">
        <v>-31950</v>
      </c>
      <c r="F1570" s="3" t="s">
        <v>1024</v>
      </c>
      <c r="G1570" s="3" t="s">
        <v>1025</v>
      </c>
      <c r="H1570" s="2" t="s">
        <v>21</v>
      </c>
      <c r="I1570" s="2" t="s">
        <v>4374</v>
      </c>
      <c r="J1570" s="3" t="str">
        <f>HYPERLINK("https://www.boe.es/gazeta/dias/1812/07/09/pdfs/GRE-1812-84.pdf#page=7","Abrir facsímil")</f>
        <v>Abrir facsímil</v>
      </c>
      <c r="K1570" s="3" t="s">
        <v>23</v>
      </c>
    </row>
    <row r="1571" spans="1:11" ht="42" customHeight="1">
      <c r="A1571" s="2" t="s">
        <v>4375</v>
      </c>
      <c r="B1571" s="2" t="s">
        <v>4376</v>
      </c>
      <c r="C1571" s="2" t="s">
        <v>17</v>
      </c>
      <c r="D1571" s="2" t="s">
        <v>18</v>
      </c>
      <c r="E1571" s="4">
        <v>-32022</v>
      </c>
      <c r="F1571" s="3" t="s">
        <v>1186</v>
      </c>
      <c r="G1571" s="3" t="s">
        <v>125</v>
      </c>
      <c r="H1571" s="2" t="s">
        <v>21</v>
      </c>
      <c r="I1571" s="2" t="s">
        <v>4377</v>
      </c>
      <c r="J1571" s="3" t="str">
        <f>HYPERLINK("https://www.boe.es/gazeta/dias/1812/04/28/pdfs/GRE-1812-53.pdf#page=3","Abrir facsímil")</f>
        <v>Abrir facsímil</v>
      </c>
      <c r="K1571" s="3" t="s">
        <v>23</v>
      </c>
    </row>
    <row r="1572" spans="1:11" ht="42" customHeight="1">
      <c r="A1572" s="2" t="s">
        <v>4378</v>
      </c>
      <c r="B1572" s="2" t="s">
        <v>4378</v>
      </c>
      <c r="C1572" s="2" t="s">
        <v>17</v>
      </c>
      <c r="D1572" s="2" t="s">
        <v>134</v>
      </c>
      <c r="E1572" s="4">
        <v>-31955</v>
      </c>
      <c r="F1572" s="3" t="s">
        <v>135</v>
      </c>
      <c r="G1572" s="3" t="s">
        <v>214</v>
      </c>
      <c r="H1572" s="2" t="s">
        <v>21</v>
      </c>
      <c r="I1572" s="2" t="s">
        <v>4379</v>
      </c>
      <c r="J1572" s="3" t="str">
        <f>HYPERLINK("https://www.boe.es/gazeta/dias/1812/07/04/pdfs/GRE-F-1812-82.pdf#page=5","Abrir facsímil")</f>
        <v>Abrir facsímil</v>
      </c>
      <c r="K1572" s="3" t="s">
        <v>23</v>
      </c>
    </row>
    <row r="1573" spans="1:11" ht="42" customHeight="1">
      <c r="A1573" s="2" t="s">
        <v>4380</v>
      </c>
      <c r="B1573" s="2" t="s">
        <v>4380</v>
      </c>
      <c r="C1573" s="2" t="s">
        <v>17</v>
      </c>
      <c r="D1573" s="2" t="s">
        <v>27</v>
      </c>
      <c r="E1573" s="4">
        <v>-32063</v>
      </c>
      <c r="F1573" s="3" t="s">
        <v>384</v>
      </c>
      <c r="G1573" s="3" t="s">
        <v>125</v>
      </c>
      <c r="H1573" s="2" t="s">
        <v>21</v>
      </c>
      <c r="I1573" s="2" t="s">
        <v>4381</v>
      </c>
      <c r="J1573" s="3" t="str">
        <f>HYPERLINK("https://www.boe.es/gazeta/dias/1812/03/18/pdfs/GMD-1812-78.pdf#page=3","Abrir facsímil")</f>
        <v>Abrir facsímil</v>
      </c>
      <c r="K1573" s="3" t="s">
        <v>23</v>
      </c>
    </row>
    <row r="1574" spans="1:11" ht="42" customHeight="1">
      <c r="A1574" s="2" t="s">
        <v>4382</v>
      </c>
      <c r="B1574" s="2" t="s">
        <v>4382</v>
      </c>
      <c r="C1574" s="2" t="s">
        <v>17</v>
      </c>
      <c r="D1574" s="2" t="s">
        <v>18</v>
      </c>
      <c r="E1574" s="4">
        <v>-31925</v>
      </c>
      <c r="F1574" s="3" t="s">
        <v>2435</v>
      </c>
      <c r="G1574" s="3" t="s">
        <v>217</v>
      </c>
      <c r="H1574" s="2" t="s">
        <v>21</v>
      </c>
      <c r="I1574" s="2" t="s">
        <v>4383</v>
      </c>
      <c r="J1574" s="3" t="str">
        <f>HYPERLINK("https://www.boe.es/gazeta/dias/1812/08/03/pdfs/GRE-1812-98E.pdf#page=3","Abrir facsímil")</f>
        <v>Abrir facsímil</v>
      </c>
      <c r="K1574" s="3" t="s">
        <v>23</v>
      </c>
    </row>
    <row r="1575" spans="1:11" ht="42" customHeight="1">
      <c r="A1575" s="2" t="s">
        <v>4382</v>
      </c>
      <c r="B1575" s="2" t="s">
        <v>4382</v>
      </c>
      <c r="C1575" s="2" t="s">
        <v>17</v>
      </c>
      <c r="D1575" s="2" t="s">
        <v>18</v>
      </c>
      <c r="E1575" s="4">
        <v>-31921</v>
      </c>
      <c r="F1575" s="3" t="s">
        <v>785</v>
      </c>
      <c r="G1575" s="3" t="s">
        <v>853</v>
      </c>
      <c r="H1575" s="2" t="s">
        <v>21</v>
      </c>
      <c r="I1575" s="2" t="s">
        <v>4384</v>
      </c>
      <c r="J1575" s="3" t="str">
        <f>HYPERLINK("https://www.boe.es/gazeta/dias/1812/08/07/pdfs/GRE-1812-101E.pdf#page=3","Abrir facsímil")</f>
        <v>Abrir facsímil</v>
      </c>
      <c r="K1575" s="3" t="s">
        <v>23</v>
      </c>
    </row>
    <row r="1576" spans="1:11" ht="42" customHeight="1">
      <c r="A1576" s="2" t="s">
        <v>4382</v>
      </c>
      <c r="B1576" s="2" t="s">
        <v>4382</v>
      </c>
      <c r="C1576" s="2" t="s">
        <v>17</v>
      </c>
      <c r="D1576" s="2" t="s">
        <v>18</v>
      </c>
      <c r="E1576" s="4">
        <v>-31878</v>
      </c>
      <c r="F1576" s="3" t="s">
        <v>1831</v>
      </c>
      <c r="G1576" s="3" t="s">
        <v>4385</v>
      </c>
      <c r="H1576" s="2" t="s">
        <v>21</v>
      </c>
      <c r="I1576" s="2" t="s">
        <v>4386</v>
      </c>
      <c r="J1576" s="3" t="str">
        <f>HYPERLINK("https://www.boe.es/gazeta/dias/1812/09/19/pdfs/GMR-1812-16.pdf#page=4","Abrir facsímil")</f>
        <v>Abrir facsímil</v>
      </c>
      <c r="K1576" s="3" t="s">
        <v>23</v>
      </c>
    </row>
    <row r="1577" spans="1:11" ht="42" customHeight="1">
      <c r="A1577" s="2" t="s">
        <v>4387</v>
      </c>
      <c r="B1577" s="2" t="s">
        <v>4388</v>
      </c>
      <c r="C1577" s="2" t="s">
        <v>26</v>
      </c>
      <c r="D1577" s="2" t="s">
        <v>27</v>
      </c>
      <c r="E1577" s="4">
        <v>-31938</v>
      </c>
      <c r="F1577" s="3" t="s">
        <v>324</v>
      </c>
      <c r="G1577" s="3" t="s">
        <v>497</v>
      </c>
      <c r="H1577" s="2" t="s">
        <v>21</v>
      </c>
      <c r="I1577" s="2" t="s">
        <v>4389</v>
      </c>
      <c r="J1577" s="3" t="str">
        <f>HYPERLINK("https://www.boe.es/gazeta/dias/1812/07/21/pdfs/GMD-1812-203.pdf#page=3","Abrir facsímil")</f>
        <v>Abrir facsímil</v>
      </c>
      <c r="K1577" s="3" t="s">
        <v>23</v>
      </c>
    </row>
    <row r="1578" spans="1:11" ht="42" customHeight="1">
      <c r="A1578" s="2" t="s">
        <v>4390</v>
      </c>
      <c r="B1578" s="2" t="s">
        <v>4391</v>
      </c>
      <c r="C1578" s="2" t="s">
        <v>67</v>
      </c>
      <c r="D1578" s="2" t="s">
        <v>27</v>
      </c>
      <c r="E1578" s="4">
        <v>-32075</v>
      </c>
      <c r="F1578" s="3" t="s">
        <v>301</v>
      </c>
      <c r="G1578" s="3" t="s">
        <v>20</v>
      </c>
      <c r="H1578" s="2" t="s">
        <v>21</v>
      </c>
      <c r="I1578" s="2" t="s">
        <v>4392</v>
      </c>
      <c r="J1578" s="3" t="str">
        <f>HYPERLINK("https://www.boe.es/gazeta/dias/1812/03/06/pdfs/GMD-1812-66.pdf#page=4","Abrir facsímil")</f>
        <v>Abrir facsímil</v>
      </c>
      <c r="K1578" s="3" t="s">
        <v>23</v>
      </c>
    </row>
    <row r="1579" spans="1:11" ht="42" customHeight="1">
      <c r="A1579" s="2" t="s">
        <v>4393</v>
      </c>
      <c r="B1579" s="2" t="s">
        <v>4393</v>
      </c>
      <c r="C1579" s="2" t="s">
        <v>17</v>
      </c>
      <c r="D1579" s="2" t="s">
        <v>27</v>
      </c>
      <c r="E1579" s="4">
        <v>-31995</v>
      </c>
      <c r="F1579" s="3" t="s">
        <v>100</v>
      </c>
      <c r="G1579" s="3" t="s">
        <v>237</v>
      </c>
      <c r="H1579" s="2" t="s">
        <v>21</v>
      </c>
      <c r="I1579" s="2" t="s">
        <v>4394</v>
      </c>
      <c r="J1579" s="3" t="str">
        <f>HYPERLINK("https://www.boe.es/gazeta/dias/1812/05/25/pdfs/GMD-1812-146.pdf#page=3","Abrir facsímil")</f>
        <v>Abrir facsímil</v>
      </c>
      <c r="K1579" s="3" t="s">
        <v>23</v>
      </c>
    </row>
    <row r="1580" spans="1:11" ht="42" customHeight="1">
      <c r="A1580" s="2" t="s">
        <v>4395</v>
      </c>
      <c r="B1580" s="2" t="s">
        <v>4395</v>
      </c>
      <c r="C1580" s="2" t="s">
        <v>17</v>
      </c>
      <c r="D1580" s="2" t="s">
        <v>27</v>
      </c>
      <c r="E1580" s="4">
        <v>-32050</v>
      </c>
      <c r="F1580" s="3" t="s">
        <v>864</v>
      </c>
      <c r="G1580" s="3" t="s">
        <v>4396</v>
      </c>
      <c r="H1580" s="2" t="s">
        <v>21</v>
      </c>
      <c r="I1580" s="2" t="s">
        <v>4397</v>
      </c>
      <c r="J1580" s="3" t="str">
        <f>HYPERLINK("https://www.boe.es/gazeta/dias/1812/03/31/pdfs/GRE-1812-40.pdf#page=4","Abrir facsímil")</f>
        <v>Abrir facsímil</v>
      </c>
      <c r="K1580" s="3" t="s">
        <v>23</v>
      </c>
    </row>
    <row r="1581" spans="1:11" ht="42" customHeight="1">
      <c r="A1581" s="2" t="s">
        <v>4398</v>
      </c>
      <c r="B1581" s="2" t="s">
        <v>4398</v>
      </c>
      <c r="C1581" s="2" t="s">
        <v>26</v>
      </c>
      <c r="D1581" s="2" t="s">
        <v>27</v>
      </c>
      <c r="E1581" s="4">
        <v>-32000</v>
      </c>
      <c r="F1581" s="3" t="s">
        <v>878</v>
      </c>
      <c r="G1581" s="3" t="s">
        <v>214</v>
      </c>
      <c r="H1581" s="2" t="s">
        <v>21</v>
      </c>
      <c r="I1581" s="2" t="s">
        <v>4399</v>
      </c>
      <c r="J1581" s="3" t="str">
        <f>HYPERLINK("https://www.boe.es/gazeta/dias/1812/05/20/pdfs/GMD-1812-141.pdf#page=2","Abrir facsímil")</f>
        <v>Abrir facsímil</v>
      </c>
      <c r="K1581" s="3" t="s">
        <v>23</v>
      </c>
    </row>
    <row r="1582" spans="1:11" ht="42" customHeight="1">
      <c r="A1582" s="2" t="s">
        <v>4398</v>
      </c>
      <c r="B1582" s="2" t="s">
        <v>4398</v>
      </c>
      <c r="C1582" s="2" t="s">
        <v>17</v>
      </c>
      <c r="D1582" s="2" t="s">
        <v>27</v>
      </c>
      <c r="E1582" s="4">
        <v>-31878</v>
      </c>
      <c r="F1582" s="3" t="s">
        <v>1831</v>
      </c>
      <c r="G1582" s="3" t="s">
        <v>2895</v>
      </c>
      <c r="H1582" s="2" t="s">
        <v>21</v>
      </c>
      <c r="I1582" s="2" t="s">
        <v>4400</v>
      </c>
      <c r="J1582" s="3" t="str">
        <f>HYPERLINK("https://www.boe.es/gazeta/dias/1812/09/19/pdfs/GMR-1812-16.pdf#page=3","Abrir facsímil")</f>
        <v>Abrir facsímil</v>
      </c>
      <c r="K1582" s="3" t="s">
        <v>23</v>
      </c>
    </row>
    <row r="1583" spans="1:11" ht="42" customHeight="1">
      <c r="A1583" s="2" t="s">
        <v>4398</v>
      </c>
      <c r="B1583" s="2" t="s">
        <v>4398</v>
      </c>
      <c r="C1583" s="2" t="s">
        <v>17</v>
      </c>
      <c r="D1583" s="2" t="s">
        <v>18</v>
      </c>
      <c r="E1583" s="4">
        <v>-31859</v>
      </c>
      <c r="F1583" s="3" t="s">
        <v>158</v>
      </c>
      <c r="G1583" s="3" t="s">
        <v>36</v>
      </c>
      <c r="H1583" s="2" t="s">
        <v>21</v>
      </c>
      <c r="I1583" s="2" t="s">
        <v>4401</v>
      </c>
      <c r="J1583" s="3" t="str">
        <f>HYPERLINK("https://www.boe.es/gazeta/dias/1812/10/08/pdfs/GMR-1812-24.pdf#page=3","Abrir facsímil")</f>
        <v>Abrir facsímil</v>
      </c>
      <c r="K1583" s="3" t="s">
        <v>23</v>
      </c>
    </row>
    <row r="1584" spans="1:11" ht="42" customHeight="1">
      <c r="A1584" s="2" t="s">
        <v>4398</v>
      </c>
      <c r="B1584" s="2" t="s">
        <v>4398</v>
      </c>
      <c r="C1584" s="2" t="s">
        <v>17</v>
      </c>
      <c r="D1584" s="2" t="s">
        <v>18</v>
      </c>
      <c r="E1584" s="4">
        <v>-31798</v>
      </c>
      <c r="F1584" s="3" t="s">
        <v>1849</v>
      </c>
      <c r="G1584" s="3" t="s">
        <v>237</v>
      </c>
      <c r="H1584" s="2" t="s">
        <v>21</v>
      </c>
      <c r="I1584" s="2" t="s">
        <v>4402</v>
      </c>
      <c r="J1584" s="3" t="str">
        <f>HYPERLINK("https://www.boe.es/gazeta/dias/1812/12/08/pdfs/GMD-1812-231.pdf#page=2","Abrir facsímil")</f>
        <v>Abrir facsímil</v>
      </c>
      <c r="K1584" s="3" t="s">
        <v>23</v>
      </c>
    </row>
    <row r="1585" spans="1:11" ht="42" customHeight="1">
      <c r="A1585" s="2" t="s">
        <v>4403</v>
      </c>
      <c r="B1585" s="2" t="s">
        <v>4404</v>
      </c>
      <c r="C1585" s="2" t="s">
        <v>105</v>
      </c>
      <c r="D1585" s="2" t="s">
        <v>27</v>
      </c>
      <c r="E1585" s="4">
        <v>-31833</v>
      </c>
      <c r="F1585" s="3" t="s">
        <v>267</v>
      </c>
      <c r="G1585" s="3" t="s">
        <v>268</v>
      </c>
      <c r="H1585" s="2" t="s">
        <v>21</v>
      </c>
      <c r="I1585" s="2" t="s">
        <v>4405</v>
      </c>
      <c r="J1585" s="3" t="str">
        <f>HYPERLINK("https://www.boe.es/gazeta/dias/1812/11/03/pdfs/GRE-1812-147.pdf#page=8","Abrir facsímil")</f>
        <v>Abrir facsímil</v>
      </c>
      <c r="K1585" s="3" t="s">
        <v>23</v>
      </c>
    </row>
    <row r="1586" spans="1:11" ht="42" customHeight="1">
      <c r="A1586" s="2" t="s">
        <v>4403</v>
      </c>
      <c r="B1586" s="2" t="s">
        <v>4404</v>
      </c>
      <c r="C1586" s="2" t="s">
        <v>105</v>
      </c>
      <c r="D1586" s="2" t="s">
        <v>27</v>
      </c>
      <c r="E1586" s="4">
        <v>-31816</v>
      </c>
      <c r="F1586" s="3" t="s">
        <v>270</v>
      </c>
      <c r="G1586" s="3" t="s">
        <v>271</v>
      </c>
      <c r="H1586" s="2" t="s">
        <v>21</v>
      </c>
      <c r="I1586" s="2" t="s">
        <v>4406</v>
      </c>
      <c r="J1586" s="3" t="str">
        <f>HYPERLINK("https://www.boe.es/gazeta/dias/1812/11/20/pdfs/GMR-1812-36.pdf#page=6","Abrir facsímil")</f>
        <v>Abrir facsímil</v>
      </c>
      <c r="K1586" s="3" t="s">
        <v>23</v>
      </c>
    </row>
    <row r="1587" spans="1:11" ht="42" customHeight="1">
      <c r="A1587" s="2" t="s">
        <v>4407</v>
      </c>
      <c r="B1587" s="2" t="s">
        <v>4407</v>
      </c>
      <c r="C1587" s="2" t="s">
        <v>17</v>
      </c>
      <c r="D1587" s="2" t="s">
        <v>27</v>
      </c>
      <c r="E1587" s="4">
        <v>-31782</v>
      </c>
      <c r="F1587" s="3" t="s">
        <v>4408</v>
      </c>
      <c r="G1587" s="3" t="s">
        <v>4409</v>
      </c>
      <c r="H1587" s="2" t="s">
        <v>21</v>
      </c>
      <c r="I1587" s="2" t="s">
        <v>4410</v>
      </c>
      <c r="J1587" s="3" t="str">
        <f>HYPERLINK("https://www.boe.es/gazeta/dias/1812/12/24/pdfs/GMD-1812-247.pdf#page=4","Abrir facsímil")</f>
        <v>Abrir facsímil</v>
      </c>
      <c r="K1587" s="3" t="s">
        <v>23</v>
      </c>
    </row>
    <row r="1588" spans="1:11" ht="42" customHeight="1">
      <c r="A1588" s="2" t="s">
        <v>4411</v>
      </c>
      <c r="B1588" s="2" t="s">
        <v>4412</v>
      </c>
      <c r="C1588" s="2" t="s">
        <v>26</v>
      </c>
      <c r="D1588" s="2" t="s">
        <v>27</v>
      </c>
      <c r="E1588" s="4">
        <v>-32020</v>
      </c>
      <c r="F1588" s="3" t="s">
        <v>1860</v>
      </c>
      <c r="G1588" s="3" t="s">
        <v>36</v>
      </c>
      <c r="H1588" s="2" t="s">
        <v>21</v>
      </c>
      <c r="I1588" s="2" t="s">
        <v>4413</v>
      </c>
      <c r="J1588" s="3" t="str">
        <f>HYPERLINK("https://www.boe.es/gazeta/dias/1812/04/30/pdfs/GMD-1812-121.pdf#page=3","Abrir facsímil")</f>
        <v>Abrir facsímil</v>
      </c>
      <c r="K1588" s="3" t="s">
        <v>23</v>
      </c>
    </row>
    <row r="1589" spans="1:11" ht="42" customHeight="1">
      <c r="A1589" s="2" t="s">
        <v>4414</v>
      </c>
      <c r="B1589" s="2" t="s">
        <v>4414</v>
      </c>
      <c r="C1589" s="2" t="s">
        <v>115</v>
      </c>
      <c r="D1589" s="2" t="s">
        <v>27</v>
      </c>
      <c r="E1589" s="4">
        <v>-32057</v>
      </c>
      <c r="F1589" s="3" t="s">
        <v>677</v>
      </c>
      <c r="G1589" s="3" t="s">
        <v>4415</v>
      </c>
      <c r="H1589" s="2" t="s">
        <v>21</v>
      </c>
      <c r="I1589" s="2" t="s">
        <v>4416</v>
      </c>
      <c r="J1589" s="3" t="str">
        <f>HYPERLINK("https://www.boe.es/gazeta/dias/1812/03/24/pdfs/GRE-1812-37.pdf#page=2","Abrir facsímil")</f>
        <v>Abrir facsímil</v>
      </c>
      <c r="K1589" s="3" t="s">
        <v>23</v>
      </c>
    </row>
    <row r="1590" spans="1:11" ht="42" customHeight="1">
      <c r="A1590" s="2" t="s">
        <v>4414</v>
      </c>
      <c r="B1590" s="2" t="s">
        <v>4414</v>
      </c>
      <c r="C1590" s="2" t="s">
        <v>17</v>
      </c>
      <c r="D1590" s="2" t="s">
        <v>573</v>
      </c>
      <c r="E1590" s="4">
        <v>-31921</v>
      </c>
      <c r="F1590" s="3" t="s">
        <v>785</v>
      </c>
      <c r="G1590" s="3" t="s">
        <v>45</v>
      </c>
      <c r="H1590" s="2" t="s">
        <v>21</v>
      </c>
      <c r="I1590" s="2" t="s">
        <v>4417</v>
      </c>
      <c r="J1590" s="3" t="str">
        <f>HYPERLINK("https://www.boe.es/gazeta/dias/1812/08/07/pdfs/GRE-1812-101E.pdf#page=5","Abrir facsímil")</f>
        <v>Abrir facsímil</v>
      </c>
      <c r="K1590" s="3" t="s">
        <v>23</v>
      </c>
    </row>
    <row r="1591" spans="1:11" ht="42" customHeight="1">
      <c r="A1591" s="2" t="s">
        <v>4414</v>
      </c>
      <c r="B1591" s="2" t="s">
        <v>4414</v>
      </c>
      <c r="C1591" s="2" t="s">
        <v>17</v>
      </c>
      <c r="D1591" s="2" t="s">
        <v>27</v>
      </c>
      <c r="E1591" s="4">
        <v>-31905</v>
      </c>
      <c r="F1591" s="3" t="s">
        <v>855</v>
      </c>
      <c r="G1591" s="3" t="s">
        <v>1650</v>
      </c>
      <c r="H1591" s="2" t="s">
        <v>21</v>
      </c>
      <c r="I1591" s="2" t="s">
        <v>4418</v>
      </c>
      <c r="J1591" s="3" t="str">
        <f>HYPERLINK("https://www.boe.es/gazeta/dias/1812/08/23/pdfs/GMR-1812-4.pdf#page=5","Abrir facsímil")</f>
        <v>Abrir facsímil</v>
      </c>
      <c r="K1591" s="3" t="s">
        <v>23</v>
      </c>
    </row>
    <row r="1592" spans="1:11" ht="42" customHeight="1">
      <c r="A1592" s="2" t="s">
        <v>4414</v>
      </c>
      <c r="B1592" s="2" t="s">
        <v>4414</v>
      </c>
      <c r="C1592" s="2" t="s">
        <v>17</v>
      </c>
      <c r="D1592" s="2" t="s">
        <v>18</v>
      </c>
      <c r="E1592" s="4">
        <v>-31905</v>
      </c>
      <c r="F1592" s="3" t="s">
        <v>855</v>
      </c>
      <c r="G1592" s="3" t="s">
        <v>317</v>
      </c>
      <c r="H1592" s="2" t="s">
        <v>21</v>
      </c>
      <c r="I1592" s="2" t="s">
        <v>4419</v>
      </c>
      <c r="J1592" s="3" t="str">
        <f>HYPERLINK("https://www.boe.es/gazeta/dias/1812/08/23/pdfs/GMR-1812-4.pdf#page=6","Abrir facsímil")</f>
        <v>Abrir facsímil</v>
      </c>
      <c r="K1592" s="3" t="s">
        <v>23</v>
      </c>
    </row>
    <row r="1593" spans="1:11" ht="42" customHeight="1">
      <c r="A1593" s="2" t="s">
        <v>4414</v>
      </c>
      <c r="B1593" s="2" t="s">
        <v>4414</v>
      </c>
      <c r="C1593" s="2" t="s">
        <v>17</v>
      </c>
      <c r="D1593" s="2" t="s">
        <v>18</v>
      </c>
      <c r="E1593" s="4">
        <v>-31882</v>
      </c>
      <c r="F1593" s="3" t="s">
        <v>1798</v>
      </c>
      <c r="G1593" s="3" t="s">
        <v>237</v>
      </c>
      <c r="H1593" s="2" t="s">
        <v>21</v>
      </c>
      <c r="I1593" s="2" t="s">
        <v>4420</v>
      </c>
      <c r="J1593" s="3" t="str">
        <f>HYPERLINK("https://www.boe.es/gazeta/dias/1812/09/15/pdfs/GMR-1812-14.pdf#page=8","Abrir facsímil")</f>
        <v>Abrir facsímil</v>
      </c>
      <c r="K1593" s="3" t="s">
        <v>23</v>
      </c>
    </row>
    <row r="1594" spans="1:11" ht="42" customHeight="1">
      <c r="A1594" s="2" t="s">
        <v>4421</v>
      </c>
      <c r="B1594" s="2" t="s">
        <v>4422</v>
      </c>
      <c r="C1594" s="2" t="s">
        <v>26</v>
      </c>
      <c r="D1594" s="2" t="s">
        <v>573</v>
      </c>
      <c r="E1594" s="4">
        <v>-31874</v>
      </c>
      <c r="F1594" s="3" t="s">
        <v>1697</v>
      </c>
      <c r="G1594" s="3" t="s">
        <v>1698</v>
      </c>
      <c r="H1594" s="2" t="s">
        <v>21</v>
      </c>
      <c r="I1594" s="2" t="s">
        <v>4423</v>
      </c>
      <c r="J1594" s="3" t="str">
        <f>HYPERLINK("https://www.boe.es/gazeta/dias/1812/09/23/pdfs/GRE-1812-129E.pdf#page=3","Abrir facsímil")</f>
        <v>Abrir facsímil</v>
      </c>
      <c r="K1594" s="3" t="s">
        <v>23</v>
      </c>
    </row>
    <row r="1595" spans="1:11" ht="42" customHeight="1">
      <c r="A1595" s="2" t="s">
        <v>4421</v>
      </c>
      <c r="B1595" s="2" t="s">
        <v>4422</v>
      </c>
      <c r="C1595" s="2" t="s">
        <v>26</v>
      </c>
      <c r="D1595" s="2" t="s">
        <v>27</v>
      </c>
      <c r="E1595" s="4">
        <v>-31854</v>
      </c>
      <c r="F1595" s="3" t="s">
        <v>1574</v>
      </c>
      <c r="G1595" s="3" t="s">
        <v>1700</v>
      </c>
      <c r="H1595" s="2" t="s">
        <v>21</v>
      </c>
      <c r="I1595" s="2" t="s">
        <v>4424</v>
      </c>
      <c r="J1595" s="3" t="str">
        <f>HYPERLINK("https://www.boe.es/gazeta/dias/1812/10/13/pdfs/GMR-1812-26.pdf#page=4","Abrir facsímil")</f>
        <v>Abrir facsímil</v>
      </c>
      <c r="K1595" s="3" t="s">
        <v>23</v>
      </c>
    </row>
    <row r="1596" spans="1:11" ht="42" customHeight="1">
      <c r="A1596" s="2" t="s">
        <v>4425</v>
      </c>
      <c r="B1596" s="2" t="s">
        <v>4426</v>
      </c>
      <c r="C1596" s="2" t="s">
        <v>26</v>
      </c>
      <c r="D1596" s="2" t="s">
        <v>27</v>
      </c>
      <c r="E1596" s="4">
        <v>-32099</v>
      </c>
      <c r="F1596" s="3" t="s">
        <v>2566</v>
      </c>
      <c r="G1596" s="3" t="s">
        <v>4427</v>
      </c>
      <c r="H1596" s="2" t="s">
        <v>21</v>
      </c>
      <c r="I1596" s="2" t="s">
        <v>4428</v>
      </c>
      <c r="J1596" s="3" t="str">
        <f>HYPERLINK("https://www.boe.es/gazeta/dias/1812/02/11/pdfs/GRE-1812-18.pdf#page=3","Abrir facsímil")</f>
        <v>Abrir facsímil</v>
      </c>
      <c r="K1596" s="3" t="s">
        <v>23</v>
      </c>
    </row>
    <row r="1597" spans="1:11" ht="42" customHeight="1">
      <c r="A1597" s="2" t="s">
        <v>4429</v>
      </c>
      <c r="B1597" s="2" t="s">
        <v>4430</v>
      </c>
      <c r="C1597" s="2" t="s">
        <v>26</v>
      </c>
      <c r="D1597" s="2" t="s">
        <v>27</v>
      </c>
      <c r="E1597" s="4">
        <v>-31857</v>
      </c>
      <c r="F1597" s="3" t="s">
        <v>1000</v>
      </c>
      <c r="G1597" s="3" t="s">
        <v>136</v>
      </c>
      <c r="H1597" s="2" t="s">
        <v>21</v>
      </c>
      <c r="I1597" s="2" t="s">
        <v>4431</v>
      </c>
      <c r="J1597" s="3" t="str">
        <f>HYPERLINK("https://www.boe.es/gazeta/dias/1812/10/10/pdfs/GRE-1812-137.pdf#page=8","Abrir facsímil")</f>
        <v>Abrir facsímil</v>
      </c>
      <c r="K1597" s="3" t="s">
        <v>23</v>
      </c>
    </row>
    <row r="1598" spans="1:11" ht="42" customHeight="1">
      <c r="A1598" s="2" t="s">
        <v>4432</v>
      </c>
      <c r="B1598" s="2" t="s">
        <v>4432</v>
      </c>
      <c r="C1598" s="2" t="s">
        <v>26</v>
      </c>
      <c r="D1598" s="2" t="s">
        <v>27</v>
      </c>
      <c r="E1598" s="4">
        <v>-32029</v>
      </c>
      <c r="F1598" s="3" t="s">
        <v>3605</v>
      </c>
      <c r="G1598" s="3" t="s">
        <v>514</v>
      </c>
      <c r="H1598" s="2" t="s">
        <v>21</v>
      </c>
      <c r="I1598" s="2" t="s">
        <v>4433</v>
      </c>
      <c r="J1598" s="3" t="str">
        <f>HYPERLINK("https://www.boe.es/gazeta/dias/1812/04/21/pdfs/GMD-1812-112.pdf#page=3","Abrir facsímil")</f>
        <v>Abrir facsímil</v>
      </c>
      <c r="K1598" s="3" t="s">
        <v>23</v>
      </c>
    </row>
    <row r="1599" spans="1:11" ht="42" customHeight="1">
      <c r="A1599" s="2" t="s">
        <v>4434</v>
      </c>
      <c r="B1599" s="2" t="s">
        <v>4435</v>
      </c>
      <c r="C1599" s="2" t="s">
        <v>26</v>
      </c>
      <c r="D1599" s="2" t="s">
        <v>27</v>
      </c>
      <c r="E1599" s="4">
        <v>-32088</v>
      </c>
      <c r="F1599" s="3" t="s">
        <v>250</v>
      </c>
      <c r="G1599" s="3" t="s">
        <v>251</v>
      </c>
      <c r="H1599" s="2" t="s">
        <v>21</v>
      </c>
      <c r="I1599" s="2" t="s">
        <v>4436</v>
      </c>
      <c r="J1599" s="3" t="str">
        <f>HYPERLINK("https://www.boe.es/gazeta/dias/1812/02/22/pdfs/GRE-1812-23.pdf#page=8","Abrir facsímil")</f>
        <v>Abrir facsímil</v>
      </c>
      <c r="K1599" s="3" t="s">
        <v>23</v>
      </c>
    </row>
    <row r="1600" spans="1:11" ht="42" customHeight="1">
      <c r="A1600" s="2" t="s">
        <v>4437</v>
      </c>
      <c r="B1600" s="2" t="s">
        <v>4437</v>
      </c>
      <c r="C1600" s="2" t="s">
        <v>17</v>
      </c>
      <c r="D1600" s="2" t="s">
        <v>27</v>
      </c>
      <c r="E1600" s="4">
        <v>-32078</v>
      </c>
      <c r="F1600" s="3" t="s">
        <v>4438</v>
      </c>
      <c r="G1600" s="3" t="s">
        <v>514</v>
      </c>
      <c r="H1600" s="2" t="s">
        <v>21</v>
      </c>
      <c r="I1600" s="2" t="s">
        <v>4439</v>
      </c>
      <c r="J1600" s="3" t="str">
        <f>HYPERLINK("https://www.boe.es/gazeta/dias/1812/03/03/pdfs/GMD-1812-63.pdf#page=2","Abrir facsímil")</f>
        <v>Abrir facsímil</v>
      </c>
      <c r="K1600" s="3" t="s">
        <v>23</v>
      </c>
    </row>
    <row r="1601" spans="1:11" ht="42" customHeight="1">
      <c r="A1601" s="2" t="s">
        <v>4440</v>
      </c>
      <c r="B1601" s="2" t="s">
        <v>4441</v>
      </c>
      <c r="C1601" s="2" t="s">
        <v>26</v>
      </c>
      <c r="D1601" s="2" t="s">
        <v>27</v>
      </c>
      <c r="E1601" s="4">
        <v>-31962</v>
      </c>
      <c r="F1601" s="3" t="s">
        <v>153</v>
      </c>
      <c r="G1601" s="3" t="s">
        <v>3010</v>
      </c>
      <c r="H1601" s="2" t="s">
        <v>21</v>
      </c>
      <c r="I1601" s="2" t="s">
        <v>4442</v>
      </c>
      <c r="J1601" s="3" t="str">
        <f>HYPERLINK("https://www.boe.es/gazeta/dias/1812/06/27/pdfs/GRE-1812-79.pdf#page=4","Abrir facsímil")</f>
        <v>Abrir facsímil</v>
      </c>
      <c r="K1601" s="3" t="s">
        <v>23</v>
      </c>
    </row>
    <row r="1602" spans="1:11" ht="42" customHeight="1">
      <c r="A1602" s="2" t="s">
        <v>4443</v>
      </c>
      <c r="B1602" s="2" t="s">
        <v>4444</v>
      </c>
      <c r="C1602" s="2" t="s">
        <v>26</v>
      </c>
      <c r="D1602" s="2" t="s">
        <v>27</v>
      </c>
      <c r="E1602" s="4">
        <v>-31945</v>
      </c>
      <c r="F1602" s="3" t="s">
        <v>1485</v>
      </c>
      <c r="G1602" s="3" t="s">
        <v>2905</v>
      </c>
      <c r="H1602" s="2" t="s">
        <v>21</v>
      </c>
      <c r="I1602" s="2" t="s">
        <v>4445</v>
      </c>
      <c r="J1602" s="3" t="str">
        <f>HYPERLINK("https://www.boe.es/gazeta/dias/1812/07/14/pdfs/GRE-1812-88.pdf#page=2","Abrir facsímil")</f>
        <v>Abrir facsímil</v>
      </c>
      <c r="K1602" s="3" t="s">
        <v>23</v>
      </c>
    </row>
    <row r="1603" spans="1:11" ht="42" customHeight="1">
      <c r="A1603" s="2" t="s">
        <v>4446</v>
      </c>
      <c r="B1603" s="2" t="s">
        <v>4446</v>
      </c>
      <c r="C1603" s="2" t="s">
        <v>17</v>
      </c>
      <c r="D1603" s="2" t="s">
        <v>27</v>
      </c>
      <c r="E1603" s="4">
        <v>-32057</v>
      </c>
      <c r="F1603" s="3" t="s">
        <v>225</v>
      </c>
      <c r="G1603" s="3" t="s">
        <v>140</v>
      </c>
      <c r="H1603" s="2" t="s">
        <v>21</v>
      </c>
      <c r="I1603" s="2" t="s">
        <v>4447</v>
      </c>
      <c r="J1603" s="3" t="str">
        <f>HYPERLINK("https://www.boe.es/gazeta/dias/1812/03/24/pdfs/GMD-1812-84.pdf#page=2","Abrir facsímil")</f>
        <v>Abrir facsímil</v>
      </c>
      <c r="K1603" s="3" t="s">
        <v>23</v>
      </c>
    </row>
    <row r="1604" spans="1:11" ht="42" customHeight="1">
      <c r="A1604" s="2" t="s">
        <v>4448</v>
      </c>
      <c r="B1604" s="2" t="s">
        <v>4448</v>
      </c>
      <c r="C1604" s="2" t="s">
        <v>17</v>
      </c>
      <c r="D1604" s="2" t="s">
        <v>27</v>
      </c>
      <c r="E1604" s="4">
        <v>-32025</v>
      </c>
      <c r="F1604" s="3" t="s">
        <v>2323</v>
      </c>
      <c r="G1604" s="3" t="s">
        <v>45</v>
      </c>
      <c r="H1604" s="2" t="s">
        <v>21</v>
      </c>
      <c r="I1604" s="2" t="s">
        <v>4449</v>
      </c>
      <c r="J1604" s="3" t="str">
        <f>HYPERLINK("https://www.boe.es/gazeta/dias/1812/04/25/pdfs/GRE-1812-52.pdf#page=6","Abrir facsímil")</f>
        <v>Abrir facsímil</v>
      </c>
      <c r="K1604" s="3" t="s">
        <v>23</v>
      </c>
    </row>
    <row r="1605" spans="1:11" ht="42" customHeight="1">
      <c r="A1605" s="2" t="s">
        <v>4450</v>
      </c>
      <c r="B1605" s="2" t="s">
        <v>4451</v>
      </c>
      <c r="C1605" s="2" t="s">
        <v>49</v>
      </c>
      <c r="D1605" s="2" t="s">
        <v>27</v>
      </c>
      <c r="E1605" s="4">
        <v>-32103</v>
      </c>
      <c r="F1605" s="3" t="s">
        <v>1996</v>
      </c>
      <c r="G1605" s="3" t="s">
        <v>58</v>
      </c>
      <c r="H1605" s="2" t="s">
        <v>21</v>
      </c>
      <c r="I1605" s="2" t="s">
        <v>4452</v>
      </c>
      <c r="J1605" s="3" t="str">
        <f>HYPERLINK("https://www.boe.es/gazeta/dias/1812/02/07/pdfs/GMD-1812-38.pdf#page=4","Abrir facsímil")</f>
        <v>Abrir facsímil</v>
      </c>
      <c r="K1605" s="3" t="s">
        <v>23</v>
      </c>
    </row>
    <row r="1606" spans="1:11" ht="42" customHeight="1">
      <c r="A1606" s="2" t="s">
        <v>4453</v>
      </c>
      <c r="B1606" s="2" t="s">
        <v>4453</v>
      </c>
      <c r="C1606" s="2" t="s">
        <v>17</v>
      </c>
      <c r="D1606" s="2" t="s">
        <v>18</v>
      </c>
      <c r="E1606" s="4">
        <v>-32109</v>
      </c>
      <c r="F1606" s="3" t="s">
        <v>62</v>
      </c>
      <c r="G1606" s="3" t="s">
        <v>214</v>
      </c>
      <c r="H1606" s="2" t="s">
        <v>21</v>
      </c>
      <c r="I1606" s="2" t="s">
        <v>4454</v>
      </c>
      <c r="J1606" s="3" t="str">
        <f>HYPERLINK("https://www.boe.es/gazeta/dias/1812/02/01/pdfs/GRE-1812-14.pdf#page=5","Abrir facsímil")</f>
        <v>Abrir facsímil</v>
      </c>
      <c r="K1606" s="3" t="s">
        <v>23</v>
      </c>
    </row>
    <row r="1607" spans="1:11" ht="42" customHeight="1">
      <c r="A1607" s="2" t="s">
        <v>4453</v>
      </c>
      <c r="B1607" s="2" t="s">
        <v>4453</v>
      </c>
      <c r="C1607" s="2" t="s">
        <v>17</v>
      </c>
      <c r="D1607" s="2" t="s">
        <v>27</v>
      </c>
      <c r="E1607" s="4">
        <v>-32109</v>
      </c>
      <c r="F1607" s="3" t="s">
        <v>62</v>
      </c>
      <c r="G1607" s="3" t="s">
        <v>317</v>
      </c>
      <c r="H1607" s="2" t="s">
        <v>21</v>
      </c>
      <c r="I1607" s="2" t="s">
        <v>4455</v>
      </c>
      <c r="J1607" s="3" t="str">
        <f>HYPERLINK("https://www.boe.es/gazeta/dias/1812/02/01/pdfs/GRE-1812-14.pdf#page=6","Abrir facsímil")</f>
        <v>Abrir facsímil</v>
      </c>
      <c r="K1607" s="3" t="s">
        <v>23</v>
      </c>
    </row>
    <row r="1608" spans="1:11" ht="42" customHeight="1">
      <c r="A1608" s="2" t="s">
        <v>4456</v>
      </c>
      <c r="B1608" s="2" t="s">
        <v>4456</v>
      </c>
      <c r="C1608" s="2" t="s">
        <v>17</v>
      </c>
      <c r="D1608" s="2" t="s">
        <v>27</v>
      </c>
      <c r="E1608" s="4">
        <v>-32109</v>
      </c>
      <c r="F1608" s="3" t="s">
        <v>62</v>
      </c>
      <c r="G1608" s="3" t="s">
        <v>4457</v>
      </c>
      <c r="H1608" s="2" t="s">
        <v>21</v>
      </c>
      <c r="I1608" s="2" t="s">
        <v>4458</v>
      </c>
      <c r="J1608" s="3" t="str">
        <f>HYPERLINK("https://www.boe.es/gazeta/dias/1812/02/01/pdfs/GRE-1812-14.pdf#page=3","Abrir facsímil")</f>
        <v>Abrir facsímil</v>
      </c>
      <c r="K1608" s="3" t="s">
        <v>23</v>
      </c>
    </row>
    <row r="1609" spans="1:11" ht="42" customHeight="1">
      <c r="A1609" s="2" t="s">
        <v>4459</v>
      </c>
      <c r="B1609" s="2" t="s">
        <v>4459</v>
      </c>
      <c r="C1609" s="2" t="s">
        <v>17</v>
      </c>
      <c r="D1609" s="2" t="s">
        <v>27</v>
      </c>
      <c r="E1609" s="4">
        <v>-32057</v>
      </c>
      <c r="F1609" s="3" t="s">
        <v>225</v>
      </c>
      <c r="G1609" s="3" t="s">
        <v>140</v>
      </c>
      <c r="H1609" s="2" t="s">
        <v>21</v>
      </c>
      <c r="I1609" s="2" t="s">
        <v>4460</v>
      </c>
      <c r="J1609" s="3" t="str">
        <f>HYPERLINK("https://www.boe.es/gazeta/dias/1812/03/24/pdfs/GMD-1812-84.pdf#page=2","Abrir facsímil")</f>
        <v>Abrir facsímil</v>
      </c>
      <c r="K1609" s="3" t="s">
        <v>23</v>
      </c>
    </row>
    <row r="1610" spans="1:11" ht="42" customHeight="1">
      <c r="A1610" s="2" t="s">
        <v>4456</v>
      </c>
      <c r="B1610" s="2" t="s">
        <v>4456</v>
      </c>
      <c r="C1610" s="2" t="s">
        <v>17</v>
      </c>
      <c r="D1610" s="2" t="s">
        <v>573</v>
      </c>
      <c r="E1610" s="4">
        <v>-31921</v>
      </c>
      <c r="F1610" s="3" t="s">
        <v>785</v>
      </c>
      <c r="G1610" s="3" t="s">
        <v>45</v>
      </c>
      <c r="H1610" s="2" t="s">
        <v>21</v>
      </c>
      <c r="I1610" s="2" t="s">
        <v>4461</v>
      </c>
      <c r="J1610" s="3" t="str">
        <f>HYPERLINK("https://www.boe.es/gazeta/dias/1812/08/07/pdfs/GRE-1812-101E.pdf#page=2","Abrir facsímil")</f>
        <v>Abrir facsímil</v>
      </c>
      <c r="K1610" s="3" t="s">
        <v>23</v>
      </c>
    </row>
    <row r="1611" spans="1:11" ht="42" customHeight="1">
      <c r="A1611" s="2" t="s">
        <v>4456</v>
      </c>
      <c r="B1611" s="2" t="s">
        <v>4456</v>
      </c>
      <c r="C1611" s="2" t="s">
        <v>17</v>
      </c>
      <c r="D1611" s="2" t="s">
        <v>573</v>
      </c>
      <c r="E1611" s="4">
        <v>-31921</v>
      </c>
      <c r="F1611" s="3" t="s">
        <v>785</v>
      </c>
      <c r="G1611" s="3" t="s">
        <v>130</v>
      </c>
      <c r="H1611" s="2" t="s">
        <v>21</v>
      </c>
      <c r="I1611" s="2" t="s">
        <v>4462</v>
      </c>
      <c r="J1611" s="3" t="str">
        <f>HYPERLINK("https://www.boe.es/gazeta/dias/1812/08/07/pdfs/GRE-1812-101E.pdf#page=4","Abrir facsímil")</f>
        <v>Abrir facsímil</v>
      </c>
      <c r="K1611" s="3" t="s">
        <v>23</v>
      </c>
    </row>
    <row r="1612" spans="1:11" ht="42" customHeight="1">
      <c r="A1612" s="2" t="s">
        <v>4456</v>
      </c>
      <c r="B1612" s="2" t="s">
        <v>4456</v>
      </c>
      <c r="C1612" s="2" t="s">
        <v>17</v>
      </c>
      <c r="D1612" s="2" t="s">
        <v>573</v>
      </c>
      <c r="E1612" s="4">
        <v>-31921</v>
      </c>
      <c r="F1612" s="3" t="s">
        <v>785</v>
      </c>
      <c r="G1612" s="3" t="s">
        <v>45</v>
      </c>
      <c r="H1612" s="2" t="s">
        <v>21</v>
      </c>
      <c r="I1612" s="2" t="s">
        <v>4463</v>
      </c>
      <c r="J1612" s="3" t="str">
        <f>HYPERLINK("https://www.boe.es/gazeta/dias/1812/08/07/pdfs/GRE-1812-101E.pdf#page=5","Abrir facsímil")</f>
        <v>Abrir facsímil</v>
      </c>
      <c r="K1612" s="3" t="s">
        <v>23</v>
      </c>
    </row>
    <row r="1613" spans="1:11" ht="42" customHeight="1">
      <c r="A1613" s="2" t="s">
        <v>4456</v>
      </c>
      <c r="B1613" s="2" t="s">
        <v>4456</v>
      </c>
      <c r="C1613" s="2" t="s">
        <v>17</v>
      </c>
      <c r="D1613" s="2" t="s">
        <v>18</v>
      </c>
      <c r="E1613" s="4">
        <v>-31909</v>
      </c>
      <c r="F1613" s="3" t="s">
        <v>2735</v>
      </c>
      <c r="G1613" s="3" t="s">
        <v>20</v>
      </c>
      <c r="H1613" s="2" t="s">
        <v>21</v>
      </c>
      <c r="I1613" s="2" t="s">
        <v>4464</v>
      </c>
      <c r="J1613" s="3" t="str">
        <f>HYPERLINK("https://www.boe.es/gazeta/dias/1812/08/19/pdfs/GMR-1812-2.pdf#page=6","Abrir facsímil")</f>
        <v>Abrir facsímil</v>
      </c>
      <c r="K1613" s="3" t="s">
        <v>23</v>
      </c>
    </row>
    <row r="1614" spans="1:11" ht="42" customHeight="1">
      <c r="A1614" s="2" t="s">
        <v>4456</v>
      </c>
      <c r="B1614" s="2" t="s">
        <v>4456</v>
      </c>
      <c r="C1614" s="2" t="s">
        <v>17</v>
      </c>
      <c r="D1614" s="2" t="s">
        <v>27</v>
      </c>
      <c r="E1614" s="4">
        <v>-31905</v>
      </c>
      <c r="F1614" s="3" t="s">
        <v>855</v>
      </c>
      <c r="G1614" s="3" t="s">
        <v>777</v>
      </c>
      <c r="H1614" s="2" t="s">
        <v>21</v>
      </c>
      <c r="I1614" s="2" t="s">
        <v>4465</v>
      </c>
      <c r="J1614" s="3" t="str">
        <f>HYPERLINK("https://www.boe.es/gazeta/dias/1812/08/23/pdfs/GMR-1812-4.pdf#page=2","Abrir facsímil")</f>
        <v>Abrir facsímil</v>
      </c>
      <c r="K1614" s="3" t="s">
        <v>23</v>
      </c>
    </row>
    <row r="1615" spans="1:11" ht="42" customHeight="1">
      <c r="A1615" s="2" t="s">
        <v>4456</v>
      </c>
      <c r="B1615" s="2" t="s">
        <v>4456</v>
      </c>
      <c r="C1615" s="2" t="s">
        <v>17</v>
      </c>
      <c r="D1615" s="2" t="s">
        <v>27</v>
      </c>
      <c r="E1615" s="4">
        <v>-31905</v>
      </c>
      <c r="F1615" s="3" t="s">
        <v>855</v>
      </c>
      <c r="G1615" s="3" t="s">
        <v>2708</v>
      </c>
      <c r="H1615" s="2" t="s">
        <v>21</v>
      </c>
      <c r="I1615" s="2" t="s">
        <v>4466</v>
      </c>
      <c r="J1615" s="3" t="str">
        <f>HYPERLINK("https://www.boe.es/gazeta/dias/1812/08/23/pdfs/GMR-1812-4.pdf#page=4","Abrir facsímil")</f>
        <v>Abrir facsímil</v>
      </c>
      <c r="K1615" s="3" t="s">
        <v>23</v>
      </c>
    </row>
    <row r="1616" spans="1:11" ht="42" customHeight="1">
      <c r="A1616" s="2" t="s">
        <v>4456</v>
      </c>
      <c r="B1616" s="2" t="s">
        <v>4456</v>
      </c>
      <c r="C1616" s="2" t="s">
        <v>17</v>
      </c>
      <c r="D1616" s="2" t="s">
        <v>27</v>
      </c>
      <c r="E1616" s="4">
        <v>-31905</v>
      </c>
      <c r="F1616" s="3" t="s">
        <v>855</v>
      </c>
      <c r="G1616" s="3" t="s">
        <v>1650</v>
      </c>
      <c r="H1616" s="2" t="s">
        <v>21</v>
      </c>
      <c r="I1616" s="2" t="s">
        <v>4467</v>
      </c>
      <c r="J1616" s="3" t="str">
        <f>HYPERLINK("https://www.boe.es/gazeta/dias/1812/08/23/pdfs/GMR-1812-4.pdf#page=5","Abrir facsímil")</f>
        <v>Abrir facsímil</v>
      </c>
      <c r="K1616" s="3" t="s">
        <v>23</v>
      </c>
    </row>
    <row r="1617" spans="1:11" ht="42" customHeight="1">
      <c r="A1617" s="2" t="s">
        <v>4468</v>
      </c>
      <c r="B1617" s="2" t="s">
        <v>4469</v>
      </c>
      <c r="C1617" s="2" t="s">
        <v>26</v>
      </c>
      <c r="D1617" s="2" t="s">
        <v>27</v>
      </c>
      <c r="E1617" s="4">
        <v>-32065</v>
      </c>
      <c r="F1617" s="3" t="s">
        <v>259</v>
      </c>
      <c r="G1617" s="3" t="s">
        <v>20</v>
      </c>
      <c r="H1617" s="2" t="s">
        <v>21</v>
      </c>
      <c r="I1617" s="2" t="s">
        <v>4470</v>
      </c>
      <c r="J1617" s="3" t="str">
        <f>HYPERLINK("https://www.boe.es/gazeta/dias/1812/03/16/pdfs/GMD-1812-76.pdf#page=4","Abrir facsímil")</f>
        <v>Abrir facsímil</v>
      </c>
      <c r="K1617" s="3" t="s">
        <v>23</v>
      </c>
    </row>
    <row r="1618" spans="1:11" ht="42" customHeight="1">
      <c r="A1618" s="2" t="s">
        <v>4471</v>
      </c>
      <c r="B1618" s="2" t="s">
        <v>4472</v>
      </c>
      <c r="C1618" s="2" t="s">
        <v>26</v>
      </c>
      <c r="D1618" s="2" t="s">
        <v>27</v>
      </c>
      <c r="E1618" s="4">
        <v>-31936</v>
      </c>
      <c r="F1618" s="3" t="s">
        <v>614</v>
      </c>
      <c r="G1618" s="3" t="s">
        <v>615</v>
      </c>
      <c r="H1618" s="2" t="s">
        <v>21</v>
      </c>
      <c r="I1618" s="2" t="s">
        <v>4473</v>
      </c>
      <c r="J1618" s="3" t="str">
        <f>HYPERLINK("https://www.boe.es/gazeta/dias/1812/07/23/pdfs/GRE-1812-92.pdf#page=8","Abrir facsímil")</f>
        <v>Abrir facsímil</v>
      </c>
      <c r="K1618" s="3" t="s">
        <v>23</v>
      </c>
    </row>
    <row r="1619" spans="1:11" ht="42" customHeight="1">
      <c r="A1619" s="2" t="s">
        <v>4474</v>
      </c>
      <c r="B1619" s="2" t="s">
        <v>4475</v>
      </c>
      <c r="C1619" s="2" t="s">
        <v>26</v>
      </c>
      <c r="D1619" s="2" t="s">
        <v>27</v>
      </c>
      <c r="E1619" s="4">
        <v>-32125</v>
      </c>
      <c r="F1619" s="3" t="s">
        <v>335</v>
      </c>
      <c r="G1619" s="3" t="s">
        <v>336</v>
      </c>
      <c r="H1619" s="2" t="s">
        <v>21</v>
      </c>
      <c r="I1619" s="2" t="s">
        <v>4476</v>
      </c>
      <c r="J1619" s="3" t="str">
        <f>HYPERLINK("https://www.boe.es/gazeta/dias/1812/01/16/pdfs/GEI-1812-7.pdf#page=8","Abrir facsímil")</f>
        <v>Abrir facsímil</v>
      </c>
      <c r="K1619" s="3" t="s">
        <v>23</v>
      </c>
    </row>
    <row r="1620" spans="1:11" ht="42" customHeight="1">
      <c r="A1620" s="2" t="s">
        <v>4477</v>
      </c>
      <c r="B1620" s="2" t="s">
        <v>4478</v>
      </c>
      <c r="C1620" s="2" t="s">
        <v>17</v>
      </c>
      <c r="D1620" s="2" t="s">
        <v>27</v>
      </c>
      <c r="E1620" s="4">
        <v>-32033</v>
      </c>
      <c r="F1620" s="3" t="s">
        <v>771</v>
      </c>
      <c r="G1620" s="3" t="s">
        <v>130</v>
      </c>
      <c r="H1620" s="2" t="s">
        <v>21</v>
      </c>
      <c r="I1620" s="2" t="s">
        <v>4479</v>
      </c>
      <c r="J1620" s="3" t="str">
        <f>HYPERLINK("https://www.boe.es/gazeta/dias/1812/04/17/pdfs/GMD-1812-108.pdf#page=4","Abrir facsímil")</f>
        <v>Abrir facsímil</v>
      </c>
      <c r="K1620" s="3" t="s">
        <v>23</v>
      </c>
    </row>
    <row r="1621" spans="1:11" ht="42" customHeight="1">
      <c r="A1621" s="2" t="s">
        <v>4480</v>
      </c>
      <c r="B1621" s="2" t="s">
        <v>4481</v>
      </c>
      <c r="C1621" s="2" t="s">
        <v>17</v>
      </c>
      <c r="D1621" s="2" t="s">
        <v>18</v>
      </c>
      <c r="E1621" s="4">
        <v>-31934</v>
      </c>
      <c r="F1621" s="3" t="s">
        <v>509</v>
      </c>
      <c r="G1621" s="3" t="s">
        <v>4482</v>
      </c>
      <c r="H1621" s="2" t="s">
        <v>21</v>
      </c>
      <c r="I1621" s="2" t="s">
        <v>4483</v>
      </c>
      <c r="J1621" s="3" t="str">
        <f>HYPERLINK("https://www.boe.es/gazeta/dias/1812/07/25/pdfs/GRE-1812-93.pdf#page=8","Abrir facsímil")</f>
        <v>Abrir facsímil</v>
      </c>
      <c r="K1621" s="3" t="s">
        <v>23</v>
      </c>
    </row>
    <row r="1622" spans="1:11" ht="42" customHeight="1">
      <c r="A1622" s="2" t="s">
        <v>4484</v>
      </c>
      <c r="B1622" s="2" t="s">
        <v>4485</v>
      </c>
      <c r="C1622" s="2" t="s">
        <v>17</v>
      </c>
      <c r="D1622" s="2" t="s">
        <v>18</v>
      </c>
      <c r="E1622" s="4">
        <v>-32122</v>
      </c>
      <c r="F1622" s="3" t="s">
        <v>1389</v>
      </c>
      <c r="G1622" s="3" t="s">
        <v>404</v>
      </c>
      <c r="H1622" s="2" t="s">
        <v>21</v>
      </c>
      <c r="I1622" s="2" t="s">
        <v>4486</v>
      </c>
      <c r="J1622" s="3" t="str">
        <f>HYPERLINK("https://www.boe.es/gazeta/dias/1812/01/19/pdfs/GMD-1812-19.pdf#page=3","Abrir facsímil")</f>
        <v>Abrir facsímil</v>
      </c>
      <c r="K1622" s="3" t="s">
        <v>23</v>
      </c>
    </row>
    <row r="1623" spans="1:11" ht="42" customHeight="1">
      <c r="A1623" s="2" t="s">
        <v>4487</v>
      </c>
      <c r="B1623" s="2" t="s">
        <v>4488</v>
      </c>
      <c r="C1623" s="2" t="s">
        <v>26</v>
      </c>
      <c r="D1623" s="2" t="s">
        <v>275</v>
      </c>
      <c r="E1623" s="4">
        <v>-31964</v>
      </c>
      <c r="F1623" s="3" t="s">
        <v>305</v>
      </c>
      <c r="G1623" s="3" t="s">
        <v>58</v>
      </c>
      <c r="H1623" s="2" t="s">
        <v>21</v>
      </c>
      <c r="I1623" s="2" t="s">
        <v>4489</v>
      </c>
      <c r="J1623" s="3" t="str">
        <f>HYPERLINK("https://www.boe.es/gazeta/dias/1812/06/25/pdfs/GMD-1812-177.pdf#page=2","Abrir facsímil")</f>
        <v>Abrir facsímil</v>
      </c>
      <c r="K1623" s="3" t="s">
        <v>23</v>
      </c>
    </row>
    <row r="1624" spans="1:11" ht="42" customHeight="1">
      <c r="A1624" s="2" t="s">
        <v>4490</v>
      </c>
      <c r="B1624" s="2" t="s">
        <v>4490</v>
      </c>
      <c r="C1624" s="2" t="s">
        <v>17</v>
      </c>
      <c r="D1624" s="2" t="s">
        <v>27</v>
      </c>
      <c r="E1624" s="4">
        <v>-31945</v>
      </c>
      <c r="F1624" s="3" t="s">
        <v>1485</v>
      </c>
      <c r="G1624" s="3" t="s">
        <v>1486</v>
      </c>
      <c r="H1624" s="2" t="s">
        <v>21</v>
      </c>
      <c r="I1624" s="2" t="s">
        <v>4491</v>
      </c>
      <c r="J1624" s="3" t="str">
        <f>HYPERLINK("https://www.boe.es/gazeta/dias/1812/07/14/pdfs/GRE-1812-88.pdf#page=1","Abrir facsímil")</f>
        <v>Abrir facsímil</v>
      </c>
      <c r="K1624" s="3" t="s">
        <v>23</v>
      </c>
    </row>
    <row r="1625" spans="1:11" ht="42" customHeight="1">
      <c r="A1625" s="2" t="s">
        <v>4492</v>
      </c>
      <c r="B1625" s="2" t="s">
        <v>4493</v>
      </c>
      <c r="C1625" s="2" t="s">
        <v>17</v>
      </c>
      <c r="D1625" s="2" t="s">
        <v>18</v>
      </c>
      <c r="E1625" s="4">
        <v>-31945</v>
      </c>
      <c r="F1625" s="3" t="s">
        <v>1485</v>
      </c>
      <c r="G1625" s="3" t="s">
        <v>4494</v>
      </c>
      <c r="H1625" s="2" t="s">
        <v>21</v>
      </c>
      <c r="I1625" s="2" t="s">
        <v>4495</v>
      </c>
      <c r="J1625" s="3" t="str">
        <f>HYPERLINK("https://www.boe.es/gazeta/dias/1812/07/14/pdfs/GRE-1812-88.pdf#page=8","Abrir facsímil")</f>
        <v>Abrir facsímil</v>
      </c>
      <c r="K1625" s="3" t="s">
        <v>23</v>
      </c>
    </row>
    <row r="1626" spans="1:11" ht="42" customHeight="1">
      <c r="A1626" s="2" t="s">
        <v>4496</v>
      </c>
      <c r="B1626" s="2" t="s">
        <v>4496</v>
      </c>
      <c r="C1626" s="2" t="s">
        <v>17</v>
      </c>
      <c r="D1626" s="2" t="s">
        <v>18</v>
      </c>
      <c r="E1626" s="4">
        <v>-32025</v>
      </c>
      <c r="F1626" s="3" t="s">
        <v>2323</v>
      </c>
      <c r="G1626" s="3" t="s">
        <v>130</v>
      </c>
      <c r="H1626" s="2" t="s">
        <v>21</v>
      </c>
      <c r="I1626" s="2" t="s">
        <v>4497</v>
      </c>
      <c r="J1626" s="3" t="str">
        <f>HYPERLINK("https://www.boe.es/gazeta/dias/1812/04/25/pdfs/GRE-1812-52.pdf#page=4","Abrir facsímil")</f>
        <v>Abrir facsímil</v>
      </c>
      <c r="K1626" s="3" t="s">
        <v>23</v>
      </c>
    </row>
    <row r="1627" spans="1:11" ht="42" customHeight="1">
      <c r="A1627" s="2" t="s">
        <v>4496</v>
      </c>
      <c r="B1627" s="2" t="s">
        <v>4496</v>
      </c>
      <c r="C1627" s="2" t="s">
        <v>17</v>
      </c>
      <c r="D1627" s="2" t="s">
        <v>27</v>
      </c>
      <c r="E1627" s="4">
        <v>-32025</v>
      </c>
      <c r="F1627" s="3" t="s">
        <v>2323</v>
      </c>
      <c r="G1627" s="3" t="s">
        <v>125</v>
      </c>
      <c r="H1627" s="2" t="s">
        <v>21</v>
      </c>
      <c r="I1627" s="2" t="s">
        <v>4498</v>
      </c>
      <c r="J1627" s="3" t="str">
        <f>HYPERLINK("https://www.boe.es/gazeta/dias/1812/04/25/pdfs/GRE-1812-52.pdf#page=7","Abrir facsímil")</f>
        <v>Abrir facsímil</v>
      </c>
      <c r="K1627" s="3" t="s">
        <v>23</v>
      </c>
    </row>
    <row r="1628" spans="1:11" ht="42" customHeight="1">
      <c r="A1628" s="2" t="s">
        <v>4499</v>
      </c>
      <c r="B1628" s="2" t="s">
        <v>4500</v>
      </c>
      <c r="C1628" s="2" t="s">
        <v>67</v>
      </c>
      <c r="D1628" s="2" t="s">
        <v>27</v>
      </c>
      <c r="E1628" s="4">
        <v>-32066</v>
      </c>
      <c r="F1628" s="3" t="s">
        <v>291</v>
      </c>
      <c r="G1628" s="3" t="s">
        <v>125</v>
      </c>
      <c r="H1628" s="2" t="s">
        <v>21</v>
      </c>
      <c r="I1628" s="2" t="s">
        <v>4501</v>
      </c>
      <c r="J1628" s="3" t="str">
        <f>HYPERLINK("https://www.boe.es/gazeta/dias/1812/03/15/pdfs/GMD-1812-75.pdf#page=4","Abrir facsímil")</f>
        <v>Abrir facsímil</v>
      </c>
      <c r="K1628" s="3" t="s">
        <v>23</v>
      </c>
    </row>
    <row r="1629" spans="1:11" ht="42" customHeight="1">
      <c r="A1629" s="2" t="s">
        <v>4502</v>
      </c>
      <c r="B1629" s="2" t="s">
        <v>4502</v>
      </c>
      <c r="C1629" s="2" t="s">
        <v>186</v>
      </c>
      <c r="D1629" s="2" t="s">
        <v>27</v>
      </c>
      <c r="E1629" s="4">
        <v>-32093</v>
      </c>
      <c r="F1629" s="3" t="s">
        <v>4503</v>
      </c>
      <c r="G1629" s="3" t="s">
        <v>217</v>
      </c>
      <c r="H1629" s="2" t="s">
        <v>21</v>
      </c>
      <c r="I1629" s="2" t="s">
        <v>4504</v>
      </c>
      <c r="J1629" s="3" t="str">
        <f>HYPERLINK("https://www.boe.es/gazeta/dias/1812/02/17/pdfs/GMD-1812-48.pdf#page=1","Abrir facsímil")</f>
        <v>Abrir facsímil</v>
      </c>
      <c r="K1629" s="3" t="s">
        <v>23</v>
      </c>
    </row>
    <row r="1630" spans="1:11" ht="42" customHeight="1">
      <c r="A1630" s="2" t="s">
        <v>4505</v>
      </c>
      <c r="B1630" s="2" t="s">
        <v>4506</v>
      </c>
      <c r="C1630" s="2" t="s">
        <v>17</v>
      </c>
      <c r="D1630" s="2" t="s">
        <v>27</v>
      </c>
      <c r="E1630" s="4">
        <v>-31889</v>
      </c>
      <c r="F1630" s="3" t="s">
        <v>699</v>
      </c>
      <c r="G1630" s="3" t="s">
        <v>20</v>
      </c>
      <c r="H1630" s="2" t="s">
        <v>21</v>
      </c>
      <c r="I1630" s="2" t="s">
        <v>4507</v>
      </c>
      <c r="J1630" s="3" t="str">
        <f>HYPERLINK("https://www.boe.es/gazeta/dias/1812/09/08/pdfs/GMR-1812-11.pdf#page=8","Abrir facsímil")</f>
        <v>Abrir facsímil</v>
      </c>
      <c r="K1630" s="3" t="s">
        <v>23</v>
      </c>
    </row>
    <row r="1631" spans="1:11" ht="42" customHeight="1">
      <c r="A1631" s="2" t="s">
        <v>4508</v>
      </c>
      <c r="B1631" s="2" t="s">
        <v>4508</v>
      </c>
      <c r="C1631" s="2" t="s">
        <v>17</v>
      </c>
      <c r="D1631" s="2" t="s">
        <v>27</v>
      </c>
      <c r="E1631" s="4">
        <v>-31819</v>
      </c>
      <c r="F1631" s="3" t="s">
        <v>1856</v>
      </c>
      <c r="G1631" s="3" t="s">
        <v>237</v>
      </c>
      <c r="H1631" s="2" t="s">
        <v>21</v>
      </c>
      <c r="I1631" s="2" t="s">
        <v>4509</v>
      </c>
      <c r="J1631" s="3" t="str">
        <f>HYPERLINK("https://www.boe.es/gazeta/dias/1812/11/17/pdfs/GMR-1812-35.pdf#page=3","Abrir facsímil")</f>
        <v>Abrir facsímil</v>
      </c>
      <c r="K1631" s="3" t="s">
        <v>23</v>
      </c>
    </row>
    <row r="1632" spans="1:11" ht="42" customHeight="1">
      <c r="A1632" s="2" t="s">
        <v>4508</v>
      </c>
      <c r="B1632" s="2" t="s">
        <v>4508</v>
      </c>
      <c r="C1632" s="2" t="s">
        <v>17</v>
      </c>
      <c r="D1632" s="2" t="s">
        <v>18</v>
      </c>
      <c r="E1632" s="4">
        <v>-31794</v>
      </c>
      <c r="F1632" s="3" t="s">
        <v>254</v>
      </c>
      <c r="G1632" s="3" t="s">
        <v>255</v>
      </c>
      <c r="H1632" s="2" t="s">
        <v>21</v>
      </c>
      <c r="I1632" s="2" t="s">
        <v>4510</v>
      </c>
      <c r="J1632" s="3" t="str">
        <f>HYPERLINK("https://www.boe.es/gazeta/dias/1812/12/12/pdfs/GMD-1812-235.pdf#page=1","Abrir facsímil")</f>
        <v>Abrir facsímil</v>
      </c>
      <c r="K1632" s="3" t="s">
        <v>23</v>
      </c>
    </row>
    <row r="1633" spans="1:11" ht="42" customHeight="1">
      <c r="A1633" s="2" t="s">
        <v>4508</v>
      </c>
      <c r="B1633" s="2" t="s">
        <v>4508</v>
      </c>
      <c r="C1633" s="2" t="s">
        <v>17</v>
      </c>
      <c r="D1633" s="2" t="s">
        <v>27</v>
      </c>
      <c r="E1633" s="4">
        <v>-31791</v>
      </c>
      <c r="F1633" s="3" t="s">
        <v>1668</v>
      </c>
      <c r="G1633" s="3" t="s">
        <v>4511</v>
      </c>
      <c r="H1633" s="2" t="s">
        <v>21</v>
      </c>
      <c r="I1633" s="2" t="s">
        <v>4512</v>
      </c>
      <c r="J1633" s="3" t="str">
        <f>HYPERLINK("https://www.boe.es/gazeta/dias/1812/12/15/pdfs/GMD-1812-238.pdf#page=1","Abrir facsímil")</f>
        <v>Abrir facsímil</v>
      </c>
      <c r="K1633" s="3" t="s">
        <v>23</v>
      </c>
    </row>
    <row r="1634" spans="1:11" ht="42" customHeight="1">
      <c r="A1634" s="2" t="s">
        <v>4508</v>
      </c>
      <c r="B1634" s="2" t="s">
        <v>4508</v>
      </c>
      <c r="C1634" s="2" t="s">
        <v>17</v>
      </c>
      <c r="D1634" s="2" t="s">
        <v>27</v>
      </c>
      <c r="E1634" s="4">
        <v>-31783</v>
      </c>
      <c r="F1634" s="3" t="s">
        <v>2074</v>
      </c>
      <c r="G1634" s="3" t="s">
        <v>125</v>
      </c>
      <c r="H1634" s="2" t="s">
        <v>21</v>
      </c>
      <c r="I1634" s="2" t="s">
        <v>4513</v>
      </c>
      <c r="J1634" s="3" t="str">
        <f>HYPERLINK("https://www.boe.es/gazeta/dias/1812/12/23/pdfs/GMD-1812-246.pdf#page=1","Abrir facsímil")</f>
        <v>Abrir facsímil</v>
      </c>
      <c r="K1634" s="3" t="s">
        <v>23</v>
      </c>
    </row>
    <row r="1635" spans="1:11" ht="42" customHeight="1">
      <c r="A1635" s="2" t="s">
        <v>4514</v>
      </c>
      <c r="B1635" s="2" t="s">
        <v>4514</v>
      </c>
      <c r="C1635" s="2" t="s">
        <v>17</v>
      </c>
      <c r="D1635" s="2" t="s">
        <v>27</v>
      </c>
      <c r="E1635" s="4">
        <v>-32140</v>
      </c>
      <c r="F1635" s="3" t="s">
        <v>822</v>
      </c>
      <c r="G1635" s="3" t="s">
        <v>45</v>
      </c>
      <c r="H1635" s="2" t="s">
        <v>21</v>
      </c>
      <c r="I1635" s="2" t="s">
        <v>4515</v>
      </c>
      <c r="J1635" s="3" t="str">
        <f>HYPERLINK("https://www.boe.es/gazeta/dias/1812/01/01/pdfs/GMD-1812-1.pdf#page=2","Abrir facsímil")</f>
        <v>Abrir facsímil</v>
      </c>
      <c r="K1635" s="3" t="s">
        <v>23</v>
      </c>
    </row>
    <row r="1636" spans="1:11" ht="42" customHeight="1">
      <c r="A1636" s="2" t="s">
        <v>4516</v>
      </c>
      <c r="B1636" s="2" t="s">
        <v>4517</v>
      </c>
      <c r="C1636" s="2" t="s">
        <v>49</v>
      </c>
      <c r="D1636" s="2" t="s">
        <v>27</v>
      </c>
      <c r="E1636" s="4">
        <v>-32088</v>
      </c>
      <c r="F1636" s="3" t="s">
        <v>250</v>
      </c>
      <c r="G1636" s="3" t="s">
        <v>237</v>
      </c>
      <c r="H1636" s="2" t="s">
        <v>21</v>
      </c>
      <c r="I1636" s="2" t="s">
        <v>4518</v>
      </c>
      <c r="J1636" s="3" t="str">
        <f>HYPERLINK("https://www.boe.es/gazeta/dias/1812/02/22/pdfs/GRE-1812-23.pdf#page=5","Abrir facsímil")</f>
        <v>Abrir facsímil</v>
      </c>
      <c r="K1636" s="3" t="s">
        <v>23</v>
      </c>
    </row>
    <row r="1637" spans="1:11" ht="42" customHeight="1">
      <c r="A1637" s="2" t="s">
        <v>4519</v>
      </c>
      <c r="B1637" s="2" t="s">
        <v>4519</v>
      </c>
      <c r="C1637" s="2" t="s">
        <v>26</v>
      </c>
      <c r="D1637" s="2" t="s">
        <v>27</v>
      </c>
      <c r="E1637" s="4">
        <v>-32128</v>
      </c>
      <c r="F1637" s="3" t="s">
        <v>1927</v>
      </c>
      <c r="G1637" s="3" t="s">
        <v>514</v>
      </c>
      <c r="H1637" s="2" t="s">
        <v>21</v>
      </c>
      <c r="I1637" s="2" t="s">
        <v>4520</v>
      </c>
      <c r="J1637" s="3" t="str">
        <f>HYPERLINK("https://www.boe.es/gazeta/dias/1812/01/13/pdfs/GMD-1812-13.pdf#page=3","Abrir facsímil")</f>
        <v>Abrir facsímil</v>
      </c>
      <c r="K1637" s="3" t="s">
        <v>23</v>
      </c>
    </row>
    <row r="1638" spans="1:11" ht="42" customHeight="1">
      <c r="A1638" s="2" t="s">
        <v>4521</v>
      </c>
      <c r="B1638" s="2" t="s">
        <v>4522</v>
      </c>
      <c r="C1638" s="2" t="s">
        <v>26</v>
      </c>
      <c r="D1638" s="2" t="s">
        <v>27</v>
      </c>
      <c r="E1638" s="4">
        <v>-32132</v>
      </c>
      <c r="F1638" s="3" t="s">
        <v>484</v>
      </c>
      <c r="G1638" s="3" t="s">
        <v>485</v>
      </c>
      <c r="H1638" s="2" t="s">
        <v>21</v>
      </c>
      <c r="I1638" s="2" t="s">
        <v>4523</v>
      </c>
      <c r="J1638" s="3" t="str">
        <f>HYPERLINK("https://www.boe.es/gazeta/dias/1812/01/09/pdfs/GEI-1812-4.pdf#page=8","Abrir facsímil")</f>
        <v>Abrir facsímil</v>
      </c>
      <c r="K1638" s="3" t="s">
        <v>23</v>
      </c>
    </row>
    <row r="1639" spans="1:11" ht="42" customHeight="1">
      <c r="A1639" s="2" t="s">
        <v>4524</v>
      </c>
      <c r="B1639" s="2" t="s">
        <v>4524</v>
      </c>
      <c r="C1639" s="2" t="s">
        <v>17</v>
      </c>
      <c r="D1639" s="2" t="s">
        <v>27</v>
      </c>
      <c r="E1639" s="4">
        <v>-32085</v>
      </c>
      <c r="F1639" s="3" t="s">
        <v>3321</v>
      </c>
      <c r="G1639" s="3" t="s">
        <v>172</v>
      </c>
      <c r="H1639" s="2" t="s">
        <v>21</v>
      </c>
      <c r="I1639" s="2" t="s">
        <v>4525</v>
      </c>
      <c r="J1639" s="3" t="str">
        <f>HYPERLINK("https://www.boe.es/gazeta/dias/1812/02/25/pdfs/GRE-1812-25.pdf#page=2","Abrir facsímil")</f>
        <v>Abrir facsímil</v>
      </c>
      <c r="K1639" s="3" t="s">
        <v>23</v>
      </c>
    </row>
    <row r="1640" spans="1:11" ht="42" customHeight="1">
      <c r="A1640" s="2" t="s">
        <v>4526</v>
      </c>
      <c r="B1640" s="2" t="s">
        <v>4527</v>
      </c>
      <c r="C1640" s="2" t="s">
        <v>26</v>
      </c>
      <c r="D1640" s="2" t="s">
        <v>275</v>
      </c>
      <c r="E1640" s="4">
        <v>-31964</v>
      </c>
      <c r="F1640" s="3" t="s">
        <v>305</v>
      </c>
      <c r="G1640" s="3" t="s">
        <v>58</v>
      </c>
      <c r="H1640" s="2" t="s">
        <v>21</v>
      </c>
      <c r="I1640" s="2" t="s">
        <v>4528</v>
      </c>
      <c r="J1640" s="3" t="str">
        <f>HYPERLINK("https://www.boe.es/gazeta/dias/1812/06/25/pdfs/GMD-1812-177.pdf#page=2","Abrir facsímil")</f>
        <v>Abrir facsímil</v>
      </c>
      <c r="K1640" s="3" t="s">
        <v>23</v>
      </c>
    </row>
    <row r="1641" spans="1:11" ht="42" customHeight="1">
      <c r="A1641" s="2" t="s">
        <v>4529</v>
      </c>
      <c r="B1641" s="2" t="s">
        <v>4530</v>
      </c>
      <c r="C1641" s="2" t="s">
        <v>105</v>
      </c>
      <c r="D1641" s="2" t="s">
        <v>27</v>
      </c>
      <c r="E1641" s="4">
        <v>-31824</v>
      </c>
      <c r="F1641" s="3" t="s">
        <v>3123</v>
      </c>
      <c r="G1641" s="3" t="s">
        <v>4531</v>
      </c>
      <c r="H1641" s="2" t="s">
        <v>21</v>
      </c>
      <c r="I1641" s="2" t="s">
        <v>4532</v>
      </c>
      <c r="J1641" s="3" t="str">
        <f>HYPERLINK("https://www.boe.es/gazeta/dias/1812/11/12/pdfs/GRE-1812-151.pdf#page=6","Abrir facsímil")</f>
        <v>Abrir facsímil</v>
      </c>
      <c r="K1641" s="3" t="s">
        <v>23</v>
      </c>
    </row>
    <row r="1642" spans="1:11" ht="42" customHeight="1">
      <c r="A1642" s="2" t="s">
        <v>4533</v>
      </c>
      <c r="B1642" s="2" t="s">
        <v>4534</v>
      </c>
      <c r="C1642" s="2" t="s">
        <v>26</v>
      </c>
      <c r="D1642" s="2" t="s">
        <v>27</v>
      </c>
      <c r="E1642" s="4">
        <v>-32034</v>
      </c>
      <c r="F1642" s="3" t="s">
        <v>28</v>
      </c>
      <c r="G1642" s="3" t="s">
        <v>130</v>
      </c>
      <c r="H1642" s="2" t="s">
        <v>21</v>
      </c>
      <c r="I1642" s="2" t="s">
        <v>4535</v>
      </c>
      <c r="J1642" s="3" t="str">
        <f>HYPERLINK("https://www.boe.es/gazeta/dias/1812/04/16/pdfs/GMD-1812-107.pdf#page=4","Abrir facsímil")</f>
        <v>Abrir facsímil</v>
      </c>
      <c r="K1642" s="3" t="s">
        <v>23</v>
      </c>
    </row>
    <row r="1643" spans="1:11" ht="42" customHeight="1">
      <c r="A1643" s="2" t="s">
        <v>4536</v>
      </c>
      <c r="B1643" s="2" t="s">
        <v>4537</v>
      </c>
      <c r="C1643" s="2" t="s">
        <v>26</v>
      </c>
      <c r="D1643" s="2" t="s">
        <v>27</v>
      </c>
      <c r="E1643" s="4">
        <v>-32060</v>
      </c>
      <c r="F1643" s="3" t="s">
        <v>399</v>
      </c>
      <c r="G1643" s="3" t="s">
        <v>136</v>
      </c>
      <c r="H1643" s="2" t="s">
        <v>21</v>
      </c>
      <c r="I1643" s="2" t="s">
        <v>4538</v>
      </c>
      <c r="J1643" s="3" t="str">
        <f>HYPERLINK("https://www.boe.es/gazeta/dias/1812/03/21/pdfs/GMD-1812-81.pdf#page=4","Abrir facsímil")</f>
        <v>Abrir facsímil</v>
      </c>
      <c r="K1643" s="3" t="s">
        <v>23</v>
      </c>
    </row>
    <row r="1644" spans="1:11" ht="42" customHeight="1">
      <c r="A1644" s="2" t="s">
        <v>4539</v>
      </c>
      <c r="B1644" s="2" t="s">
        <v>4540</v>
      </c>
      <c r="C1644" s="2" t="s">
        <v>17</v>
      </c>
      <c r="D1644" s="2" t="s">
        <v>18</v>
      </c>
      <c r="E1644" s="4">
        <v>-31784</v>
      </c>
      <c r="F1644" s="3" t="s">
        <v>1648</v>
      </c>
      <c r="G1644" s="3" t="s">
        <v>1650</v>
      </c>
      <c r="H1644" s="2" t="s">
        <v>30</v>
      </c>
      <c r="I1644" s="2" t="s">
        <v>4541</v>
      </c>
      <c r="J1644" s="3" t="str">
        <f>HYPERLINK("https://www.boe.es/gazeta/dias/1812/12/22/pdfs/GMD-1812-245.pdf#page=4","Abrir facsímil")</f>
        <v>Abrir facsímil</v>
      </c>
      <c r="K1644" s="3" t="s">
        <v>32</v>
      </c>
    </row>
    <row r="1645" spans="1:11" ht="42" customHeight="1">
      <c r="A1645" s="2" t="s">
        <v>4542</v>
      </c>
      <c r="B1645" s="2" t="s">
        <v>4543</v>
      </c>
      <c r="C1645" s="2" t="s">
        <v>26</v>
      </c>
      <c r="D1645" s="2" t="s">
        <v>27</v>
      </c>
      <c r="E1645" s="4">
        <v>-32108</v>
      </c>
      <c r="F1645" s="3" t="s">
        <v>1143</v>
      </c>
      <c r="G1645" s="3" t="s">
        <v>125</v>
      </c>
      <c r="H1645" s="2" t="s">
        <v>30</v>
      </c>
      <c r="I1645" s="2" t="s">
        <v>4544</v>
      </c>
      <c r="J1645" s="3" t="str">
        <f>HYPERLINK("https://www.boe.es/gazeta/dias/1812/02/02/pdfs/GMD-1812-33.pdf#page=2","Abrir facsímil")</f>
        <v>Abrir facsímil</v>
      </c>
      <c r="K1645" s="3" t="s">
        <v>32</v>
      </c>
    </row>
    <row r="1646" spans="1:11" ht="42" customHeight="1">
      <c r="A1646" s="2" t="s">
        <v>4545</v>
      </c>
      <c r="B1646" s="2" t="s">
        <v>4546</v>
      </c>
      <c r="C1646" s="2" t="s">
        <v>17</v>
      </c>
      <c r="D1646" s="2" t="s">
        <v>27</v>
      </c>
      <c r="E1646" s="4">
        <v>-31951</v>
      </c>
      <c r="F1646" s="3" t="s">
        <v>1603</v>
      </c>
      <c r="G1646" s="3" t="s">
        <v>214</v>
      </c>
      <c r="H1646" s="2" t="s">
        <v>21</v>
      </c>
      <c r="I1646" s="2" t="s">
        <v>4547</v>
      </c>
      <c r="J1646" s="3" t="str">
        <f>HYPERLINK("https://www.boe.es/gazeta/dias/1812/07/08/pdfs/GMD-1812-190.pdf#page=3","Abrir facsímil")</f>
        <v>Abrir facsímil</v>
      </c>
      <c r="K1646" s="3" t="s">
        <v>23</v>
      </c>
    </row>
    <row r="1647" spans="1:11" ht="42" customHeight="1">
      <c r="A1647" s="2" t="s">
        <v>4548</v>
      </c>
      <c r="B1647" s="2" t="s">
        <v>4548</v>
      </c>
      <c r="C1647" s="2" t="s">
        <v>17</v>
      </c>
      <c r="D1647" s="2" t="s">
        <v>18</v>
      </c>
      <c r="E1647" s="4">
        <v>-31873</v>
      </c>
      <c r="F1647" s="3" t="s">
        <v>213</v>
      </c>
      <c r="G1647" s="3" t="s">
        <v>599</v>
      </c>
      <c r="H1647" s="2" t="s">
        <v>21</v>
      </c>
      <c r="I1647" s="2" t="s">
        <v>4549</v>
      </c>
      <c r="J1647" s="3" t="str">
        <f>HYPERLINK("https://www.boe.es/gazeta/dias/1812/09/24/pdfs/GMR-1812-18.pdf#page=2","Abrir facsímil")</f>
        <v>Abrir facsímil</v>
      </c>
      <c r="K1647" s="3" t="s">
        <v>23</v>
      </c>
    </row>
    <row r="1648" spans="1:11" ht="42" customHeight="1">
      <c r="A1648" s="2" t="s">
        <v>4550</v>
      </c>
      <c r="B1648" s="2" t="s">
        <v>4550</v>
      </c>
      <c r="C1648" s="2" t="s">
        <v>17</v>
      </c>
      <c r="D1648" s="2" t="s">
        <v>18</v>
      </c>
      <c r="E1648" s="4">
        <v>-31955</v>
      </c>
      <c r="F1648" s="3" t="s">
        <v>135</v>
      </c>
      <c r="G1648" s="3" t="s">
        <v>4551</v>
      </c>
      <c r="H1648" s="2" t="s">
        <v>21</v>
      </c>
      <c r="I1648" s="2" t="s">
        <v>4552</v>
      </c>
      <c r="J1648" s="3" t="str">
        <f>HYPERLINK("https://www.boe.es/gazeta/dias/1812/07/04/pdfs/GRE-F-1812-82.pdf#page=3","Abrir facsímil")</f>
        <v>Abrir facsímil</v>
      </c>
      <c r="K1648" s="3" t="s">
        <v>23</v>
      </c>
    </row>
    <row r="1649" spans="1:11" ht="42" customHeight="1">
      <c r="A1649" s="2" t="s">
        <v>4553</v>
      </c>
      <c r="B1649" s="2" t="s">
        <v>4554</v>
      </c>
      <c r="C1649" s="2" t="s">
        <v>26</v>
      </c>
      <c r="D1649" s="2" t="s">
        <v>27</v>
      </c>
      <c r="E1649" s="4">
        <v>-31913</v>
      </c>
      <c r="F1649" s="3" t="s">
        <v>450</v>
      </c>
      <c r="G1649" s="3" t="s">
        <v>4555</v>
      </c>
      <c r="H1649" s="2" t="s">
        <v>21</v>
      </c>
      <c r="I1649" s="2" t="s">
        <v>4556</v>
      </c>
      <c r="J1649" s="3" t="str">
        <f>HYPERLINK("https://www.boe.es/gazeta/dias/1812/08/15/pdfs/GRE-1812-105.pdf#page=6","Abrir facsímil")</f>
        <v>Abrir facsímil</v>
      </c>
      <c r="K1649" s="3" t="s">
        <v>23</v>
      </c>
    </row>
    <row r="1650" spans="1:11" ht="42" customHeight="1">
      <c r="A1650" s="2" t="s">
        <v>4557</v>
      </c>
      <c r="B1650" s="2" t="s">
        <v>4557</v>
      </c>
      <c r="C1650" s="2" t="s">
        <v>105</v>
      </c>
      <c r="D1650" s="2" t="s">
        <v>194</v>
      </c>
      <c r="E1650" s="4">
        <v>-32135</v>
      </c>
      <c r="F1650" s="3" t="s">
        <v>4558</v>
      </c>
      <c r="G1650" s="3" t="s">
        <v>214</v>
      </c>
      <c r="H1650" s="2" t="s">
        <v>21</v>
      </c>
      <c r="I1650" s="2" t="s">
        <v>4559</v>
      </c>
      <c r="J1650" s="3" t="str">
        <f>HYPERLINK("https://www.boe.es/gazeta/dias/1812/01/06/pdfs/GMD-1812-7.pdf#page=1","Abrir facsímil")</f>
        <v>Abrir facsímil</v>
      </c>
      <c r="K1650" s="3" t="s">
        <v>23</v>
      </c>
    </row>
    <row r="1651" spans="1:11" ht="42" customHeight="1">
      <c r="A1651" s="2" t="s">
        <v>4557</v>
      </c>
      <c r="B1651" s="2" t="s">
        <v>4557</v>
      </c>
      <c r="C1651" s="2" t="s">
        <v>105</v>
      </c>
      <c r="D1651" s="2" t="s">
        <v>194</v>
      </c>
      <c r="E1651" s="4">
        <v>-32134</v>
      </c>
      <c r="F1651" s="3" t="s">
        <v>4558</v>
      </c>
      <c r="G1651" s="3" t="s">
        <v>214</v>
      </c>
      <c r="H1651" s="2" t="s">
        <v>21</v>
      </c>
      <c r="I1651" s="2" t="s">
        <v>4559</v>
      </c>
      <c r="J1651" s="3" t="str">
        <f>HYPERLINK("https://www.boe.es/gazeta/dias/1812/01/07/pdfs/GMD-1812-7.pdf#page=1","Abrir facsímil")</f>
        <v>Abrir facsímil</v>
      </c>
      <c r="K1651" s="3" t="s">
        <v>23</v>
      </c>
    </row>
    <row r="1652" spans="1:11" ht="42" customHeight="1">
      <c r="A1652" s="2" t="s">
        <v>4557</v>
      </c>
      <c r="B1652" s="2" t="s">
        <v>4557</v>
      </c>
      <c r="C1652" s="2" t="s">
        <v>26</v>
      </c>
      <c r="D1652" s="2" t="s">
        <v>27</v>
      </c>
      <c r="E1652" s="4">
        <v>-32098</v>
      </c>
      <c r="F1652" s="3" t="s">
        <v>4560</v>
      </c>
      <c r="G1652" s="3" t="s">
        <v>58</v>
      </c>
      <c r="H1652" s="2" t="s">
        <v>21</v>
      </c>
      <c r="I1652" s="2" t="s">
        <v>4561</v>
      </c>
      <c r="J1652" s="3" t="str">
        <f>HYPERLINK("https://www.boe.es/gazeta/dias/1812/02/12/pdfs/GMD-1812-43.pdf#page=3","Abrir facsímil")</f>
        <v>Abrir facsímil</v>
      </c>
      <c r="K1652" s="3" t="s">
        <v>23</v>
      </c>
    </row>
    <row r="1653" spans="1:11" ht="42" customHeight="1">
      <c r="A1653" s="2" t="s">
        <v>4557</v>
      </c>
      <c r="B1653" s="2" t="s">
        <v>4557</v>
      </c>
      <c r="C1653" s="2" t="s">
        <v>17</v>
      </c>
      <c r="D1653" s="2" t="s">
        <v>18</v>
      </c>
      <c r="E1653" s="4">
        <v>-32062</v>
      </c>
      <c r="F1653" s="3" t="s">
        <v>280</v>
      </c>
      <c r="G1653" s="3" t="s">
        <v>4562</v>
      </c>
      <c r="H1653" s="2" t="s">
        <v>21</v>
      </c>
      <c r="I1653" s="2" t="s">
        <v>4563</v>
      </c>
      <c r="J1653" s="3" t="str">
        <f>HYPERLINK("https://www.boe.es/gazeta/dias/1812/03/19/pdfs/GMD-1812-79.pdf#page=1","Abrir facsímil")</f>
        <v>Abrir facsímil</v>
      </c>
      <c r="K1653" s="3" t="s">
        <v>23</v>
      </c>
    </row>
    <row r="1654" spans="1:11" ht="42" customHeight="1">
      <c r="A1654" s="2" t="s">
        <v>4557</v>
      </c>
      <c r="B1654" s="2" t="s">
        <v>4557</v>
      </c>
      <c r="C1654" s="2" t="s">
        <v>17</v>
      </c>
      <c r="D1654" s="2" t="s">
        <v>18</v>
      </c>
      <c r="E1654" s="4">
        <v>-31799</v>
      </c>
      <c r="F1654" s="3" t="s">
        <v>736</v>
      </c>
      <c r="G1654" s="3" t="s">
        <v>233</v>
      </c>
      <c r="H1654" s="2" t="s">
        <v>21</v>
      </c>
      <c r="I1654" s="2" t="s">
        <v>4564</v>
      </c>
      <c r="J1654" s="3" t="str">
        <f>HYPERLINK("https://www.boe.es/gazeta/dias/1812/12/07/pdfs/GMD-1812-230.pdf#page=2","Abrir facsímil")</f>
        <v>Abrir facsímil</v>
      </c>
      <c r="K1654" s="3" t="s">
        <v>23</v>
      </c>
    </row>
    <row r="1655" spans="1:11" ht="42" customHeight="1">
      <c r="A1655" s="2" t="s">
        <v>4557</v>
      </c>
      <c r="B1655" s="2" t="s">
        <v>4557</v>
      </c>
      <c r="C1655" s="2" t="s">
        <v>17</v>
      </c>
      <c r="D1655" s="2" t="s">
        <v>18</v>
      </c>
      <c r="E1655" s="4">
        <v>-31792</v>
      </c>
      <c r="F1655" s="3" t="s">
        <v>744</v>
      </c>
      <c r="G1655" s="3" t="s">
        <v>217</v>
      </c>
      <c r="H1655" s="2" t="s">
        <v>21</v>
      </c>
      <c r="I1655" s="2" t="s">
        <v>4565</v>
      </c>
      <c r="J1655" s="3" t="str">
        <f>HYPERLINK("https://www.boe.es/gazeta/dias/1812/12/14/pdfs/GMD-1812-237.pdf#page=1","Abrir facsímil")</f>
        <v>Abrir facsímil</v>
      </c>
      <c r="K1655" s="3" t="s">
        <v>23</v>
      </c>
    </row>
    <row r="1656" spans="1:11" ht="42" customHeight="1">
      <c r="A1656" s="2" t="s">
        <v>4566</v>
      </c>
      <c r="B1656" s="2" t="s">
        <v>4567</v>
      </c>
      <c r="C1656" s="2" t="s">
        <v>17</v>
      </c>
      <c r="D1656" s="2" t="s">
        <v>275</v>
      </c>
      <c r="E1656" s="4">
        <v>-31934</v>
      </c>
      <c r="F1656" s="3" t="s">
        <v>509</v>
      </c>
      <c r="G1656" s="3" t="s">
        <v>4482</v>
      </c>
      <c r="H1656" s="2" t="s">
        <v>21</v>
      </c>
      <c r="I1656" s="2" t="s">
        <v>4568</v>
      </c>
      <c r="J1656" s="3" t="str">
        <f>HYPERLINK("https://www.boe.es/gazeta/dias/1812/07/25/pdfs/GRE-1812-93.pdf#page=8","Abrir facsímil")</f>
        <v>Abrir facsímil</v>
      </c>
      <c r="K1656" s="3" t="s">
        <v>23</v>
      </c>
    </row>
    <row r="1657" spans="1:11" ht="42" customHeight="1">
      <c r="A1657" s="2" t="s">
        <v>4569</v>
      </c>
      <c r="B1657" s="2" t="s">
        <v>4570</v>
      </c>
      <c r="C1657" s="2" t="s">
        <v>26</v>
      </c>
      <c r="D1657" s="2" t="s">
        <v>27</v>
      </c>
      <c r="E1657" s="4">
        <v>-32055</v>
      </c>
      <c r="F1657" s="3" t="s">
        <v>1271</v>
      </c>
      <c r="G1657" s="3" t="s">
        <v>130</v>
      </c>
      <c r="H1657" s="2" t="s">
        <v>21</v>
      </c>
      <c r="I1657" s="2" t="s">
        <v>4571</v>
      </c>
      <c r="J1657" s="3" t="str">
        <f>HYPERLINK("https://www.boe.es/gazeta/dias/1812/03/26/pdfs/GMD-1812-86.pdf#page=4","Abrir facsímil")</f>
        <v>Abrir facsímil</v>
      </c>
      <c r="K1657" s="3" t="s">
        <v>23</v>
      </c>
    </row>
    <row r="1658" spans="1:11" ht="42" customHeight="1">
      <c r="A1658" s="2" t="s">
        <v>4572</v>
      </c>
      <c r="B1658" s="2" t="s">
        <v>4573</v>
      </c>
      <c r="C1658" s="2" t="s">
        <v>26</v>
      </c>
      <c r="D1658" s="2" t="s">
        <v>27</v>
      </c>
      <c r="E1658" s="4">
        <v>-32095</v>
      </c>
      <c r="F1658" s="3" t="s">
        <v>1099</v>
      </c>
      <c r="G1658" s="3" t="s">
        <v>438</v>
      </c>
      <c r="H1658" s="2" t="s">
        <v>21</v>
      </c>
      <c r="I1658" s="2" t="s">
        <v>4574</v>
      </c>
      <c r="J1658" s="3" t="str">
        <f>HYPERLINK("https://www.boe.es/gazeta/dias/1812/02/15/pdfs/GMD-1812-46.pdf#page=4","Abrir facsímil")</f>
        <v>Abrir facsímil</v>
      </c>
      <c r="K1658" s="3" t="s">
        <v>23</v>
      </c>
    </row>
    <row r="1659" spans="1:11" ht="42" customHeight="1">
      <c r="A1659" s="2" t="s">
        <v>4575</v>
      </c>
      <c r="B1659" s="2" t="s">
        <v>4576</v>
      </c>
      <c r="C1659" s="2" t="s">
        <v>17</v>
      </c>
      <c r="D1659" s="2" t="s">
        <v>18</v>
      </c>
      <c r="E1659" s="4">
        <v>-32060</v>
      </c>
      <c r="F1659" s="3" t="s">
        <v>399</v>
      </c>
      <c r="G1659" s="3" t="s">
        <v>136</v>
      </c>
      <c r="H1659" s="2" t="s">
        <v>21</v>
      </c>
      <c r="I1659" s="2" t="s">
        <v>4577</v>
      </c>
      <c r="J1659" s="3" t="str">
        <f>HYPERLINK("https://www.boe.es/gazeta/dias/1812/03/21/pdfs/GMD-1812-81.pdf#page=4","Abrir facsímil")</f>
        <v>Abrir facsímil</v>
      </c>
      <c r="K1659" s="3" t="s">
        <v>23</v>
      </c>
    </row>
    <row r="1660" spans="1:11" ht="42" customHeight="1">
      <c r="A1660" s="2" t="s">
        <v>4578</v>
      </c>
      <c r="B1660" s="2" t="s">
        <v>4579</v>
      </c>
      <c r="C1660" s="2" t="s">
        <v>26</v>
      </c>
      <c r="D1660" s="2" t="s">
        <v>27</v>
      </c>
      <c r="E1660" s="4">
        <v>-32125</v>
      </c>
      <c r="F1660" s="3" t="s">
        <v>335</v>
      </c>
      <c r="G1660" s="3" t="s">
        <v>336</v>
      </c>
      <c r="H1660" s="2" t="s">
        <v>21</v>
      </c>
      <c r="I1660" s="2" t="s">
        <v>4580</v>
      </c>
      <c r="J1660" s="3" t="str">
        <f>HYPERLINK("https://www.boe.es/gazeta/dias/1812/01/16/pdfs/GEI-1812-7.pdf#page=8","Abrir facsímil")</f>
        <v>Abrir facsímil</v>
      </c>
      <c r="K1660" s="3" t="s">
        <v>23</v>
      </c>
    </row>
    <row r="1661" spans="1:11" ht="42" customHeight="1">
      <c r="A1661" s="2" t="s">
        <v>4581</v>
      </c>
      <c r="B1661" s="2" t="s">
        <v>4581</v>
      </c>
      <c r="C1661" s="2" t="s">
        <v>17</v>
      </c>
      <c r="D1661" s="2" t="s">
        <v>27</v>
      </c>
      <c r="E1661" s="4">
        <v>-32043</v>
      </c>
      <c r="F1661" s="3" t="s">
        <v>4582</v>
      </c>
      <c r="G1661" s="3" t="s">
        <v>214</v>
      </c>
      <c r="H1661" s="2" t="s">
        <v>21</v>
      </c>
      <c r="I1661" s="2" t="s">
        <v>4583</v>
      </c>
      <c r="J1661" s="3" t="str">
        <f>HYPERLINK("https://www.boe.es/gazeta/dias/1812/04/07/pdfs/GRE-1812-43.pdf#page=6","Abrir facsímil")</f>
        <v>Abrir facsímil</v>
      </c>
      <c r="K1661" s="3" t="s">
        <v>23</v>
      </c>
    </row>
    <row r="1662" spans="1:11" ht="42" customHeight="1">
      <c r="A1662" s="2" t="s">
        <v>4584</v>
      </c>
      <c r="B1662" s="2" t="s">
        <v>4584</v>
      </c>
      <c r="C1662" s="2" t="s">
        <v>17</v>
      </c>
      <c r="D1662" s="2" t="s">
        <v>27</v>
      </c>
      <c r="E1662" s="4">
        <v>-32089</v>
      </c>
      <c r="F1662" s="3" t="s">
        <v>1918</v>
      </c>
      <c r="G1662" s="3" t="s">
        <v>58</v>
      </c>
      <c r="H1662" s="2" t="s">
        <v>21</v>
      </c>
      <c r="I1662" s="2" t="s">
        <v>4585</v>
      </c>
      <c r="J1662" s="3" t="str">
        <f>HYPERLINK("https://www.boe.es/gazeta/dias/1812/02/21/pdfs/GMD-1812-52.pdf#page=2","Abrir facsímil")</f>
        <v>Abrir facsímil</v>
      </c>
      <c r="K1662" s="3" t="s">
        <v>23</v>
      </c>
    </row>
    <row r="1663" spans="1:11" ht="42" customHeight="1">
      <c r="A1663" s="2" t="s">
        <v>4584</v>
      </c>
      <c r="B1663" s="2" t="s">
        <v>4584</v>
      </c>
      <c r="C1663" s="2" t="s">
        <v>17</v>
      </c>
      <c r="D1663" s="2" t="s">
        <v>27</v>
      </c>
      <c r="E1663" s="4">
        <v>-32089</v>
      </c>
      <c r="F1663" s="3" t="s">
        <v>1918</v>
      </c>
      <c r="G1663" s="3" t="s">
        <v>1919</v>
      </c>
      <c r="H1663" s="2" t="s">
        <v>21</v>
      </c>
      <c r="I1663" s="2" t="s">
        <v>4586</v>
      </c>
      <c r="J1663" s="3" t="str">
        <f>HYPERLINK("https://www.boe.es/gazeta/dias/1812/02/21/pdfs/GMD-1812-52.pdf#page=3","Abrir facsímil")</f>
        <v>Abrir facsímil</v>
      </c>
      <c r="K1663" s="3" t="s">
        <v>23</v>
      </c>
    </row>
    <row r="1664" spans="1:11" ht="42" customHeight="1">
      <c r="A1664" s="2" t="s">
        <v>4584</v>
      </c>
      <c r="B1664" s="2" t="s">
        <v>4584</v>
      </c>
      <c r="C1664" s="2" t="s">
        <v>17</v>
      </c>
      <c r="D1664" s="2" t="s">
        <v>18</v>
      </c>
      <c r="E1664" s="4">
        <v>-31833</v>
      </c>
      <c r="F1664" s="3" t="s">
        <v>267</v>
      </c>
      <c r="G1664" s="3" t="s">
        <v>4587</v>
      </c>
      <c r="H1664" s="2" t="s">
        <v>21</v>
      </c>
      <c r="I1664" s="2" t="s">
        <v>4588</v>
      </c>
      <c r="J1664" s="3" t="str">
        <f>HYPERLINK("https://www.boe.es/gazeta/dias/1812/11/03/pdfs/GRE-1812-147.pdf#page=2","Abrir facsímil")</f>
        <v>Abrir facsímil</v>
      </c>
      <c r="K1664" s="3" t="s">
        <v>23</v>
      </c>
    </row>
    <row r="1665" spans="1:11" ht="42" customHeight="1">
      <c r="A1665" s="2" t="s">
        <v>4589</v>
      </c>
      <c r="B1665" s="2" t="s">
        <v>4589</v>
      </c>
      <c r="C1665" s="2" t="s">
        <v>17</v>
      </c>
      <c r="D1665" s="2" t="s">
        <v>18</v>
      </c>
      <c r="E1665" s="4">
        <v>-31831</v>
      </c>
      <c r="F1665" s="3" t="s">
        <v>1963</v>
      </c>
      <c r="G1665" s="3" t="s">
        <v>1964</v>
      </c>
      <c r="H1665" s="2" t="s">
        <v>21</v>
      </c>
      <c r="I1665" s="2" t="s">
        <v>4590</v>
      </c>
      <c r="J1665" s="3" t="str">
        <f>HYPERLINK("https://www.boe.es/gazeta/dias/1812/11/05/pdfs/GRE-1812-148.pdf#page=4","Abrir facsímil")</f>
        <v>Abrir facsímil</v>
      </c>
      <c r="K1665" s="3" t="s">
        <v>23</v>
      </c>
    </row>
    <row r="1666" spans="1:11" ht="42" customHeight="1">
      <c r="A1666" s="2" t="s">
        <v>4584</v>
      </c>
      <c r="B1666" s="2" t="s">
        <v>4584</v>
      </c>
      <c r="C1666" s="2" t="s">
        <v>17</v>
      </c>
      <c r="D1666" s="2" t="s">
        <v>18</v>
      </c>
      <c r="E1666" s="4">
        <v>-31821</v>
      </c>
      <c r="F1666" s="3" t="s">
        <v>1979</v>
      </c>
      <c r="G1666" s="3" t="s">
        <v>3583</v>
      </c>
      <c r="H1666" s="2" t="s">
        <v>21</v>
      </c>
      <c r="I1666" s="2" t="s">
        <v>4591</v>
      </c>
      <c r="J1666" s="3" t="str">
        <f>HYPERLINK("https://www.boe.es/gazeta/dias/1812/11/15/pdfs/GMR-1812-34.pdf#page=2","Abrir facsímil")</f>
        <v>Abrir facsímil</v>
      </c>
      <c r="K1666" s="3" t="s">
        <v>23</v>
      </c>
    </row>
    <row r="1667" spans="1:11" ht="42" customHeight="1">
      <c r="A1667" s="2" t="s">
        <v>4592</v>
      </c>
      <c r="B1667" s="2" t="s">
        <v>4593</v>
      </c>
      <c r="C1667" s="2" t="s">
        <v>49</v>
      </c>
      <c r="D1667" s="2" t="s">
        <v>18</v>
      </c>
      <c r="E1667" s="4">
        <v>-32109</v>
      </c>
      <c r="F1667" s="3" t="s">
        <v>62</v>
      </c>
      <c r="G1667" s="3" t="s">
        <v>1650</v>
      </c>
      <c r="H1667" s="2" t="s">
        <v>30</v>
      </c>
      <c r="I1667" s="2" t="s">
        <v>4594</v>
      </c>
      <c r="J1667" s="3" t="str">
        <f>HYPERLINK("https://www.boe.es/gazeta/dias/1812/02/01/pdfs/GRE-1812-14.pdf#page=4","Abrir facsímil")</f>
        <v>Abrir facsímil</v>
      </c>
      <c r="K1667" s="3" t="s">
        <v>32</v>
      </c>
    </row>
    <row r="1668" spans="1:11" ht="42" customHeight="1">
      <c r="A1668" s="2" t="s">
        <v>4595</v>
      </c>
      <c r="B1668" s="2" t="s">
        <v>4595</v>
      </c>
      <c r="C1668" s="2" t="s">
        <v>17</v>
      </c>
      <c r="D1668" s="2" t="s">
        <v>18</v>
      </c>
      <c r="E1668" s="4">
        <v>-31972</v>
      </c>
      <c r="F1668" s="3" t="s">
        <v>4596</v>
      </c>
      <c r="G1668" s="3" t="s">
        <v>2539</v>
      </c>
      <c r="H1668" s="2" t="s">
        <v>21</v>
      </c>
      <c r="I1668" s="2" t="s">
        <v>4597</v>
      </c>
      <c r="J1668" s="3" t="str">
        <f>HYPERLINK("https://www.boe.es/gazeta/dias/1812/06/17/pdfs/GMD-1812-169.pdf#page=4","Abrir facsímil")</f>
        <v>Abrir facsímil</v>
      </c>
      <c r="K1668" s="3" t="s">
        <v>23</v>
      </c>
    </row>
    <row r="1669" spans="1:11" ht="42" customHeight="1">
      <c r="A1669" s="2" t="s">
        <v>4598</v>
      </c>
      <c r="B1669" s="2" t="s">
        <v>4599</v>
      </c>
      <c r="C1669" s="2" t="s">
        <v>17</v>
      </c>
      <c r="D1669" s="2" t="s">
        <v>27</v>
      </c>
      <c r="E1669" s="4">
        <v>-31967</v>
      </c>
      <c r="F1669" s="3" t="s">
        <v>1635</v>
      </c>
      <c r="G1669" s="3" t="s">
        <v>4600</v>
      </c>
      <c r="H1669" s="2" t="s">
        <v>21</v>
      </c>
      <c r="I1669" s="2" t="s">
        <v>4601</v>
      </c>
      <c r="J1669" s="3" t="str">
        <f>HYPERLINK("https://www.boe.es/gazeta/dias/1812/06/22/pdfs/GMD-1812-174.pdf#page=1","Abrir facsímil")</f>
        <v>Abrir facsímil</v>
      </c>
      <c r="K1669" s="3" t="s">
        <v>23</v>
      </c>
    </row>
    <row r="1670" spans="1:11" ht="42" customHeight="1">
      <c r="A1670" s="2" t="s">
        <v>4602</v>
      </c>
      <c r="B1670" s="2" t="s">
        <v>4602</v>
      </c>
      <c r="C1670" s="2" t="s">
        <v>17</v>
      </c>
      <c r="D1670" s="2" t="s">
        <v>18</v>
      </c>
      <c r="E1670" s="4">
        <v>-32127</v>
      </c>
      <c r="F1670" s="3" t="s">
        <v>88</v>
      </c>
      <c r="G1670" s="3" t="s">
        <v>1154</v>
      </c>
      <c r="H1670" s="2" t="s">
        <v>21</v>
      </c>
      <c r="I1670" s="2" t="s">
        <v>4603</v>
      </c>
      <c r="J1670" s="3" t="str">
        <f>HYPERLINK("https://www.boe.es/gazeta/dias/1812/01/14/pdfs/GEI-1812-6.pdf#page=7","Abrir facsímil")</f>
        <v>Abrir facsímil</v>
      </c>
      <c r="K1670" s="3" t="s">
        <v>23</v>
      </c>
    </row>
    <row r="1671" spans="1:11" ht="42" customHeight="1">
      <c r="A1671" s="2" t="s">
        <v>4602</v>
      </c>
      <c r="B1671" s="2" t="s">
        <v>4602</v>
      </c>
      <c r="C1671" s="2" t="s">
        <v>17</v>
      </c>
      <c r="D1671" s="2" t="s">
        <v>18</v>
      </c>
      <c r="E1671" s="4">
        <v>-32080</v>
      </c>
      <c r="F1671" s="3" t="s">
        <v>4604</v>
      </c>
      <c r="G1671" s="3" t="s">
        <v>965</v>
      </c>
      <c r="H1671" s="2" t="s">
        <v>21</v>
      </c>
      <c r="I1671" s="2" t="s">
        <v>4605</v>
      </c>
      <c r="J1671" s="3" t="str">
        <f>HYPERLINK("https://www.boe.es/gazeta/dias/1812/03/01/pdfs/GMD-1812-61.pdf#page=4","Abrir facsímil")</f>
        <v>Abrir facsímil</v>
      </c>
      <c r="K1671" s="3" t="s">
        <v>23</v>
      </c>
    </row>
    <row r="1672" spans="1:11" ht="42" customHeight="1">
      <c r="A1672" s="2" t="s">
        <v>4602</v>
      </c>
      <c r="B1672" s="2" t="s">
        <v>4602</v>
      </c>
      <c r="C1672" s="2" t="s">
        <v>17</v>
      </c>
      <c r="D1672" s="2" t="s">
        <v>18</v>
      </c>
      <c r="E1672" s="4">
        <v>-31817</v>
      </c>
      <c r="F1672" s="3" t="s">
        <v>454</v>
      </c>
      <c r="G1672" s="3" t="s">
        <v>217</v>
      </c>
      <c r="H1672" s="2" t="s">
        <v>21</v>
      </c>
      <c r="I1672" s="2" t="s">
        <v>4606</v>
      </c>
      <c r="J1672" s="3" t="str">
        <f>HYPERLINK("https://www.boe.es/gazeta/dias/1812/11/19/pdfs/GRE-1812-154.pdf#page=5","Abrir facsímil")</f>
        <v>Abrir facsímil</v>
      </c>
      <c r="K1672" s="3" t="s">
        <v>23</v>
      </c>
    </row>
    <row r="1673" spans="1:11" ht="42" customHeight="1">
      <c r="A1673" s="2" t="s">
        <v>4607</v>
      </c>
      <c r="B1673" s="2" t="s">
        <v>4608</v>
      </c>
      <c r="C1673" s="2" t="s">
        <v>17</v>
      </c>
      <c r="D1673" s="2" t="s">
        <v>18</v>
      </c>
      <c r="E1673" s="4">
        <v>-32127</v>
      </c>
      <c r="F1673" s="3" t="s">
        <v>88</v>
      </c>
      <c r="G1673" s="3" t="s">
        <v>1154</v>
      </c>
      <c r="H1673" s="2" t="s">
        <v>21</v>
      </c>
      <c r="I1673" s="2" t="s">
        <v>4609</v>
      </c>
      <c r="J1673" s="3" t="str">
        <f>HYPERLINK("https://www.boe.es/gazeta/dias/1812/01/14/pdfs/GEI-1812-6.pdf#page=7","Abrir facsímil")</f>
        <v>Abrir facsímil</v>
      </c>
      <c r="K1673" s="3" t="s">
        <v>23</v>
      </c>
    </row>
    <row r="1674" spans="1:11" ht="42" customHeight="1">
      <c r="A1674" s="2" t="s">
        <v>4610</v>
      </c>
      <c r="B1674" s="2" t="s">
        <v>4611</v>
      </c>
      <c r="C1674" s="2" t="s">
        <v>26</v>
      </c>
      <c r="D1674" s="2" t="s">
        <v>27</v>
      </c>
      <c r="E1674" s="4">
        <v>-31931</v>
      </c>
      <c r="F1674" s="3" t="s">
        <v>4174</v>
      </c>
      <c r="G1674" s="3" t="s">
        <v>336</v>
      </c>
      <c r="H1674" s="2" t="s">
        <v>21</v>
      </c>
      <c r="I1674" s="2" t="s">
        <v>4612</v>
      </c>
      <c r="J1674" s="3" t="str">
        <f>HYPERLINK("https://www.boe.es/gazeta/dias/1812/07/28/pdfs/GRE-1812-94.pdf#page=7","Abrir facsímil")</f>
        <v>Abrir facsímil</v>
      </c>
      <c r="K1674" s="3" t="s">
        <v>23</v>
      </c>
    </row>
    <row r="1675" spans="1:11" ht="42" customHeight="1">
      <c r="A1675" s="2" t="s">
        <v>4613</v>
      </c>
      <c r="B1675" s="2" t="s">
        <v>4614</v>
      </c>
      <c r="C1675" s="2" t="s">
        <v>26</v>
      </c>
      <c r="D1675" s="2" t="s">
        <v>27</v>
      </c>
      <c r="E1675" s="4">
        <v>-32010</v>
      </c>
      <c r="F1675" s="3" t="s">
        <v>243</v>
      </c>
      <c r="G1675" s="3" t="s">
        <v>45</v>
      </c>
      <c r="H1675" s="2" t="s">
        <v>21</v>
      </c>
      <c r="I1675" s="2" t="s">
        <v>4615</v>
      </c>
      <c r="J1675" s="3" t="str">
        <f>HYPERLINK("https://www.boe.es/gazeta/dias/1812/05/10/pdfs/GMD-1812-131.pdf#page=3","Abrir facsímil")</f>
        <v>Abrir facsímil</v>
      </c>
      <c r="K1675" s="3" t="s">
        <v>23</v>
      </c>
    </row>
    <row r="1676" spans="1:11" ht="42" customHeight="1">
      <c r="A1676" s="2" t="s">
        <v>4616</v>
      </c>
      <c r="B1676" s="2" t="s">
        <v>4617</v>
      </c>
      <c r="C1676" s="2" t="s">
        <v>26</v>
      </c>
      <c r="D1676" s="2" t="s">
        <v>27</v>
      </c>
      <c r="E1676" s="4">
        <v>-32114</v>
      </c>
      <c r="F1676" s="3" t="s">
        <v>480</v>
      </c>
      <c r="G1676" s="3" t="s">
        <v>481</v>
      </c>
      <c r="H1676" s="2" t="s">
        <v>21</v>
      </c>
      <c r="I1676" s="2" t="s">
        <v>4618</v>
      </c>
      <c r="J1676" s="3" t="str">
        <f>HYPERLINK("https://www.boe.es/gazeta/dias/1812/01/27/pdfs/GMD-1812-27.pdf#page=4","Abrir facsímil")</f>
        <v>Abrir facsímil</v>
      </c>
      <c r="K1676" s="3" t="s">
        <v>23</v>
      </c>
    </row>
    <row r="1677" spans="1:11" ht="42" customHeight="1">
      <c r="A1677" s="2" t="s">
        <v>4619</v>
      </c>
      <c r="B1677" s="2" t="s">
        <v>4620</v>
      </c>
      <c r="C1677" s="2" t="s">
        <v>26</v>
      </c>
      <c r="D1677" s="2" t="s">
        <v>27</v>
      </c>
      <c r="E1677" s="4">
        <v>-31994</v>
      </c>
      <c r="F1677" s="3" t="s">
        <v>207</v>
      </c>
      <c r="G1677" s="3" t="s">
        <v>1176</v>
      </c>
      <c r="H1677" s="2" t="s">
        <v>21</v>
      </c>
      <c r="I1677" s="2" t="s">
        <v>4621</v>
      </c>
      <c r="J1677" s="3" t="str">
        <f>HYPERLINK("https://www.boe.es/gazeta/dias/1812/05/26/pdfs/GRE-1812-65.pdf#page=8","Abrir facsímil")</f>
        <v>Abrir facsímil</v>
      </c>
      <c r="K1677" s="3" t="s">
        <v>23</v>
      </c>
    </row>
    <row r="1678" spans="1:11" ht="42" customHeight="1">
      <c r="A1678" s="2" t="s">
        <v>4622</v>
      </c>
      <c r="B1678" s="2" t="s">
        <v>4622</v>
      </c>
      <c r="C1678" s="2" t="s">
        <v>17</v>
      </c>
      <c r="D1678" s="2" t="s">
        <v>27</v>
      </c>
      <c r="E1678" s="4">
        <v>-31777</v>
      </c>
      <c r="F1678" s="3" t="s">
        <v>960</v>
      </c>
      <c r="G1678" s="3" t="s">
        <v>125</v>
      </c>
      <c r="H1678" s="2" t="s">
        <v>21</v>
      </c>
      <c r="I1678" s="2" t="s">
        <v>4623</v>
      </c>
      <c r="J1678" s="3" t="str">
        <f>HYPERLINK("https://www.boe.es/gazeta/dias/1812/12/29/pdfs/GMD-1812-252.pdf#page=3","Abrir facsímil")</f>
        <v>Abrir facsímil</v>
      </c>
      <c r="K1678" s="3" t="s">
        <v>23</v>
      </c>
    </row>
    <row r="1679" spans="1:11" ht="42" customHeight="1">
      <c r="A1679" s="2" t="s">
        <v>4624</v>
      </c>
      <c r="B1679" s="2" t="s">
        <v>4624</v>
      </c>
      <c r="C1679" s="2" t="s">
        <v>17</v>
      </c>
      <c r="D1679" s="2" t="s">
        <v>18</v>
      </c>
      <c r="E1679" s="4">
        <v>-31775</v>
      </c>
      <c r="F1679" s="3" t="s">
        <v>3760</v>
      </c>
      <c r="G1679" s="3" t="s">
        <v>4625</v>
      </c>
      <c r="H1679" s="2" t="s">
        <v>21</v>
      </c>
      <c r="I1679" s="2" t="s">
        <v>4626</v>
      </c>
      <c r="J1679" s="3" t="str">
        <f>HYPERLINK("https://www.boe.es/gazeta/dias/1812/12/31/pdfs/GMD-1812-254.pdf#page=3","Abrir facsímil")</f>
        <v>Abrir facsímil</v>
      </c>
      <c r="K1679" s="3" t="s">
        <v>23</v>
      </c>
    </row>
    <row r="1680" spans="1:11" ht="42" customHeight="1">
      <c r="A1680" s="2" t="s">
        <v>4627</v>
      </c>
      <c r="B1680" s="2" t="s">
        <v>4628</v>
      </c>
      <c r="C1680" s="2" t="s">
        <v>26</v>
      </c>
      <c r="D1680" s="2" t="s">
        <v>275</v>
      </c>
      <c r="E1680" s="4">
        <v>-31988</v>
      </c>
      <c r="F1680" s="3" t="s">
        <v>1094</v>
      </c>
      <c r="G1680" s="3" t="s">
        <v>1095</v>
      </c>
      <c r="H1680" s="2" t="s">
        <v>21</v>
      </c>
      <c r="I1680" s="2" t="s">
        <v>4629</v>
      </c>
      <c r="J1680" s="3" t="str">
        <f>HYPERLINK("https://www.boe.es/gazeta/dias/1812/06/01/pdfs/GMD-1812-153.pdf#page=2","Abrir facsímil")</f>
        <v>Abrir facsímil</v>
      </c>
      <c r="K1680" s="3" t="s">
        <v>23</v>
      </c>
    </row>
    <row r="1681" spans="1:11" ht="42" customHeight="1">
      <c r="A1681" s="2" t="s">
        <v>4630</v>
      </c>
      <c r="B1681" s="2" t="s">
        <v>4630</v>
      </c>
      <c r="C1681" s="2" t="s">
        <v>17</v>
      </c>
      <c r="D1681" s="2" t="s">
        <v>18</v>
      </c>
      <c r="E1681" s="4">
        <v>-32095</v>
      </c>
      <c r="F1681" s="3" t="s">
        <v>181</v>
      </c>
      <c r="G1681" s="3" t="s">
        <v>404</v>
      </c>
      <c r="H1681" s="2" t="s">
        <v>21</v>
      </c>
      <c r="I1681" s="2" t="s">
        <v>4631</v>
      </c>
      <c r="J1681" s="3" t="str">
        <f>HYPERLINK("https://www.boe.es/gazeta/dias/1812/02/15/pdfs/GMD-1812-47.pdf#page=1","Abrir facsímil")</f>
        <v>Abrir facsímil</v>
      </c>
      <c r="K1681" s="3" t="s">
        <v>23</v>
      </c>
    </row>
    <row r="1682" spans="1:11" ht="42" customHeight="1">
      <c r="A1682" s="2" t="s">
        <v>4630</v>
      </c>
      <c r="B1682" s="2" t="s">
        <v>4630</v>
      </c>
      <c r="C1682" s="2" t="s">
        <v>17</v>
      </c>
      <c r="D1682" s="2" t="s">
        <v>18</v>
      </c>
      <c r="E1682" s="4">
        <v>-32094</v>
      </c>
      <c r="F1682" s="3" t="s">
        <v>181</v>
      </c>
      <c r="G1682" s="3" t="s">
        <v>404</v>
      </c>
      <c r="H1682" s="2" t="s">
        <v>21</v>
      </c>
      <c r="I1682" s="2" t="s">
        <v>4631</v>
      </c>
      <c r="J1682" s="3" t="str">
        <f>HYPERLINK("https://www.boe.es/gazeta/dias/1812/02/16/pdfs/GMD-1812-47.pdf#page=1","Abrir facsímil")</f>
        <v>Abrir facsímil</v>
      </c>
      <c r="K1682" s="3" t="s">
        <v>23</v>
      </c>
    </row>
    <row r="1683" spans="1:11" ht="42" customHeight="1">
      <c r="A1683" s="2" t="s">
        <v>4630</v>
      </c>
      <c r="B1683" s="2" t="s">
        <v>4630</v>
      </c>
      <c r="C1683" s="2" t="s">
        <v>17</v>
      </c>
      <c r="D1683" s="2" t="s">
        <v>27</v>
      </c>
      <c r="E1683" s="4">
        <v>-32089</v>
      </c>
      <c r="F1683" s="3" t="s">
        <v>1918</v>
      </c>
      <c r="G1683" s="3" t="s">
        <v>58</v>
      </c>
      <c r="H1683" s="2" t="s">
        <v>21</v>
      </c>
      <c r="I1683" s="2" t="s">
        <v>4632</v>
      </c>
      <c r="J1683" s="3" t="str">
        <f>HYPERLINK("https://www.boe.es/gazeta/dias/1812/02/21/pdfs/GMD-1812-52.pdf#page=2","Abrir facsímil")</f>
        <v>Abrir facsímil</v>
      </c>
      <c r="K1683" s="3" t="s">
        <v>23</v>
      </c>
    </row>
    <row r="1684" spans="1:11" ht="42" customHeight="1">
      <c r="A1684" s="2" t="s">
        <v>4633</v>
      </c>
      <c r="B1684" s="2" t="s">
        <v>4634</v>
      </c>
      <c r="C1684" s="2" t="s">
        <v>26</v>
      </c>
      <c r="D1684" s="2" t="s">
        <v>27</v>
      </c>
      <c r="E1684" s="4">
        <v>-31931</v>
      </c>
      <c r="F1684" s="3" t="s">
        <v>4174</v>
      </c>
      <c r="G1684" s="3" t="s">
        <v>4175</v>
      </c>
      <c r="H1684" s="2" t="s">
        <v>30</v>
      </c>
      <c r="I1684" s="2" t="s">
        <v>4635</v>
      </c>
      <c r="J1684" s="3" t="str">
        <f>HYPERLINK("https://www.boe.es/gazeta/dias/1812/07/28/pdfs/GRE-1812-94.pdf#page=5","Abrir facsímil")</f>
        <v>Abrir facsímil</v>
      </c>
      <c r="K1684" s="3" t="s">
        <v>32</v>
      </c>
    </row>
    <row r="1685" spans="1:11" ht="42" customHeight="1">
      <c r="A1685" s="2" t="s">
        <v>4636</v>
      </c>
      <c r="B1685" s="2" t="s">
        <v>4637</v>
      </c>
      <c r="C1685" s="2" t="s">
        <v>26</v>
      </c>
      <c r="D1685" s="2" t="s">
        <v>27</v>
      </c>
      <c r="E1685" s="4">
        <v>-31857</v>
      </c>
      <c r="F1685" s="3" t="s">
        <v>1000</v>
      </c>
      <c r="G1685" s="3" t="s">
        <v>1001</v>
      </c>
      <c r="H1685" s="2" t="s">
        <v>21</v>
      </c>
      <c r="I1685" s="2" t="s">
        <v>4638</v>
      </c>
      <c r="J1685" s="3" t="str">
        <f>HYPERLINK("https://www.boe.es/gazeta/dias/1812/10/10/pdfs/GRE-1812-137.pdf#page=7","Abrir facsímil")</f>
        <v>Abrir facsímil</v>
      </c>
      <c r="K1685" s="3" t="s">
        <v>23</v>
      </c>
    </row>
    <row r="1686" spans="1:11" ht="42" customHeight="1">
      <c r="A1686" s="2" t="s">
        <v>4639</v>
      </c>
      <c r="B1686" s="2" t="s">
        <v>4640</v>
      </c>
      <c r="C1686" s="2" t="s">
        <v>26</v>
      </c>
      <c r="D1686" s="2" t="s">
        <v>27</v>
      </c>
      <c r="E1686" s="4">
        <v>-32034</v>
      </c>
      <c r="F1686" s="3" t="s">
        <v>28</v>
      </c>
      <c r="G1686" s="3" t="s">
        <v>29</v>
      </c>
      <c r="H1686" s="2" t="s">
        <v>21</v>
      </c>
      <c r="I1686" s="2" t="s">
        <v>4641</v>
      </c>
      <c r="J1686" s="3" t="str">
        <f>HYPERLINK("https://www.boe.es/gazeta/dias/1812/04/16/pdfs/GMD-1812-107.pdf#page=8","Abrir facsímil")</f>
        <v>Abrir facsímil</v>
      </c>
      <c r="K1686" s="3" t="s">
        <v>23</v>
      </c>
    </row>
    <row r="1687" spans="1:11" ht="42" customHeight="1">
      <c r="A1687" s="2" t="s">
        <v>4642</v>
      </c>
      <c r="B1687" s="2" t="s">
        <v>4643</v>
      </c>
      <c r="C1687" s="2" t="s">
        <v>186</v>
      </c>
      <c r="D1687" s="2" t="s">
        <v>27</v>
      </c>
      <c r="E1687" s="4">
        <v>-32109</v>
      </c>
      <c r="F1687" s="3" t="s">
        <v>62</v>
      </c>
      <c r="G1687" s="3" t="s">
        <v>106</v>
      </c>
      <c r="H1687" s="2" t="s">
        <v>21</v>
      </c>
      <c r="I1687" s="2" t="s">
        <v>4644</v>
      </c>
      <c r="J1687" s="3" t="str">
        <f>HYPERLINK("https://www.boe.es/gazeta/dias/1812/02/01/pdfs/GRE-1812-14.pdf#page=11","Abrir facsímil")</f>
        <v>Abrir facsímil</v>
      </c>
      <c r="K1687" s="3" t="s">
        <v>23</v>
      </c>
    </row>
    <row r="1688" spans="1:11" ht="42" customHeight="1">
      <c r="A1688" s="2" t="s">
        <v>4645</v>
      </c>
      <c r="B1688" s="2" t="s">
        <v>4646</v>
      </c>
      <c r="C1688" s="2" t="s">
        <v>26</v>
      </c>
      <c r="D1688" s="2" t="s">
        <v>27</v>
      </c>
      <c r="E1688" s="4">
        <v>-32069</v>
      </c>
      <c r="F1688" s="3" t="s">
        <v>445</v>
      </c>
      <c r="G1688" s="3" t="s">
        <v>446</v>
      </c>
      <c r="H1688" s="2" t="s">
        <v>21</v>
      </c>
      <c r="I1688" s="2" t="s">
        <v>4647</v>
      </c>
      <c r="J1688" s="3" t="str">
        <f>HYPERLINK("https://www.boe.es/gazeta/dias/1812/03/12/pdfs/GRE-1812-32.pdf#page=8","Abrir facsímil")</f>
        <v>Abrir facsímil</v>
      </c>
      <c r="K1688" s="3" t="s">
        <v>23</v>
      </c>
    </row>
    <row r="1689" spans="1:11" ht="42" customHeight="1">
      <c r="A1689" s="2" t="s">
        <v>4648</v>
      </c>
      <c r="B1689" s="2" t="s">
        <v>4649</v>
      </c>
      <c r="C1689" s="2" t="s">
        <v>26</v>
      </c>
      <c r="D1689" s="2" t="s">
        <v>27</v>
      </c>
      <c r="E1689" s="4">
        <v>-31938</v>
      </c>
      <c r="F1689" s="3" t="s">
        <v>324</v>
      </c>
      <c r="G1689" s="3" t="s">
        <v>404</v>
      </c>
      <c r="H1689" s="2" t="s">
        <v>21</v>
      </c>
      <c r="I1689" s="2" t="s">
        <v>4650</v>
      </c>
      <c r="J1689" s="3" t="str">
        <f>HYPERLINK("https://www.boe.es/gazeta/dias/1812/07/21/pdfs/GMD-1812-203.pdf#page=4","Abrir facsímil")</f>
        <v>Abrir facsímil</v>
      </c>
      <c r="K1689" s="3" t="s">
        <v>23</v>
      </c>
    </row>
    <row r="1690" spans="1:11" ht="42" customHeight="1">
      <c r="A1690" s="2" t="s">
        <v>4651</v>
      </c>
      <c r="B1690" s="2" t="s">
        <v>4652</v>
      </c>
      <c r="C1690" s="2" t="s">
        <v>26</v>
      </c>
      <c r="D1690" s="2" t="s">
        <v>275</v>
      </c>
      <c r="E1690" s="4">
        <v>-32101</v>
      </c>
      <c r="F1690" s="3" t="s">
        <v>228</v>
      </c>
      <c r="G1690" s="3" t="s">
        <v>58</v>
      </c>
      <c r="H1690" s="2" t="s">
        <v>21</v>
      </c>
      <c r="I1690" s="2" t="s">
        <v>4653</v>
      </c>
      <c r="J1690" s="3" t="str">
        <f>HYPERLINK("https://www.boe.es/gazeta/dias/1812/02/09/pdfs/GMD-1812-40.pdf#page=4","Abrir facsímil")</f>
        <v>Abrir facsímil</v>
      </c>
      <c r="K1690" s="3" t="s">
        <v>23</v>
      </c>
    </row>
    <row r="1691" spans="1:11" ht="42" customHeight="1">
      <c r="A1691" s="2" t="s">
        <v>4654</v>
      </c>
      <c r="B1691" s="2" t="s">
        <v>4655</v>
      </c>
      <c r="C1691" s="2" t="s">
        <v>26</v>
      </c>
      <c r="D1691" s="2" t="s">
        <v>27</v>
      </c>
      <c r="E1691" s="4">
        <v>-31969</v>
      </c>
      <c r="F1691" s="3" t="s">
        <v>83</v>
      </c>
      <c r="G1691" s="3" t="s">
        <v>84</v>
      </c>
      <c r="H1691" s="2" t="s">
        <v>21</v>
      </c>
      <c r="I1691" s="2" t="s">
        <v>4656</v>
      </c>
      <c r="J1691" s="3" t="str">
        <f>HYPERLINK("https://www.boe.es/gazeta/dias/1812/06/20/pdfs/GRE-1812-76.pdf#page=8","Abrir facsímil")</f>
        <v>Abrir facsímil</v>
      </c>
      <c r="K1691" s="3" t="s">
        <v>23</v>
      </c>
    </row>
    <row r="1692" spans="1:11" ht="42" customHeight="1">
      <c r="A1692" s="2" t="s">
        <v>4657</v>
      </c>
      <c r="B1692" s="2" t="s">
        <v>4658</v>
      </c>
      <c r="C1692" s="2" t="s">
        <v>26</v>
      </c>
      <c r="D1692" s="2" t="s">
        <v>27</v>
      </c>
      <c r="E1692" s="4">
        <v>-31938</v>
      </c>
      <c r="F1692" s="3" t="s">
        <v>324</v>
      </c>
      <c r="G1692" s="3" t="s">
        <v>497</v>
      </c>
      <c r="H1692" s="2" t="s">
        <v>21</v>
      </c>
      <c r="I1692" s="2" t="s">
        <v>4659</v>
      </c>
      <c r="J1692" s="3" t="str">
        <f>HYPERLINK("https://www.boe.es/gazeta/dias/1812/07/21/pdfs/GMD-1812-203.pdf#page=3","Abrir facsímil")</f>
        <v>Abrir facsímil</v>
      </c>
      <c r="K1692" s="3" t="s">
        <v>23</v>
      </c>
    </row>
    <row r="1693" spans="1:11" ht="42" customHeight="1">
      <c r="A1693" s="2" t="s">
        <v>4660</v>
      </c>
      <c r="B1693" s="2" t="s">
        <v>4661</v>
      </c>
      <c r="C1693" s="2" t="s">
        <v>67</v>
      </c>
      <c r="D1693" s="2" t="s">
        <v>27</v>
      </c>
      <c r="E1693" s="4">
        <v>-31901</v>
      </c>
      <c r="F1693" s="3" t="s">
        <v>2199</v>
      </c>
      <c r="G1693" s="3" t="s">
        <v>4662</v>
      </c>
      <c r="H1693" s="2" t="s">
        <v>21</v>
      </c>
      <c r="I1693" s="2" t="s">
        <v>4663</v>
      </c>
      <c r="J1693" s="3" t="str">
        <f>HYPERLINK("https://www.boe.es/gazeta/dias/1812/08/27/pdfs/GRE-1812-111.pdf#page=7","Abrir facsímil")</f>
        <v>Abrir facsímil</v>
      </c>
      <c r="K1693" s="3" t="s">
        <v>23</v>
      </c>
    </row>
    <row r="1694" spans="1:11" ht="42" customHeight="1">
      <c r="A1694" s="2" t="s">
        <v>4664</v>
      </c>
      <c r="B1694" s="2" t="s">
        <v>4664</v>
      </c>
      <c r="C1694" s="2" t="s">
        <v>17</v>
      </c>
      <c r="D1694" s="2" t="s">
        <v>18</v>
      </c>
      <c r="E1694" s="4">
        <v>-32040</v>
      </c>
      <c r="F1694" s="3" t="s">
        <v>682</v>
      </c>
      <c r="G1694" s="3" t="s">
        <v>45</v>
      </c>
      <c r="H1694" s="2" t="s">
        <v>21</v>
      </c>
      <c r="I1694" s="2" t="s">
        <v>4665</v>
      </c>
      <c r="J1694" s="3" t="str">
        <f>HYPERLINK("https://www.boe.es/gazeta/dias/1812/04/10/pdfs/GMD-1812-101.pdf#page=2","Abrir facsímil")</f>
        <v>Abrir facsímil</v>
      </c>
      <c r="K1694" s="3" t="s">
        <v>23</v>
      </c>
    </row>
    <row r="1695" spans="1:11" ht="42" customHeight="1">
      <c r="A1695" s="2" t="s">
        <v>4666</v>
      </c>
      <c r="B1695" s="2" t="s">
        <v>4667</v>
      </c>
      <c r="C1695" s="2" t="s">
        <v>26</v>
      </c>
      <c r="D1695" s="2" t="s">
        <v>27</v>
      </c>
      <c r="E1695" s="4">
        <v>-32034</v>
      </c>
      <c r="F1695" s="3" t="s">
        <v>28</v>
      </c>
      <c r="G1695" s="3" t="s">
        <v>794</v>
      </c>
      <c r="H1695" s="2" t="s">
        <v>21</v>
      </c>
      <c r="I1695" s="2" t="s">
        <v>4668</v>
      </c>
      <c r="J1695" s="3" t="str">
        <f>HYPERLINK("https://www.boe.es/gazeta/dias/1812/04/16/pdfs/GMD-1812-107.pdf#page=7","Abrir facsímil")</f>
        <v>Abrir facsímil</v>
      </c>
      <c r="K1695" s="3" t="s">
        <v>23</v>
      </c>
    </row>
    <row r="1696" spans="1:11" ht="42" customHeight="1">
      <c r="A1696" s="2" t="s">
        <v>4669</v>
      </c>
      <c r="B1696" s="2" t="s">
        <v>4670</v>
      </c>
      <c r="C1696" s="2" t="s">
        <v>115</v>
      </c>
      <c r="D1696" s="2" t="s">
        <v>27</v>
      </c>
      <c r="E1696" s="4">
        <v>-32062</v>
      </c>
      <c r="F1696" s="3" t="s">
        <v>280</v>
      </c>
      <c r="G1696" s="3" t="s">
        <v>20</v>
      </c>
      <c r="H1696" s="2" t="s">
        <v>21</v>
      </c>
      <c r="I1696" s="2" t="s">
        <v>4671</v>
      </c>
      <c r="J1696" s="3" t="str">
        <f>HYPERLINK("https://www.boe.es/gazeta/dias/1812/03/19/pdfs/GMD-1812-79.pdf#page=4","Abrir facsímil")</f>
        <v>Abrir facsímil</v>
      </c>
      <c r="K1696" s="3" t="s">
        <v>23</v>
      </c>
    </row>
    <row r="1697" spans="1:11" ht="42" customHeight="1">
      <c r="A1697" s="2" t="s">
        <v>4672</v>
      </c>
      <c r="B1697" s="2" t="s">
        <v>4673</v>
      </c>
      <c r="C1697" s="2" t="s">
        <v>26</v>
      </c>
      <c r="D1697" s="2" t="s">
        <v>27</v>
      </c>
      <c r="E1697" s="4">
        <v>-32085</v>
      </c>
      <c r="F1697" s="3" t="s">
        <v>3321</v>
      </c>
      <c r="G1697" s="3" t="s">
        <v>217</v>
      </c>
      <c r="H1697" s="2" t="s">
        <v>21</v>
      </c>
      <c r="I1697" s="2" t="s">
        <v>4674</v>
      </c>
      <c r="J1697" s="3" t="str">
        <f>HYPERLINK("https://www.boe.es/gazeta/dias/1812/02/25/pdfs/GRE-1812-25.pdf#page=7","Abrir facsímil")</f>
        <v>Abrir facsímil</v>
      </c>
      <c r="K1697" s="3" t="s">
        <v>23</v>
      </c>
    </row>
    <row r="1698" spans="1:11" ht="42" customHeight="1">
      <c r="A1698" s="2" t="s">
        <v>4675</v>
      </c>
      <c r="B1698" s="2" t="s">
        <v>4675</v>
      </c>
      <c r="C1698" s="2" t="s">
        <v>17</v>
      </c>
      <c r="D1698" s="2" t="s">
        <v>18</v>
      </c>
      <c r="E1698" s="4">
        <v>-31819</v>
      </c>
      <c r="F1698" s="3" t="s">
        <v>1770</v>
      </c>
      <c r="G1698" s="3" t="s">
        <v>45</v>
      </c>
      <c r="H1698" s="2" t="s">
        <v>21</v>
      </c>
      <c r="I1698" s="2" t="s">
        <v>4676</v>
      </c>
      <c r="J1698" s="3" t="str">
        <f>HYPERLINK("https://www.boe.es/gazeta/dias/1812/11/17/pdfs/GRE-1812-153.pdf#page=3","Abrir facsímil")</f>
        <v>Abrir facsímil</v>
      </c>
      <c r="K1698" s="3" t="s">
        <v>23</v>
      </c>
    </row>
    <row r="1699" spans="1:11" ht="42" customHeight="1">
      <c r="A1699" s="2" t="s">
        <v>4677</v>
      </c>
      <c r="B1699" s="2" t="s">
        <v>4678</v>
      </c>
      <c r="C1699" s="2" t="s">
        <v>26</v>
      </c>
      <c r="D1699" s="2" t="s">
        <v>27</v>
      </c>
      <c r="E1699" s="4">
        <v>-31938</v>
      </c>
      <c r="F1699" s="3" t="s">
        <v>370</v>
      </c>
      <c r="G1699" s="3" t="s">
        <v>371</v>
      </c>
      <c r="H1699" s="2" t="s">
        <v>21</v>
      </c>
      <c r="I1699" s="2" t="s">
        <v>4679</v>
      </c>
      <c r="J1699" s="3" t="str">
        <f>HYPERLINK("https://www.boe.es/gazeta/dias/1812/07/21/pdfs/GRE-1812-91.pdf#page=8","Abrir facsímil")</f>
        <v>Abrir facsímil</v>
      </c>
      <c r="K1699" s="3" t="s">
        <v>23</v>
      </c>
    </row>
    <row r="1700" spans="1:11" ht="42" customHeight="1">
      <c r="A1700" s="2" t="s">
        <v>4680</v>
      </c>
      <c r="B1700" s="2" t="s">
        <v>4681</v>
      </c>
      <c r="C1700" s="2" t="s">
        <v>17</v>
      </c>
      <c r="D1700" s="2" t="s">
        <v>27</v>
      </c>
      <c r="E1700" s="4">
        <v>-32005</v>
      </c>
      <c r="F1700" s="3" t="s">
        <v>2696</v>
      </c>
      <c r="G1700" s="3" t="s">
        <v>140</v>
      </c>
      <c r="H1700" s="2" t="s">
        <v>21</v>
      </c>
      <c r="I1700" s="2" t="s">
        <v>4682</v>
      </c>
      <c r="J1700" s="3" t="str">
        <f>HYPERLINK("https://www.boe.es/gazeta/dias/1812/05/15/pdfs/GMD-1812-136.pdf#page=2","Abrir facsímil")</f>
        <v>Abrir facsímil</v>
      </c>
      <c r="K1700" s="3" t="s">
        <v>23</v>
      </c>
    </row>
    <row r="1701" spans="1:11" ht="42" customHeight="1">
      <c r="A1701" s="2" t="s">
        <v>4683</v>
      </c>
      <c r="B1701" s="2" t="s">
        <v>4684</v>
      </c>
      <c r="C1701" s="2" t="s">
        <v>49</v>
      </c>
      <c r="D1701" s="2" t="s">
        <v>275</v>
      </c>
      <c r="E1701" s="4">
        <v>-31873</v>
      </c>
      <c r="F1701" s="3" t="s">
        <v>213</v>
      </c>
      <c r="G1701" s="3" t="s">
        <v>58</v>
      </c>
      <c r="H1701" s="2" t="s">
        <v>21</v>
      </c>
      <c r="I1701" s="2" t="s">
        <v>4685</v>
      </c>
      <c r="J1701" s="3" t="str">
        <f>HYPERLINK("https://www.boe.es/gazeta/dias/1812/09/24/pdfs/GMR-1812-18.pdf#page=4","Abrir facsímil")</f>
        <v>Abrir facsímil</v>
      </c>
      <c r="K1701" s="3" t="s">
        <v>23</v>
      </c>
    </row>
    <row r="1702" spans="1:11" ht="42" customHeight="1">
      <c r="A1702" s="2" t="s">
        <v>4686</v>
      </c>
      <c r="B1702" s="2" t="s">
        <v>4686</v>
      </c>
      <c r="C1702" s="2" t="s">
        <v>67</v>
      </c>
      <c r="D1702" s="2" t="s">
        <v>27</v>
      </c>
      <c r="E1702" s="4">
        <v>-31796</v>
      </c>
      <c r="F1702" s="3" t="s">
        <v>649</v>
      </c>
      <c r="G1702" s="3" t="s">
        <v>2280</v>
      </c>
      <c r="H1702" s="2" t="s">
        <v>21</v>
      </c>
      <c r="I1702" s="2" t="s">
        <v>4687</v>
      </c>
      <c r="J1702" s="3" t="str">
        <f>HYPERLINK("https://www.boe.es/gazeta/dias/1812/12/10/pdfs/GMD-1812-233.pdf#page=1","Abrir facsímil")</f>
        <v>Abrir facsímil</v>
      </c>
      <c r="K1702" s="3" t="s">
        <v>23</v>
      </c>
    </row>
    <row r="1703" spans="1:11" ht="42" customHeight="1">
      <c r="A1703" s="2" t="s">
        <v>4688</v>
      </c>
      <c r="B1703" s="2" t="s">
        <v>4689</v>
      </c>
      <c r="C1703" s="2" t="s">
        <v>17</v>
      </c>
      <c r="D1703" s="2" t="s">
        <v>27</v>
      </c>
      <c r="E1703" s="4">
        <v>-31887</v>
      </c>
      <c r="F1703" s="3" t="s">
        <v>701</v>
      </c>
      <c r="G1703" s="3" t="s">
        <v>237</v>
      </c>
      <c r="H1703" s="2" t="s">
        <v>21</v>
      </c>
      <c r="I1703" s="2" t="s">
        <v>4690</v>
      </c>
      <c r="J1703" s="3" t="str">
        <f>HYPERLINK("https://www.boe.es/gazeta/dias/1812/09/10/pdfs/GMR-1812-12.pdf#page=8","Abrir facsímil")</f>
        <v>Abrir facsímil</v>
      </c>
      <c r="K1703" s="3" t="s">
        <v>23</v>
      </c>
    </row>
    <row r="1704" spans="1:11" ht="42" customHeight="1">
      <c r="A1704" s="2" t="s">
        <v>4691</v>
      </c>
      <c r="B1704" s="2" t="s">
        <v>4692</v>
      </c>
      <c r="C1704" s="2" t="s">
        <v>49</v>
      </c>
      <c r="D1704" s="2" t="s">
        <v>27</v>
      </c>
      <c r="E1704" s="4">
        <v>-31878</v>
      </c>
      <c r="F1704" s="3" t="s">
        <v>1831</v>
      </c>
      <c r="G1704" s="3" t="s">
        <v>4385</v>
      </c>
      <c r="H1704" s="2" t="s">
        <v>21</v>
      </c>
      <c r="I1704" s="2" t="s">
        <v>4693</v>
      </c>
      <c r="J1704" s="3" t="str">
        <f>HYPERLINK("https://www.boe.es/gazeta/dias/1812/09/19/pdfs/GMR-1812-16.pdf#page=4","Abrir facsímil")</f>
        <v>Abrir facsímil</v>
      </c>
      <c r="K1704" s="3" t="s">
        <v>23</v>
      </c>
    </row>
    <row r="1705" spans="1:11" ht="42" customHeight="1">
      <c r="A1705" s="2" t="s">
        <v>4691</v>
      </c>
      <c r="B1705" s="2" t="s">
        <v>4692</v>
      </c>
      <c r="C1705" s="2" t="s">
        <v>49</v>
      </c>
      <c r="D1705" s="2" t="s">
        <v>18</v>
      </c>
      <c r="E1705" s="4">
        <v>-31875</v>
      </c>
      <c r="F1705" s="3" t="s">
        <v>708</v>
      </c>
      <c r="G1705" s="3" t="s">
        <v>4694</v>
      </c>
      <c r="H1705" s="2" t="s">
        <v>21</v>
      </c>
      <c r="I1705" s="2" t="s">
        <v>4695</v>
      </c>
      <c r="J1705" s="3" t="str">
        <f>HYPERLINK("https://www.boe.es/gazeta/dias/1812/09/22/pdfs/GMR-1812-17.pdf#page=10","Abrir facsímil")</f>
        <v>Abrir facsímil</v>
      </c>
      <c r="K1705" s="3" t="s">
        <v>23</v>
      </c>
    </row>
    <row r="1706" spans="1:11" ht="42" customHeight="1">
      <c r="A1706" s="2" t="s">
        <v>4691</v>
      </c>
      <c r="B1706" s="2" t="s">
        <v>4692</v>
      </c>
      <c r="C1706" s="2" t="s">
        <v>17</v>
      </c>
      <c r="D1706" s="2" t="s">
        <v>27</v>
      </c>
      <c r="E1706" s="4">
        <v>-31873</v>
      </c>
      <c r="F1706" s="3" t="s">
        <v>213</v>
      </c>
      <c r="G1706" s="3" t="s">
        <v>58</v>
      </c>
      <c r="H1706" s="2" t="s">
        <v>21</v>
      </c>
      <c r="I1706" s="2" t="s">
        <v>4696</v>
      </c>
      <c r="J1706" s="3" t="str">
        <f>HYPERLINK("https://www.boe.es/gazeta/dias/1812/09/24/pdfs/GMR-1812-18.pdf#page=4","Abrir facsímil")</f>
        <v>Abrir facsímil</v>
      </c>
      <c r="K1706" s="3" t="s">
        <v>23</v>
      </c>
    </row>
    <row r="1707" spans="1:11" ht="42" customHeight="1">
      <c r="A1707" s="2" t="s">
        <v>4697</v>
      </c>
      <c r="B1707" s="2" t="s">
        <v>4698</v>
      </c>
      <c r="C1707" s="2" t="s">
        <v>17</v>
      </c>
      <c r="D1707" s="2" t="s">
        <v>18</v>
      </c>
      <c r="E1707" s="4">
        <v>-32132</v>
      </c>
      <c r="F1707" s="3" t="s">
        <v>484</v>
      </c>
      <c r="G1707" s="3" t="s">
        <v>485</v>
      </c>
      <c r="H1707" s="2" t="s">
        <v>21</v>
      </c>
      <c r="I1707" s="2" t="s">
        <v>4699</v>
      </c>
      <c r="J1707" s="3" t="str">
        <f>HYPERLINK("https://www.boe.es/gazeta/dias/1812/01/09/pdfs/GEI-1812-4.pdf#page=8","Abrir facsímil")</f>
        <v>Abrir facsímil</v>
      </c>
      <c r="K1707" s="3" t="s">
        <v>23</v>
      </c>
    </row>
    <row r="1708" spans="1:11" ht="42" customHeight="1">
      <c r="A1708" s="2" t="s">
        <v>4700</v>
      </c>
      <c r="B1708" s="2" t="s">
        <v>4701</v>
      </c>
      <c r="C1708" s="2" t="s">
        <v>26</v>
      </c>
      <c r="D1708" s="2" t="s">
        <v>27</v>
      </c>
      <c r="E1708" s="4">
        <v>-31988</v>
      </c>
      <c r="F1708" s="3" t="s">
        <v>1094</v>
      </c>
      <c r="G1708" s="3" t="s">
        <v>1095</v>
      </c>
      <c r="H1708" s="2" t="s">
        <v>21</v>
      </c>
      <c r="I1708" s="2" t="s">
        <v>4702</v>
      </c>
      <c r="J1708" s="3" t="str">
        <f>HYPERLINK("https://www.boe.es/gazeta/dias/1812/06/01/pdfs/GMD-1812-153.pdf#page=2","Abrir facsímil")</f>
        <v>Abrir facsímil</v>
      </c>
      <c r="K1708" s="3" t="s">
        <v>23</v>
      </c>
    </row>
    <row r="1709" spans="1:11" ht="42" customHeight="1">
      <c r="A1709" s="2" t="s">
        <v>4703</v>
      </c>
      <c r="B1709" s="2" t="s">
        <v>4704</v>
      </c>
      <c r="C1709" s="2" t="s">
        <v>26</v>
      </c>
      <c r="D1709" s="2" t="s">
        <v>27</v>
      </c>
      <c r="E1709" s="4">
        <v>-31938</v>
      </c>
      <c r="F1709" s="3" t="s">
        <v>370</v>
      </c>
      <c r="G1709" s="3" t="s">
        <v>371</v>
      </c>
      <c r="H1709" s="2" t="s">
        <v>21</v>
      </c>
      <c r="I1709" s="2" t="s">
        <v>4705</v>
      </c>
      <c r="J1709" s="3" t="str">
        <f>HYPERLINK("https://www.boe.es/gazeta/dias/1812/07/21/pdfs/GRE-1812-91.pdf#page=8","Abrir facsímil")</f>
        <v>Abrir facsímil</v>
      </c>
      <c r="K1709" s="3" t="s">
        <v>23</v>
      </c>
    </row>
    <row r="1710" spans="1:11" ht="42" customHeight="1">
      <c r="A1710" s="2" t="s">
        <v>4706</v>
      </c>
      <c r="B1710" s="2" t="s">
        <v>4707</v>
      </c>
      <c r="C1710" s="2" t="s">
        <v>26</v>
      </c>
      <c r="D1710" s="2" t="s">
        <v>27</v>
      </c>
      <c r="E1710" s="4">
        <v>-32109</v>
      </c>
      <c r="F1710" s="3" t="s">
        <v>62</v>
      </c>
      <c r="G1710" s="3" t="s">
        <v>63</v>
      </c>
      <c r="H1710" s="2" t="s">
        <v>21</v>
      </c>
      <c r="I1710" s="2" t="s">
        <v>4708</v>
      </c>
      <c r="J1710" s="3" t="str">
        <f>HYPERLINK("https://www.boe.es/gazeta/dias/1812/02/01/pdfs/GRE-1812-14.pdf#page=10","Abrir facsímil")</f>
        <v>Abrir facsímil</v>
      </c>
      <c r="K1710" s="3" t="s">
        <v>23</v>
      </c>
    </row>
    <row r="1711" spans="1:11" ht="42" customHeight="1">
      <c r="A1711" s="2" t="s">
        <v>4709</v>
      </c>
      <c r="B1711" s="2" t="s">
        <v>4710</v>
      </c>
      <c r="C1711" s="2" t="s">
        <v>26</v>
      </c>
      <c r="D1711" s="2" t="s">
        <v>27</v>
      </c>
      <c r="E1711" s="4">
        <v>-32071</v>
      </c>
      <c r="F1711" s="3" t="s">
        <v>3601</v>
      </c>
      <c r="G1711" s="3" t="s">
        <v>2708</v>
      </c>
      <c r="H1711" s="2" t="s">
        <v>21</v>
      </c>
      <c r="I1711" s="2" t="s">
        <v>4711</v>
      </c>
      <c r="J1711" s="3" t="str">
        <f>HYPERLINK("https://www.boe.es/gazeta/dias/1812/03/10/pdfs/GMD-1812-70.pdf#page=4","Abrir facsímil")</f>
        <v>Abrir facsímil</v>
      </c>
      <c r="K1711" s="3" t="s">
        <v>23</v>
      </c>
    </row>
    <row r="1712" spans="1:11" ht="42" customHeight="1">
      <c r="A1712" s="2" t="s">
        <v>4709</v>
      </c>
      <c r="B1712" s="2" t="s">
        <v>4710</v>
      </c>
      <c r="C1712" s="2" t="s">
        <v>26</v>
      </c>
      <c r="D1712" s="2" t="s">
        <v>27</v>
      </c>
      <c r="E1712" s="4">
        <v>-31977</v>
      </c>
      <c r="F1712" s="3" t="s">
        <v>1566</v>
      </c>
      <c r="G1712" s="3" t="s">
        <v>4712</v>
      </c>
      <c r="H1712" s="2" t="s">
        <v>21</v>
      </c>
      <c r="I1712" s="2" t="s">
        <v>4713</v>
      </c>
      <c r="J1712" s="3" t="str">
        <f>HYPERLINK("https://www.boe.es/gazeta/dias/1812/06/12/pdfs/GMD-1812-164.pdf#page=4","Abrir facsímil")</f>
        <v>Abrir facsímil</v>
      </c>
      <c r="K1712" s="3" t="s">
        <v>23</v>
      </c>
    </row>
    <row r="1713" spans="1:11" ht="42" customHeight="1">
      <c r="A1713" s="2" t="s">
        <v>4714</v>
      </c>
      <c r="B1713" s="2" t="s">
        <v>4715</v>
      </c>
      <c r="C1713" s="2" t="s">
        <v>26</v>
      </c>
      <c r="D1713" s="2" t="s">
        <v>27</v>
      </c>
      <c r="E1713" s="4">
        <v>-31938</v>
      </c>
      <c r="F1713" s="3" t="s">
        <v>324</v>
      </c>
      <c r="G1713" s="3" t="s">
        <v>497</v>
      </c>
      <c r="H1713" s="2" t="s">
        <v>21</v>
      </c>
      <c r="I1713" s="2" t="s">
        <v>4716</v>
      </c>
      <c r="J1713" s="3" t="str">
        <f>HYPERLINK("https://www.boe.es/gazeta/dias/1812/07/21/pdfs/GMD-1812-203.pdf#page=3","Abrir facsímil")</f>
        <v>Abrir facsímil</v>
      </c>
      <c r="K1713" s="3" t="s">
        <v>23</v>
      </c>
    </row>
    <row r="1714" spans="1:11" ht="42" customHeight="1">
      <c r="A1714" s="2" t="s">
        <v>4717</v>
      </c>
      <c r="B1714" s="2" t="s">
        <v>4718</v>
      </c>
      <c r="C1714" s="2" t="s">
        <v>26</v>
      </c>
      <c r="D1714" s="2" t="s">
        <v>27</v>
      </c>
      <c r="E1714" s="4">
        <v>-32109</v>
      </c>
      <c r="F1714" s="3" t="s">
        <v>62</v>
      </c>
      <c r="G1714" s="3" t="s">
        <v>63</v>
      </c>
      <c r="H1714" s="2" t="s">
        <v>21</v>
      </c>
      <c r="I1714" s="2" t="s">
        <v>4719</v>
      </c>
      <c r="J1714" s="3" t="str">
        <f>HYPERLINK("https://www.boe.es/gazeta/dias/1812/02/01/pdfs/GRE-1812-14.pdf#page=10","Abrir facsímil")</f>
        <v>Abrir facsímil</v>
      </c>
      <c r="K1714" s="3" t="s">
        <v>23</v>
      </c>
    </row>
    <row r="1715" spans="1:11" ht="42" customHeight="1">
      <c r="A1715" s="2" t="s">
        <v>4720</v>
      </c>
      <c r="B1715" s="2" t="s">
        <v>4721</v>
      </c>
      <c r="C1715" s="2" t="s">
        <v>549</v>
      </c>
      <c r="D1715" s="2" t="s">
        <v>27</v>
      </c>
      <c r="E1715" s="4">
        <v>-32022</v>
      </c>
      <c r="F1715" s="3" t="s">
        <v>1186</v>
      </c>
      <c r="G1715" s="3" t="s">
        <v>336</v>
      </c>
      <c r="H1715" s="2" t="s">
        <v>21</v>
      </c>
      <c r="I1715" s="2" t="s">
        <v>4722</v>
      </c>
      <c r="J1715" s="3" t="str">
        <f>HYPERLINK("https://www.boe.es/gazeta/dias/1812/04/28/pdfs/GRE-1812-53.pdf#page=8","Abrir facsímil")</f>
        <v>Abrir facsímil</v>
      </c>
      <c r="K1715" s="3" t="s">
        <v>23</v>
      </c>
    </row>
    <row r="1716" spans="1:11" ht="42" customHeight="1">
      <c r="A1716" s="2" t="s">
        <v>4723</v>
      </c>
      <c r="B1716" s="2" t="s">
        <v>4724</v>
      </c>
      <c r="C1716" s="2" t="s">
        <v>82</v>
      </c>
      <c r="D1716" s="2" t="s">
        <v>27</v>
      </c>
      <c r="E1716" s="4">
        <v>-32095</v>
      </c>
      <c r="F1716" s="3" t="s">
        <v>284</v>
      </c>
      <c r="G1716" s="3" t="s">
        <v>29</v>
      </c>
      <c r="H1716" s="2" t="s">
        <v>21</v>
      </c>
      <c r="I1716" s="2" t="s">
        <v>4725</v>
      </c>
      <c r="J1716" s="3" t="str">
        <f>HYPERLINK("https://www.boe.es/gazeta/dias/1812/02/15/pdfs/GRE-1812-20.pdf#page=8","Abrir facsímil")</f>
        <v>Abrir facsímil</v>
      </c>
      <c r="K1716" s="3" t="s">
        <v>23</v>
      </c>
    </row>
    <row r="1717" spans="1:11" ht="42" customHeight="1">
      <c r="A1717" s="2" t="s">
        <v>4726</v>
      </c>
      <c r="B1717" s="2" t="s">
        <v>4726</v>
      </c>
      <c r="C1717" s="2" t="s">
        <v>17</v>
      </c>
      <c r="D1717" s="2" t="s">
        <v>27</v>
      </c>
      <c r="E1717" s="4">
        <v>-31794</v>
      </c>
      <c r="F1717" s="3" t="s">
        <v>3308</v>
      </c>
      <c r="G1717" s="3" t="s">
        <v>801</v>
      </c>
      <c r="H1717" s="2" t="s">
        <v>21</v>
      </c>
      <c r="I1717" s="2" t="s">
        <v>4727</v>
      </c>
      <c r="J1717" s="3" t="str">
        <f>HYPERLINK("https://www.boe.es/gazeta/dias/1812/12/12/pdfs/GRE-1812-164.pdf#page=3","Abrir facsímil")</f>
        <v>Abrir facsímil</v>
      </c>
      <c r="K1717" s="3" t="s">
        <v>23</v>
      </c>
    </row>
    <row r="1718" spans="1:11" ht="42" customHeight="1">
      <c r="A1718" s="2" t="s">
        <v>4728</v>
      </c>
      <c r="B1718" s="2" t="s">
        <v>4729</v>
      </c>
      <c r="C1718" s="2" t="s">
        <v>17</v>
      </c>
      <c r="D1718" s="2" t="s">
        <v>27</v>
      </c>
      <c r="E1718" s="4">
        <v>-32069</v>
      </c>
      <c r="F1718" s="3" t="s">
        <v>445</v>
      </c>
      <c r="G1718" s="3" t="s">
        <v>446</v>
      </c>
      <c r="H1718" s="2" t="s">
        <v>21</v>
      </c>
      <c r="I1718" s="2" t="s">
        <v>4730</v>
      </c>
      <c r="J1718" s="3" t="str">
        <f>HYPERLINK("https://www.boe.es/gazeta/dias/1812/03/12/pdfs/GRE-1812-32.pdf#page=8","Abrir facsímil")</f>
        <v>Abrir facsímil</v>
      </c>
      <c r="K1718" s="3" t="s">
        <v>23</v>
      </c>
    </row>
    <row r="1719" spans="1:11" ht="42" customHeight="1">
      <c r="A1719" s="2" t="s">
        <v>4731</v>
      </c>
      <c r="B1719" s="2" t="s">
        <v>4732</v>
      </c>
      <c r="C1719" s="2" t="s">
        <v>26</v>
      </c>
      <c r="D1719" s="2" t="s">
        <v>27</v>
      </c>
      <c r="E1719" s="4">
        <v>-32050</v>
      </c>
      <c r="F1719" s="3" t="s">
        <v>864</v>
      </c>
      <c r="G1719" s="3" t="s">
        <v>29</v>
      </c>
      <c r="H1719" s="2" t="s">
        <v>21</v>
      </c>
      <c r="I1719" s="2" t="s">
        <v>4733</v>
      </c>
      <c r="J1719" s="3" t="str">
        <f>HYPERLINK("https://www.boe.es/gazeta/dias/1812/03/31/pdfs/GRE-1812-40.pdf#page=8","Abrir facsímil")</f>
        <v>Abrir facsímil</v>
      </c>
      <c r="K1719" s="3" t="s">
        <v>23</v>
      </c>
    </row>
    <row r="1720" spans="1:11" ht="42" customHeight="1">
      <c r="A1720" s="2" t="s">
        <v>4734</v>
      </c>
      <c r="B1720" s="2" t="s">
        <v>4735</v>
      </c>
      <c r="C1720" s="2" t="s">
        <v>26</v>
      </c>
      <c r="D1720" s="2" t="s">
        <v>27</v>
      </c>
      <c r="E1720" s="4">
        <v>-32097</v>
      </c>
      <c r="F1720" s="3" t="s">
        <v>3797</v>
      </c>
      <c r="G1720" s="3" t="s">
        <v>196</v>
      </c>
      <c r="H1720" s="2" t="s">
        <v>21</v>
      </c>
      <c r="I1720" s="2" t="s">
        <v>4736</v>
      </c>
      <c r="J1720" s="3" t="str">
        <f>HYPERLINK("https://www.boe.es/gazeta/dias/1812/02/13/pdfs/GRE-1812-19.pdf#page=1","Abrir facsímil")</f>
        <v>Abrir facsímil</v>
      </c>
      <c r="K1720" s="3" t="s">
        <v>23</v>
      </c>
    </row>
    <row r="1721" spans="1:11" ht="42" customHeight="1">
      <c r="A1721" s="2" t="s">
        <v>4737</v>
      </c>
      <c r="B1721" s="2" t="s">
        <v>4738</v>
      </c>
      <c r="C1721" s="2" t="s">
        <v>17</v>
      </c>
      <c r="D1721" s="2" t="s">
        <v>18</v>
      </c>
      <c r="E1721" s="4">
        <v>-32053</v>
      </c>
      <c r="F1721" s="3" t="s">
        <v>910</v>
      </c>
      <c r="G1721" s="3" t="s">
        <v>911</v>
      </c>
      <c r="H1721" s="2" t="s">
        <v>21</v>
      </c>
      <c r="I1721" s="2" t="s">
        <v>4739</v>
      </c>
      <c r="J1721" s="3" t="str">
        <f>HYPERLINK("https://www.boe.es/gazeta/dias/1812/03/28/pdfs/GRE-1812-39.pdf#page=8","Abrir facsímil")</f>
        <v>Abrir facsímil</v>
      </c>
      <c r="K1721" s="3" t="s">
        <v>23</v>
      </c>
    </row>
    <row r="1722" spans="1:11" ht="42" customHeight="1">
      <c r="A1722" s="2" t="s">
        <v>4740</v>
      </c>
      <c r="B1722" s="2" t="s">
        <v>4741</v>
      </c>
      <c r="C1722" s="2" t="s">
        <v>26</v>
      </c>
      <c r="D1722" s="2" t="s">
        <v>27</v>
      </c>
      <c r="E1722" s="4">
        <v>-32000</v>
      </c>
      <c r="F1722" s="3" t="s">
        <v>878</v>
      </c>
      <c r="G1722" s="3" t="s">
        <v>214</v>
      </c>
      <c r="H1722" s="2" t="s">
        <v>21</v>
      </c>
      <c r="I1722" s="2" t="s">
        <v>4742</v>
      </c>
      <c r="J1722" s="3" t="str">
        <f>HYPERLINK("https://www.boe.es/gazeta/dias/1812/05/20/pdfs/GMD-1812-141.pdf#page=2","Abrir facsímil")</f>
        <v>Abrir facsímil</v>
      </c>
      <c r="K1722" s="3" t="s">
        <v>23</v>
      </c>
    </row>
    <row r="1723" spans="1:11" ht="42" customHeight="1">
      <c r="A1723" s="2" t="s">
        <v>4743</v>
      </c>
      <c r="B1723" s="2" t="s">
        <v>4743</v>
      </c>
      <c r="C1723" s="2" t="s">
        <v>17</v>
      </c>
      <c r="D1723" s="2" t="s">
        <v>27</v>
      </c>
      <c r="E1723" s="4">
        <v>-31784</v>
      </c>
      <c r="F1723" s="3" t="s">
        <v>1648</v>
      </c>
      <c r="G1723" s="3" t="s">
        <v>1650</v>
      </c>
      <c r="H1723" s="2" t="s">
        <v>21</v>
      </c>
      <c r="I1723" s="2" t="s">
        <v>4744</v>
      </c>
      <c r="J1723" s="3" t="str">
        <f>HYPERLINK("https://www.boe.es/gazeta/dias/1812/12/22/pdfs/GMD-1812-245.pdf#page=4","Abrir facsímil")</f>
        <v>Abrir facsímil</v>
      </c>
      <c r="K1723" s="3" t="s">
        <v>23</v>
      </c>
    </row>
    <row r="1724" spans="1:11" ht="42" customHeight="1">
      <c r="A1724" s="2" t="s">
        <v>4745</v>
      </c>
      <c r="B1724" s="2" t="s">
        <v>4746</v>
      </c>
      <c r="C1724" s="2" t="s">
        <v>115</v>
      </c>
      <c r="D1724" s="2" t="s">
        <v>27</v>
      </c>
      <c r="E1724" s="4">
        <v>-31808</v>
      </c>
      <c r="F1724" s="3" t="s">
        <v>416</v>
      </c>
      <c r="G1724" s="3" t="s">
        <v>237</v>
      </c>
      <c r="H1724" s="2" t="s">
        <v>21</v>
      </c>
      <c r="I1724" s="2" t="s">
        <v>4747</v>
      </c>
      <c r="J1724" s="3" t="str">
        <f>HYPERLINK("https://www.boe.es/gazeta/dias/1812/11/28/pdfs/GRE-1812-158.pdf#page=3","Abrir facsímil")</f>
        <v>Abrir facsímil</v>
      </c>
      <c r="K1724" s="3" t="s">
        <v>23</v>
      </c>
    </row>
    <row r="1725" spans="1:11" ht="42" customHeight="1">
      <c r="A1725" s="2" t="s">
        <v>4748</v>
      </c>
      <c r="B1725" s="2" t="s">
        <v>4749</v>
      </c>
      <c r="C1725" s="2" t="s">
        <v>17</v>
      </c>
      <c r="D1725" s="2" t="s">
        <v>18</v>
      </c>
      <c r="E1725" s="4">
        <v>-31808</v>
      </c>
      <c r="F1725" s="3" t="s">
        <v>416</v>
      </c>
      <c r="G1725" s="3" t="s">
        <v>130</v>
      </c>
      <c r="H1725" s="2" t="s">
        <v>21</v>
      </c>
      <c r="I1725" s="2" t="s">
        <v>4750</v>
      </c>
      <c r="J1725" s="3" t="str">
        <f>HYPERLINK("https://www.boe.es/gazeta/dias/1812/11/28/pdfs/GRE-1812-158.pdf#page=4","Abrir facsímil")</f>
        <v>Abrir facsímil</v>
      </c>
      <c r="K1725" s="3" t="s">
        <v>23</v>
      </c>
    </row>
    <row r="1726" spans="1:11" ht="42" customHeight="1">
      <c r="A1726" s="2" t="s">
        <v>4751</v>
      </c>
      <c r="B1726" s="2" t="s">
        <v>4752</v>
      </c>
      <c r="C1726" s="2" t="s">
        <v>17</v>
      </c>
      <c r="D1726" s="2" t="s">
        <v>27</v>
      </c>
      <c r="E1726" s="4">
        <v>-32013</v>
      </c>
      <c r="F1726" s="3" t="s">
        <v>849</v>
      </c>
      <c r="G1726" s="3" t="s">
        <v>20</v>
      </c>
      <c r="H1726" s="2" t="s">
        <v>21</v>
      </c>
      <c r="I1726" s="2" t="s">
        <v>4753</v>
      </c>
      <c r="J1726" s="3" t="str">
        <f>HYPERLINK("https://www.boe.es/gazeta/dias/1812/05/07/pdfs/GRE-1812-57.pdf#page=1","Abrir facsímil")</f>
        <v>Abrir facsímil</v>
      </c>
      <c r="K1726" s="3" t="s">
        <v>23</v>
      </c>
    </row>
    <row r="1727" spans="1:11" ht="42" customHeight="1">
      <c r="A1727" s="2" t="s">
        <v>4754</v>
      </c>
      <c r="B1727" s="2" t="s">
        <v>4755</v>
      </c>
      <c r="C1727" s="2" t="s">
        <v>17</v>
      </c>
      <c r="D1727" s="2" t="s">
        <v>134</v>
      </c>
      <c r="E1727" s="4">
        <v>-32025</v>
      </c>
      <c r="F1727" s="3" t="s">
        <v>1122</v>
      </c>
      <c r="G1727" s="3" t="s">
        <v>1123</v>
      </c>
      <c r="H1727" s="2" t="s">
        <v>21</v>
      </c>
      <c r="I1727" s="2" t="s">
        <v>4756</v>
      </c>
      <c r="J1727" s="3" t="str">
        <f>HYPERLINK("https://www.boe.es/gazeta/dias/1812/04/25/pdfs/GRE-F-1812-52.pdf#page=3","Abrir facsímil")</f>
        <v>Abrir facsímil</v>
      </c>
      <c r="K1727" s="3" t="s">
        <v>23</v>
      </c>
    </row>
    <row r="1728" spans="1:11" ht="42" customHeight="1">
      <c r="A1728" s="2" t="s">
        <v>4754</v>
      </c>
      <c r="B1728" s="2" t="s">
        <v>4755</v>
      </c>
      <c r="C1728" s="2" t="s">
        <v>17</v>
      </c>
      <c r="D1728" s="2" t="s">
        <v>27</v>
      </c>
      <c r="E1728" s="4">
        <v>-32013</v>
      </c>
      <c r="F1728" s="3" t="s">
        <v>849</v>
      </c>
      <c r="G1728" s="3" t="s">
        <v>20</v>
      </c>
      <c r="H1728" s="2" t="s">
        <v>21</v>
      </c>
      <c r="I1728" s="2" t="s">
        <v>4757</v>
      </c>
      <c r="J1728" s="3" t="str">
        <f>HYPERLINK("https://www.boe.es/gazeta/dias/1812/05/07/pdfs/GRE-1812-57.pdf#page=1","Abrir facsímil")</f>
        <v>Abrir facsímil</v>
      </c>
      <c r="K1728" s="3" t="s">
        <v>23</v>
      </c>
    </row>
    <row r="1729" spans="1:11" ht="42" customHeight="1">
      <c r="A1729" s="2" t="s">
        <v>4754</v>
      </c>
      <c r="B1729" s="2" t="s">
        <v>4755</v>
      </c>
      <c r="C1729" s="2" t="s">
        <v>17</v>
      </c>
      <c r="D1729" s="2" t="s">
        <v>18</v>
      </c>
      <c r="E1729" s="4">
        <v>-31922</v>
      </c>
      <c r="F1729" s="3" t="s">
        <v>375</v>
      </c>
      <c r="G1729" s="3" t="s">
        <v>4758</v>
      </c>
      <c r="H1729" s="2" t="s">
        <v>21</v>
      </c>
      <c r="I1729" s="2" t="s">
        <v>4759</v>
      </c>
      <c r="J1729" s="3" t="str">
        <f>HYPERLINK("https://www.boe.es/gazeta/dias/1812/08/06/pdfs/GRE-1812-100.pdf#page=1","Abrir facsímil")</f>
        <v>Abrir facsímil</v>
      </c>
      <c r="K1729" s="3" t="s">
        <v>23</v>
      </c>
    </row>
    <row r="1730" spans="1:11" ht="42" customHeight="1">
      <c r="A1730" s="2" t="s">
        <v>4754</v>
      </c>
      <c r="B1730" s="2" t="s">
        <v>4755</v>
      </c>
      <c r="C1730" s="2" t="s">
        <v>17</v>
      </c>
      <c r="D1730" s="2" t="s">
        <v>18</v>
      </c>
      <c r="E1730" s="4">
        <v>-31921</v>
      </c>
      <c r="F1730" s="3" t="s">
        <v>785</v>
      </c>
      <c r="G1730" s="3" t="s">
        <v>45</v>
      </c>
      <c r="H1730" s="2" t="s">
        <v>21</v>
      </c>
      <c r="I1730" s="2" t="s">
        <v>4760</v>
      </c>
      <c r="J1730" s="3" t="str">
        <f>HYPERLINK("https://www.boe.es/gazeta/dias/1812/08/07/pdfs/GRE-1812-101E.pdf#page=5","Abrir facsímil")</f>
        <v>Abrir facsímil</v>
      </c>
      <c r="K1730" s="3" t="s">
        <v>23</v>
      </c>
    </row>
    <row r="1731" spans="1:11" ht="42" customHeight="1">
      <c r="A1731" s="2" t="s">
        <v>4754</v>
      </c>
      <c r="B1731" s="2" t="s">
        <v>4755</v>
      </c>
      <c r="C1731" s="2" t="s">
        <v>17</v>
      </c>
      <c r="D1731" s="2" t="s">
        <v>573</v>
      </c>
      <c r="E1731" s="4">
        <v>-31921</v>
      </c>
      <c r="F1731" s="3" t="s">
        <v>785</v>
      </c>
      <c r="G1731" s="3" t="s">
        <v>1137</v>
      </c>
      <c r="H1731" s="2" t="s">
        <v>21</v>
      </c>
      <c r="I1731" s="2" t="s">
        <v>4761</v>
      </c>
      <c r="J1731" s="3" t="str">
        <f>HYPERLINK("https://www.boe.es/gazeta/dias/1812/08/07/pdfs/GRE-1812-101E.pdf#page=6","Abrir facsímil")</f>
        <v>Abrir facsímil</v>
      </c>
      <c r="K1731" s="3" t="s">
        <v>23</v>
      </c>
    </row>
    <row r="1732" spans="1:11" ht="42" customHeight="1">
      <c r="A1732" s="2" t="s">
        <v>4762</v>
      </c>
      <c r="B1732" s="2" t="s">
        <v>4763</v>
      </c>
      <c r="C1732" s="2" t="s">
        <v>49</v>
      </c>
      <c r="D1732" s="2" t="s">
        <v>27</v>
      </c>
      <c r="E1732" s="4">
        <v>-31917</v>
      </c>
      <c r="F1732" s="3" t="s">
        <v>946</v>
      </c>
      <c r="G1732" s="3" t="s">
        <v>4764</v>
      </c>
      <c r="H1732" s="2" t="s">
        <v>21</v>
      </c>
      <c r="I1732" s="2" t="s">
        <v>4765</v>
      </c>
      <c r="J1732" s="3" t="str">
        <f>HYPERLINK("https://www.boe.es/gazeta/dias/1812/08/11/pdfs/GRE-1812-103.pdf#page=4","Abrir facsímil")</f>
        <v>Abrir facsímil</v>
      </c>
      <c r="K1732" s="3" t="s">
        <v>23</v>
      </c>
    </row>
    <row r="1733" spans="1:11" ht="42" customHeight="1">
      <c r="A1733" s="2" t="s">
        <v>4766</v>
      </c>
      <c r="B1733" s="2" t="s">
        <v>4767</v>
      </c>
      <c r="C1733" s="2" t="s">
        <v>549</v>
      </c>
      <c r="D1733" s="2" t="s">
        <v>27</v>
      </c>
      <c r="E1733" s="4">
        <v>-32109</v>
      </c>
      <c r="F1733" s="3" t="s">
        <v>62</v>
      </c>
      <c r="G1733" s="3" t="s">
        <v>106</v>
      </c>
      <c r="H1733" s="2" t="s">
        <v>21</v>
      </c>
      <c r="I1733" s="2" t="s">
        <v>4768</v>
      </c>
      <c r="J1733" s="3" t="str">
        <f>HYPERLINK("https://www.boe.es/gazeta/dias/1812/02/01/pdfs/GRE-1812-14.pdf#page=11","Abrir facsímil")</f>
        <v>Abrir facsímil</v>
      </c>
      <c r="K1733" s="3" t="s">
        <v>23</v>
      </c>
    </row>
    <row r="1734" spans="1:11" ht="42" customHeight="1">
      <c r="A1734" s="2" t="s">
        <v>4769</v>
      </c>
      <c r="B1734" s="2" t="s">
        <v>4769</v>
      </c>
      <c r="C1734" s="2" t="s">
        <v>17</v>
      </c>
      <c r="D1734" s="2" t="s">
        <v>27</v>
      </c>
      <c r="E1734" s="4">
        <v>-31972</v>
      </c>
      <c r="F1734" s="3" t="s">
        <v>4596</v>
      </c>
      <c r="G1734" s="3" t="s">
        <v>2539</v>
      </c>
      <c r="H1734" s="2" t="s">
        <v>21</v>
      </c>
      <c r="I1734" s="2" t="s">
        <v>4770</v>
      </c>
      <c r="J1734" s="3" t="str">
        <f>HYPERLINK("https://www.boe.es/gazeta/dias/1812/06/17/pdfs/GMD-1812-169.pdf#page=4","Abrir facsímil")</f>
        <v>Abrir facsímil</v>
      </c>
      <c r="K1734" s="3" t="s">
        <v>23</v>
      </c>
    </row>
    <row r="1735" spans="1:11" ht="42" customHeight="1">
      <c r="A1735" s="2" t="s">
        <v>4771</v>
      </c>
      <c r="B1735" s="2" t="s">
        <v>4772</v>
      </c>
      <c r="C1735" s="2" t="s">
        <v>115</v>
      </c>
      <c r="D1735" s="2" t="s">
        <v>194</v>
      </c>
      <c r="E1735" s="4">
        <v>-31978</v>
      </c>
      <c r="F1735" s="3" t="s">
        <v>1790</v>
      </c>
      <c r="G1735" s="3" t="s">
        <v>4773</v>
      </c>
      <c r="H1735" s="2" t="s">
        <v>21</v>
      </c>
      <c r="I1735" s="2" t="s">
        <v>4774</v>
      </c>
      <c r="J1735" s="3" t="str">
        <f>HYPERLINK("https://www.boe.es/gazeta/dias/1812/06/11/pdfs/GRE-1812-72.pdf#page=1","Abrir facsímil")</f>
        <v>Abrir facsímil</v>
      </c>
      <c r="K1735" s="3" t="s">
        <v>23</v>
      </c>
    </row>
    <row r="1736" spans="1:11" ht="42" customHeight="1">
      <c r="A1736" s="2" t="s">
        <v>4775</v>
      </c>
      <c r="B1736" s="2" t="s">
        <v>4776</v>
      </c>
      <c r="C1736" s="2" t="s">
        <v>115</v>
      </c>
      <c r="D1736" s="2" t="s">
        <v>27</v>
      </c>
      <c r="E1736" s="4">
        <v>-31882</v>
      </c>
      <c r="F1736" s="3" t="s">
        <v>1200</v>
      </c>
      <c r="G1736" s="3" t="s">
        <v>4777</v>
      </c>
      <c r="H1736" s="2" t="s">
        <v>21</v>
      </c>
      <c r="I1736" s="2" t="s">
        <v>4778</v>
      </c>
      <c r="J1736" s="3" t="str">
        <f>HYPERLINK("https://www.boe.es/gazeta/dias/1812/09/15/pdfs/GRE-1812-125.pdf#page=2","Abrir facsímil")</f>
        <v>Abrir facsímil</v>
      </c>
      <c r="K1736" s="3" t="s">
        <v>23</v>
      </c>
    </row>
    <row r="1737" spans="1:11" ht="42" customHeight="1">
      <c r="A1737" s="2" t="s">
        <v>4779</v>
      </c>
      <c r="B1737" s="2" t="s">
        <v>4780</v>
      </c>
      <c r="C1737" s="2" t="s">
        <v>105</v>
      </c>
      <c r="D1737" s="2" t="s">
        <v>27</v>
      </c>
      <c r="E1737" s="4">
        <v>-31780</v>
      </c>
      <c r="F1737" s="3" t="s">
        <v>3317</v>
      </c>
      <c r="G1737" s="3" t="s">
        <v>125</v>
      </c>
      <c r="H1737" s="2" t="s">
        <v>21</v>
      </c>
      <c r="I1737" s="2" t="s">
        <v>4781</v>
      </c>
      <c r="J1737" s="3" t="str">
        <f>HYPERLINK("https://www.boe.es/gazeta/dias/1812/12/26/pdfs/GRE-1812-170.pdf#page=6","Abrir facsímil")</f>
        <v>Abrir facsímil</v>
      </c>
      <c r="K1737" s="3" t="s">
        <v>23</v>
      </c>
    </row>
    <row r="1738" spans="1:11" ht="42" customHeight="1">
      <c r="A1738" s="2" t="s">
        <v>4782</v>
      </c>
      <c r="B1738" s="2" t="s">
        <v>4783</v>
      </c>
      <c r="C1738" s="2" t="s">
        <v>26</v>
      </c>
      <c r="D1738" s="2" t="s">
        <v>27</v>
      </c>
      <c r="E1738" s="4">
        <v>-32062</v>
      </c>
      <c r="F1738" s="3" t="s">
        <v>280</v>
      </c>
      <c r="G1738" s="3" t="s">
        <v>20</v>
      </c>
      <c r="H1738" s="2" t="s">
        <v>21</v>
      </c>
      <c r="I1738" s="2" t="s">
        <v>4784</v>
      </c>
      <c r="J1738" s="3" t="str">
        <f>HYPERLINK("https://www.boe.es/gazeta/dias/1812/03/19/pdfs/GMD-1812-79.pdf#page=4","Abrir facsímil")</f>
        <v>Abrir facsímil</v>
      </c>
      <c r="K1738" s="3" t="s">
        <v>23</v>
      </c>
    </row>
    <row r="1739" spans="1:11" ht="42" customHeight="1">
      <c r="A1739" s="2" t="s">
        <v>4785</v>
      </c>
      <c r="B1739" s="2" t="s">
        <v>4786</v>
      </c>
      <c r="C1739" s="2" t="s">
        <v>26</v>
      </c>
      <c r="D1739" s="2" t="s">
        <v>27</v>
      </c>
      <c r="E1739" s="4">
        <v>-32015</v>
      </c>
      <c r="F1739" s="3" t="s">
        <v>77</v>
      </c>
      <c r="G1739" s="3" t="s">
        <v>4787</v>
      </c>
      <c r="H1739" s="2" t="s">
        <v>21</v>
      </c>
      <c r="I1739" s="2" t="s">
        <v>4788</v>
      </c>
      <c r="J1739" s="3" t="str">
        <f>HYPERLINK("https://www.boe.es/gazeta/dias/1812/05/05/pdfs/GRE-1812-56.pdf#page=7","Abrir facsímil")</f>
        <v>Abrir facsímil</v>
      </c>
      <c r="K1739" s="3" t="s">
        <v>23</v>
      </c>
    </row>
    <row r="1740" spans="1:11" ht="42" customHeight="1">
      <c r="A1740" s="2" t="s">
        <v>4789</v>
      </c>
      <c r="B1740" s="2" t="s">
        <v>4789</v>
      </c>
      <c r="C1740" s="2" t="s">
        <v>17</v>
      </c>
      <c r="D1740" s="2" t="s">
        <v>27</v>
      </c>
      <c r="E1740" s="4">
        <v>-31994</v>
      </c>
      <c r="F1740" s="3" t="s">
        <v>207</v>
      </c>
      <c r="G1740" s="3" t="s">
        <v>45</v>
      </c>
      <c r="H1740" s="2" t="s">
        <v>21</v>
      </c>
      <c r="I1740" s="2" t="s">
        <v>4790</v>
      </c>
      <c r="J1740" s="3" t="str">
        <f>HYPERLINK("https://www.boe.es/gazeta/dias/1812/05/26/pdfs/GRE-1812-65.pdf#page=3","Abrir facsímil")</f>
        <v>Abrir facsímil</v>
      </c>
      <c r="K1740" s="3" t="s">
        <v>23</v>
      </c>
    </row>
    <row r="1741" spans="1:11" ht="42" customHeight="1">
      <c r="A1741" s="2" t="s">
        <v>4791</v>
      </c>
      <c r="B1741" s="2" t="s">
        <v>4791</v>
      </c>
      <c r="C1741" s="2" t="s">
        <v>17</v>
      </c>
      <c r="D1741" s="2" t="s">
        <v>27</v>
      </c>
      <c r="E1741" s="4">
        <v>-32065</v>
      </c>
      <c r="F1741" s="3" t="s">
        <v>259</v>
      </c>
      <c r="G1741" s="3" t="s">
        <v>45</v>
      </c>
      <c r="H1741" s="2" t="s">
        <v>21</v>
      </c>
      <c r="I1741" s="2" t="s">
        <v>4792</v>
      </c>
      <c r="J1741" s="3" t="str">
        <f>HYPERLINK("https://www.boe.es/gazeta/dias/1812/03/16/pdfs/GMD-1812-76.pdf#page=2","Abrir facsímil")</f>
        <v>Abrir facsímil</v>
      </c>
      <c r="K1741" s="3" t="s">
        <v>23</v>
      </c>
    </row>
    <row r="1742" spans="1:11" ht="42" customHeight="1">
      <c r="A1742" s="2" t="s">
        <v>4791</v>
      </c>
      <c r="B1742" s="2" t="s">
        <v>4791</v>
      </c>
      <c r="C1742" s="2" t="s">
        <v>17</v>
      </c>
      <c r="D1742" s="2" t="s">
        <v>27</v>
      </c>
      <c r="E1742" s="4">
        <v>-32062</v>
      </c>
      <c r="F1742" s="3" t="s">
        <v>280</v>
      </c>
      <c r="G1742" s="3" t="s">
        <v>36</v>
      </c>
      <c r="H1742" s="2" t="s">
        <v>21</v>
      </c>
      <c r="I1742" s="2" t="s">
        <v>4793</v>
      </c>
      <c r="J1742" s="3" t="str">
        <f>HYPERLINK("https://www.boe.es/gazeta/dias/1812/03/19/pdfs/GMD-1812-79.pdf#page=3","Abrir facsímil")</f>
        <v>Abrir facsímil</v>
      </c>
      <c r="K1742" s="3" t="s">
        <v>23</v>
      </c>
    </row>
    <row r="1743" spans="1:11" ht="42" customHeight="1">
      <c r="A1743" s="2" t="s">
        <v>4791</v>
      </c>
      <c r="B1743" s="2" t="s">
        <v>4791</v>
      </c>
      <c r="C1743" s="2" t="s">
        <v>17</v>
      </c>
      <c r="D1743" s="2" t="s">
        <v>27</v>
      </c>
      <c r="E1743" s="4">
        <v>-32053</v>
      </c>
      <c r="F1743" s="3" t="s">
        <v>910</v>
      </c>
      <c r="G1743" s="3" t="s">
        <v>2448</v>
      </c>
      <c r="H1743" s="2" t="s">
        <v>21</v>
      </c>
      <c r="I1743" s="2" t="s">
        <v>4794</v>
      </c>
      <c r="J1743" s="3" t="str">
        <f>HYPERLINK("https://www.boe.es/gazeta/dias/1812/03/28/pdfs/GRE-1812-39.pdf#page=1","Abrir facsímil")</f>
        <v>Abrir facsímil</v>
      </c>
      <c r="K1743" s="3" t="s">
        <v>23</v>
      </c>
    </row>
    <row r="1744" spans="1:11" ht="42" customHeight="1">
      <c r="A1744" s="2" t="s">
        <v>4795</v>
      </c>
      <c r="B1744" s="2" t="s">
        <v>4796</v>
      </c>
      <c r="C1744" s="2" t="s">
        <v>17</v>
      </c>
      <c r="D1744" s="2" t="s">
        <v>27</v>
      </c>
      <c r="E1744" s="4">
        <v>-32055</v>
      </c>
      <c r="F1744" s="3" t="s">
        <v>459</v>
      </c>
      <c r="G1744" s="3" t="s">
        <v>680</v>
      </c>
      <c r="H1744" s="2" t="s">
        <v>21</v>
      </c>
      <c r="I1744" s="2" t="s">
        <v>4797</v>
      </c>
      <c r="J1744" s="3" t="str">
        <f>HYPERLINK("https://www.boe.es/gazeta/dias/1812/03/26/pdfs/GRE-1812-38.pdf#page=3","Abrir facsímil")</f>
        <v>Abrir facsímil</v>
      </c>
      <c r="K1744" s="3" t="s">
        <v>23</v>
      </c>
    </row>
    <row r="1745" spans="1:11" ht="42" customHeight="1">
      <c r="A1745" s="2" t="s">
        <v>4798</v>
      </c>
      <c r="B1745" s="2" t="s">
        <v>4798</v>
      </c>
      <c r="C1745" s="2" t="s">
        <v>17</v>
      </c>
      <c r="D1745" s="2" t="s">
        <v>18</v>
      </c>
      <c r="E1745" s="4">
        <v>-32109</v>
      </c>
      <c r="F1745" s="3" t="s">
        <v>62</v>
      </c>
      <c r="G1745" s="3" t="s">
        <v>317</v>
      </c>
      <c r="H1745" s="2" t="s">
        <v>21</v>
      </c>
      <c r="I1745" s="2" t="s">
        <v>4799</v>
      </c>
      <c r="J1745" s="3" t="str">
        <f>HYPERLINK("https://www.boe.es/gazeta/dias/1812/02/01/pdfs/GRE-1812-14.pdf#page=6","Abrir facsímil")</f>
        <v>Abrir facsímil</v>
      </c>
      <c r="K1745" s="3" t="s">
        <v>23</v>
      </c>
    </row>
    <row r="1746" spans="1:11" ht="42" customHeight="1">
      <c r="A1746" s="2" t="s">
        <v>4798</v>
      </c>
      <c r="B1746" s="2" t="s">
        <v>4798</v>
      </c>
      <c r="C1746" s="2" t="s">
        <v>17</v>
      </c>
      <c r="D1746" s="2" t="s">
        <v>27</v>
      </c>
      <c r="E1746" s="4">
        <v>-31798</v>
      </c>
      <c r="F1746" s="3" t="s">
        <v>2194</v>
      </c>
      <c r="G1746" s="3" t="s">
        <v>125</v>
      </c>
      <c r="H1746" s="2" t="s">
        <v>21</v>
      </c>
      <c r="I1746" s="2" t="s">
        <v>4800</v>
      </c>
      <c r="J1746" s="3" t="str">
        <f>HYPERLINK("https://www.boe.es/gazeta/dias/1812/12/08/pdfs/GRE-1812-162.pdf#page=1","Abrir facsímil")</f>
        <v>Abrir facsímil</v>
      </c>
      <c r="K1746" s="3" t="s">
        <v>23</v>
      </c>
    </row>
    <row r="1747" spans="1:11" ht="42" customHeight="1">
      <c r="A1747" s="2" t="s">
        <v>4801</v>
      </c>
      <c r="B1747" s="2" t="s">
        <v>4801</v>
      </c>
      <c r="C1747" s="2" t="s">
        <v>26</v>
      </c>
      <c r="D1747" s="2" t="s">
        <v>275</v>
      </c>
      <c r="E1747" s="4">
        <v>-32120</v>
      </c>
      <c r="F1747" s="3" t="s">
        <v>964</v>
      </c>
      <c r="G1747" s="3" t="s">
        <v>130</v>
      </c>
      <c r="H1747" s="2" t="s">
        <v>21</v>
      </c>
      <c r="I1747" s="2" t="s">
        <v>4802</v>
      </c>
      <c r="J1747" s="3" t="str">
        <f>HYPERLINK("https://www.boe.es/gazeta/dias/1812/01/21/pdfs/GEI-H-1812-9.pdf#page=4","Abrir facsímil")</f>
        <v>Abrir facsímil</v>
      </c>
      <c r="K1747" s="3" t="s">
        <v>23</v>
      </c>
    </row>
    <row r="1748" spans="1:11" ht="42" customHeight="1">
      <c r="A1748" s="2" t="s">
        <v>4803</v>
      </c>
      <c r="B1748" s="2" t="s">
        <v>4804</v>
      </c>
      <c r="C1748" s="2" t="s">
        <v>26</v>
      </c>
      <c r="D1748" s="2" t="s">
        <v>27</v>
      </c>
      <c r="E1748" s="4">
        <v>-32035</v>
      </c>
      <c r="F1748" s="3" t="s">
        <v>2646</v>
      </c>
      <c r="G1748" s="3" t="s">
        <v>130</v>
      </c>
      <c r="H1748" s="2" t="s">
        <v>21</v>
      </c>
      <c r="I1748" s="2" t="s">
        <v>4805</v>
      </c>
      <c r="J1748" s="3" t="str">
        <f>HYPERLINK("https://www.boe.es/gazeta/dias/1812/04/15/pdfs/GMD-1812-106.pdf#page=4","Abrir facsímil")</f>
        <v>Abrir facsímil</v>
      </c>
      <c r="K1748" s="3" t="s">
        <v>23</v>
      </c>
    </row>
    <row r="1749" spans="1:11" ht="42" customHeight="1">
      <c r="A1749" s="2" t="s">
        <v>4806</v>
      </c>
      <c r="B1749" s="2" t="s">
        <v>4807</v>
      </c>
      <c r="C1749" s="2" t="s">
        <v>105</v>
      </c>
      <c r="D1749" s="2" t="s">
        <v>27</v>
      </c>
      <c r="E1749" s="4">
        <v>-31857</v>
      </c>
      <c r="F1749" s="3" t="s">
        <v>2176</v>
      </c>
      <c r="G1749" s="3" t="s">
        <v>217</v>
      </c>
      <c r="H1749" s="2" t="s">
        <v>21</v>
      </c>
      <c r="I1749" s="2" t="s">
        <v>4808</v>
      </c>
      <c r="J1749" s="3" t="str">
        <f>HYPERLINK("https://www.boe.es/gazeta/dias/1812/10/10/pdfs/GMR-1812-25.pdf#page=7","Abrir facsímil")</f>
        <v>Abrir facsímil</v>
      </c>
      <c r="K1749" s="3" t="s">
        <v>23</v>
      </c>
    </row>
    <row r="1750" spans="1:11" ht="42" customHeight="1">
      <c r="A1750" s="2" t="s">
        <v>4809</v>
      </c>
      <c r="B1750" s="2" t="s">
        <v>4810</v>
      </c>
      <c r="C1750" s="2" t="s">
        <v>67</v>
      </c>
      <c r="D1750" s="2" t="s">
        <v>275</v>
      </c>
      <c r="E1750" s="4">
        <v>-32125</v>
      </c>
      <c r="F1750" s="3" t="s">
        <v>964</v>
      </c>
      <c r="G1750" s="3" t="s">
        <v>1842</v>
      </c>
      <c r="H1750" s="2" t="s">
        <v>21</v>
      </c>
      <c r="I1750" s="2" t="s">
        <v>4811</v>
      </c>
      <c r="J1750" s="3" t="str">
        <f>HYPERLINK("https://www.boe.es/gazeta/dias/1812/01/16/pdfs/GEI-H-1812-7.pdf#page=4","Abrir facsímil")</f>
        <v>Abrir facsímil</v>
      </c>
      <c r="K1750" s="3" t="s">
        <v>23</v>
      </c>
    </row>
    <row r="1751" spans="1:11" ht="42" customHeight="1">
      <c r="A1751" s="2" t="s">
        <v>4812</v>
      </c>
      <c r="B1751" s="2" t="s">
        <v>4813</v>
      </c>
      <c r="C1751" s="2" t="s">
        <v>26</v>
      </c>
      <c r="D1751" s="2" t="s">
        <v>27</v>
      </c>
      <c r="E1751" s="4">
        <v>-32034</v>
      </c>
      <c r="F1751" s="3" t="s">
        <v>1008</v>
      </c>
      <c r="G1751" s="3" t="s">
        <v>1009</v>
      </c>
      <c r="H1751" s="2" t="s">
        <v>21</v>
      </c>
      <c r="I1751" s="2" t="s">
        <v>4814</v>
      </c>
      <c r="J1751" s="3" t="str">
        <f>HYPERLINK("https://www.boe.es/gazeta/dias/1812/04/16/pdfs/GRE-1812-48.pdf#page=8","Abrir facsímil")</f>
        <v>Abrir facsímil</v>
      </c>
      <c r="K1751" s="3" t="s">
        <v>23</v>
      </c>
    </row>
    <row r="1752" spans="1:11" ht="42" customHeight="1">
      <c r="A1752" s="2" t="s">
        <v>4815</v>
      </c>
      <c r="B1752" s="2" t="s">
        <v>4816</v>
      </c>
      <c r="C1752" s="2" t="s">
        <v>26</v>
      </c>
      <c r="D1752" s="2" t="s">
        <v>27</v>
      </c>
      <c r="E1752" s="4">
        <v>-31962</v>
      </c>
      <c r="F1752" s="3" t="s">
        <v>643</v>
      </c>
      <c r="G1752" s="3" t="s">
        <v>644</v>
      </c>
      <c r="H1752" s="2" t="s">
        <v>21</v>
      </c>
      <c r="I1752" s="2" t="s">
        <v>4817</v>
      </c>
      <c r="J1752" s="3" t="str">
        <f>HYPERLINK("https://www.boe.es/gazeta/dias/1812/06/27/pdfs/GMD-1812-179.pdf#page=2","Abrir facsímil")</f>
        <v>Abrir facsímil</v>
      </c>
      <c r="K1752" s="3" t="s">
        <v>23</v>
      </c>
    </row>
    <row r="1753" spans="1:11" ht="42" customHeight="1">
      <c r="A1753" s="2" t="s">
        <v>4818</v>
      </c>
      <c r="B1753" s="2" t="s">
        <v>4819</v>
      </c>
      <c r="C1753" s="2" t="s">
        <v>26</v>
      </c>
      <c r="D1753" s="2" t="s">
        <v>134</v>
      </c>
      <c r="E1753" s="4">
        <v>-31983</v>
      </c>
      <c r="F1753" s="3" t="s">
        <v>1437</v>
      </c>
      <c r="G1753" s="3" t="s">
        <v>1438</v>
      </c>
      <c r="H1753" s="2" t="s">
        <v>21</v>
      </c>
      <c r="I1753" s="2" t="s">
        <v>4820</v>
      </c>
      <c r="J1753" s="3" t="str">
        <f>HYPERLINK("https://www.boe.es/gazeta/dias/1812/06/06/pdfs/GRE-F-1812-70.pdf#page=4","Abrir facsímil")</f>
        <v>Abrir facsímil</v>
      </c>
      <c r="K1753" s="3" t="s">
        <v>23</v>
      </c>
    </row>
    <row r="1754" spans="1:11" ht="42" customHeight="1">
      <c r="A1754" s="2" t="s">
        <v>4821</v>
      </c>
      <c r="B1754" s="2" t="s">
        <v>4822</v>
      </c>
      <c r="C1754" s="2" t="s">
        <v>26</v>
      </c>
      <c r="D1754" s="2" t="s">
        <v>27</v>
      </c>
      <c r="E1754" s="4">
        <v>-31938</v>
      </c>
      <c r="F1754" s="3" t="s">
        <v>370</v>
      </c>
      <c r="G1754" s="3" t="s">
        <v>371</v>
      </c>
      <c r="H1754" s="2" t="s">
        <v>21</v>
      </c>
      <c r="I1754" s="2" t="s">
        <v>4823</v>
      </c>
      <c r="J1754" s="3" t="str">
        <f>HYPERLINK("https://www.boe.es/gazeta/dias/1812/07/21/pdfs/GRE-1812-91.pdf#page=8","Abrir facsímil")</f>
        <v>Abrir facsímil</v>
      </c>
      <c r="K1754" s="3" t="s">
        <v>23</v>
      </c>
    </row>
    <row r="1755" spans="1:11" ht="42" customHeight="1">
      <c r="A1755" s="2" t="s">
        <v>4824</v>
      </c>
      <c r="B1755" s="2" t="s">
        <v>4824</v>
      </c>
      <c r="C1755" s="2" t="s">
        <v>17</v>
      </c>
      <c r="D1755" s="2" t="s">
        <v>18</v>
      </c>
      <c r="E1755" s="4">
        <v>-31878</v>
      </c>
      <c r="F1755" s="3" t="s">
        <v>1831</v>
      </c>
      <c r="G1755" s="3" t="s">
        <v>20</v>
      </c>
      <c r="H1755" s="2" t="s">
        <v>21</v>
      </c>
      <c r="I1755" s="2" t="s">
        <v>4825</v>
      </c>
      <c r="J1755" s="3" t="str">
        <f>HYPERLINK("https://www.boe.es/gazeta/dias/1812/09/19/pdfs/GMR-1812-16.pdf#page=2","Abrir facsímil")</f>
        <v>Abrir facsímil</v>
      </c>
      <c r="K1755" s="3" t="s">
        <v>23</v>
      </c>
    </row>
    <row r="1756" spans="1:11" ht="42" customHeight="1">
      <c r="A1756" s="2" t="s">
        <v>4826</v>
      </c>
      <c r="B1756" s="2" t="s">
        <v>4827</v>
      </c>
      <c r="C1756" s="2" t="s">
        <v>26</v>
      </c>
      <c r="D1756" s="2" t="s">
        <v>27</v>
      </c>
      <c r="E1756" s="4">
        <v>-31938</v>
      </c>
      <c r="F1756" s="3" t="s">
        <v>324</v>
      </c>
      <c r="G1756" s="3" t="s">
        <v>497</v>
      </c>
      <c r="H1756" s="2" t="s">
        <v>21</v>
      </c>
      <c r="I1756" s="2" t="s">
        <v>4828</v>
      </c>
      <c r="J1756" s="3" t="str">
        <f>HYPERLINK("https://www.boe.es/gazeta/dias/1812/07/21/pdfs/GMD-1812-203.pdf#page=3","Abrir facsímil")</f>
        <v>Abrir facsímil</v>
      </c>
      <c r="K1756" s="3" t="s">
        <v>23</v>
      </c>
    </row>
    <row r="1757" spans="1:11" ht="42" customHeight="1">
      <c r="A1757" s="2" t="s">
        <v>4829</v>
      </c>
      <c r="B1757" s="2" t="s">
        <v>4830</v>
      </c>
      <c r="C1757" s="2" t="s">
        <v>26</v>
      </c>
      <c r="D1757" s="2" t="s">
        <v>27</v>
      </c>
      <c r="E1757" s="4">
        <v>-32034</v>
      </c>
      <c r="F1757" s="3" t="s">
        <v>28</v>
      </c>
      <c r="G1757" s="3" t="s">
        <v>130</v>
      </c>
      <c r="H1757" s="2" t="s">
        <v>21</v>
      </c>
      <c r="I1757" s="2" t="s">
        <v>4831</v>
      </c>
      <c r="J1757" s="3" t="str">
        <f>HYPERLINK("https://www.boe.es/gazeta/dias/1812/04/16/pdfs/GMD-1812-107.pdf#page=4","Abrir facsímil")</f>
        <v>Abrir facsímil</v>
      </c>
      <c r="K1757" s="3" t="s">
        <v>23</v>
      </c>
    </row>
    <row r="1758" spans="1:11" ht="42" customHeight="1">
      <c r="A1758" s="2" t="s">
        <v>4832</v>
      </c>
      <c r="B1758" s="2" t="s">
        <v>4833</v>
      </c>
      <c r="C1758" s="2" t="s">
        <v>26</v>
      </c>
      <c r="D1758" s="2" t="s">
        <v>27</v>
      </c>
      <c r="E1758" s="4">
        <v>-32100</v>
      </c>
      <c r="F1758" s="3" t="s">
        <v>492</v>
      </c>
      <c r="G1758" s="3" t="s">
        <v>493</v>
      </c>
      <c r="H1758" s="2" t="s">
        <v>21</v>
      </c>
      <c r="I1758" s="2" t="s">
        <v>4834</v>
      </c>
      <c r="J1758" s="3" t="str">
        <f>HYPERLINK("https://www.boe.es/gazeta/dias/1812/02/10/pdfs/GRE-1812-31.pdf#page=8","Abrir facsímil")</f>
        <v>Abrir facsímil</v>
      </c>
      <c r="K1758" s="3" t="s">
        <v>23</v>
      </c>
    </row>
    <row r="1759" spans="1:11" ht="42" customHeight="1">
      <c r="A1759" s="2" t="s">
        <v>4832</v>
      </c>
      <c r="B1759" s="2" t="s">
        <v>4833</v>
      </c>
      <c r="C1759" s="2" t="s">
        <v>26</v>
      </c>
      <c r="D1759" s="2" t="s">
        <v>27</v>
      </c>
      <c r="E1759" s="4">
        <v>-32071</v>
      </c>
      <c r="F1759" s="3" t="s">
        <v>492</v>
      </c>
      <c r="G1759" s="3" t="s">
        <v>493</v>
      </c>
      <c r="H1759" s="2" t="s">
        <v>21</v>
      </c>
      <c r="I1759" s="2" t="s">
        <v>4834</v>
      </c>
      <c r="J1759" s="3" t="str">
        <f>HYPERLINK("https://www.boe.es/gazeta/dias/1812/03/10/pdfs/GRE-1812-31.pdf#page=8","Abrir facsímil")</f>
        <v>Abrir facsímil</v>
      </c>
      <c r="K1759" s="3" t="s">
        <v>23</v>
      </c>
    </row>
    <row r="1760" spans="1:11" ht="42" customHeight="1">
      <c r="A1760" s="2" t="s">
        <v>4835</v>
      </c>
      <c r="B1760" s="2" t="s">
        <v>4835</v>
      </c>
      <c r="C1760" s="2" t="s">
        <v>17</v>
      </c>
      <c r="D1760" s="2" t="s">
        <v>27</v>
      </c>
      <c r="E1760" s="4">
        <v>-32111</v>
      </c>
      <c r="F1760" s="3" t="s">
        <v>553</v>
      </c>
      <c r="G1760" s="3" t="s">
        <v>514</v>
      </c>
      <c r="H1760" s="2" t="s">
        <v>21</v>
      </c>
      <c r="I1760" s="2" t="s">
        <v>4836</v>
      </c>
      <c r="J1760" s="3" t="str">
        <f>HYPERLINK("https://www.boe.es/gazeta/dias/1812/01/30/pdfs/GRE-1812-13.pdf#page=3","Abrir facsímil")</f>
        <v>Abrir facsímil</v>
      </c>
      <c r="K1760" s="3" t="s">
        <v>23</v>
      </c>
    </row>
    <row r="1761" spans="1:11" ht="42" customHeight="1">
      <c r="A1761" s="2" t="s">
        <v>4837</v>
      </c>
      <c r="B1761" s="2" t="s">
        <v>4838</v>
      </c>
      <c r="C1761" s="2" t="s">
        <v>17</v>
      </c>
      <c r="D1761" s="2" t="s">
        <v>27</v>
      </c>
      <c r="E1761" s="4">
        <v>-31880</v>
      </c>
      <c r="F1761" s="3" t="s">
        <v>3148</v>
      </c>
      <c r="G1761" s="3" t="s">
        <v>4839</v>
      </c>
      <c r="H1761" s="2" t="s">
        <v>21</v>
      </c>
      <c r="I1761" s="2" t="s">
        <v>4840</v>
      </c>
      <c r="J1761" s="3" t="str">
        <f>HYPERLINK("https://www.boe.es/gazeta/dias/1812/09/17/pdfs/GRE-1812-126.pdf#page=5","Abrir facsímil")</f>
        <v>Abrir facsímil</v>
      </c>
      <c r="K1761" s="3" t="s">
        <v>23</v>
      </c>
    </row>
    <row r="1762" spans="1:11" ht="42" customHeight="1">
      <c r="A1762" s="2" t="s">
        <v>4841</v>
      </c>
      <c r="B1762" s="2" t="s">
        <v>4841</v>
      </c>
      <c r="C1762" s="2" t="s">
        <v>17</v>
      </c>
      <c r="D1762" s="2" t="s">
        <v>27</v>
      </c>
      <c r="E1762" s="4">
        <v>-32043</v>
      </c>
      <c r="F1762" s="3" t="s">
        <v>4582</v>
      </c>
      <c r="G1762" s="3" t="s">
        <v>4842</v>
      </c>
      <c r="H1762" s="2" t="s">
        <v>21</v>
      </c>
      <c r="I1762" s="2" t="s">
        <v>4843</v>
      </c>
      <c r="J1762" s="3" t="str">
        <f>HYPERLINK("https://www.boe.es/gazeta/dias/1812/04/07/pdfs/GRE-1812-43.pdf#page=5","Abrir facsímil")</f>
        <v>Abrir facsímil</v>
      </c>
      <c r="K1762" s="3" t="s">
        <v>23</v>
      </c>
    </row>
    <row r="1763" spans="1:11" ht="42" customHeight="1">
      <c r="A1763" s="2" t="s">
        <v>4844</v>
      </c>
      <c r="B1763" s="2" t="s">
        <v>4845</v>
      </c>
      <c r="C1763" s="2" t="s">
        <v>82</v>
      </c>
      <c r="D1763" s="2" t="s">
        <v>27</v>
      </c>
      <c r="E1763" s="4">
        <v>-32095</v>
      </c>
      <c r="F1763" s="3" t="s">
        <v>284</v>
      </c>
      <c r="G1763" s="3" t="s">
        <v>29</v>
      </c>
      <c r="H1763" s="2" t="s">
        <v>21</v>
      </c>
      <c r="I1763" s="2" t="s">
        <v>4846</v>
      </c>
      <c r="J1763" s="3" t="str">
        <f>HYPERLINK("https://www.boe.es/gazeta/dias/1812/02/15/pdfs/GRE-1812-20.pdf#page=8","Abrir facsímil")</f>
        <v>Abrir facsímil</v>
      </c>
      <c r="K1763" s="3" t="s">
        <v>23</v>
      </c>
    </row>
    <row r="1764" spans="1:11" ht="42" customHeight="1">
      <c r="A1764" s="2" t="s">
        <v>4847</v>
      </c>
      <c r="B1764" s="2" t="s">
        <v>4848</v>
      </c>
      <c r="C1764" s="2" t="s">
        <v>26</v>
      </c>
      <c r="D1764" s="2" t="s">
        <v>27</v>
      </c>
      <c r="E1764" s="4">
        <v>-32134</v>
      </c>
      <c r="F1764" s="3" t="s">
        <v>50</v>
      </c>
      <c r="G1764" s="3" t="s">
        <v>233</v>
      </c>
      <c r="H1764" s="2" t="s">
        <v>21</v>
      </c>
      <c r="I1764" s="2" t="s">
        <v>4849</v>
      </c>
      <c r="J1764" s="3" t="str">
        <f>HYPERLINK("https://www.boe.es/gazeta/dias/1812/01/07/pdfs/GEI-1812-3.pdf#page=8","Abrir facsímil")</f>
        <v>Abrir facsímil</v>
      </c>
      <c r="K1764" s="3" t="s">
        <v>23</v>
      </c>
    </row>
    <row r="1765" spans="1:11" ht="42" customHeight="1">
      <c r="A1765" s="2" t="s">
        <v>4850</v>
      </c>
      <c r="B1765" s="2" t="s">
        <v>4850</v>
      </c>
      <c r="C1765" s="2" t="s">
        <v>17</v>
      </c>
      <c r="D1765" s="2" t="s">
        <v>27</v>
      </c>
      <c r="E1765" s="4">
        <v>-32130</v>
      </c>
      <c r="F1765" s="3" t="s">
        <v>2538</v>
      </c>
      <c r="G1765" s="3" t="s">
        <v>2539</v>
      </c>
      <c r="H1765" s="2" t="s">
        <v>21</v>
      </c>
      <c r="I1765" s="2" t="s">
        <v>4851</v>
      </c>
      <c r="J1765" s="3" t="str">
        <f>HYPERLINK("https://www.boe.es/gazeta/dias/1812/01/11/pdfs/GEI-1812-5.pdf#page=4","Abrir facsímil")</f>
        <v>Abrir facsímil</v>
      </c>
      <c r="K1765" s="3" t="s">
        <v>23</v>
      </c>
    </row>
    <row r="1766" spans="1:11" ht="42" customHeight="1">
      <c r="A1766" s="2" t="s">
        <v>4850</v>
      </c>
      <c r="B1766" s="2" t="s">
        <v>4850</v>
      </c>
      <c r="C1766" s="2" t="s">
        <v>17</v>
      </c>
      <c r="D1766" s="2" t="s">
        <v>27</v>
      </c>
      <c r="E1766" s="4">
        <v>-32046</v>
      </c>
      <c r="F1766" s="3" t="s">
        <v>1013</v>
      </c>
      <c r="G1766" s="3" t="s">
        <v>1014</v>
      </c>
      <c r="H1766" s="2" t="s">
        <v>21</v>
      </c>
      <c r="I1766" s="2" t="s">
        <v>4852</v>
      </c>
      <c r="J1766" s="3" t="str">
        <f>HYPERLINK("https://www.boe.es/gazeta/dias/1812/04/04/pdfs/GRE-1812-42.pdf#page=4","Abrir facsímil")</f>
        <v>Abrir facsímil</v>
      </c>
      <c r="K1766" s="3" t="s">
        <v>23</v>
      </c>
    </row>
    <row r="1767" spans="1:11" ht="42" customHeight="1">
      <c r="A1767" s="2" t="s">
        <v>4850</v>
      </c>
      <c r="B1767" s="2" t="s">
        <v>4850</v>
      </c>
      <c r="C1767" s="2" t="s">
        <v>17</v>
      </c>
      <c r="D1767" s="2" t="s">
        <v>18</v>
      </c>
      <c r="E1767" s="4">
        <v>-31992</v>
      </c>
      <c r="F1767" s="3" t="s">
        <v>1292</v>
      </c>
      <c r="G1767" s="3" t="s">
        <v>1293</v>
      </c>
      <c r="H1767" s="2" t="s">
        <v>21</v>
      </c>
      <c r="I1767" s="2" t="s">
        <v>4853</v>
      </c>
      <c r="J1767" s="3" t="str">
        <f>HYPERLINK("https://www.boe.es/gazeta/dias/1812/05/28/pdfs/GRE-1812-66.pdf#page=7","Abrir facsímil")</f>
        <v>Abrir facsímil</v>
      </c>
      <c r="K1767" s="3" t="s">
        <v>23</v>
      </c>
    </row>
    <row r="1768" spans="1:11" ht="42" customHeight="1">
      <c r="A1768" s="2" t="s">
        <v>4850</v>
      </c>
      <c r="B1768" s="2" t="s">
        <v>4850</v>
      </c>
      <c r="C1768" s="2" t="s">
        <v>17</v>
      </c>
      <c r="D1768" s="2" t="s">
        <v>27</v>
      </c>
      <c r="E1768" s="4">
        <v>-31992</v>
      </c>
      <c r="F1768" s="3" t="s">
        <v>1292</v>
      </c>
      <c r="G1768" s="3" t="s">
        <v>4854</v>
      </c>
      <c r="H1768" s="2" t="s">
        <v>21</v>
      </c>
      <c r="I1768" s="2" t="s">
        <v>4855</v>
      </c>
      <c r="J1768" s="3" t="str">
        <f>HYPERLINK("https://www.boe.es/gazeta/dias/1812/05/28/pdfs/GRE-1812-66.pdf#page=8","Abrir facsímil")</f>
        <v>Abrir facsímil</v>
      </c>
      <c r="K1768" s="3" t="s">
        <v>23</v>
      </c>
    </row>
    <row r="1769" spans="1:11" ht="42" customHeight="1">
      <c r="A1769" s="2" t="s">
        <v>4850</v>
      </c>
      <c r="B1769" s="2" t="s">
        <v>4850</v>
      </c>
      <c r="C1769" s="2" t="s">
        <v>26</v>
      </c>
      <c r="D1769" s="2" t="s">
        <v>27</v>
      </c>
      <c r="E1769" s="4">
        <v>-31952</v>
      </c>
      <c r="F1769" s="3" t="s">
        <v>210</v>
      </c>
      <c r="G1769" s="3" t="s">
        <v>211</v>
      </c>
      <c r="H1769" s="2" t="s">
        <v>21</v>
      </c>
      <c r="I1769" s="2" t="s">
        <v>4856</v>
      </c>
      <c r="J1769" s="3" t="str">
        <f>HYPERLINK("https://www.boe.es/gazeta/dias/1812/07/07/pdfs/GRE-1812-83.pdf#page=4","Abrir facsímil")</f>
        <v>Abrir facsímil</v>
      </c>
      <c r="K1769" s="3" t="s">
        <v>23</v>
      </c>
    </row>
    <row r="1770" spans="1:11" ht="42" customHeight="1">
      <c r="A1770" s="2" t="s">
        <v>4850</v>
      </c>
      <c r="B1770" s="2" t="s">
        <v>4850</v>
      </c>
      <c r="C1770" s="2" t="s">
        <v>17</v>
      </c>
      <c r="D1770" s="2" t="s">
        <v>27</v>
      </c>
      <c r="E1770" s="4">
        <v>-31950</v>
      </c>
      <c r="F1770" s="3" t="s">
        <v>1024</v>
      </c>
      <c r="G1770" s="3" t="s">
        <v>1989</v>
      </c>
      <c r="H1770" s="2" t="s">
        <v>21</v>
      </c>
      <c r="I1770" s="2" t="s">
        <v>4857</v>
      </c>
      <c r="J1770" s="3" t="str">
        <f>HYPERLINK("https://www.boe.es/gazeta/dias/1812/07/09/pdfs/GRE-1812-84.pdf#page=2","Abrir facsímil")</f>
        <v>Abrir facsímil</v>
      </c>
      <c r="K1770" s="3" t="s">
        <v>23</v>
      </c>
    </row>
    <row r="1771" spans="1:11" ht="42" customHeight="1">
      <c r="A1771" s="2" t="s">
        <v>4850</v>
      </c>
      <c r="B1771" s="2" t="s">
        <v>4850</v>
      </c>
      <c r="C1771" s="2" t="s">
        <v>17</v>
      </c>
      <c r="D1771" s="2" t="s">
        <v>27</v>
      </c>
      <c r="E1771" s="4">
        <v>-31913</v>
      </c>
      <c r="F1771" s="3" t="s">
        <v>450</v>
      </c>
      <c r="G1771" s="3" t="s">
        <v>1489</v>
      </c>
      <c r="H1771" s="2" t="s">
        <v>21</v>
      </c>
      <c r="I1771" s="2" t="s">
        <v>4858</v>
      </c>
      <c r="J1771" s="3" t="str">
        <f>HYPERLINK("https://www.boe.es/gazeta/dias/1812/08/15/pdfs/GRE-1812-105.pdf#page=3","Abrir facsímil")</f>
        <v>Abrir facsímil</v>
      </c>
      <c r="K1771" s="3" t="s">
        <v>23</v>
      </c>
    </row>
    <row r="1772" spans="1:11" ht="42" customHeight="1">
      <c r="A1772" s="2" t="s">
        <v>4859</v>
      </c>
      <c r="B1772" s="2" t="s">
        <v>4860</v>
      </c>
      <c r="C1772" s="2" t="s">
        <v>26</v>
      </c>
      <c r="D1772" s="2" t="s">
        <v>27</v>
      </c>
      <c r="E1772" s="4">
        <v>-31868</v>
      </c>
      <c r="F1772" s="3" t="s">
        <v>711</v>
      </c>
      <c r="G1772" s="3" t="s">
        <v>4861</v>
      </c>
      <c r="H1772" s="2" t="s">
        <v>21</v>
      </c>
      <c r="I1772" s="2" t="s">
        <v>4862</v>
      </c>
      <c r="J1772" s="3" t="str">
        <f>HYPERLINK("https://www.boe.es/gazeta/dias/1812/09/29/pdfs/GRE-1812-132.pdf#page=4","Abrir facsímil")</f>
        <v>Abrir facsímil</v>
      </c>
      <c r="K1772" s="3" t="s">
        <v>23</v>
      </c>
    </row>
    <row r="1773" spans="1:11" ht="42" customHeight="1">
      <c r="A1773" s="2" t="s">
        <v>4863</v>
      </c>
      <c r="B1773" s="2" t="s">
        <v>4863</v>
      </c>
      <c r="C1773" s="2" t="s">
        <v>17</v>
      </c>
      <c r="D1773" s="2" t="s">
        <v>27</v>
      </c>
      <c r="E1773" s="4">
        <v>-31924</v>
      </c>
      <c r="F1773" s="3" t="s">
        <v>1948</v>
      </c>
      <c r="G1773" s="3" t="s">
        <v>117</v>
      </c>
      <c r="H1773" s="2" t="s">
        <v>21</v>
      </c>
      <c r="I1773" s="2" t="s">
        <v>4864</v>
      </c>
      <c r="J1773" s="3" t="str">
        <f>HYPERLINK("https://www.boe.es/gazeta/dias/1812/08/04/pdfs/GRE-1812-99.pdf#page=6","Abrir facsímil")</f>
        <v>Abrir facsímil</v>
      </c>
      <c r="K1773" s="3" t="s">
        <v>23</v>
      </c>
    </row>
    <row r="1774" spans="1:11" ht="42" customHeight="1">
      <c r="A1774" s="2" t="s">
        <v>4863</v>
      </c>
      <c r="B1774" s="2" t="s">
        <v>4863</v>
      </c>
      <c r="C1774" s="2" t="s">
        <v>17</v>
      </c>
      <c r="D1774" s="2" t="s">
        <v>275</v>
      </c>
      <c r="E1774" s="4">
        <v>-31905</v>
      </c>
      <c r="F1774" s="3" t="s">
        <v>855</v>
      </c>
      <c r="G1774" s="3" t="s">
        <v>4865</v>
      </c>
      <c r="H1774" s="2" t="s">
        <v>21</v>
      </c>
      <c r="I1774" s="2" t="s">
        <v>4866</v>
      </c>
      <c r="J1774" s="3" t="str">
        <f>HYPERLINK("https://www.boe.es/gazeta/dias/1812/08/23/pdfs/GMR-1812-4.pdf#page=12","Abrir facsímil")</f>
        <v>Abrir facsímil</v>
      </c>
      <c r="K1774" s="3" t="s">
        <v>23</v>
      </c>
    </row>
    <row r="1775" spans="1:11" ht="42" customHeight="1">
      <c r="A1775" s="2" t="s">
        <v>4863</v>
      </c>
      <c r="B1775" s="2" t="s">
        <v>4863</v>
      </c>
      <c r="C1775" s="2" t="s">
        <v>17</v>
      </c>
      <c r="D1775" s="2" t="s">
        <v>18</v>
      </c>
      <c r="E1775" s="4">
        <v>-31903</v>
      </c>
      <c r="F1775" s="3" t="s">
        <v>626</v>
      </c>
      <c r="G1775" s="3" t="s">
        <v>2532</v>
      </c>
      <c r="H1775" s="2" t="s">
        <v>21</v>
      </c>
      <c r="I1775" s="2" t="s">
        <v>4867</v>
      </c>
      <c r="J1775" s="3" t="str">
        <f>HYPERLINK("https://www.boe.es/gazeta/dias/1812/08/25/pdfs/GMR-1812-5.pdf#page=6","Abrir facsímil")</f>
        <v>Abrir facsímil</v>
      </c>
      <c r="K1775" s="3" t="s">
        <v>23</v>
      </c>
    </row>
    <row r="1776" spans="1:11" ht="42" customHeight="1">
      <c r="A1776" s="2" t="s">
        <v>4863</v>
      </c>
      <c r="B1776" s="2" t="s">
        <v>4863</v>
      </c>
      <c r="C1776" s="2" t="s">
        <v>17</v>
      </c>
      <c r="D1776" s="2" t="s">
        <v>275</v>
      </c>
      <c r="E1776" s="4">
        <v>-31868</v>
      </c>
      <c r="F1776" s="3" t="s">
        <v>711</v>
      </c>
      <c r="G1776" s="3" t="s">
        <v>1131</v>
      </c>
      <c r="H1776" s="2" t="s">
        <v>21</v>
      </c>
      <c r="I1776" s="2" t="s">
        <v>4868</v>
      </c>
      <c r="J1776" s="3" t="str">
        <f>HYPERLINK("https://www.boe.es/gazeta/dias/1812/09/29/pdfs/GRE-1812-132.pdf#page=3","Abrir facsímil")</f>
        <v>Abrir facsímil</v>
      </c>
      <c r="K1776" s="3" t="s">
        <v>23</v>
      </c>
    </row>
    <row r="1777" spans="1:11" ht="42" customHeight="1">
      <c r="A1777" s="2" t="s">
        <v>4863</v>
      </c>
      <c r="B1777" s="2" t="s">
        <v>4863</v>
      </c>
      <c r="C1777" s="2" t="s">
        <v>17</v>
      </c>
      <c r="D1777" s="2" t="s">
        <v>27</v>
      </c>
      <c r="E1777" s="4">
        <v>-31824</v>
      </c>
      <c r="F1777" s="3" t="s">
        <v>3123</v>
      </c>
      <c r="G1777" s="3" t="s">
        <v>20</v>
      </c>
      <c r="H1777" s="2" t="s">
        <v>21</v>
      </c>
      <c r="I1777" s="2" t="s">
        <v>4869</v>
      </c>
      <c r="J1777" s="3" t="str">
        <f>HYPERLINK("https://www.boe.es/gazeta/dias/1812/11/12/pdfs/GRE-1812-151.pdf#page=5","Abrir facsímil")</f>
        <v>Abrir facsímil</v>
      </c>
      <c r="K1777" s="3" t="s">
        <v>23</v>
      </c>
    </row>
    <row r="1778" spans="1:11" ht="42" customHeight="1">
      <c r="A1778" s="2" t="s">
        <v>4870</v>
      </c>
      <c r="B1778" s="2" t="s">
        <v>4871</v>
      </c>
      <c r="C1778" s="2" t="s">
        <v>26</v>
      </c>
      <c r="D1778" s="2" t="s">
        <v>27</v>
      </c>
      <c r="E1778" s="4">
        <v>-32034</v>
      </c>
      <c r="F1778" s="3" t="s">
        <v>28</v>
      </c>
      <c r="G1778" s="3" t="s">
        <v>130</v>
      </c>
      <c r="H1778" s="2" t="s">
        <v>30</v>
      </c>
      <c r="I1778" s="2" t="s">
        <v>4872</v>
      </c>
      <c r="J1778" s="3" t="str">
        <f>HYPERLINK("https://www.boe.es/gazeta/dias/1812/04/16/pdfs/GMD-1812-107.pdf#page=4","Abrir facsímil")</f>
        <v>Abrir facsímil</v>
      </c>
      <c r="K1778" s="3" t="s">
        <v>32</v>
      </c>
    </row>
    <row r="1779" spans="1:11" ht="42" customHeight="1">
      <c r="A1779" s="2" t="s">
        <v>4873</v>
      </c>
      <c r="B1779" s="2" t="s">
        <v>4874</v>
      </c>
      <c r="C1779" s="2" t="s">
        <v>17</v>
      </c>
      <c r="D1779" s="2" t="s">
        <v>27</v>
      </c>
      <c r="E1779" s="4">
        <v>-32109</v>
      </c>
      <c r="F1779" s="3" t="s">
        <v>62</v>
      </c>
      <c r="G1779" s="3" t="s">
        <v>63</v>
      </c>
      <c r="H1779" s="2" t="s">
        <v>21</v>
      </c>
      <c r="I1779" s="2" t="s">
        <v>4875</v>
      </c>
      <c r="J1779" s="3" t="str">
        <f>HYPERLINK("https://www.boe.es/gazeta/dias/1812/02/01/pdfs/GRE-1812-14.pdf#page=10","Abrir facsímil")</f>
        <v>Abrir facsímil</v>
      </c>
      <c r="K1779" s="3" t="s">
        <v>23</v>
      </c>
    </row>
    <row r="1780" spans="1:11" ht="42" customHeight="1">
      <c r="A1780" s="2" t="s">
        <v>4876</v>
      </c>
      <c r="B1780" s="2" t="s">
        <v>4877</v>
      </c>
      <c r="C1780" s="2" t="s">
        <v>17</v>
      </c>
      <c r="D1780" s="2" t="s">
        <v>27</v>
      </c>
      <c r="E1780" s="4">
        <v>-32110</v>
      </c>
      <c r="F1780" s="3" t="s">
        <v>68</v>
      </c>
      <c r="G1780" s="3" t="s">
        <v>20</v>
      </c>
      <c r="H1780" s="2" t="s">
        <v>21</v>
      </c>
      <c r="I1780" s="2" t="s">
        <v>4878</v>
      </c>
      <c r="J1780" s="3" t="str">
        <f>HYPERLINK("https://www.boe.es/gazeta/dias/1812/01/31/pdfs/GMD-1812-31.pdf#page=3","Abrir facsímil")</f>
        <v>Abrir facsímil</v>
      </c>
      <c r="K1780" s="3" t="s">
        <v>23</v>
      </c>
    </row>
    <row r="1781" spans="1:11" ht="42" customHeight="1">
      <c r="A1781" s="2" t="s">
        <v>4879</v>
      </c>
      <c r="B1781" s="2" t="s">
        <v>4880</v>
      </c>
      <c r="C1781" s="2" t="s">
        <v>49</v>
      </c>
      <c r="D1781" s="2" t="s">
        <v>27</v>
      </c>
      <c r="E1781" s="4">
        <v>-32050</v>
      </c>
      <c r="F1781" s="3" t="s">
        <v>864</v>
      </c>
      <c r="G1781" s="3" t="s">
        <v>29</v>
      </c>
      <c r="H1781" s="2" t="s">
        <v>21</v>
      </c>
      <c r="I1781" s="2" t="s">
        <v>4881</v>
      </c>
      <c r="J1781" s="3" t="str">
        <f>HYPERLINK("https://www.boe.es/gazeta/dias/1812/03/31/pdfs/GRE-1812-40.pdf#page=8","Abrir facsímil")</f>
        <v>Abrir facsímil</v>
      </c>
      <c r="K1781" s="3" t="s">
        <v>23</v>
      </c>
    </row>
    <row r="1782" spans="1:11" ht="42" customHeight="1">
      <c r="A1782" s="2" t="s">
        <v>4882</v>
      </c>
      <c r="B1782" s="2" t="s">
        <v>4883</v>
      </c>
      <c r="C1782" s="2" t="s">
        <v>17</v>
      </c>
      <c r="D1782" s="2" t="s">
        <v>27</v>
      </c>
      <c r="E1782" s="4">
        <v>-32015</v>
      </c>
      <c r="F1782" s="3" t="s">
        <v>77</v>
      </c>
      <c r="G1782" s="3" t="s">
        <v>78</v>
      </c>
      <c r="H1782" s="2" t="s">
        <v>30</v>
      </c>
      <c r="I1782" s="2" t="s">
        <v>4884</v>
      </c>
      <c r="J1782" s="3" t="str">
        <f>HYPERLINK("https://www.boe.es/gazeta/dias/1812/05/05/pdfs/GRE-1812-56.pdf#page=8","Abrir facsímil")</f>
        <v>Abrir facsímil</v>
      </c>
      <c r="K1782" s="3" t="s">
        <v>32</v>
      </c>
    </row>
    <row r="1783" spans="1:11" ht="42" customHeight="1">
      <c r="A1783" s="2" t="s">
        <v>4885</v>
      </c>
      <c r="B1783" s="2" t="s">
        <v>4886</v>
      </c>
      <c r="C1783" s="2" t="s">
        <v>26</v>
      </c>
      <c r="D1783" s="2" t="s">
        <v>27</v>
      </c>
      <c r="E1783" s="4">
        <v>-32002</v>
      </c>
      <c r="F1783" s="3" t="s">
        <v>619</v>
      </c>
      <c r="G1783" s="3" t="s">
        <v>20</v>
      </c>
      <c r="H1783" s="2" t="s">
        <v>21</v>
      </c>
      <c r="I1783" s="2" t="s">
        <v>4887</v>
      </c>
      <c r="J1783" s="3" t="str">
        <f>HYPERLINK("https://www.boe.es/gazeta/dias/1812/05/18/pdfs/GMD-1812-139.pdf#page=3","Abrir facsímil")</f>
        <v>Abrir facsímil</v>
      </c>
      <c r="K1783" s="3" t="s">
        <v>23</v>
      </c>
    </row>
    <row r="1784" spans="1:11" ht="42" customHeight="1">
      <c r="A1784" s="2" t="s">
        <v>4888</v>
      </c>
      <c r="B1784" s="2" t="s">
        <v>4889</v>
      </c>
      <c r="C1784" s="2" t="s">
        <v>17</v>
      </c>
      <c r="D1784" s="2" t="s">
        <v>27</v>
      </c>
      <c r="E1784" s="4">
        <v>-31931</v>
      </c>
      <c r="F1784" s="3" t="s">
        <v>4174</v>
      </c>
      <c r="G1784" s="3" t="s">
        <v>4890</v>
      </c>
      <c r="H1784" s="2" t="s">
        <v>21</v>
      </c>
      <c r="I1784" s="2" t="s">
        <v>4891</v>
      </c>
      <c r="J1784" s="3" t="str">
        <f>HYPERLINK("https://www.boe.es/gazeta/dias/1812/07/28/pdfs/GRE-1812-94.pdf#page=4","Abrir facsímil")</f>
        <v>Abrir facsímil</v>
      </c>
      <c r="K1784" s="3" t="s">
        <v>23</v>
      </c>
    </row>
    <row r="1785" spans="1:11" ht="42" customHeight="1">
      <c r="A1785" s="2" t="s">
        <v>4892</v>
      </c>
      <c r="B1785" s="2" t="s">
        <v>4893</v>
      </c>
      <c r="C1785" s="2" t="s">
        <v>17</v>
      </c>
      <c r="D1785" s="2" t="s">
        <v>18</v>
      </c>
      <c r="E1785" s="4">
        <v>-31964</v>
      </c>
      <c r="F1785" s="3" t="s">
        <v>93</v>
      </c>
      <c r="G1785" s="3" t="s">
        <v>4894</v>
      </c>
      <c r="H1785" s="2" t="s">
        <v>21</v>
      </c>
      <c r="I1785" s="2" t="s">
        <v>4895</v>
      </c>
      <c r="J1785" s="3" t="str">
        <f>HYPERLINK("https://www.boe.es/gazeta/dias/1812/06/25/pdfs/GRE-1812-78.pdf#page=6","Abrir facsímil")</f>
        <v>Abrir facsímil</v>
      </c>
      <c r="K1785" s="3" t="s">
        <v>23</v>
      </c>
    </row>
    <row r="1786" spans="1:11" ht="42" customHeight="1">
      <c r="A1786" s="2" t="s">
        <v>4896</v>
      </c>
      <c r="B1786" s="2" t="s">
        <v>4897</v>
      </c>
      <c r="C1786" s="2" t="s">
        <v>49</v>
      </c>
      <c r="D1786" s="2" t="s">
        <v>27</v>
      </c>
      <c r="E1786" s="4">
        <v>-32075</v>
      </c>
      <c r="F1786" s="3" t="s">
        <v>301</v>
      </c>
      <c r="G1786" s="3" t="s">
        <v>20</v>
      </c>
      <c r="H1786" s="2" t="s">
        <v>21</v>
      </c>
      <c r="I1786" s="2" t="s">
        <v>4898</v>
      </c>
      <c r="J1786" s="3" t="str">
        <f>HYPERLINK("https://www.boe.es/gazeta/dias/1812/03/06/pdfs/GMD-1812-66.pdf#page=4","Abrir facsímil")</f>
        <v>Abrir facsímil</v>
      </c>
      <c r="K1786" s="3" t="s">
        <v>23</v>
      </c>
    </row>
    <row r="1787" spans="1:11" ht="42" customHeight="1">
      <c r="A1787" s="2" t="s">
        <v>4899</v>
      </c>
      <c r="B1787" s="2" t="s">
        <v>4900</v>
      </c>
      <c r="C1787" s="2" t="s">
        <v>26</v>
      </c>
      <c r="D1787" s="2" t="s">
        <v>27</v>
      </c>
      <c r="E1787" s="4">
        <v>-32095</v>
      </c>
      <c r="F1787" s="3" t="s">
        <v>284</v>
      </c>
      <c r="G1787" s="3" t="s">
        <v>29</v>
      </c>
      <c r="H1787" s="2" t="s">
        <v>21</v>
      </c>
      <c r="I1787" s="2" t="s">
        <v>4901</v>
      </c>
      <c r="J1787" s="3" t="str">
        <f>HYPERLINK("https://www.boe.es/gazeta/dias/1812/02/15/pdfs/GRE-1812-20.pdf#page=8","Abrir facsímil")</f>
        <v>Abrir facsímil</v>
      </c>
      <c r="K1787" s="3" t="s">
        <v>23</v>
      </c>
    </row>
    <row r="1788" spans="1:11" ht="42" customHeight="1">
      <c r="A1788" s="2" t="s">
        <v>4902</v>
      </c>
      <c r="B1788" s="2" t="s">
        <v>4903</v>
      </c>
      <c r="C1788" s="2" t="s">
        <v>49</v>
      </c>
      <c r="D1788" s="2" t="s">
        <v>18</v>
      </c>
      <c r="E1788" s="4">
        <v>-32053</v>
      </c>
      <c r="F1788" s="3" t="s">
        <v>2877</v>
      </c>
      <c r="G1788" s="3" t="s">
        <v>965</v>
      </c>
      <c r="H1788" s="2" t="s">
        <v>21</v>
      </c>
      <c r="I1788" s="2" t="s">
        <v>4904</v>
      </c>
      <c r="J1788" s="3" t="str">
        <f>HYPERLINK("https://www.boe.es/gazeta/dias/1812/03/28/pdfs/GMD-1812-88.pdf#page=4","Abrir facsímil")</f>
        <v>Abrir facsímil</v>
      </c>
      <c r="K1788" s="3" t="s">
        <v>23</v>
      </c>
    </row>
    <row r="1789" spans="1:11" ht="42" customHeight="1">
      <c r="A1789" s="2" t="s">
        <v>4905</v>
      </c>
      <c r="B1789" s="2" t="s">
        <v>4906</v>
      </c>
      <c r="C1789" s="2" t="s">
        <v>17</v>
      </c>
      <c r="D1789" s="2" t="s">
        <v>18</v>
      </c>
      <c r="E1789" s="4">
        <v>-32018</v>
      </c>
      <c r="F1789" s="3" t="s">
        <v>365</v>
      </c>
      <c r="G1789" s="3" t="s">
        <v>392</v>
      </c>
      <c r="H1789" s="2" t="s">
        <v>21</v>
      </c>
      <c r="I1789" s="2" t="s">
        <v>4907</v>
      </c>
      <c r="J1789" s="3" t="str">
        <f>HYPERLINK("https://www.boe.es/gazeta/dias/1812/05/02/pdfs/GRE-1812-55.pdf#page=2","Abrir facsímil")</f>
        <v>Abrir facsímil</v>
      </c>
      <c r="K1789" s="3" t="s">
        <v>23</v>
      </c>
    </row>
    <row r="1790" spans="1:11" ht="42" customHeight="1">
      <c r="A1790" s="2" t="s">
        <v>4908</v>
      </c>
      <c r="B1790" s="2" t="s">
        <v>4909</v>
      </c>
      <c r="C1790" s="2" t="s">
        <v>17</v>
      </c>
      <c r="D1790" s="2" t="s">
        <v>27</v>
      </c>
      <c r="E1790" s="4">
        <v>-31988</v>
      </c>
      <c r="F1790" s="3" t="s">
        <v>1094</v>
      </c>
      <c r="G1790" s="3" t="s">
        <v>1095</v>
      </c>
      <c r="H1790" s="2" t="s">
        <v>21</v>
      </c>
      <c r="I1790" s="2" t="s">
        <v>4910</v>
      </c>
      <c r="J1790" s="3" t="str">
        <f>HYPERLINK("https://www.boe.es/gazeta/dias/1812/06/01/pdfs/GMD-1812-153.pdf#page=2","Abrir facsímil")</f>
        <v>Abrir facsímil</v>
      </c>
      <c r="K1790" s="3" t="s">
        <v>23</v>
      </c>
    </row>
    <row r="1791" spans="1:11" ht="42" customHeight="1">
      <c r="A1791" s="2" t="s">
        <v>4911</v>
      </c>
      <c r="B1791" s="2" t="s">
        <v>4912</v>
      </c>
      <c r="C1791" s="2" t="s">
        <v>105</v>
      </c>
      <c r="D1791" s="2" t="s">
        <v>27</v>
      </c>
      <c r="E1791" s="4">
        <v>-31999</v>
      </c>
      <c r="F1791" s="3" t="s">
        <v>806</v>
      </c>
      <c r="G1791" s="3" t="s">
        <v>4913</v>
      </c>
      <c r="H1791" s="2" t="s">
        <v>21</v>
      </c>
      <c r="I1791" s="2" t="s">
        <v>4914</v>
      </c>
      <c r="J1791" s="3" t="str">
        <f>HYPERLINK("https://www.boe.es/gazeta/dias/1812/05/21/pdfs/GRE-1812-63.pdf#page=6","Abrir facsímil")</f>
        <v>Abrir facsímil</v>
      </c>
      <c r="K1791" s="3" t="s">
        <v>23</v>
      </c>
    </row>
    <row r="1792" spans="1:11" ht="42" customHeight="1">
      <c r="A1792" s="2" t="s">
        <v>4915</v>
      </c>
      <c r="B1792" s="2" t="s">
        <v>4916</v>
      </c>
      <c r="C1792" s="2" t="s">
        <v>17</v>
      </c>
      <c r="D1792" s="2" t="s">
        <v>18</v>
      </c>
      <c r="E1792" s="4">
        <v>-31924</v>
      </c>
      <c r="F1792" s="3" t="s">
        <v>1948</v>
      </c>
      <c r="G1792" s="3" t="s">
        <v>4917</v>
      </c>
      <c r="H1792" s="2" t="s">
        <v>21</v>
      </c>
      <c r="I1792" s="2" t="s">
        <v>4918</v>
      </c>
      <c r="J1792" s="3" t="str">
        <f>HYPERLINK("https://www.boe.es/gazeta/dias/1812/08/04/pdfs/GRE-1812-99.pdf#page=5","Abrir facsímil")</f>
        <v>Abrir facsímil</v>
      </c>
      <c r="K1792" s="3" t="s">
        <v>23</v>
      </c>
    </row>
    <row r="1793" spans="1:11" ht="42" customHeight="1">
      <c r="A1793" s="2" t="s">
        <v>4919</v>
      </c>
      <c r="B1793" s="2" t="s">
        <v>4920</v>
      </c>
      <c r="C1793" s="2" t="s">
        <v>26</v>
      </c>
      <c r="D1793" s="2" t="s">
        <v>275</v>
      </c>
      <c r="E1793" s="4">
        <v>-31940</v>
      </c>
      <c r="F1793" s="3" t="s">
        <v>187</v>
      </c>
      <c r="G1793" s="3" t="s">
        <v>45</v>
      </c>
      <c r="H1793" s="2" t="s">
        <v>21</v>
      </c>
      <c r="I1793" s="2" t="s">
        <v>4921</v>
      </c>
      <c r="J1793" s="3" t="str">
        <f>HYPERLINK("https://www.boe.es/gazeta/dias/1812/07/19/pdfs/GMD-1812-201.pdf#page=2","Abrir facsímil")</f>
        <v>Abrir facsímil</v>
      </c>
      <c r="K1793" s="3" t="s">
        <v>23</v>
      </c>
    </row>
    <row r="1794" spans="1:11" ht="42" customHeight="1">
      <c r="A1794" s="2" t="s">
        <v>4922</v>
      </c>
      <c r="B1794" s="2" t="s">
        <v>4923</v>
      </c>
      <c r="C1794" s="2" t="s">
        <v>26</v>
      </c>
      <c r="D1794" s="2" t="s">
        <v>27</v>
      </c>
      <c r="E1794" s="4">
        <v>-31976</v>
      </c>
      <c r="F1794" s="3" t="s">
        <v>54</v>
      </c>
      <c r="G1794" s="3" t="s">
        <v>55</v>
      </c>
      <c r="H1794" s="2" t="s">
        <v>21</v>
      </c>
      <c r="I1794" s="2" t="s">
        <v>4924</v>
      </c>
      <c r="J1794" s="3" t="str">
        <f>HYPERLINK("https://www.boe.es/gazeta/dias/1812/06/13/pdfs/GRE-1812-73.pdf#page=6","Abrir facsímil")</f>
        <v>Abrir facsímil</v>
      </c>
      <c r="K1794" s="3" t="s">
        <v>23</v>
      </c>
    </row>
    <row r="1795" spans="1:11" ht="42" customHeight="1">
      <c r="A1795" s="2" t="s">
        <v>4925</v>
      </c>
      <c r="B1795" s="2" t="s">
        <v>4926</v>
      </c>
      <c r="C1795" s="2" t="s">
        <v>26</v>
      </c>
      <c r="D1795" s="2" t="s">
        <v>27</v>
      </c>
      <c r="E1795" s="4">
        <v>-31859</v>
      </c>
      <c r="F1795" s="3" t="s">
        <v>3024</v>
      </c>
      <c r="G1795" s="3" t="s">
        <v>739</v>
      </c>
      <c r="H1795" s="2" t="s">
        <v>21</v>
      </c>
      <c r="I1795" s="2" t="s">
        <v>4927</v>
      </c>
      <c r="J1795" s="3" t="str">
        <f>HYPERLINK("https://www.boe.es/gazeta/dias/1812/10/08/pdfs/GRE-1812-136.pdf#page=7","Abrir facsímil")</f>
        <v>Abrir facsímil</v>
      </c>
      <c r="K1795" s="3" t="s">
        <v>23</v>
      </c>
    </row>
    <row r="1796" spans="1:11" ht="42" customHeight="1">
      <c r="A1796" s="2" t="s">
        <v>4928</v>
      </c>
      <c r="B1796" s="2" t="s">
        <v>4928</v>
      </c>
      <c r="C1796" s="2" t="s">
        <v>26</v>
      </c>
      <c r="D1796" s="2" t="s">
        <v>194</v>
      </c>
      <c r="E1796" s="4">
        <v>-31966</v>
      </c>
      <c r="F1796" s="3" t="s">
        <v>387</v>
      </c>
      <c r="G1796" s="3" t="s">
        <v>667</v>
      </c>
      <c r="H1796" s="2" t="s">
        <v>21</v>
      </c>
      <c r="I1796" s="2" t="s">
        <v>4929</v>
      </c>
      <c r="J1796" s="3" t="str">
        <f>HYPERLINK("https://www.boe.es/gazeta/dias/1812/06/23/pdfs/GMD-1812-175.pdf#page=1","Abrir facsímil")</f>
        <v>Abrir facsímil</v>
      </c>
      <c r="K1796" s="3" t="s">
        <v>23</v>
      </c>
    </row>
    <row r="1797" spans="1:11" ht="42" customHeight="1">
      <c r="A1797" s="2" t="s">
        <v>4930</v>
      </c>
      <c r="B1797" s="2" t="s">
        <v>4931</v>
      </c>
      <c r="C1797" s="2" t="s">
        <v>26</v>
      </c>
      <c r="D1797" s="2" t="s">
        <v>27</v>
      </c>
      <c r="E1797" s="4">
        <v>-31938</v>
      </c>
      <c r="F1797" s="3" t="s">
        <v>324</v>
      </c>
      <c r="G1797" s="3" t="s">
        <v>497</v>
      </c>
      <c r="H1797" s="2" t="s">
        <v>21</v>
      </c>
      <c r="I1797" s="2" t="s">
        <v>4932</v>
      </c>
      <c r="J1797" s="3" t="str">
        <f>HYPERLINK("https://www.boe.es/gazeta/dias/1812/07/21/pdfs/GMD-1812-203.pdf#page=3","Abrir facsímil")</f>
        <v>Abrir facsímil</v>
      </c>
      <c r="K1797" s="3" t="s">
        <v>23</v>
      </c>
    </row>
    <row r="1798" spans="1:11" ht="42" customHeight="1">
      <c r="A1798" s="2" t="s">
        <v>4933</v>
      </c>
      <c r="B1798" s="2" t="s">
        <v>4933</v>
      </c>
      <c r="C1798" s="2" t="s">
        <v>26</v>
      </c>
      <c r="D1798" s="2" t="s">
        <v>27</v>
      </c>
      <c r="E1798" s="4">
        <v>-31945</v>
      </c>
      <c r="F1798" s="3" t="s">
        <v>1485</v>
      </c>
      <c r="G1798" s="3" t="s">
        <v>1486</v>
      </c>
      <c r="H1798" s="2" t="s">
        <v>21</v>
      </c>
      <c r="I1798" s="2" t="s">
        <v>4934</v>
      </c>
      <c r="J1798" s="3" t="str">
        <f>HYPERLINK("https://www.boe.es/gazeta/dias/1812/07/14/pdfs/GRE-1812-88.pdf#page=1","Abrir facsímil")</f>
        <v>Abrir facsímil</v>
      </c>
      <c r="K1798" s="3" t="s">
        <v>23</v>
      </c>
    </row>
    <row r="1799" spans="1:11" ht="42" customHeight="1">
      <c r="A1799" s="2" t="s">
        <v>4935</v>
      </c>
      <c r="B1799" s="2" t="s">
        <v>4935</v>
      </c>
      <c r="C1799" s="2" t="s">
        <v>17</v>
      </c>
      <c r="D1799" s="2" t="s">
        <v>18</v>
      </c>
      <c r="E1799" s="4">
        <v>-32036</v>
      </c>
      <c r="F1799" s="3" t="s">
        <v>781</v>
      </c>
      <c r="G1799" s="3" t="s">
        <v>2895</v>
      </c>
      <c r="H1799" s="2" t="s">
        <v>21</v>
      </c>
      <c r="I1799" s="2" t="s">
        <v>4936</v>
      </c>
      <c r="J1799" s="3" t="str">
        <f>HYPERLINK("https://www.boe.es/gazeta/dias/1812/04/14/pdfs/GRE-1812-47.pdf#page=4","Abrir facsímil")</f>
        <v>Abrir facsímil</v>
      </c>
      <c r="K1799" s="3" t="s">
        <v>23</v>
      </c>
    </row>
    <row r="1800" spans="1:11" ht="42" customHeight="1">
      <c r="A1800" s="2" t="s">
        <v>4937</v>
      </c>
      <c r="B1800" s="2" t="s">
        <v>4938</v>
      </c>
      <c r="C1800" s="2" t="s">
        <v>186</v>
      </c>
      <c r="D1800" s="2" t="s">
        <v>275</v>
      </c>
      <c r="E1800" s="4">
        <v>-32074</v>
      </c>
      <c r="F1800" s="3" t="s">
        <v>816</v>
      </c>
      <c r="G1800" s="3" t="s">
        <v>777</v>
      </c>
      <c r="H1800" s="2" t="s">
        <v>21</v>
      </c>
      <c r="I1800" s="2" t="s">
        <v>4939</v>
      </c>
      <c r="J1800" s="3" t="str">
        <f>HYPERLINK("https://www.boe.es/gazeta/dias/1812/03/07/pdfs/GRE-1812-30.pdf#page=8","Abrir facsímil")</f>
        <v>Abrir facsímil</v>
      </c>
      <c r="K1800" s="3" t="s">
        <v>23</v>
      </c>
    </row>
    <row r="1801" spans="1:11" ht="42" customHeight="1">
      <c r="A1801" s="2" t="s">
        <v>4940</v>
      </c>
      <c r="B1801" s="2" t="s">
        <v>4941</v>
      </c>
      <c r="C1801" s="2" t="s">
        <v>26</v>
      </c>
      <c r="D1801" s="2" t="s">
        <v>27</v>
      </c>
      <c r="E1801" s="4">
        <v>-31793</v>
      </c>
      <c r="F1801" s="3" t="s">
        <v>2570</v>
      </c>
      <c r="G1801" s="3" t="s">
        <v>20</v>
      </c>
      <c r="H1801" s="2" t="s">
        <v>21</v>
      </c>
      <c r="I1801" s="2" t="s">
        <v>4942</v>
      </c>
      <c r="J1801" s="3" t="str">
        <f>HYPERLINK("https://www.boe.es/gazeta/dias/1812/12/13/pdfs/GMD-1812-236.pdf#page=2","Abrir facsímil")</f>
        <v>Abrir facsímil</v>
      </c>
      <c r="K1801" s="3" t="s">
        <v>23</v>
      </c>
    </row>
    <row r="1802" spans="1:11" ht="42" customHeight="1">
      <c r="A1802" s="2" t="s">
        <v>4943</v>
      </c>
      <c r="B1802" s="2" t="s">
        <v>4944</v>
      </c>
      <c r="C1802" s="2" t="s">
        <v>49</v>
      </c>
      <c r="D1802" s="2" t="s">
        <v>27</v>
      </c>
      <c r="E1802" s="4">
        <v>-31793</v>
      </c>
      <c r="F1802" s="3" t="s">
        <v>2570</v>
      </c>
      <c r="G1802" s="3" t="s">
        <v>217</v>
      </c>
      <c r="H1802" s="2" t="s">
        <v>21</v>
      </c>
      <c r="I1802" s="2" t="s">
        <v>4945</v>
      </c>
      <c r="J1802" s="3" t="str">
        <f>HYPERLINK("https://www.boe.es/gazeta/dias/1812/12/13/pdfs/GMD-1812-236.pdf#page=4","Abrir facsímil")</f>
        <v>Abrir facsímil</v>
      </c>
      <c r="K1802" s="3" t="s">
        <v>23</v>
      </c>
    </row>
    <row r="1803" spans="1:11" ht="42" customHeight="1">
      <c r="A1803" s="2" t="s">
        <v>4946</v>
      </c>
      <c r="B1803" s="2" t="s">
        <v>4947</v>
      </c>
      <c r="C1803" s="2" t="s">
        <v>17</v>
      </c>
      <c r="D1803" s="2" t="s">
        <v>18</v>
      </c>
      <c r="E1803" s="4">
        <v>-31775</v>
      </c>
      <c r="F1803" s="3" t="s">
        <v>3760</v>
      </c>
      <c r="G1803" s="3" t="s">
        <v>4625</v>
      </c>
      <c r="H1803" s="2" t="s">
        <v>21</v>
      </c>
      <c r="I1803" s="2" t="s">
        <v>4948</v>
      </c>
      <c r="J1803" s="3" t="str">
        <f>HYPERLINK("https://www.boe.es/gazeta/dias/1812/12/31/pdfs/GMD-1812-254.pdf#page=3","Abrir facsímil")</f>
        <v>Abrir facsímil</v>
      </c>
      <c r="K1803" s="3" t="s">
        <v>23</v>
      </c>
    </row>
    <row r="1804" spans="1:11" ht="42" customHeight="1">
      <c r="A1804" s="2" t="s">
        <v>4949</v>
      </c>
      <c r="B1804" s="2" t="s">
        <v>4950</v>
      </c>
      <c r="C1804" s="2" t="s">
        <v>49</v>
      </c>
      <c r="D1804" s="2" t="s">
        <v>18</v>
      </c>
      <c r="E1804" s="4">
        <v>-31889</v>
      </c>
      <c r="F1804" s="3" t="s">
        <v>699</v>
      </c>
      <c r="G1804" s="3" t="s">
        <v>117</v>
      </c>
      <c r="H1804" s="2" t="s">
        <v>21</v>
      </c>
      <c r="I1804" s="2" t="s">
        <v>4951</v>
      </c>
      <c r="J1804" s="3" t="str">
        <f>HYPERLINK("https://www.boe.es/gazeta/dias/1812/09/08/pdfs/GMR-1812-11.pdf#page=6","Abrir facsímil")</f>
        <v>Abrir facsímil</v>
      </c>
      <c r="K1804" s="3" t="s">
        <v>23</v>
      </c>
    </row>
    <row r="1805" spans="1:11" ht="42" customHeight="1">
      <c r="A1805" s="2" t="s">
        <v>4952</v>
      </c>
      <c r="B1805" s="2" t="s">
        <v>4953</v>
      </c>
      <c r="C1805" s="2" t="s">
        <v>17</v>
      </c>
      <c r="D1805" s="2" t="s">
        <v>27</v>
      </c>
      <c r="E1805" s="4">
        <v>-31782</v>
      </c>
      <c r="F1805" s="3" t="s">
        <v>4408</v>
      </c>
      <c r="G1805" s="3" t="s">
        <v>514</v>
      </c>
      <c r="H1805" s="2" t="s">
        <v>21</v>
      </c>
      <c r="I1805" s="2" t="s">
        <v>4954</v>
      </c>
      <c r="J1805" s="3" t="str">
        <f>HYPERLINK("https://www.boe.es/gazeta/dias/1812/12/24/pdfs/GMD-1812-247.pdf#page=3","Abrir facsímil")</f>
        <v>Abrir facsímil</v>
      </c>
      <c r="K1805" s="3" t="s">
        <v>23</v>
      </c>
    </row>
    <row r="1806" spans="1:11" ht="42" customHeight="1">
      <c r="A1806" s="2" t="s">
        <v>4955</v>
      </c>
      <c r="B1806" s="2" t="s">
        <v>4955</v>
      </c>
      <c r="C1806" s="2" t="s">
        <v>17</v>
      </c>
      <c r="D1806" s="2" t="s">
        <v>27</v>
      </c>
      <c r="E1806" s="4">
        <v>-32096</v>
      </c>
      <c r="F1806" s="3" t="s">
        <v>4149</v>
      </c>
      <c r="G1806" s="3" t="s">
        <v>1448</v>
      </c>
      <c r="H1806" s="2" t="s">
        <v>21</v>
      </c>
      <c r="I1806" s="2" t="s">
        <v>4956</v>
      </c>
      <c r="J1806" s="3" t="str">
        <f>HYPERLINK("https://www.boe.es/gazeta/dias/1812/02/14/pdfs/GMD-1812-45.pdf#page=1","Abrir facsímil")</f>
        <v>Abrir facsímil</v>
      </c>
      <c r="K1806" s="3" t="s">
        <v>23</v>
      </c>
    </row>
    <row r="1807" spans="1:11" ht="42" customHeight="1">
      <c r="A1807" s="2" t="s">
        <v>4955</v>
      </c>
      <c r="B1807" s="2" t="s">
        <v>4955</v>
      </c>
      <c r="C1807" s="2" t="s">
        <v>17</v>
      </c>
      <c r="D1807" s="2" t="s">
        <v>27</v>
      </c>
      <c r="E1807" s="4">
        <v>-32078</v>
      </c>
      <c r="F1807" s="3" t="s">
        <v>4438</v>
      </c>
      <c r="G1807" s="3" t="s">
        <v>233</v>
      </c>
      <c r="H1807" s="2" t="s">
        <v>21</v>
      </c>
      <c r="I1807" s="2" t="s">
        <v>4957</v>
      </c>
      <c r="J1807" s="3" t="str">
        <f>HYPERLINK("https://www.boe.es/gazeta/dias/1812/03/03/pdfs/GMD-1812-63.pdf#page=1","Abrir facsímil")</f>
        <v>Abrir facsímil</v>
      </c>
      <c r="K1807" s="3" t="s">
        <v>23</v>
      </c>
    </row>
    <row r="1808" spans="1:11" ht="42" customHeight="1">
      <c r="A1808" s="2" t="s">
        <v>4955</v>
      </c>
      <c r="B1808" s="2" t="s">
        <v>4955</v>
      </c>
      <c r="C1808" s="2" t="s">
        <v>17</v>
      </c>
      <c r="D1808" s="2" t="s">
        <v>18</v>
      </c>
      <c r="E1808" s="4">
        <v>-32039</v>
      </c>
      <c r="F1808" s="3" t="s">
        <v>557</v>
      </c>
      <c r="G1808" s="3" t="s">
        <v>20</v>
      </c>
      <c r="H1808" s="2" t="s">
        <v>21</v>
      </c>
      <c r="I1808" s="2" t="s">
        <v>4958</v>
      </c>
      <c r="J1808" s="3" t="str">
        <f>HYPERLINK("https://www.boe.es/gazeta/dias/1812/04/11/pdfs/GMD-1812-102.pdf#page=2","Abrir facsímil")</f>
        <v>Abrir facsímil</v>
      </c>
      <c r="K1808" s="3" t="s">
        <v>23</v>
      </c>
    </row>
    <row r="1809" spans="1:11" ht="42" customHeight="1">
      <c r="A1809" s="2" t="s">
        <v>4959</v>
      </c>
      <c r="B1809" s="2" t="s">
        <v>4959</v>
      </c>
      <c r="C1809" s="2" t="s">
        <v>49</v>
      </c>
      <c r="D1809" s="2" t="s">
        <v>27</v>
      </c>
      <c r="E1809" s="4">
        <v>-32073</v>
      </c>
      <c r="F1809" s="3" t="s">
        <v>4960</v>
      </c>
      <c r="G1809" s="3" t="s">
        <v>857</v>
      </c>
      <c r="H1809" s="2" t="s">
        <v>21</v>
      </c>
      <c r="I1809" s="2" t="s">
        <v>4961</v>
      </c>
      <c r="J1809" s="3" t="str">
        <f>HYPERLINK("https://www.boe.es/gazeta/dias/1812/03/08/pdfs/GMD-1812-68.pdf#page=4","Abrir facsímil")</f>
        <v>Abrir facsímil</v>
      </c>
      <c r="K1809" s="3" t="s">
        <v>23</v>
      </c>
    </row>
    <row r="1810" spans="1:11" ht="42" customHeight="1">
      <c r="A1810" s="2" t="s">
        <v>4962</v>
      </c>
      <c r="B1810" s="2" t="s">
        <v>4963</v>
      </c>
      <c r="C1810" s="2" t="s">
        <v>26</v>
      </c>
      <c r="D1810" s="2" t="s">
        <v>27</v>
      </c>
      <c r="E1810" s="4">
        <v>-31941</v>
      </c>
      <c r="F1810" s="3" t="s">
        <v>57</v>
      </c>
      <c r="G1810" s="3" t="s">
        <v>58</v>
      </c>
      <c r="H1810" s="2" t="s">
        <v>30</v>
      </c>
      <c r="I1810" s="2" t="s">
        <v>4964</v>
      </c>
      <c r="J1810" s="3" t="str">
        <f>HYPERLINK("https://www.boe.es/gazeta/dias/1812/07/18/pdfs/GMD-1812-200.pdf#page=4","Abrir facsímil")</f>
        <v>Abrir facsímil</v>
      </c>
      <c r="K1810" s="3" t="s">
        <v>32</v>
      </c>
    </row>
    <row r="1811" spans="1:11" ht="42" customHeight="1">
      <c r="A1811" s="2" t="s">
        <v>4965</v>
      </c>
      <c r="B1811" s="2" t="s">
        <v>4966</v>
      </c>
      <c r="C1811" s="2" t="s">
        <v>17</v>
      </c>
      <c r="D1811" s="2" t="s">
        <v>27</v>
      </c>
      <c r="E1811" s="4">
        <v>-31950</v>
      </c>
      <c r="F1811" s="3" t="s">
        <v>1024</v>
      </c>
      <c r="G1811" s="3" t="s">
        <v>1740</v>
      </c>
      <c r="H1811" s="2" t="s">
        <v>30</v>
      </c>
      <c r="I1811" s="2" t="s">
        <v>4967</v>
      </c>
      <c r="J1811" s="3" t="str">
        <f>HYPERLINK("https://www.boe.es/gazeta/dias/1812/07/09/pdfs/GRE-1812-84.pdf#page=4","Abrir facsímil")</f>
        <v>Abrir facsímil</v>
      </c>
      <c r="K1811" s="3" t="s">
        <v>32</v>
      </c>
    </row>
    <row r="1812" spans="1:11" ht="42" customHeight="1">
      <c r="A1812" s="2" t="s">
        <v>4968</v>
      </c>
      <c r="B1812" s="2" t="s">
        <v>4969</v>
      </c>
      <c r="C1812" s="2" t="s">
        <v>26</v>
      </c>
      <c r="D1812" s="2" t="s">
        <v>27</v>
      </c>
      <c r="E1812" s="4">
        <v>-32044</v>
      </c>
      <c r="F1812" s="3" t="s">
        <v>1031</v>
      </c>
      <c r="G1812" s="3" t="s">
        <v>1873</v>
      </c>
      <c r="H1812" s="2" t="s">
        <v>30</v>
      </c>
      <c r="I1812" s="2" t="s">
        <v>4970</v>
      </c>
      <c r="J1812" s="3" t="str">
        <f>HYPERLINK("https://www.boe.es/gazeta/dias/1812/04/06/pdfs/GMD-1812-97.pdf#page=4","Abrir facsímil")</f>
        <v>Abrir facsímil</v>
      </c>
      <c r="K1812" s="3" t="s">
        <v>32</v>
      </c>
    </row>
    <row r="1813" spans="1:11" ht="42" customHeight="1">
      <c r="A1813" s="2" t="s">
        <v>4968</v>
      </c>
      <c r="B1813" s="2" t="s">
        <v>4969</v>
      </c>
      <c r="C1813" s="2" t="s">
        <v>26</v>
      </c>
      <c r="D1813" s="2" t="s">
        <v>27</v>
      </c>
      <c r="E1813" s="4">
        <v>-31922</v>
      </c>
      <c r="F1813" s="3" t="s">
        <v>622</v>
      </c>
      <c r="G1813" s="3" t="s">
        <v>623</v>
      </c>
      <c r="H1813" s="2" t="s">
        <v>30</v>
      </c>
      <c r="I1813" s="2" t="s">
        <v>4971</v>
      </c>
      <c r="J1813" s="3" t="str">
        <f>HYPERLINK("https://www.boe.es/gazeta/dias/1812/08/06/pdfs/GMD-1812-219.pdf#page=1","Abrir facsímil")</f>
        <v>Abrir facsímil</v>
      </c>
      <c r="K1813" s="3" t="s">
        <v>32</v>
      </c>
    </row>
    <row r="1814" spans="1:11" ht="42" customHeight="1">
      <c r="A1814" s="2" t="s">
        <v>4972</v>
      </c>
      <c r="B1814" s="2" t="s">
        <v>4973</v>
      </c>
      <c r="C1814" s="2" t="s">
        <v>26</v>
      </c>
      <c r="D1814" s="2" t="s">
        <v>27</v>
      </c>
      <c r="E1814" s="4">
        <v>-32060</v>
      </c>
      <c r="F1814" s="3" t="s">
        <v>399</v>
      </c>
      <c r="G1814" s="3" t="s">
        <v>136</v>
      </c>
      <c r="H1814" s="2" t="s">
        <v>30</v>
      </c>
      <c r="I1814" s="2" t="s">
        <v>4974</v>
      </c>
      <c r="J1814" s="3" t="str">
        <f>HYPERLINK("https://www.boe.es/gazeta/dias/1812/03/21/pdfs/GMD-1812-81.pdf#page=4","Abrir facsímil")</f>
        <v>Abrir facsímil</v>
      </c>
      <c r="K1814" s="3" t="s">
        <v>32</v>
      </c>
    </row>
    <row r="1815" spans="1:11" ht="42" customHeight="1">
      <c r="A1815" s="2" t="s">
        <v>4975</v>
      </c>
      <c r="B1815" s="2" t="s">
        <v>4976</v>
      </c>
      <c r="C1815" s="2" t="s">
        <v>26</v>
      </c>
      <c r="D1815" s="2" t="s">
        <v>27</v>
      </c>
      <c r="E1815" s="4">
        <v>-31917</v>
      </c>
      <c r="F1815" s="3" t="s">
        <v>946</v>
      </c>
      <c r="G1815" s="3" t="s">
        <v>947</v>
      </c>
      <c r="H1815" s="2" t="s">
        <v>30</v>
      </c>
      <c r="I1815" s="2" t="s">
        <v>4977</v>
      </c>
      <c r="J1815" s="3" t="str">
        <f>HYPERLINK("https://www.boe.es/gazeta/dias/1812/08/11/pdfs/GRE-1812-103.pdf#page=8","Abrir facsímil")</f>
        <v>Abrir facsímil</v>
      </c>
      <c r="K1815" s="3" t="s">
        <v>32</v>
      </c>
    </row>
    <row r="1816" spans="1:11" ht="42" customHeight="1">
      <c r="A1816" s="2" t="s">
        <v>4978</v>
      </c>
      <c r="B1816" s="2" t="s">
        <v>4979</v>
      </c>
      <c r="C1816" s="2" t="s">
        <v>26</v>
      </c>
      <c r="D1816" s="2" t="s">
        <v>27</v>
      </c>
      <c r="E1816" s="4">
        <v>-32030</v>
      </c>
      <c r="F1816" s="3" t="s">
        <v>2226</v>
      </c>
      <c r="G1816" s="3" t="s">
        <v>2650</v>
      </c>
      <c r="H1816" s="2" t="s">
        <v>30</v>
      </c>
      <c r="I1816" s="2" t="s">
        <v>4980</v>
      </c>
      <c r="J1816" s="3" t="str">
        <f>HYPERLINK("https://www.boe.es/gazeta/dias/1812/04/20/pdfs/GMD-1812-111.pdf#page=3","Abrir facsímil")</f>
        <v>Abrir facsímil</v>
      </c>
      <c r="K1816" s="3" t="s">
        <v>32</v>
      </c>
    </row>
    <row r="1817" spans="1:11" ht="42" customHeight="1">
      <c r="A1817" s="2" t="s">
        <v>4981</v>
      </c>
      <c r="B1817" s="2" t="s">
        <v>4982</v>
      </c>
      <c r="C1817" s="2" t="s">
        <v>105</v>
      </c>
      <c r="D1817" s="2" t="s">
        <v>27</v>
      </c>
      <c r="E1817" s="4">
        <v>-31854</v>
      </c>
      <c r="F1817" s="3" t="s">
        <v>717</v>
      </c>
      <c r="G1817" s="3" t="s">
        <v>4983</v>
      </c>
      <c r="H1817" s="2" t="s">
        <v>30</v>
      </c>
      <c r="I1817" s="2" t="s">
        <v>4984</v>
      </c>
      <c r="J1817" s="3" t="str">
        <f>HYPERLINK("https://www.boe.es/gazeta/dias/1812/10/13/pdfs/GRE-1812-138.pdf#page=8","Abrir facsímil")</f>
        <v>Abrir facsímil</v>
      </c>
      <c r="K1817" s="3" t="s">
        <v>32</v>
      </c>
    </row>
    <row r="1818" spans="1:11" ht="42" customHeight="1">
      <c r="A1818" s="2" t="s">
        <v>4985</v>
      </c>
      <c r="B1818" s="2" t="s">
        <v>4986</v>
      </c>
      <c r="C1818" s="2" t="s">
        <v>26</v>
      </c>
      <c r="D1818" s="2" t="s">
        <v>27</v>
      </c>
      <c r="E1818" s="4">
        <v>-32000</v>
      </c>
      <c r="F1818" s="3" t="s">
        <v>878</v>
      </c>
      <c r="G1818" s="3" t="s">
        <v>214</v>
      </c>
      <c r="H1818" s="2" t="s">
        <v>30</v>
      </c>
      <c r="I1818" s="2" t="s">
        <v>4987</v>
      </c>
      <c r="J1818" s="3" t="str">
        <f>HYPERLINK("https://www.boe.es/gazeta/dias/1812/05/20/pdfs/GMD-1812-141.pdf#page=2","Abrir facsímil")</f>
        <v>Abrir facsímil</v>
      </c>
      <c r="K1818" s="3" t="s">
        <v>32</v>
      </c>
    </row>
    <row r="1819" spans="1:11" ht="42" customHeight="1">
      <c r="A1819" s="2" t="s">
        <v>4988</v>
      </c>
      <c r="B1819" s="2" t="s">
        <v>4989</v>
      </c>
      <c r="C1819" s="2" t="s">
        <v>26</v>
      </c>
      <c r="D1819" s="2" t="s">
        <v>27</v>
      </c>
      <c r="E1819" s="4">
        <v>-31964</v>
      </c>
      <c r="F1819" s="3" t="s">
        <v>93</v>
      </c>
      <c r="G1819" s="3" t="s">
        <v>2548</v>
      </c>
      <c r="H1819" s="2" t="s">
        <v>30</v>
      </c>
      <c r="I1819" s="2" t="s">
        <v>4990</v>
      </c>
      <c r="J1819" s="3" t="str">
        <f>HYPERLINK("https://www.boe.es/gazeta/dias/1812/06/25/pdfs/GRE-1812-78.pdf#page=5","Abrir facsímil")</f>
        <v>Abrir facsímil</v>
      </c>
      <c r="K1819" s="3" t="s">
        <v>32</v>
      </c>
    </row>
    <row r="1820" spans="1:11" ht="42" customHeight="1">
      <c r="A1820" s="2" t="s">
        <v>4991</v>
      </c>
      <c r="B1820" s="2" t="s">
        <v>4992</v>
      </c>
      <c r="C1820" s="2" t="s">
        <v>17</v>
      </c>
      <c r="D1820" s="2" t="s">
        <v>27</v>
      </c>
      <c r="E1820" s="4">
        <v>-32044</v>
      </c>
      <c r="F1820" s="3" t="s">
        <v>1031</v>
      </c>
      <c r="G1820" s="3" t="s">
        <v>1873</v>
      </c>
      <c r="H1820" s="2" t="s">
        <v>30</v>
      </c>
      <c r="I1820" s="2" t="s">
        <v>4993</v>
      </c>
      <c r="J1820" s="3" t="str">
        <f>HYPERLINK("https://www.boe.es/gazeta/dias/1812/04/06/pdfs/GMD-1812-97.pdf#page=4","Abrir facsímil")</f>
        <v>Abrir facsímil</v>
      </c>
      <c r="K1820" s="3" t="s">
        <v>32</v>
      </c>
    </row>
    <row r="1821" spans="1:11" ht="42" customHeight="1">
      <c r="A1821" s="2" t="s">
        <v>4994</v>
      </c>
      <c r="B1821" s="2" t="s">
        <v>4995</v>
      </c>
      <c r="C1821" s="2" t="s">
        <v>26</v>
      </c>
      <c r="D1821" s="2" t="s">
        <v>27</v>
      </c>
      <c r="E1821" s="4">
        <v>-32134</v>
      </c>
      <c r="F1821" s="3" t="s">
        <v>50</v>
      </c>
      <c r="G1821" s="3" t="s">
        <v>45</v>
      </c>
      <c r="H1821" s="2" t="s">
        <v>30</v>
      </c>
      <c r="I1821" s="2" t="s">
        <v>4996</v>
      </c>
      <c r="J1821" s="3" t="str">
        <f>HYPERLINK("https://www.boe.es/gazeta/dias/1812/01/07/pdfs/GEI-1812-3.pdf#page=4","Abrir facsímil")</f>
        <v>Abrir facsímil</v>
      </c>
      <c r="K1821" s="3" t="s">
        <v>32</v>
      </c>
    </row>
    <row r="1822" spans="1:11" ht="42" customHeight="1">
      <c r="A1822" s="2" t="s">
        <v>4997</v>
      </c>
      <c r="B1822" s="2" t="s">
        <v>4998</v>
      </c>
      <c r="C1822" s="2" t="s">
        <v>17</v>
      </c>
      <c r="D1822" s="2" t="s">
        <v>27</v>
      </c>
      <c r="E1822" s="4">
        <v>-32060</v>
      </c>
      <c r="F1822" s="3" t="s">
        <v>399</v>
      </c>
      <c r="G1822" s="3" t="s">
        <v>136</v>
      </c>
      <c r="H1822" s="2" t="s">
        <v>30</v>
      </c>
      <c r="I1822" s="2" t="s">
        <v>4999</v>
      </c>
      <c r="J1822" s="3" t="str">
        <f>HYPERLINK("https://www.boe.es/gazeta/dias/1812/03/21/pdfs/GMD-1812-81.pdf#page=4","Abrir facsímil")</f>
        <v>Abrir facsímil</v>
      </c>
      <c r="K1822" s="3" t="s">
        <v>32</v>
      </c>
    </row>
    <row r="1823" spans="1:11" ht="42" customHeight="1">
      <c r="A1823" s="2" t="s">
        <v>5000</v>
      </c>
      <c r="B1823" s="2" t="s">
        <v>5001</v>
      </c>
      <c r="C1823" s="2" t="s">
        <v>26</v>
      </c>
      <c r="D1823" s="2" t="s">
        <v>27</v>
      </c>
      <c r="E1823" s="4">
        <v>-32034</v>
      </c>
      <c r="F1823" s="3" t="s">
        <v>28</v>
      </c>
      <c r="G1823" s="3" t="s">
        <v>20</v>
      </c>
      <c r="H1823" s="2" t="s">
        <v>30</v>
      </c>
      <c r="I1823" s="2" t="s">
        <v>5002</v>
      </c>
      <c r="J1823" s="3" t="str">
        <f>HYPERLINK("https://www.boe.es/gazeta/dias/1812/04/16/pdfs/GMD-1812-107.pdf#page=3","Abrir facsímil")</f>
        <v>Abrir facsímil</v>
      </c>
      <c r="K1823" s="3" t="s">
        <v>32</v>
      </c>
    </row>
    <row r="1824" spans="1:11" ht="42" customHeight="1">
      <c r="A1824" s="2" t="s">
        <v>5003</v>
      </c>
      <c r="B1824" s="2" t="s">
        <v>5004</v>
      </c>
      <c r="C1824" s="2" t="s">
        <v>115</v>
      </c>
      <c r="D1824" s="2" t="s">
        <v>27</v>
      </c>
      <c r="E1824" s="4">
        <v>-32044</v>
      </c>
      <c r="F1824" s="3" t="s">
        <v>1031</v>
      </c>
      <c r="G1824" s="3" t="s">
        <v>1873</v>
      </c>
      <c r="H1824" s="2" t="s">
        <v>30</v>
      </c>
      <c r="I1824" s="2" t="s">
        <v>5005</v>
      </c>
      <c r="J1824" s="3" t="str">
        <f>HYPERLINK("https://www.boe.es/gazeta/dias/1812/04/06/pdfs/GMD-1812-97.pdf#page=4","Abrir facsímil")</f>
        <v>Abrir facsímil</v>
      </c>
      <c r="K1824" s="3" t="s">
        <v>32</v>
      </c>
    </row>
    <row r="1825" spans="1:11" ht="42" customHeight="1">
      <c r="A1825" s="2" t="s">
        <v>5006</v>
      </c>
      <c r="B1825" s="2" t="s">
        <v>5007</v>
      </c>
      <c r="C1825" s="2" t="s">
        <v>26</v>
      </c>
      <c r="D1825" s="2" t="s">
        <v>27</v>
      </c>
      <c r="E1825" s="4">
        <v>-32034</v>
      </c>
      <c r="F1825" s="3" t="s">
        <v>28</v>
      </c>
      <c r="G1825" s="3" t="s">
        <v>794</v>
      </c>
      <c r="H1825" s="2" t="s">
        <v>30</v>
      </c>
      <c r="I1825" s="2" t="s">
        <v>5008</v>
      </c>
      <c r="J1825" s="3" t="str">
        <f>HYPERLINK("https://www.boe.es/gazeta/dias/1812/04/16/pdfs/GMD-1812-107.pdf#page=7","Abrir facsímil")</f>
        <v>Abrir facsímil</v>
      </c>
      <c r="K1825" s="3" t="s">
        <v>32</v>
      </c>
    </row>
    <row r="1826" spans="1:11" ht="42" customHeight="1">
      <c r="A1826" s="2" t="s">
        <v>5009</v>
      </c>
      <c r="B1826" s="2" t="s">
        <v>5010</v>
      </c>
      <c r="C1826" s="2" t="s">
        <v>26</v>
      </c>
      <c r="D1826" s="2" t="s">
        <v>27</v>
      </c>
      <c r="E1826" s="4">
        <v>-32060</v>
      </c>
      <c r="F1826" s="3" t="s">
        <v>399</v>
      </c>
      <c r="G1826" s="3" t="s">
        <v>136</v>
      </c>
      <c r="H1826" s="2" t="s">
        <v>30</v>
      </c>
      <c r="I1826" s="2" t="s">
        <v>5011</v>
      </c>
      <c r="J1826" s="3" t="str">
        <f>HYPERLINK("https://www.boe.es/gazeta/dias/1812/03/21/pdfs/GMD-1812-81.pdf#page=4","Abrir facsímil")</f>
        <v>Abrir facsímil</v>
      </c>
      <c r="K1826" s="3" t="s">
        <v>32</v>
      </c>
    </row>
    <row r="1827" spans="1:11" ht="42" customHeight="1">
      <c r="A1827" s="2" t="s">
        <v>5012</v>
      </c>
      <c r="B1827" s="2" t="s">
        <v>5013</v>
      </c>
      <c r="C1827" s="2" t="s">
        <v>49</v>
      </c>
      <c r="D1827" s="2" t="s">
        <v>27</v>
      </c>
      <c r="E1827" s="4">
        <v>-32075</v>
      </c>
      <c r="F1827" s="3" t="s">
        <v>301</v>
      </c>
      <c r="G1827" s="3" t="s">
        <v>20</v>
      </c>
      <c r="H1827" s="2" t="s">
        <v>30</v>
      </c>
      <c r="I1827" s="2" t="s">
        <v>5014</v>
      </c>
      <c r="J1827" s="3" t="str">
        <f>HYPERLINK("https://www.boe.es/gazeta/dias/1812/03/06/pdfs/GMD-1812-66.pdf#page=4","Abrir facsímil")</f>
        <v>Abrir facsímil</v>
      </c>
      <c r="K1827" s="3" t="s">
        <v>32</v>
      </c>
    </row>
    <row r="1828" spans="1:11" ht="42" customHeight="1">
      <c r="A1828" s="2" t="s">
        <v>5015</v>
      </c>
      <c r="B1828" s="2" t="s">
        <v>5016</v>
      </c>
      <c r="C1828" s="2" t="s">
        <v>26</v>
      </c>
      <c r="D1828" s="2" t="s">
        <v>27</v>
      </c>
      <c r="E1828" s="4">
        <v>-32000</v>
      </c>
      <c r="F1828" s="3" t="s">
        <v>878</v>
      </c>
      <c r="G1828" s="3" t="s">
        <v>214</v>
      </c>
      <c r="H1828" s="2" t="s">
        <v>30</v>
      </c>
      <c r="I1828" s="2" t="s">
        <v>5017</v>
      </c>
      <c r="J1828" s="3" t="str">
        <f>HYPERLINK("https://www.boe.es/gazeta/dias/1812/05/20/pdfs/GMD-1812-141.pdf#page=2","Abrir facsímil")</f>
        <v>Abrir facsímil</v>
      </c>
      <c r="K1828" s="3" t="s">
        <v>32</v>
      </c>
    </row>
    <row r="1829" spans="1:11" ht="42" customHeight="1">
      <c r="A1829" s="2" t="s">
        <v>5018</v>
      </c>
      <c r="B1829" s="2" t="s">
        <v>5019</v>
      </c>
      <c r="C1829" s="2" t="s">
        <v>17</v>
      </c>
      <c r="D1829" s="2" t="s">
        <v>27</v>
      </c>
      <c r="E1829" s="4">
        <v>-32062</v>
      </c>
      <c r="F1829" s="3" t="s">
        <v>280</v>
      </c>
      <c r="G1829" s="3" t="s">
        <v>20</v>
      </c>
      <c r="H1829" s="2" t="s">
        <v>30</v>
      </c>
      <c r="I1829" s="2" t="s">
        <v>5020</v>
      </c>
      <c r="J1829" s="3" t="str">
        <f>HYPERLINK("https://www.boe.es/gazeta/dias/1812/03/19/pdfs/GMD-1812-79.pdf#page=4","Abrir facsímil")</f>
        <v>Abrir facsímil</v>
      </c>
      <c r="K1829" s="3" t="s">
        <v>32</v>
      </c>
    </row>
    <row r="1830" spans="1:11" ht="42" customHeight="1">
      <c r="A1830" s="2" t="s">
        <v>5021</v>
      </c>
      <c r="B1830" s="2" t="s">
        <v>5022</v>
      </c>
      <c r="C1830" s="2" t="s">
        <v>26</v>
      </c>
      <c r="D1830" s="2" t="s">
        <v>27</v>
      </c>
      <c r="E1830" s="4">
        <v>-32055</v>
      </c>
      <c r="F1830" s="3" t="s">
        <v>1271</v>
      </c>
      <c r="G1830" s="3" t="s">
        <v>130</v>
      </c>
      <c r="H1830" s="2" t="s">
        <v>30</v>
      </c>
      <c r="I1830" s="2" t="s">
        <v>5023</v>
      </c>
      <c r="J1830" s="3" t="str">
        <f>HYPERLINK("https://www.boe.es/gazeta/dias/1812/03/26/pdfs/GMD-1812-86.pdf#page=4","Abrir facsímil")</f>
        <v>Abrir facsímil</v>
      </c>
      <c r="K1830" s="3" t="s">
        <v>32</v>
      </c>
    </row>
    <row r="1831" spans="1:11" ht="42" customHeight="1">
      <c r="A1831" s="2" t="s">
        <v>5024</v>
      </c>
      <c r="B1831" s="2" t="s">
        <v>5025</v>
      </c>
      <c r="C1831" s="2" t="s">
        <v>26</v>
      </c>
      <c r="D1831" s="2" t="s">
        <v>27</v>
      </c>
      <c r="E1831" s="4">
        <v>-32000</v>
      </c>
      <c r="F1831" s="3" t="s">
        <v>878</v>
      </c>
      <c r="G1831" s="3" t="s">
        <v>214</v>
      </c>
      <c r="H1831" s="2" t="s">
        <v>30</v>
      </c>
      <c r="I1831" s="2" t="s">
        <v>5026</v>
      </c>
      <c r="J1831" s="3" t="str">
        <f>HYPERLINK("https://www.boe.es/gazeta/dias/1812/05/20/pdfs/GMD-1812-141.pdf#page=2","Abrir facsímil")</f>
        <v>Abrir facsímil</v>
      </c>
      <c r="K1831" s="3" t="s">
        <v>32</v>
      </c>
    </row>
    <row r="1832" spans="1:11" ht="42" customHeight="1">
      <c r="A1832" s="2" t="s">
        <v>5027</v>
      </c>
      <c r="B1832" s="2" t="s">
        <v>5028</v>
      </c>
      <c r="C1832" s="2" t="s">
        <v>26</v>
      </c>
      <c r="D1832" s="2" t="s">
        <v>27</v>
      </c>
      <c r="E1832" s="4">
        <v>-32000</v>
      </c>
      <c r="F1832" s="3" t="s">
        <v>878</v>
      </c>
      <c r="G1832" s="3" t="s">
        <v>214</v>
      </c>
      <c r="H1832" s="2" t="s">
        <v>30</v>
      </c>
      <c r="I1832" s="2" t="s">
        <v>5029</v>
      </c>
      <c r="J1832" s="3" t="str">
        <f>HYPERLINK("https://www.boe.es/gazeta/dias/1812/05/20/pdfs/GMD-1812-141.pdf#page=2","Abrir facsímil")</f>
        <v>Abrir facsímil</v>
      </c>
      <c r="K1832" s="3" t="s">
        <v>32</v>
      </c>
    </row>
    <row r="1833" spans="1:11" ht="42" customHeight="1">
      <c r="A1833" s="2" t="s">
        <v>5030</v>
      </c>
      <c r="B1833" s="2" t="s">
        <v>5031</v>
      </c>
      <c r="C1833" s="2" t="s">
        <v>26</v>
      </c>
      <c r="D1833" s="2" t="s">
        <v>27</v>
      </c>
      <c r="E1833" s="4">
        <v>-32034</v>
      </c>
      <c r="F1833" s="3" t="s">
        <v>28</v>
      </c>
      <c r="G1833" s="3" t="s">
        <v>794</v>
      </c>
      <c r="H1833" s="2" t="s">
        <v>30</v>
      </c>
      <c r="I1833" s="2" t="s">
        <v>5032</v>
      </c>
      <c r="J1833" s="3" t="str">
        <f>HYPERLINK("https://www.boe.es/gazeta/dias/1812/04/16/pdfs/GMD-1812-107.pdf#page=7","Abrir facsímil")</f>
        <v>Abrir facsímil</v>
      </c>
      <c r="K1833" s="3" t="s">
        <v>32</v>
      </c>
    </row>
    <row r="1834" spans="1:11" ht="42" customHeight="1">
      <c r="A1834" s="2" t="s">
        <v>5033</v>
      </c>
      <c r="B1834" s="2" t="s">
        <v>5034</v>
      </c>
      <c r="C1834" s="2" t="s">
        <v>26</v>
      </c>
      <c r="D1834" s="2" t="s">
        <v>275</v>
      </c>
      <c r="E1834" s="4">
        <v>-32018</v>
      </c>
      <c r="F1834" s="3" t="s">
        <v>365</v>
      </c>
      <c r="G1834" s="3" t="s">
        <v>392</v>
      </c>
      <c r="H1834" s="2" t="s">
        <v>30</v>
      </c>
      <c r="I1834" s="2" t="s">
        <v>5035</v>
      </c>
      <c r="J1834" s="3" t="str">
        <f>HYPERLINK("https://www.boe.es/gazeta/dias/1812/05/02/pdfs/GRE-1812-55.pdf#page=2","Abrir facsímil")</f>
        <v>Abrir facsímil</v>
      </c>
      <c r="K1834" s="3" t="s">
        <v>32</v>
      </c>
    </row>
    <row r="1835" spans="1:11" ht="42" customHeight="1">
      <c r="A1835" s="2" t="s">
        <v>5036</v>
      </c>
      <c r="B1835" s="2" t="s">
        <v>5037</v>
      </c>
      <c r="C1835" s="2" t="s">
        <v>26</v>
      </c>
      <c r="D1835" s="2" t="s">
        <v>27</v>
      </c>
      <c r="E1835" s="4">
        <v>-32034</v>
      </c>
      <c r="F1835" s="3" t="s">
        <v>28</v>
      </c>
      <c r="G1835" s="3" t="s">
        <v>45</v>
      </c>
      <c r="H1835" s="2" t="s">
        <v>30</v>
      </c>
      <c r="I1835" s="2" t="s">
        <v>5038</v>
      </c>
      <c r="J1835" s="3" t="str">
        <f>HYPERLINK("https://www.boe.es/gazeta/dias/1812/04/16/pdfs/GMD-1812-107.pdf#page=5","Abrir facsímil")</f>
        <v>Abrir facsímil</v>
      </c>
      <c r="K1835" s="3" t="s">
        <v>32</v>
      </c>
    </row>
    <row r="1836" spans="1:11" ht="42" customHeight="1">
      <c r="A1836" s="2" t="s">
        <v>5039</v>
      </c>
      <c r="B1836" s="2" t="s">
        <v>5040</v>
      </c>
      <c r="C1836" s="2" t="s">
        <v>49</v>
      </c>
      <c r="D1836" s="2" t="s">
        <v>27</v>
      </c>
      <c r="E1836" s="4">
        <v>-32114</v>
      </c>
      <c r="F1836" s="3" t="s">
        <v>480</v>
      </c>
      <c r="G1836" s="3" t="s">
        <v>481</v>
      </c>
      <c r="H1836" s="2" t="s">
        <v>30</v>
      </c>
      <c r="I1836" s="2" t="s">
        <v>5041</v>
      </c>
      <c r="J1836" s="3" t="str">
        <f>HYPERLINK("https://www.boe.es/gazeta/dias/1812/01/27/pdfs/GMD-1812-27.pdf#page=4","Abrir facsímil")</f>
        <v>Abrir facsímil</v>
      </c>
      <c r="K1836" s="3" t="s">
        <v>32</v>
      </c>
    </row>
    <row r="1837" spans="1:11" ht="42" customHeight="1">
      <c r="A1837" s="2" t="s">
        <v>5042</v>
      </c>
      <c r="B1837" s="2" t="s">
        <v>5042</v>
      </c>
      <c r="C1837" s="2" t="s">
        <v>26</v>
      </c>
      <c r="D1837" s="2" t="s">
        <v>27</v>
      </c>
      <c r="E1837" s="4">
        <v>-32048</v>
      </c>
      <c r="F1837" s="3" t="s">
        <v>3938</v>
      </c>
      <c r="G1837" s="3" t="s">
        <v>3939</v>
      </c>
      <c r="H1837" s="2" t="s">
        <v>21</v>
      </c>
      <c r="I1837" s="2" t="s">
        <v>5043</v>
      </c>
      <c r="J1837" s="3" t="str">
        <f>HYPERLINK("https://www.boe.es/gazeta/dias/1812/04/02/pdfs/GMD-1812-93.pdf#page=2","Abrir facsímil")</f>
        <v>Abrir facsímil</v>
      </c>
      <c r="K1837" s="3" t="s">
        <v>23</v>
      </c>
    </row>
    <row r="1838" spans="1:11" ht="42" customHeight="1">
      <c r="A1838" s="2" t="s">
        <v>5044</v>
      </c>
      <c r="B1838" s="2" t="s">
        <v>5045</v>
      </c>
      <c r="C1838" s="2" t="s">
        <v>26</v>
      </c>
      <c r="D1838" s="2" t="s">
        <v>27</v>
      </c>
      <c r="E1838" s="4">
        <v>-32002</v>
      </c>
      <c r="F1838" s="3" t="s">
        <v>619</v>
      </c>
      <c r="G1838" s="3" t="s">
        <v>620</v>
      </c>
      <c r="H1838" s="2" t="s">
        <v>21</v>
      </c>
      <c r="I1838" s="2" t="s">
        <v>5046</v>
      </c>
      <c r="J1838" s="3" t="str">
        <f>HYPERLINK("https://www.boe.es/gazeta/dias/1812/05/18/pdfs/GMD-1812-139.pdf#page=2","Abrir facsímil")</f>
        <v>Abrir facsímil</v>
      </c>
      <c r="K1838" s="3" t="s">
        <v>23</v>
      </c>
    </row>
    <row r="1839" spans="1:11" ht="42" customHeight="1">
      <c r="A1839" s="2" t="s">
        <v>5047</v>
      </c>
      <c r="B1839" s="2" t="s">
        <v>5047</v>
      </c>
      <c r="C1839" s="2" t="s">
        <v>17</v>
      </c>
      <c r="D1839" s="2" t="s">
        <v>27</v>
      </c>
      <c r="E1839" s="4">
        <v>-31901</v>
      </c>
      <c r="F1839" s="3" t="s">
        <v>2199</v>
      </c>
      <c r="G1839" s="3" t="s">
        <v>2919</v>
      </c>
      <c r="H1839" s="2" t="s">
        <v>21</v>
      </c>
      <c r="I1839" s="2" t="s">
        <v>5048</v>
      </c>
      <c r="J1839" s="3" t="str">
        <f>HYPERLINK("https://www.boe.es/gazeta/dias/1812/08/27/pdfs/GRE-1812-111.pdf#page=2","Abrir facsímil")</f>
        <v>Abrir facsímil</v>
      </c>
      <c r="K1839" s="3" t="s">
        <v>23</v>
      </c>
    </row>
    <row r="1840" spans="1:11" ht="42" customHeight="1">
      <c r="A1840" s="2" t="s">
        <v>5049</v>
      </c>
      <c r="B1840" s="2" t="s">
        <v>5049</v>
      </c>
      <c r="C1840" s="2" t="s">
        <v>17</v>
      </c>
      <c r="D1840" s="2" t="s">
        <v>27</v>
      </c>
      <c r="E1840" s="4">
        <v>-32122</v>
      </c>
      <c r="F1840" s="3" t="s">
        <v>1389</v>
      </c>
      <c r="G1840" s="3" t="s">
        <v>125</v>
      </c>
      <c r="H1840" s="2" t="s">
        <v>21</v>
      </c>
      <c r="I1840" s="2" t="s">
        <v>5050</v>
      </c>
      <c r="J1840" s="3" t="str">
        <f>HYPERLINK("https://www.boe.es/gazeta/dias/1812/01/19/pdfs/GMD-1812-19.pdf#page=2","Abrir facsímil")</f>
        <v>Abrir facsímil</v>
      </c>
      <c r="K1840" s="3" t="s">
        <v>23</v>
      </c>
    </row>
    <row r="1841" spans="1:11" ht="42" customHeight="1">
      <c r="A1841" s="2" t="s">
        <v>5051</v>
      </c>
      <c r="B1841" s="2" t="s">
        <v>5051</v>
      </c>
      <c r="C1841" s="2" t="s">
        <v>17</v>
      </c>
      <c r="D1841" s="2" t="s">
        <v>18</v>
      </c>
      <c r="E1841" s="4">
        <v>-32014</v>
      </c>
      <c r="F1841" s="3" t="s">
        <v>5052</v>
      </c>
      <c r="G1841" s="3" t="s">
        <v>2624</v>
      </c>
      <c r="H1841" s="2" t="s">
        <v>21</v>
      </c>
      <c r="I1841" s="2" t="s">
        <v>5053</v>
      </c>
      <c r="J1841" s="3" t="str">
        <f>HYPERLINK("https://www.boe.es/gazeta/dias/1812/05/06/pdfs/GMD-1812-127.pdf#page=1","Abrir facsímil")</f>
        <v>Abrir facsímil</v>
      </c>
      <c r="K1841" s="3" t="s">
        <v>23</v>
      </c>
    </row>
    <row r="1842" spans="1:11" ht="42" customHeight="1">
      <c r="A1842" s="2" t="s">
        <v>5054</v>
      </c>
      <c r="B1842" s="2" t="s">
        <v>5055</v>
      </c>
      <c r="C1842" s="2" t="s">
        <v>26</v>
      </c>
      <c r="D1842" s="2" t="s">
        <v>27</v>
      </c>
      <c r="E1842" s="4">
        <v>-32067</v>
      </c>
      <c r="F1842" s="3" t="s">
        <v>199</v>
      </c>
      <c r="G1842" s="3" t="s">
        <v>237</v>
      </c>
      <c r="H1842" s="2" t="s">
        <v>21</v>
      </c>
      <c r="I1842" s="2" t="s">
        <v>5056</v>
      </c>
      <c r="J1842" s="3" t="str">
        <f>HYPERLINK("https://www.boe.es/gazeta/dias/1812/03/14/pdfs/GRE-1812-33.pdf#page=8","Abrir facsímil")</f>
        <v>Abrir facsímil</v>
      </c>
      <c r="K1842" s="3" t="s">
        <v>23</v>
      </c>
    </row>
    <row r="1843" spans="1:11" ht="42" customHeight="1">
      <c r="A1843" s="2" t="s">
        <v>5057</v>
      </c>
      <c r="B1843" s="2" t="s">
        <v>5058</v>
      </c>
      <c r="C1843" s="2" t="s">
        <v>26</v>
      </c>
      <c r="D1843" s="2" t="s">
        <v>27</v>
      </c>
      <c r="E1843" s="4">
        <v>-31981</v>
      </c>
      <c r="F1843" s="3" t="s">
        <v>5059</v>
      </c>
      <c r="G1843" s="3" t="s">
        <v>514</v>
      </c>
      <c r="H1843" s="2" t="s">
        <v>21</v>
      </c>
      <c r="I1843" s="2" t="s">
        <v>5060</v>
      </c>
      <c r="J1843" s="3" t="str">
        <f>HYPERLINK("https://www.boe.es/gazeta/dias/1812/06/08/pdfs/GMD-1812-160.pdf#page=4","Abrir facsímil")</f>
        <v>Abrir facsímil</v>
      </c>
      <c r="K1843" s="3" t="s">
        <v>23</v>
      </c>
    </row>
    <row r="1844" spans="1:11" ht="42" customHeight="1">
      <c r="A1844" s="2" t="s">
        <v>5061</v>
      </c>
      <c r="B1844" s="2" t="s">
        <v>5061</v>
      </c>
      <c r="C1844" s="2" t="s">
        <v>105</v>
      </c>
      <c r="D1844" s="2" t="s">
        <v>194</v>
      </c>
      <c r="E1844" s="4">
        <v>-31986</v>
      </c>
      <c r="F1844" s="3" t="s">
        <v>5062</v>
      </c>
      <c r="G1844" s="3" t="s">
        <v>371</v>
      </c>
      <c r="H1844" s="2" t="s">
        <v>21</v>
      </c>
      <c r="I1844" s="2" t="s">
        <v>5063</v>
      </c>
      <c r="J1844" s="3" t="str">
        <f>HYPERLINK("https://www.boe.es/gazeta/dias/1812/06/03/pdfs/GMD-1812-155.pdf#page=1","Abrir facsímil")</f>
        <v>Abrir facsímil</v>
      </c>
      <c r="K1844" s="3" t="s">
        <v>23</v>
      </c>
    </row>
    <row r="1845" spans="1:11" ht="42" customHeight="1">
      <c r="A1845" s="2" t="s">
        <v>5064</v>
      </c>
      <c r="B1845" s="2" t="s">
        <v>5064</v>
      </c>
      <c r="C1845" s="2" t="s">
        <v>17</v>
      </c>
      <c r="D1845" s="2" t="s">
        <v>27</v>
      </c>
      <c r="E1845" s="4">
        <v>-31990</v>
      </c>
      <c r="F1845" s="3" t="s">
        <v>629</v>
      </c>
      <c r="G1845" s="3" t="s">
        <v>101</v>
      </c>
      <c r="H1845" s="2" t="s">
        <v>21</v>
      </c>
      <c r="I1845" s="2" t="s">
        <v>5065</v>
      </c>
      <c r="J1845" s="3" t="str">
        <f>HYPERLINK("https://www.boe.es/gazeta/dias/1812/05/30/pdfs/GMD-1812-151.pdf#page=1","Abrir facsímil")</f>
        <v>Abrir facsímil</v>
      </c>
      <c r="K1845" s="3" t="s">
        <v>23</v>
      </c>
    </row>
    <row r="1846" spans="1:11" ht="42" customHeight="1">
      <c r="A1846" s="2" t="s">
        <v>5066</v>
      </c>
      <c r="B1846" s="2" t="s">
        <v>5067</v>
      </c>
      <c r="C1846" s="2" t="s">
        <v>17</v>
      </c>
      <c r="D1846" s="2" t="s">
        <v>18</v>
      </c>
      <c r="E1846" s="4">
        <v>-32112</v>
      </c>
      <c r="F1846" s="3" t="s">
        <v>2794</v>
      </c>
      <c r="G1846" s="3" t="s">
        <v>58</v>
      </c>
      <c r="H1846" s="2" t="s">
        <v>21</v>
      </c>
      <c r="I1846" s="2" t="s">
        <v>5068</v>
      </c>
      <c r="J1846" s="3" t="str">
        <f>HYPERLINK("https://www.boe.es/gazeta/dias/1812/01/29/pdfs/GMD-1812-29.pdf#page=4","Abrir facsímil")</f>
        <v>Abrir facsímil</v>
      </c>
      <c r="K1846" s="3" t="s">
        <v>23</v>
      </c>
    </row>
    <row r="1847" spans="1:11" ht="42" customHeight="1">
      <c r="A1847" s="2" t="s">
        <v>5069</v>
      </c>
      <c r="B1847" s="2" t="s">
        <v>5070</v>
      </c>
      <c r="C1847" s="2" t="s">
        <v>26</v>
      </c>
      <c r="D1847" s="2" t="s">
        <v>27</v>
      </c>
      <c r="E1847" s="4">
        <v>-32066</v>
      </c>
      <c r="F1847" s="3" t="s">
        <v>291</v>
      </c>
      <c r="G1847" s="3" t="s">
        <v>125</v>
      </c>
      <c r="H1847" s="2" t="s">
        <v>21</v>
      </c>
      <c r="I1847" s="2" t="s">
        <v>5071</v>
      </c>
      <c r="J1847" s="3" t="str">
        <f>HYPERLINK("https://www.boe.es/gazeta/dias/1812/03/15/pdfs/GMD-1812-75.pdf#page=4","Abrir facsímil")</f>
        <v>Abrir facsímil</v>
      </c>
      <c r="K1847" s="3" t="s">
        <v>23</v>
      </c>
    </row>
    <row r="1848" spans="1:11" ht="42" customHeight="1">
      <c r="A1848" s="2" t="s">
        <v>5072</v>
      </c>
      <c r="B1848" s="2" t="s">
        <v>5073</v>
      </c>
      <c r="C1848" s="2" t="s">
        <v>26</v>
      </c>
      <c r="D1848" s="2" t="s">
        <v>27</v>
      </c>
      <c r="E1848" s="4">
        <v>-31936</v>
      </c>
      <c r="F1848" s="3" t="s">
        <v>614</v>
      </c>
      <c r="G1848" s="3" t="s">
        <v>615</v>
      </c>
      <c r="H1848" s="2" t="s">
        <v>21</v>
      </c>
      <c r="I1848" s="2" t="s">
        <v>5074</v>
      </c>
      <c r="J1848" s="3" t="str">
        <f>HYPERLINK("https://www.boe.es/gazeta/dias/1812/07/23/pdfs/GRE-1812-92.pdf#page=8","Abrir facsímil")</f>
        <v>Abrir facsímil</v>
      </c>
      <c r="K1848" s="3" t="s">
        <v>23</v>
      </c>
    </row>
    <row r="1849" spans="1:11" ht="42" customHeight="1">
      <c r="A1849" s="2" t="s">
        <v>5075</v>
      </c>
      <c r="B1849" s="2" t="s">
        <v>5075</v>
      </c>
      <c r="C1849" s="2" t="s">
        <v>17</v>
      </c>
      <c r="D1849" s="2" t="s">
        <v>18</v>
      </c>
      <c r="E1849" s="4">
        <v>-32018</v>
      </c>
      <c r="F1849" s="3" t="s">
        <v>365</v>
      </c>
      <c r="G1849" s="3" t="s">
        <v>2171</v>
      </c>
      <c r="H1849" s="2" t="s">
        <v>21</v>
      </c>
      <c r="I1849" s="2" t="s">
        <v>5076</v>
      </c>
      <c r="J1849" s="3" t="str">
        <f>HYPERLINK("https://www.boe.es/gazeta/dias/1812/05/02/pdfs/GRE-1812-55.pdf#page=7","Abrir facsímil")</f>
        <v>Abrir facsímil</v>
      </c>
      <c r="K1849" s="3" t="s">
        <v>23</v>
      </c>
    </row>
    <row r="1850" spans="1:11" ht="42" customHeight="1">
      <c r="A1850" s="2" t="s">
        <v>5077</v>
      </c>
      <c r="B1850" s="2" t="s">
        <v>5077</v>
      </c>
      <c r="C1850" s="2" t="s">
        <v>17</v>
      </c>
      <c r="D1850" s="2" t="s">
        <v>27</v>
      </c>
      <c r="E1850" s="4">
        <v>-31990</v>
      </c>
      <c r="F1850" s="3" t="s">
        <v>5078</v>
      </c>
      <c r="G1850" s="3" t="s">
        <v>739</v>
      </c>
      <c r="H1850" s="2" t="s">
        <v>21</v>
      </c>
      <c r="I1850" s="2" t="s">
        <v>5079</v>
      </c>
      <c r="J1850" s="3" t="str">
        <f>HYPERLINK("https://www.boe.es/gazeta/dias/1812/05/30/pdfs/GRE-1812-67.pdf#page=2","Abrir facsímil")</f>
        <v>Abrir facsímil</v>
      </c>
      <c r="K1850" s="3" t="s">
        <v>23</v>
      </c>
    </row>
    <row r="1851" spans="1:11" ht="42" customHeight="1">
      <c r="A1851" s="2" t="s">
        <v>5077</v>
      </c>
      <c r="B1851" s="2" t="s">
        <v>5077</v>
      </c>
      <c r="C1851" s="2" t="s">
        <v>17</v>
      </c>
      <c r="D1851" s="2" t="s">
        <v>27</v>
      </c>
      <c r="E1851" s="4">
        <v>-31868</v>
      </c>
      <c r="F1851" s="3" t="s">
        <v>711</v>
      </c>
      <c r="G1851" s="3" t="s">
        <v>5080</v>
      </c>
      <c r="H1851" s="2" t="s">
        <v>21</v>
      </c>
      <c r="I1851" s="2" t="s">
        <v>5081</v>
      </c>
      <c r="J1851" s="3" t="str">
        <f>HYPERLINK("https://www.boe.es/gazeta/dias/1812/09/29/pdfs/GRE-1812-132.pdf#page=6","Abrir facsímil")</f>
        <v>Abrir facsímil</v>
      </c>
      <c r="K1851" s="3" t="s">
        <v>23</v>
      </c>
    </row>
    <row r="1852" spans="1:11" ht="42" customHeight="1">
      <c r="A1852" s="2" t="s">
        <v>5082</v>
      </c>
      <c r="B1852" s="2" t="s">
        <v>5082</v>
      </c>
      <c r="C1852" s="2" t="s">
        <v>17</v>
      </c>
      <c r="D1852" s="2" t="s">
        <v>18</v>
      </c>
      <c r="E1852" s="4">
        <v>-32128</v>
      </c>
      <c r="F1852" s="3" t="s">
        <v>1927</v>
      </c>
      <c r="G1852" s="3" t="s">
        <v>20</v>
      </c>
      <c r="H1852" s="2" t="s">
        <v>21</v>
      </c>
      <c r="I1852" s="2" t="s">
        <v>5083</v>
      </c>
      <c r="J1852" s="3" t="str">
        <f>HYPERLINK("https://www.boe.es/gazeta/dias/1812/01/13/pdfs/GMD-1812-13.pdf#page=4","Abrir facsímil")</f>
        <v>Abrir facsímil</v>
      </c>
      <c r="K1852" s="3" t="s">
        <v>23</v>
      </c>
    </row>
    <row r="1853" spans="1:11" ht="42" customHeight="1">
      <c r="A1853" s="2" t="s">
        <v>5084</v>
      </c>
      <c r="B1853" s="2" t="s">
        <v>5084</v>
      </c>
      <c r="C1853" s="2" t="s">
        <v>17</v>
      </c>
      <c r="D1853" s="2" t="s">
        <v>18</v>
      </c>
      <c r="E1853" s="4">
        <v>-32125</v>
      </c>
      <c r="F1853" s="3" t="s">
        <v>335</v>
      </c>
      <c r="G1853" s="3" t="s">
        <v>514</v>
      </c>
      <c r="H1853" s="2" t="s">
        <v>21</v>
      </c>
      <c r="I1853" s="2" t="s">
        <v>5085</v>
      </c>
      <c r="J1853" s="3" t="str">
        <f>HYPERLINK("https://www.boe.es/gazeta/dias/1812/01/16/pdfs/GEI-1812-7.pdf#page=4","Abrir facsímil")</f>
        <v>Abrir facsímil</v>
      </c>
      <c r="K1853" s="3" t="s">
        <v>23</v>
      </c>
    </row>
    <row r="1854" spans="1:11" ht="42" customHeight="1">
      <c r="A1854" s="2" t="s">
        <v>5086</v>
      </c>
      <c r="B1854" s="2" t="s">
        <v>5086</v>
      </c>
      <c r="C1854" s="2" t="s">
        <v>17</v>
      </c>
      <c r="D1854" s="2" t="s">
        <v>18</v>
      </c>
      <c r="E1854" s="4">
        <v>-31969</v>
      </c>
      <c r="F1854" s="3" t="s">
        <v>83</v>
      </c>
      <c r="G1854" s="3" t="s">
        <v>5087</v>
      </c>
      <c r="H1854" s="2" t="s">
        <v>21</v>
      </c>
      <c r="I1854" s="2" t="s">
        <v>5088</v>
      </c>
      <c r="J1854" s="3" t="str">
        <f>HYPERLINK("https://www.boe.es/gazeta/dias/1812/06/20/pdfs/GRE-1812-76.pdf#page=3","Abrir facsímil")</f>
        <v>Abrir facsímil</v>
      </c>
      <c r="K1854" s="3" t="s">
        <v>23</v>
      </c>
    </row>
    <row r="1855" spans="1:11" ht="42" customHeight="1">
      <c r="A1855" s="2" t="s">
        <v>5086</v>
      </c>
      <c r="B1855" s="2" t="s">
        <v>5086</v>
      </c>
      <c r="C1855" s="2" t="s">
        <v>17</v>
      </c>
      <c r="D1855" s="2" t="s">
        <v>27</v>
      </c>
      <c r="E1855" s="4">
        <v>-31845</v>
      </c>
      <c r="F1855" s="3" t="s">
        <v>723</v>
      </c>
      <c r="G1855" s="3" t="s">
        <v>20</v>
      </c>
      <c r="H1855" s="2" t="s">
        <v>21</v>
      </c>
      <c r="I1855" s="2" t="s">
        <v>5089</v>
      </c>
      <c r="J1855" s="3" t="str">
        <f>HYPERLINK("https://www.boe.es/gazeta/dias/1812/10/22/pdfs/GMR-1812-30.pdf#page=7","Abrir facsímil")</f>
        <v>Abrir facsímil</v>
      </c>
      <c r="K1855" s="3" t="s">
        <v>23</v>
      </c>
    </row>
    <row r="1856" spans="1:11" ht="42" customHeight="1">
      <c r="A1856" s="2" t="s">
        <v>5090</v>
      </c>
      <c r="B1856" s="2" t="s">
        <v>5090</v>
      </c>
      <c r="C1856" s="2" t="s">
        <v>49</v>
      </c>
      <c r="D1856" s="2" t="s">
        <v>27</v>
      </c>
      <c r="E1856" s="4">
        <v>-31978</v>
      </c>
      <c r="F1856" s="3" t="s">
        <v>1790</v>
      </c>
      <c r="G1856" s="3" t="s">
        <v>58</v>
      </c>
      <c r="H1856" s="2" t="s">
        <v>21</v>
      </c>
      <c r="I1856" s="2" t="s">
        <v>5091</v>
      </c>
      <c r="J1856" s="3" t="str">
        <f>HYPERLINK("https://www.boe.es/gazeta/dias/1812/06/11/pdfs/GRE-1812-72.pdf#page=6","Abrir facsímil")</f>
        <v>Abrir facsímil</v>
      </c>
      <c r="K1856" s="3" t="s">
        <v>23</v>
      </c>
    </row>
    <row r="1857" spans="1:11" ht="42" customHeight="1">
      <c r="A1857" s="2" t="s">
        <v>5092</v>
      </c>
      <c r="B1857" s="2" t="s">
        <v>5092</v>
      </c>
      <c r="C1857" s="2" t="s">
        <v>17</v>
      </c>
      <c r="D1857" s="2" t="s">
        <v>27</v>
      </c>
      <c r="E1857" s="4">
        <v>-31871</v>
      </c>
      <c r="F1857" s="3" t="s">
        <v>1399</v>
      </c>
      <c r="G1857" s="3" t="s">
        <v>2539</v>
      </c>
      <c r="H1857" s="2" t="s">
        <v>21</v>
      </c>
      <c r="I1857" s="2" t="s">
        <v>5093</v>
      </c>
      <c r="J1857" s="3" t="str">
        <f>HYPERLINK("https://www.boe.es/gazeta/dias/1812/09/26/pdfs/GMR-1812-19.pdf#page=6","Abrir facsímil")</f>
        <v>Abrir facsímil</v>
      </c>
      <c r="K1857" s="3" t="s">
        <v>23</v>
      </c>
    </row>
    <row r="1858" spans="1:11" ht="42" customHeight="1">
      <c r="A1858" s="2" t="s">
        <v>5094</v>
      </c>
      <c r="B1858" s="2" t="s">
        <v>5094</v>
      </c>
      <c r="C1858" s="2" t="s">
        <v>17</v>
      </c>
      <c r="D1858" s="2" t="s">
        <v>27</v>
      </c>
      <c r="E1858" s="4">
        <v>-32046</v>
      </c>
      <c r="F1858" s="3" t="s">
        <v>1013</v>
      </c>
      <c r="G1858" s="3" t="s">
        <v>2998</v>
      </c>
      <c r="H1858" s="2" t="s">
        <v>21</v>
      </c>
      <c r="I1858" s="2" t="s">
        <v>5095</v>
      </c>
      <c r="J1858" s="3" t="str">
        <f>HYPERLINK("https://www.boe.es/gazeta/dias/1812/04/04/pdfs/GRE-1812-42.pdf#page=1","Abrir facsímil")</f>
        <v>Abrir facsímil</v>
      </c>
      <c r="K1858" s="3" t="s">
        <v>23</v>
      </c>
    </row>
    <row r="1859" spans="1:11" ht="42" customHeight="1">
      <c r="A1859" s="2" t="s">
        <v>5094</v>
      </c>
      <c r="B1859" s="2" t="s">
        <v>5094</v>
      </c>
      <c r="C1859" s="2" t="s">
        <v>17</v>
      </c>
      <c r="D1859" s="2" t="s">
        <v>27</v>
      </c>
      <c r="E1859" s="4">
        <v>-32036</v>
      </c>
      <c r="F1859" s="3" t="s">
        <v>781</v>
      </c>
      <c r="G1859" s="3" t="s">
        <v>3294</v>
      </c>
      <c r="H1859" s="2" t="s">
        <v>21</v>
      </c>
      <c r="I1859" s="2" t="s">
        <v>5096</v>
      </c>
      <c r="J1859" s="3" t="str">
        <f>HYPERLINK("https://www.boe.es/gazeta/dias/1812/04/14/pdfs/GRE-1812-47.pdf#page=5","Abrir facsímil")</f>
        <v>Abrir facsímil</v>
      </c>
      <c r="K1859" s="3" t="s">
        <v>23</v>
      </c>
    </row>
    <row r="1860" spans="1:11" ht="42" customHeight="1">
      <c r="A1860" s="2" t="s">
        <v>5097</v>
      </c>
      <c r="B1860" s="2" t="s">
        <v>5098</v>
      </c>
      <c r="C1860" s="2" t="s">
        <v>26</v>
      </c>
      <c r="D1860" s="2" t="s">
        <v>27</v>
      </c>
      <c r="E1860" s="4">
        <v>-32095</v>
      </c>
      <c r="F1860" s="3" t="s">
        <v>1099</v>
      </c>
      <c r="G1860" s="3" t="s">
        <v>438</v>
      </c>
      <c r="H1860" s="2" t="s">
        <v>21</v>
      </c>
      <c r="I1860" s="2" t="s">
        <v>5099</v>
      </c>
      <c r="J1860" s="3" t="str">
        <f>HYPERLINK("https://www.boe.es/gazeta/dias/1812/02/15/pdfs/GMD-1812-46.pdf#page=4","Abrir facsímil")</f>
        <v>Abrir facsímil</v>
      </c>
      <c r="K1860" s="3" t="s">
        <v>23</v>
      </c>
    </row>
    <row r="1861" spans="1:11" ht="42" customHeight="1">
      <c r="A1861" s="2" t="s">
        <v>5100</v>
      </c>
      <c r="B1861" s="2" t="s">
        <v>5100</v>
      </c>
      <c r="C1861" s="2" t="s">
        <v>49</v>
      </c>
      <c r="D1861" s="2" t="s">
        <v>194</v>
      </c>
      <c r="E1861" s="4">
        <v>-32124</v>
      </c>
      <c r="F1861" s="3" t="s">
        <v>3729</v>
      </c>
      <c r="G1861" s="3" t="s">
        <v>514</v>
      </c>
      <c r="H1861" s="2" t="s">
        <v>21</v>
      </c>
      <c r="I1861" s="2" t="s">
        <v>5101</v>
      </c>
      <c r="J1861" s="3" t="str">
        <f>HYPERLINK("https://www.boe.es/gazeta/dias/1812/01/17/pdfs/GMD-1812-17.pdf#page=1","Abrir facsímil")</f>
        <v>Abrir facsímil</v>
      </c>
      <c r="K1861" s="3" t="s">
        <v>23</v>
      </c>
    </row>
    <row r="1862" spans="1:11" ht="42" customHeight="1">
      <c r="A1862" s="2" t="s">
        <v>5102</v>
      </c>
      <c r="B1862" s="2" t="s">
        <v>5102</v>
      </c>
      <c r="C1862" s="2" t="s">
        <v>67</v>
      </c>
      <c r="D1862" s="2" t="s">
        <v>27</v>
      </c>
      <c r="E1862" s="4">
        <v>-31956</v>
      </c>
      <c r="F1862" s="3" t="s">
        <v>19</v>
      </c>
      <c r="G1862" s="3" t="s">
        <v>36</v>
      </c>
      <c r="H1862" s="2" t="s">
        <v>21</v>
      </c>
      <c r="I1862" s="2" t="s">
        <v>5103</v>
      </c>
      <c r="J1862" s="3" t="str">
        <f>HYPERLINK("https://www.boe.es/gazeta/dias/1812/07/03/pdfs/GMD-1812-185.pdf#page=3","Abrir facsímil")</f>
        <v>Abrir facsímil</v>
      </c>
      <c r="K1862" s="3" t="s">
        <v>23</v>
      </c>
    </row>
    <row r="1863" spans="1:11" ht="42" customHeight="1">
      <c r="A1863" s="2" t="s">
        <v>5100</v>
      </c>
      <c r="B1863" s="2" t="s">
        <v>5100</v>
      </c>
      <c r="C1863" s="2" t="s">
        <v>17</v>
      </c>
      <c r="D1863" s="2" t="s">
        <v>18</v>
      </c>
      <c r="E1863" s="4">
        <v>-31832</v>
      </c>
      <c r="F1863" s="3" t="s">
        <v>732</v>
      </c>
      <c r="G1863" s="3" t="s">
        <v>196</v>
      </c>
      <c r="H1863" s="2" t="s">
        <v>21</v>
      </c>
      <c r="I1863" s="2" t="s">
        <v>5104</v>
      </c>
      <c r="J1863" s="3" t="str">
        <f>HYPERLINK("https://www.boe.es/gazeta/dias/1812/11/04/pdfs/GMD-1812-224.pdf#page=1","Abrir facsímil")</f>
        <v>Abrir facsímil</v>
      </c>
      <c r="K1863" s="3" t="s">
        <v>23</v>
      </c>
    </row>
    <row r="1864" spans="1:11" ht="42" customHeight="1">
      <c r="A1864" s="2" t="s">
        <v>5100</v>
      </c>
      <c r="B1864" s="2" t="s">
        <v>5100</v>
      </c>
      <c r="C1864" s="2" t="s">
        <v>17</v>
      </c>
      <c r="D1864" s="2" t="s">
        <v>18</v>
      </c>
      <c r="E1864" s="4">
        <v>-31791</v>
      </c>
      <c r="F1864" s="3" t="s">
        <v>1668</v>
      </c>
      <c r="G1864" s="3" t="s">
        <v>1852</v>
      </c>
      <c r="H1864" s="2" t="s">
        <v>21</v>
      </c>
      <c r="I1864" s="2" t="s">
        <v>5105</v>
      </c>
      <c r="J1864" s="3" t="str">
        <f>HYPERLINK("https://www.boe.es/gazeta/dias/1812/12/15/pdfs/GMD-1812-238.pdf#page=2","Abrir facsímil")</f>
        <v>Abrir facsímil</v>
      </c>
      <c r="K1864" s="3" t="s">
        <v>23</v>
      </c>
    </row>
    <row r="1865" spans="1:11" ht="42" customHeight="1">
      <c r="A1865" s="2" t="s">
        <v>5106</v>
      </c>
      <c r="B1865" s="2" t="s">
        <v>5106</v>
      </c>
      <c r="C1865" s="2" t="s">
        <v>17</v>
      </c>
      <c r="D1865" s="2" t="s">
        <v>27</v>
      </c>
      <c r="E1865" s="4">
        <v>-32126</v>
      </c>
      <c r="F1865" s="3" t="s">
        <v>5107</v>
      </c>
      <c r="G1865" s="3" t="s">
        <v>1980</v>
      </c>
      <c r="H1865" s="2" t="s">
        <v>21</v>
      </c>
      <c r="I1865" s="2" t="s">
        <v>5108</v>
      </c>
      <c r="J1865" s="3" t="str">
        <f>HYPERLINK("https://www.boe.es/gazeta/dias/1812/01/15/pdfs/GMD-1812-15.pdf#page=2","Abrir facsímil")</f>
        <v>Abrir facsímil</v>
      </c>
      <c r="K1865" s="3" t="s">
        <v>23</v>
      </c>
    </row>
    <row r="1866" spans="1:11" ht="42" customHeight="1">
      <c r="A1866" s="2" t="s">
        <v>5109</v>
      </c>
      <c r="B1866" s="2" t="s">
        <v>5109</v>
      </c>
      <c r="C1866" s="2" t="s">
        <v>17</v>
      </c>
      <c r="D1866" s="2" t="s">
        <v>194</v>
      </c>
      <c r="E1866" s="4">
        <v>-32027</v>
      </c>
      <c r="F1866" s="3" t="s">
        <v>803</v>
      </c>
      <c r="G1866" s="3" t="s">
        <v>5110</v>
      </c>
      <c r="H1866" s="2" t="s">
        <v>21</v>
      </c>
      <c r="I1866" s="2" t="s">
        <v>5111</v>
      </c>
      <c r="J1866" s="3" t="str">
        <f>HYPERLINK("https://www.boe.es/gazeta/dias/1812/04/23/pdfs/GRE-1812-51.pdf#page=1","Abrir facsímil")</f>
        <v>Abrir facsímil</v>
      </c>
      <c r="K1866" s="3" t="s">
        <v>23</v>
      </c>
    </row>
    <row r="1867" spans="1:11" ht="42" customHeight="1">
      <c r="A1867" s="2" t="s">
        <v>5112</v>
      </c>
      <c r="B1867" s="2" t="s">
        <v>5112</v>
      </c>
      <c r="C1867" s="2" t="s">
        <v>17</v>
      </c>
      <c r="D1867" s="2" t="s">
        <v>18</v>
      </c>
      <c r="E1867" s="4">
        <v>-31921</v>
      </c>
      <c r="F1867" s="3" t="s">
        <v>785</v>
      </c>
      <c r="G1867" s="3" t="s">
        <v>1128</v>
      </c>
      <c r="H1867" s="2" t="s">
        <v>21</v>
      </c>
      <c r="I1867" s="2" t="s">
        <v>5113</v>
      </c>
      <c r="J1867" s="3" t="str">
        <f>HYPERLINK("https://www.boe.es/gazeta/dias/1812/08/07/pdfs/GRE-1812-101E.pdf#page=7","Abrir facsímil")</f>
        <v>Abrir facsímil</v>
      </c>
      <c r="K1867" s="3" t="s">
        <v>23</v>
      </c>
    </row>
    <row r="1868" spans="1:11" ht="42" customHeight="1">
      <c r="A1868" s="2" t="s">
        <v>5114</v>
      </c>
      <c r="B1868" s="2" t="s">
        <v>5114</v>
      </c>
      <c r="C1868" s="2" t="s">
        <v>17</v>
      </c>
      <c r="D1868" s="2" t="s">
        <v>27</v>
      </c>
      <c r="E1868" s="4">
        <v>-31929</v>
      </c>
      <c r="F1868" s="3" t="s">
        <v>1148</v>
      </c>
      <c r="G1868" s="3" t="s">
        <v>5115</v>
      </c>
      <c r="H1868" s="2" t="s">
        <v>21</v>
      </c>
      <c r="I1868" s="2" t="s">
        <v>5116</v>
      </c>
      <c r="J1868" s="3" t="str">
        <f>HYPERLINK("https://www.boe.es/gazeta/dias/1812/07/30/pdfs/GRE-1812-95.pdf#page=3","Abrir facsímil")</f>
        <v>Abrir facsímil</v>
      </c>
      <c r="K1868" s="3" t="s">
        <v>23</v>
      </c>
    </row>
    <row r="1869" spans="1:11" ht="42" customHeight="1">
      <c r="A1869" s="2" t="s">
        <v>5117</v>
      </c>
      <c r="B1869" s="2" t="s">
        <v>5117</v>
      </c>
      <c r="C1869" s="2" t="s">
        <v>17</v>
      </c>
      <c r="D1869" s="2" t="s">
        <v>194</v>
      </c>
      <c r="E1869" s="4">
        <v>-32043</v>
      </c>
      <c r="F1869" s="3" t="s">
        <v>4582</v>
      </c>
      <c r="G1869" s="3" t="s">
        <v>140</v>
      </c>
      <c r="H1869" s="2" t="s">
        <v>21</v>
      </c>
      <c r="I1869" s="2" t="s">
        <v>5118</v>
      </c>
      <c r="J1869" s="3" t="str">
        <f>HYPERLINK("https://www.boe.es/gazeta/dias/1812/04/07/pdfs/GRE-1812-43.pdf#page=2","Abrir facsímil")</f>
        <v>Abrir facsímil</v>
      </c>
      <c r="K1869" s="3" t="s">
        <v>23</v>
      </c>
    </row>
    <row r="1870" spans="1:11" ht="42" customHeight="1">
      <c r="A1870" s="2" t="s">
        <v>5119</v>
      </c>
      <c r="B1870" s="2" t="s">
        <v>5120</v>
      </c>
      <c r="C1870" s="2" t="s">
        <v>26</v>
      </c>
      <c r="D1870" s="2" t="s">
        <v>27</v>
      </c>
      <c r="E1870" s="4">
        <v>-32015</v>
      </c>
      <c r="F1870" s="3" t="s">
        <v>77</v>
      </c>
      <c r="G1870" s="3" t="s">
        <v>78</v>
      </c>
      <c r="H1870" s="2" t="s">
        <v>21</v>
      </c>
      <c r="I1870" s="2" t="s">
        <v>5121</v>
      </c>
      <c r="J1870" s="3" t="str">
        <f>HYPERLINK("https://www.boe.es/gazeta/dias/1812/05/05/pdfs/GRE-1812-56.pdf#page=8","Abrir facsímil")</f>
        <v>Abrir facsímil</v>
      </c>
      <c r="K1870" s="3" t="s">
        <v>23</v>
      </c>
    </row>
    <row r="1871" spans="1:11" ht="42" customHeight="1">
      <c r="A1871" s="2" t="s">
        <v>5122</v>
      </c>
      <c r="B1871" s="2" t="s">
        <v>5123</v>
      </c>
      <c r="C1871" s="2" t="s">
        <v>17</v>
      </c>
      <c r="D1871" s="2" t="s">
        <v>18</v>
      </c>
      <c r="E1871" s="4">
        <v>-32030</v>
      </c>
      <c r="F1871" s="3" t="s">
        <v>2226</v>
      </c>
      <c r="G1871" s="3" t="s">
        <v>20</v>
      </c>
      <c r="H1871" s="2" t="s">
        <v>21</v>
      </c>
      <c r="I1871" s="2" t="s">
        <v>5124</v>
      </c>
      <c r="J1871" s="3" t="str">
        <f>HYPERLINK("https://www.boe.es/gazeta/dias/1812/04/20/pdfs/GMD-1812-111.pdf#page=4","Abrir facsímil")</f>
        <v>Abrir facsímil</v>
      </c>
      <c r="K1871" s="3" t="s">
        <v>23</v>
      </c>
    </row>
    <row r="1872" spans="1:11" ht="42" customHeight="1">
      <c r="A1872" s="2" t="s">
        <v>5125</v>
      </c>
      <c r="B1872" s="2" t="s">
        <v>5126</v>
      </c>
      <c r="C1872" s="2" t="s">
        <v>26</v>
      </c>
      <c r="D1872" s="2" t="s">
        <v>27</v>
      </c>
      <c r="E1872" s="4">
        <v>-32134</v>
      </c>
      <c r="F1872" s="3" t="s">
        <v>50</v>
      </c>
      <c r="G1872" s="3" t="s">
        <v>233</v>
      </c>
      <c r="H1872" s="2" t="s">
        <v>21</v>
      </c>
      <c r="I1872" s="2" t="s">
        <v>5127</v>
      </c>
      <c r="J1872" s="3" t="str">
        <f>HYPERLINK("https://www.boe.es/gazeta/dias/1812/01/07/pdfs/GEI-1812-3.pdf#page=8","Abrir facsímil")</f>
        <v>Abrir facsímil</v>
      </c>
      <c r="K1872" s="3" t="s">
        <v>23</v>
      </c>
    </row>
    <row r="1873" spans="1:11" ht="42" customHeight="1">
      <c r="A1873" s="2" t="s">
        <v>5128</v>
      </c>
      <c r="B1873" s="2" t="s">
        <v>5128</v>
      </c>
      <c r="C1873" s="2" t="s">
        <v>17</v>
      </c>
      <c r="D1873" s="2" t="s">
        <v>27</v>
      </c>
      <c r="E1873" s="4">
        <v>-31805</v>
      </c>
      <c r="F1873" s="3" t="s">
        <v>895</v>
      </c>
      <c r="G1873" s="3" t="s">
        <v>3294</v>
      </c>
      <c r="H1873" s="2" t="s">
        <v>21</v>
      </c>
      <c r="I1873" s="2" t="s">
        <v>5129</v>
      </c>
      <c r="J1873" s="3" t="str">
        <f>HYPERLINK("https://www.boe.es/gazeta/dias/1812/12/01/pdfs/GMR-1812-39.pdf#page=6","Abrir facsímil")</f>
        <v>Abrir facsímil</v>
      </c>
      <c r="K1873" s="3" t="s">
        <v>23</v>
      </c>
    </row>
    <row r="1874" spans="1:11" ht="42" customHeight="1">
      <c r="A1874" s="2" t="s">
        <v>5130</v>
      </c>
      <c r="B1874" s="2" t="s">
        <v>5131</v>
      </c>
      <c r="C1874" s="2" t="s">
        <v>26</v>
      </c>
      <c r="D1874" s="2" t="s">
        <v>27</v>
      </c>
      <c r="E1874" s="4">
        <v>-32060</v>
      </c>
      <c r="F1874" s="3" t="s">
        <v>399</v>
      </c>
      <c r="G1874" s="3" t="s">
        <v>136</v>
      </c>
      <c r="H1874" s="2" t="s">
        <v>21</v>
      </c>
      <c r="I1874" s="2" t="s">
        <v>5132</v>
      </c>
      <c r="J1874" s="3" t="str">
        <f>HYPERLINK("https://www.boe.es/gazeta/dias/1812/03/21/pdfs/GMD-1812-81.pdf#page=4","Abrir facsímil")</f>
        <v>Abrir facsímil</v>
      </c>
      <c r="K1874" s="3" t="s">
        <v>23</v>
      </c>
    </row>
    <row r="1875" spans="1:11" ht="42" customHeight="1">
      <c r="A1875" s="2" t="s">
        <v>5133</v>
      </c>
      <c r="B1875" s="2" t="s">
        <v>5134</v>
      </c>
      <c r="C1875" s="2" t="s">
        <v>26</v>
      </c>
      <c r="D1875" s="2" t="s">
        <v>27</v>
      </c>
      <c r="E1875" s="4">
        <v>-32074</v>
      </c>
      <c r="F1875" s="3" t="s">
        <v>816</v>
      </c>
      <c r="G1875" s="3" t="s">
        <v>777</v>
      </c>
      <c r="H1875" s="2" t="s">
        <v>21</v>
      </c>
      <c r="I1875" s="2" t="s">
        <v>5135</v>
      </c>
      <c r="J1875" s="3" t="str">
        <f>HYPERLINK("https://www.boe.es/gazeta/dias/1812/03/07/pdfs/GRE-1812-30.pdf#page=8","Abrir facsímil")</f>
        <v>Abrir facsímil</v>
      </c>
      <c r="K1875" s="3" t="s">
        <v>23</v>
      </c>
    </row>
    <row r="1876" spans="1:11" ht="42" customHeight="1">
      <c r="A1876" s="2" t="s">
        <v>5136</v>
      </c>
      <c r="B1876" s="2" t="s">
        <v>5137</v>
      </c>
      <c r="C1876" s="2" t="s">
        <v>26</v>
      </c>
      <c r="D1876" s="2" t="s">
        <v>27</v>
      </c>
      <c r="E1876" s="4">
        <v>-32125</v>
      </c>
      <c r="F1876" s="3" t="s">
        <v>335</v>
      </c>
      <c r="G1876" s="3" t="s">
        <v>336</v>
      </c>
      <c r="H1876" s="2" t="s">
        <v>21</v>
      </c>
      <c r="I1876" s="2" t="s">
        <v>5138</v>
      </c>
      <c r="J1876" s="3" t="str">
        <f>HYPERLINK("https://www.boe.es/gazeta/dias/1812/01/16/pdfs/GEI-1812-7.pdf#page=8","Abrir facsímil")</f>
        <v>Abrir facsímil</v>
      </c>
      <c r="K1876" s="3" t="s">
        <v>23</v>
      </c>
    </row>
    <row r="1877" spans="1:11" ht="42" customHeight="1">
      <c r="A1877" s="2" t="s">
        <v>5139</v>
      </c>
      <c r="B1877" s="2" t="s">
        <v>5140</v>
      </c>
      <c r="C1877" s="2" t="s">
        <v>17</v>
      </c>
      <c r="D1877" s="2" t="s">
        <v>27</v>
      </c>
      <c r="E1877" s="4">
        <v>-32127</v>
      </c>
      <c r="F1877" s="3" t="s">
        <v>88</v>
      </c>
      <c r="G1877" s="3" t="s">
        <v>89</v>
      </c>
      <c r="H1877" s="2" t="s">
        <v>21</v>
      </c>
      <c r="I1877" s="2" t="s">
        <v>5141</v>
      </c>
      <c r="J1877" s="3" t="str">
        <f>HYPERLINK("https://www.boe.es/gazeta/dias/1812/01/14/pdfs/GEI-1812-6.pdf#page=8","Abrir facsímil")</f>
        <v>Abrir facsímil</v>
      </c>
      <c r="K1877" s="3" t="s">
        <v>23</v>
      </c>
    </row>
    <row r="1878" spans="1:11" ht="42" customHeight="1">
      <c r="A1878" s="2" t="s">
        <v>5142</v>
      </c>
      <c r="B1878" s="2" t="s">
        <v>5143</v>
      </c>
      <c r="C1878" s="2" t="s">
        <v>67</v>
      </c>
      <c r="D1878" s="2" t="s">
        <v>27</v>
      </c>
      <c r="E1878" s="4">
        <v>-32095</v>
      </c>
      <c r="F1878" s="3" t="s">
        <v>284</v>
      </c>
      <c r="G1878" s="3" t="s">
        <v>29</v>
      </c>
      <c r="H1878" s="2" t="s">
        <v>21</v>
      </c>
      <c r="I1878" s="2" t="s">
        <v>5144</v>
      </c>
      <c r="J1878" s="3" t="str">
        <f>HYPERLINK("https://www.boe.es/gazeta/dias/1812/02/15/pdfs/GRE-1812-20.pdf#page=8","Abrir facsímil")</f>
        <v>Abrir facsímil</v>
      </c>
      <c r="K1878" s="3" t="s">
        <v>23</v>
      </c>
    </row>
    <row r="1879" spans="1:11" ht="42" customHeight="1">
      <c r="A1879" s="2" t="s">
        <v>5145</v>
      </c>
      <c r="B1879" s="2" t="s">
        <v>5145</v>
      </c>
      <c r="C1879" s="2" t="s">
        <v>17</v>
      </c>
      <c r="D1879" s="2" t="s">
        <v>18</v>
      </c>
      <c r="E1879" s="4">
        <v>-31859</v>
      </c>
      <c r="F1879" s="3" t="s">
        <v>3024</v>
      </c>
      <c r="G1879" s="3" t="s">
        <v>217</v>
      </c>
      <c r="H1879" s="2" t="s">
        <v>21</v>
      </c>
      <c r="I1879" s="2" t="s">
        <v>5146</v>
      </c>
      <c r="J1879" s="3" t="str">
        <f>HYPERLINK("https://www.boe.es/gazeta/dias/1812/10/08/pdfs/GRE-1812-136.pdf#page=5","Abrir facsímil")</f>
        <v>Abrir facsímil</v>
      </c>
      <c r="K1879" s="3" t="s">
        <v>23</v>
      </c>
    </row>
    <row r="1880" spans="1:11" ht="42" customHeight="1">
      <c r="A1880" s="2" t="s">
        <v>5147</v>
      </c>
      <c r="B1880" s="2" t="s">
        <v>5147</v>
      </c>
      <c r="C1880" s="2" t="s">
        <v>17</v>
      </c>
      <c r="D1880" s="2" t="s">
        <v>18</v>
      </c>
      <c r="E1880" s="4">
        <v>-31868</v>
      </c>
      <c r="F1880" s="3" t="s">
        <v>1833</v>
      </c>
      <c r="G1880" s="3" t="s">
        <v>2280</v>
      </c>
      <c r="H1880" s="2" t="s">
        <v>21</v>
      </c>
      <c r="I1880" s="2" t="s">
        <v>5148</v>
      </c>
      <c r="J1880" s="3" t="str">
        <f>HYPERLINK("https://www.boe.es/gazeta/dias/1812/09/29/pdfs/GMR-1812-20.pdf#page=1","Abrir facsímil")</f>
        <v>Abrir facsímil</v>
      </c>
      <c r="K1880" s="3" t="s">
        <v>23</v>
      </c>
    </row>
    <row r="1881" spans="1:11" ht="42" customHeight="1">
      <c r="A1881" s="2" t="s">
        <v>5147</v>
      </c>
      <c r="B1881" s="2" t="s">
        <v>5147</v>
      </c>
      <c r="C1881" s="2" t="s">
        <v>17</v>
      </c>
      <c r="D1881" s="2" t="s">
        <v>18</v>
      </c>
      <c r="E1881" s="4">
        <v>-31861</v>
      </c>
      <c r="F1881" s="3" t="s">
        <v>1080</v>
      </c>
      <c r="G1881" s="3" t="s">
        <v>2403</v>
      </c>
      <c r="H1881" s="2" t="s">
        <v>21</v>
      </c>
      <c r="I1881" s="2" t="s">
        <v>5149</v>
      </c>
      <c r="J1881" s="3" t="str">
        <f>HYPERLINK("https://www.boe.es/gazeta/dias/1812/10/06/pdfs/GMR-1812-23.pdf#page=14","Abrir facsímil")</f>
        <v>Abrir facsímil</v>
      </c>
      <c r="K1881" s="3" t="s">
        <v>23</v>
      </c>
    </row>
    <row r="1882" spans="1:11" ht="42" customHeight="1">
      <c r="A1882" s="2" t="s">
        <v>5147</v>
      </c>
      <c r="B1882" s="2" t="s">
        <v>5147</v>
      </c>
      <c r="C1882" s="2" t="s">
        <v>17</v>
      </c>
      <c r="D1882" s="2" t="s">
        <v>18</v>
      </c>
      <c r="E1882" s="4">
        <v>-31817</v>
      </c>
      <c r="F1882" s="3" t="s">
        <v>454</v>
      </c>
      <c r="G1882" s="3" t="s">
        <v>455</v>
      </c>
      <c r="H1882" s="2" t="s">
        <v>21</v>
      </c>
      <c r="I1882" s="2" t="s">
        <v>5150</v>
      </c>
      <c r="J1882" s="3" t="str">
        <f>HYPERLINK("https://www.boe.es/gazeta/dias/1812/11/19/pdfs/GRE-1812-154.pdf#page=2","Abrir facsímil")</f>
        <v>Abrir facsímil</v>
      </c>
      <c r="K1882" s="3" t="s">
        <v>23</v>
      </c>
    </row>
    <row r="1883" spans="1:11" ht="42" customHeight="1">
      <c r="A1883" s="2" t="s">
        <v>5151</v>
      </c>
      <c r="B1883" s="2" t="s">
        <v>5151</v>
      </c>
      <c r="C1883" s="2" t="s">
        <v>17</v>
      </c>
      <c r="D1883" s="2" t="s">
        <v>18</v>
      </c>
      <c r="E1883" s="4">
        <v>-31799</v>
      </c>
      <c r="F1883" s="3" t="s">
        <v>736</v>
      </c>
      <c r="G1883" s="3" t="s">
        <v>404</v>
      </c>
      <c r="H1883" s="2" t="s">
        <v>21</v>
      </c>
      <c r="I1883" s="2" t="s">
        <v>5152</v>
      </c>
      <c r="J1883" s="3" t="str">
        <f>HYPERLINK("https://www.boe.es/gazeta/dias/1812/12/07/pdfs/GMD-1812-230.pdf#page=3","Abrir facsímil")</f>
        <v>Abrir facsímil</v>
      </c>
      <c r="K1883" s="3" t="s">
        <v>23</v>
      </c>
    </row>
    <row r="1884" spans="1:11" ht="42" customHeight="1">
      <c r="A1884" s="2" t="s">
        <v>5153</v>
      </c>
      <c r="B1884" s="2" t="s">
        <v>5153</v>
      </c>
      <c r="C1884" s="2" t="s">
        <v>17</v>
      </c>
      <c r="D1884" s="2" t="s">
        <v>27</v>
      </c>
      <c r="E1884" s="4">
        <v>-31984</v>
      </c>
      <c r="F1884" s="3" t="s">
        <v>5154</v>
      </c>
      <c r="G1884" s="3" t="s">
        <v>1076</v>
      </c>
      <c r="H1884" s="2" t="s">
        <v>21</v>
      </c>
      <c r="I1884" s="2" t="s">
        <v>5155</v>
      </c>
      <c r="J1884" s="3" t="str">
        <f>HYPERLINK("https://www.boe.es/gazeta/dias/1812/06/05/pdfs/GMD-1812-157.pdf#page=1","Abrir facsímil")</f>
        <v>Abrir facsímil</v>
      </c>
      <c r="K1884" s="3" t="s">
        <v>23</v>
      </c>
    </row>
    <row r="1885" spans="1:11" ht="42" customHeight="1">
      <c r="A1885" s="2" t="s">
        <v>5156</v>
      </c>
      <c r="B1885" s="2" t="s">
        <v>5157</v>
      </c>
      <c r="C1885" s="2" t="s">
        <v>26</v>
      </c>
      <c r="D1885" s="2" t="s">
        <v>27</v>
      </c>
      <c r="E1885" s="4">
        <v>-31964</v>
      </c>
      <c r="F1885" s="3" t="s">
        <v>305</v>
      </c>
      <c r="G1885" s="3" t="s">
        <v>306</v>
      </c>
      <c r="H1885" s="2" t="s">
        <v>30</v>
      </c>
      <c r="I1885" s="2" t="s">
        <v>5158</v>
      </c>
      <c r="J1885" s="3" t="str">
        <f>HYPERLINK("https://www.boe.es/gazeta/dias/1812/06/25/pdfs/GMD-1812-177.pdf#page=3","Abrir facsímil")</f>
        <v>Abrir facsímil</v>
      </c>
      <c r="K1885" s="3" t="s">
        <v>32</v>
      </c>
    </row>
    <row r="1886" spans="1:11" ht="42" customHeight="1">
      <c r="A1886" s="2" t="s">
        <v>5159</v>
      </c>
      <c r="B1886" s="2" t="s">
        <v>5160</v>
      </c>
      <c r="C1886" s="2" t="s">
        <v>105</v>
      </c>
      <c r="D1886" s="2" t="s">
        <v>27</v>
      </c>
      <c r="E1886" s="4">
        <v>-32132</v>
      </c>
      <c r="F1886" s="3" t="s">
        <v>484</v>
      </c>
      <c r="G1886" s="3" t="s">
        <v>485</v>
      </c>
      <c r="H1886" s="2" t="s">
        <v>30</v>
      </c>
      <c r="I1886" s="2" t="s">
        <v>5161</v>
      </c>
      <c r="J1886" s="3" t="str">
        <f>HYPERLINK("https://www.boe.es/gazeta/dias/1812/01/09/pdfs/GEI-1812-4.pdf#page=8","Abrir facsímil")</f>
        <v>Abrir facsímil</v>
      </c>
      <c r="K1886" s="3" t="s">
        <v>32</v>
      </c>
    </row>
    <row r="1887" spans="1:11" ht="42" customHeight="1">
      <c r="A1887" s="2" t="s">
        <v>5162</v>
      </c>
      <c r="B1887" s="2" t="s">
        <v>5163</v>
      </c>
      <c r="C1887" s="2" t="s">
        <v>17</v>
      </c>
      <c r="D1887" s="2" t="s">
        <v>27</v>
      </c>
      <c r="E1887" s="4">
        <v>-32085</v>
      </c>
      <c r="F1887" s="3" t="s">
        <v>3321</v>
      </c>
      <c r="G1887" s="3" t="s">
        <v>217</v>
      </c>
      <c r="H1887" s="2" t="s">
        <v>30</v>
      </c>
      <c r="I1887" s="2" t="s">
        <v>5164</v>
      </c>
      <c r="J1887" s="3" t="str">
        <f>HYPERLINK("https://www.boe.es/gazeta/dias/1812/02/25/pdfs/GRE-1812-25.pdf#page=7","Abrir facsímil")</f>
        <v>Abrir facsímil</v>
      </c>
      <c r="K1887" s="3" t="s">
        <v>32</v>
      </c>
    </row>
    <row r="1888" spans="1:11" ht="42" customHeight="1">
      <c r="A1888" s="2" t="s">
        <v>5165</v>
      </c>
      <c r="B1888" s="2" t="s">
        <v>5166</v>
      </c>
      <c r="C1888" s="2" t="s">
        <v>17</v>
      </c>
      <c r="D1888" s="2" t="s">
        <v>27</v>
      </c>
      <c r="E1888" s="4">
        <v>-32139</v>
      </c>
      <c r="F1888" s="3" t="s">
        <v>288</v>
      </c>
      <c r="G1888" s="3" t="s">
        <v>130</v>
      </c>
      <c r="H1888" s="2" t="s">
        <v>30</v>
      </c>
      <c r="I1888" s="2" t="s">
        <v>5167</v>
      </c>
      <c r="J1888" s="3" t="str">
        <f>HYPERLINK("https://www.boe.es/gazeta/dias/1812/01/02/pdfs/GMD-1812-2.pdf#page=4","Abrir facsímil")</f>
        <v>Abrir facsímil</v>
      </c>
      <c r="K1888" s="3" t="s">
        <v>32</v>
      </c>
    </row>
    <row r="1889" spans="1:11" ht="42" customHeight="1">
      <c r="A1889" s="2" t="s">
        <v>5168</v>
      </c>
      <c r="B1889" s="2" t="s">
        <v>5169</v>
      </c>
      <c r="C1889" s="2" t="s">
        <v>26</v>
      </c>
      <c r="D1889" s="2" t="s">
        <v>27</v>
      </c>
      <c r="E1889" s="4">
        <v>-32000</v>
      </c>
      <c r="F1889" s="3" t="s">
        <v>878</v>
      </c>
      <c r="G1889" s="3" t="s">
        <v>214</v>
      </c>
      <c r="H1889" s="2" t="s">
        <v>21</v>
      </c>
      <c r="I1889" s="2" t="s">
        <v>5170</v>
      </c>
      <c r="J1889" s="3" t="str">
        <f>HYPERLINK("https://www.boe.es/gazeta/dias/1812/05/20/pdfs/GMD-1812-141.pdf#page=2","Abrir facsímil")</f>
        <v>Abrir facsímil</v>
      </c>
      <c r="K1889" s="3" t="s">
        <v>23</v>
      </c>
    </row>
    <row r="1890" spans="1:11" ht="42" customHeight="1">
      <c r="A1890" s="2" t="s">
        <v>5171</v>
      </c>
      <c r="B1890" s="2" t="s">
        <v>5172</v>
      </c>
      <c r="C1890" s="2" t="s">
        <v>26</v>
      </c>
      <c r="D1890" s="2" t="s">
        <v>27</v>
      </c>
      <c r="E1890" s="4">
        <v>-32001</v>
      </c>
      <c r="F1890" s="3" t="s">
        <v>1938</v>
      </c>
      <c r="G1890" s="3" t="s">
        <v>5173</v>
      </c>
      <c r="H1890" s="2" t="s">
        <v>21</v>
      </c>
      <c r="I1890" s="2" t="s">
        <v>5174</v>
      </c>
      <c r="J1890" s="3" t="str">
        <f>HYPERLINK("https://www.boe.es/gazeta/dias/1812/05/19/pdfs/GRE-1812-62.pdf#page=1","Abrir facsímil")</f>
        <v>Abrir facsímil</v>
      </c>
      <c r="K1890" s="3" t="s">
        <v>23</v>
      </c>
    </row>
    <row r="1891" spans="1:11" ht="42" customHeight="1">
      <c r="A1891" s="2" t="s">
        <v>5175</v>
      </c>
      <c r="B1891" s="2" t="s">
        <v>5176</v>
      </c>
      <c r="C1891" s="2" t="s">
        <v>26</v>
      </c>
      <c r="D1891" s="2" t="s">
        <v>27</v>
      </c>
      <c r="E1891" s="4">
        <v>-31875</v>
      </c>
      <c r="F1891" s="3" t="s">
        <v>110</v>
      </c>
      <c r="G1891" s="3" t="s">
        <v>111</v>
      </c>
      <c r="H1891" s="2" t="s">
        <v>21</v>
      </c>
      <c r="I1891" s="2" t="s">
        <v>5177</v>
      </c>
      <c r="J1891" s="3" t="str">
        <f>HYPERLINK("https://www.boe.es/gazeta/dias/1812/09/22/pdfs/GRE-1812-128.pdf#page=6","Abrir facsímil")</f>
        <v>Abrir facsímil</v>
      </c>
      <c r="K1891" s="3" t="s">
        <v>23</v>
      </c>
    </row>
    <row r="1892" spans="1:11" ht="42" customHeight="1">
      <c r="A1892" s="2" t="s">
        <v>5178</v>
      </c>
      <c r="B1892" s="2" t="s">
        <v>5179</v>
      </c>
      <c r="C1892" s="2" t="s">
        <v>17</v>
      </c>
      <c r="D1892" s="2" t="s">
        <v>27</v>
      </c>
      <c r="E1892" s="4">
        <v>-32109</v>
      </c>
      <c r="F1892" s="3" t="s">
        <v>62</v>
      </c>
      <c r="G1892" s="3" t="s">
        <v>63</v>
      </c>
      <c r="H1892" s="2" t="s">
        <v>21</v>
      </c>
      <c r="I1892" s="2" t="s">
        <v>5180</v>
      </c>
      <c r="J1892" s="3" t="str">
        <f>HYPERLINK("https://www.boe.es/gazeta/dias/1812/02/01/pdfs/GRE-1812-14.pdf#page=10","Abrir facsímil")</f>
        <v>Abrir facsímil</v>
      </c>
      <c r="K1892" s="3" t="s">
        <v>23</v>
      </c>
    </row>
    <row r="1893" spans="1:11" ht="42" customHeight="1">
      <c r="A1893" s="2" t="s">
        <v>5181</v>
      </c>
      <c r="B1893" s="2" t="s">
        <v>5182</v>
      </c>
      <c r="C1893" s="2" t="s">
        <v>186</v>
      </c>
      <c r="D1893" s="2" t="s">
        <v>275</v>
      </c>
      <c r="E1893" s="4">
        <v>-31961</v>
      </c>
      <c r="F1893" s="3" t="s">
        <v>1193</v>
      </c>
      <c r="G1893" s="3" t="s">
        <v>644</v>
      </c>
      <c r="H1893" s="2" t="s">
        <v>21</v>
      </c>
      <c r="I1893" s="2" t="s">
        <v>5183</v>
      </c>
      <c r="J1893" s="3" t="str">
        <f>HYPERLINK("https://www.boe.es/gazeta/dias/1812/06/28/pdfs/GMD-1812-180.pdf#page=3","Abrir facsímil")</f>
        <v>Abrir facsímil</v>
      </c>
      <c r="K1893" s="3" t="s">
        <v>23</v>
      </c>
    </row>
    <row r="1894" spans="1:11" ht="42" customHeight="1">
      <c r="A1894" s="2" t="s">
        <v>5184</v>
      </c>
      <c r="B1894" s="2" t="s">
        <v>5185</v>
      </c>
      <c r="C1894" s="2" t="s">
        <v>26</v>
      </c>
      <c r="D1894" s="2" t="s">
        <v>27</v>
      </c>
      <c r="E1894" s="4">
        <v>-32000</v>
      </c>
      <c r="F1894" s="3" t="s">
        <v>878</v>
      </c>
      <c r="G1894" s="3" t="s">
        <v>214</v>
      </c>
      <c r="H1894" s="2" t="s">
        <v>21</v>
      </c>
      <c r="I1894" s="2" t="s">
        <v>5186</v>
      </c>
      <c r="J1894" s="3" t="str">
        <f>HYPERLINK("https://www.boe.es/gazeta/dias/1812/05/20/pdfs/GMD-1812-141.pdf#page=2","Abrir facsímil")</f>
        <v>Abrir facsímil</v>
      </c>
      <c r="K1894" s="3" t="s">
        <v>23</v>
      </c>
    </row>
    <row r="1895" spans="1:11" ht="42" customHeight="1">
      <c r="A1895" s="2" t="s">
        <v>5187</v>
      </c>
      <c r="B1895" s="2" t="s">
        <v>5188</v>
      </c>
      <c r="C1895" s="2" t="s">
        <v>17</v>
      </c>
      <c r="D1895" s="2" t="s">
        <v>18</v>
      </c>
      <c r="E1895" s="4">
        <v>-31822</v>
      </c>
      <c r="F1895" s="3" t="s">
        <v>541</v>
      </c>
      <c r="G1895" s="3" t="s">
        <v>1459</v>
      </c>
      <c r="H1895" s="2" t="s">
        <v>21</v>
      </c>
      <c r="I1895" s="2" t="s">
        <v>5189</v>
      </c>
      <c r="J1895" s="3" t="str">
        <f>HYPERLINK("https://www.boe.es/gazeta/dias/1812/11/14/pdfs/GRE-1812-152.pdf#page=8","Abrir facsímil")</f>
        <v>Abrir facsímil</v>
      </c>
      <c r="K1895" s="3" t="s">
        <v>23</v>
      </c>
    </row>
    <row r="1896" spans="1:11" ht="42" customHeight="1">
      <c r="A1896" s="2" t="s">
        <v>5190</v>
      </c>
      <c r="B1896" s="2" t="s">
        <v>5191</v>
      </c>
      <c r="C1896" s="2" t="s">
        <v>17</v>
      </c>
      <c r="D1896" s="2" t="s">
        <v>27</v>
      </c>
      <c r="E1896" s="4">
        <v>-31880</v>
      </c>
      <c r="F1896" s="3" t="s">
        <v>705</v>
      </c>
      <c r="G1896" s="3" t="s">
        <v>1176</v>
      </c>
      <c r="H1896" s="2" t="s">
        <v>21</v>
      </c>
      <c r="I1896" s="2" t="s">
        <v>5192</v>
      </c>
      <c r="J1896" s="3" t="str">
        <f>HYPERLINK("https://www.boe.es/gazeta/dias/1812/09/17/pdfs/GMR-1812-15.pdf#page=6","Abrir facsímil")</f>
        <v>Abrir facsímil</v>
      </c>
      <c r="K1896" s="3" t="s">
        <v>23</v>
      </c>
    </row>
    <row r="1897" spans="1:11" ht="42" customHeight="1">
      <c r="A1897" s="2" t="s">
        <v>5193</v>
      </c>
      <c r="B1897" s="2" t="s">
        <v>5194</v>
      </c>
      <c r="C1897" s="2" t="s">
        <v>49</v>
      </c>
      <c r="D1897" s="2" t="s">
        <v>18</v>
      </c>
      <c r="E1897" s="4">
        <v>-32083</v>
      </c>
      <c r="F1897" s="3" t="s">
        <v>1496</v>
      </c>
      <c r="G1897" s="3" t="s">
        <v>2658</v>
      </c>
      <c r="H1897" s="2" t="s">
        <v>21</v>
      </c>
      <c r="I1897" s="2" t="s">
        <v>5195</v>
      </c>
      <c r="J1897" s="3" t="str">
        <f>HYPERLINK("https://www.boe.es/gazeta/dias/1812/02/27/pdfs/GRE-1812-26.pdf#page=7","Abrir facsímil")</f>
        <v>Abrir facsímil</v>
      </c>
      <c r="K1897" s="3" t="s">
        <v>23</v>
      </c>
    </row>
    <row r="1898" spans="1:11" ht="42" customHeight="1">
      <c r="A1898" s="2" t="s">
        <v>5196</v>
      </c>
      <c r="B1898" s="2" t="s">
        <v>5197</v>
      </c>
      <c r="C1898" s="2" t="s">
        <v>26</v>
      </c>
      <c r="D1898" s="2" t="s">
        <v>27</v>
      </c>
      <c r="E1898" s="4">
        <v>-31945</v>
      </c>
      <c r="F1898" s="3" t="s">
        <v>1485</v>
      </c>
      <c r="G1898" s="3" t="s">
        <v>1486</v>
      </c>
      <c r="H1898" s="2" t="s">
        <v>21</v>
      </c>
      <c r="I1898" s="2" t="s">
        <v>5198</v>
      </c>
      <c r="J1898" s="3" t="str">
        <f>HYPERLINK("https://www.boe.es/gazeta/dias/1812/07/14/pdfs/GRE-1812-88.pdf#page=1","Abrir facsímil")</f>
        <v>Abrir facsímil</v>
      </c>
      <c r="K1898" s="3" t="s">
        <v>23</v>
      </c>
    </row>
    <row r="1899" spans="1:11" ht="42" customHeight="1">
      <c r="A1899" s="2" t="s">
        <v>5199</v>
      </c>
      <c r="B1899" s="2" t="s">
        <v>5200</v>
      </c>
      <c r="C1899" s="2" t="s">
        <v>26</v>
      </c>
      <c r="D1899" s="2" t="s">
        <v>27</v>
      </c>
      <c r="E1899" s="4">
        <v>-32044</v>
      </c>
      <c r="F1899" s="3" t="s">
        <v>1031</v>
      </c>
      <c r="G1899" s="3" t="s">
        <v>20</v>
      </c>
      <c r="H1899" s="2" t="s">
        <v>21</v>
      </c>
      <c r="I1899" s="2" t="s">
        <v>5201</v>
      </c>
      <c r="J1899" s="3" t="str">
        <f>HYPERLINK("https://www.boe.es/gazeta/dias/1812/04/06/pdfs/GMD-1812-97.pdf#page=3","Abrir facsímil")</f>
        <v>Abrir facsímil</v>
      </c>
      <c r="K1899" s="3" t="s">
        <v>23</v>
      </c>
    </row>
    <row r="1900" spans="1:11" ht="42" customHeight="1">
      <c r="A1900" s="2" t="s">
        <v>5202</v>
      </c>
      <c r="B1900" s="2" t="s">
        <v>5203</v>
      </c>
      <c r="C1900" s="2" t="s">
        <v>26</v>
      </c>
      <c r="D1900" s="2" t="s">
        <v>27</v>
      </c>
      <c r="E1900" s="4">
        <v>-31939</v>
      </c>
      <c r="F1900" s="3" t="s">
        <v>408</v>
      </c>
      <c r="G1900" s="3" t="s">
        <v>20</v>
      </c>
      <c r="H1900" s="2" t="s">
        <v>21</v>
      </c>
      <c r="I1900" s="2" t="s">
        <v>5204</v>
      </c>
      <c r="J1900" s="3" t="str">
        <f>HYPERLINK("https://www.boe.es/gazeta/dias/1812/07/20/pdfs/GMD-1812-202.pdf#page=4","Abrir facsímil")</f>
        <v>Abrir facsímil</v>
      </c>
      <c r="K1900" s="3" t="s">
        <v>23</v>
      </c>
    </row>
    <row r="1901" spans="1:11" ht="42" customHeight="1">
      <c r="A1901" s="2" t="s">
        <v>5205</v>
      </c>
      <c r="B1901" s="2" t="s">
        <v>5206</v>
      </c>
      <c r="C1901" s="2" t="s">
        <v>26</v>
      </c>
      <c r="D1901" s="2" t="s">
        <v>27</v>
      </c>
      <c r="E1901" s="4">
        <v>-32062</v>
      </c>
      <c r="F1901" s="3" t="s">
        <v>280</v>
      </c>
      <c r="G1901" s="3" t="s">
        <v>20</v>
      </c>
      <c r="H1901" s="2" t="s">
        <v>21</v>
      </c>
      <c r="I1901" s="2" t="s">
        <v>5207</v>
      </c>
      <c r="J1901" s="3" t="str">
        <f>HYPERLINK("https://www.boe.es/gazeta/dias/1812/03/19/pdfs/GMD-1812-79.pdf#page=4","Abrir facsímil")</f>
        <v>Abrir facsímil</v>
      </c>
      <c r="K1901" s="3" t="s">
        <v>23</v>
      </c>
    </row>
    <row r="1902" spans="1:11" ht="42" customHeight="1">
      <c r="A1902" s="2" t="s">
        <v>5208</v>
      </c>
      <c r="B1902" s="2" t="s">
        <v>5209</v>
      </c>
      <c r="C1902" s="2" t="s">
        <v>26</v>
      </c>
      <c r="D1902" s="2" t="s">
        <v>27</v>
      </c>
      <c r="E1902" s="4">
        <v>-32139</v>
      </c>
      <c r="F1902" s="3" t="s">
        <v>518</v>
      </c>
      <c r="G1902" s="3" t="s">
        <v>125</v>
      </c>
      <c r="H1902" s="2" t="s">
        <v>21</v>
      </c>
      <c r="I1902" s="2" t="s">
        <v>5210</v>
      </c>
      <c r="J1902" s="3" t="str">
        <f>HYPERLINK("https://www.boe.es/gazeta/dias/1812/01/02/pdfs/GEI-1812-1.pdf#page=8","Abrir facsímil")</f>
        <v>Abrir facsímil</v>
      </c>
      <c r="K1902" s="3" t="s">
        <v>23</v>
      </c>
    </row>
    <row r="1903" spans="1:11" ht="42" customHeight="1">
      <c r="A1903" s="2" t="s">
        <v>5211</v>
      </c>
      <c r="B1903" s="2" t="s">
        <v>5212</v>
      </c>
      <c r="C1903" s="2" t="s">
        <v>26</v>
      </c>
      <c r="D1903" s="2" t="s">
        <v>27</v>
      </c>
      <c r="E1903" s="4">
        <v>-31963</v>
      </c>
      <c r="F1903" s="3" t="s">
        <v>171</v>
      </c>
      <c r="G1903" s="3" t="s">
        <v>1653</v>
      </c>
      <c r="H1903" s="2" t="s">
        <v>21</v>
      </c>
      <c r="I1903" s="2" t="s">
        <v>5213</v>
      </c>
      <c r="J1903" s="3" t="str">
        <f>HYPERLINK("https://www.boe.es/gazeta/dias/1812/06/26/pdfs/GMD-1812-178.pdf#page=2","Abrir facsímil")</f>
        <v>Abrir facsímil</v>
      </c>
      <c r="K1903" s="3" t="s">
        <v>23</v>
      </c>
    </row>
    <row r="1904" spans="1:11" ht="42" customHeight="1">
      <c r="A1904" s="2" t="s">
        <v>5214</v>
      </c>
      <c r="B1904" s="2" t="s">
        <v>5215</v>
      </c>
      <c r="C1904" s="2" t="s">
        <v>67</v>
      </c>
      <c r="D1904" s="2" t="s">
        <v>27</v>
      </c>
      <c r="E1904" s="4">
        <v>-31963</v>
      </c>
      <c r="F1904" s="3" t="s">
        <v>171</v>
      </c>
      <c r="G1904" s="3" t="s">
        <v>172</v>
      </c>
      <c r="H1904" s="2" t="s">
        <v>21</v>
      </c>
      <c r="I1904" s="2" t="s">
        <v>5216</v>
      </c>
      <c r="J1904" s="3" t="str">
        <f>HYPERLINK("https://www.boe.es/gazeta/dias/1812/06/26/pdfs/GMD-1812-178.pdf#page=3","Abrir facsímil")</f>
        <v>Abrir facsímil</v>
      </c>
      <c r="K1904" s="3" t="s">
        <v>23</v>
      </c>
    </row>
    <row r="1905" spans="1:11" ht="42" customHeight="1">
      <c r="A1905" s="2" t="s">
        <v>5217</v>
      </c>
      <c r="B1905" s="2" t="s">
        <v>5218</v>
      </c>
      <c r="C1905" s="2" t="s">
        <v>17</v>
      </c>
      <c r="D1905" s="2" t="s">
        <v>27</v>
      </c>
      <c r="E1905" s="4">
        <v>-32118</v>
      </c>
      <c r="F1905" s="3" t="s">
        <v>964</v>
      </c>
      <c r="G1905" s="3" t="s">
        <v>965</v>
      </c>
      <c r="H1905" s="2" t="s">
        <v>21</v>
      </c>
      <c r="I1905" s="2" t="s">
        <v>5219</v>
      </c>
      <c r="J1905" s="3" t="str">
        <f>HYPERLINK("https://www.boe.es/gazeta/dias/1812/01/23/pdfs/GEI-H-1812-10.pdf#page=4","Abrir facsímil")</f>
        <v>Abrir facsímil</v>
      </c>
      <c r="K1905" s="3" t="s">
        <v>23</v>
      </c>
    </row>
    <row r="1906" spans="1:11" ht="42" customHeight="1">
      <c r="A1906" s="2" t="s">
        <v>5220</v>
      </c>
      <c r="B1906" s="2" t="s">
        <v>5221</v>
      </c>
      <c r="C1906" s="2" t="s">
        <v>26</v>
      </c>
      <c r="D1906" s="2" t="s">
        <v>27</v>
      </c>
      <c r="E1906" s="4">
        <v>-31938</v>
      </c>
      <c r="F1906" s="3" t="s">
        <v>370</v>
      </c>
      <c r="G1906" s="3" t="s">
        <v>371</v>
      </c>
      <c r="H1906" s="2" t="s">
        <v>21</v>
      </c>
      <c r="I1906" s="2" t="s">
        <v>5222</v>
      </c>
      <c r="J1906" s="3" t="str">
        <f>HYPERLINK("https://www.boe.es/gazeta/dias/1812/07/21/pdfs/GRE-1812-91.pdf#page=8","Abrir facsímil")</f>
        <v>Abrir facsímil</v>
      </c>
      <c r="K1906" s="3" t="s">
        <v>23</v>
      </c>
    </row>
    <row r="1907" spans="1:11" ht="42" customHeight="1">
      <c r="A1907" s="2" t="s">
        <v>5223</v>
      </c>
      <c r="B1907" s="2" t="s">
        <v>5224</v>
      </c>
      <c r="C1907" s="2" t="s">
        <v>26</v>
      </c>
      <c r="D1907" s="2" t="s">
        <v>27</v>
      </c>
      <c r="E1907" s="4">
        <v>-31938</v>
      </c>
      <c r="F1907" s="3" t="s">
        <v>324</v>
      </c>
      <c r="G1907" s="3" t="s">
        <v>497</v>
      </c>
      <c r="H1907" s="2" t="s">
        <v>21</v>
      </c>
      <c r="I1907" s="2" t="s">
        <v>5225</v>
      </c>
      <c r="J1907" s="3" t="str">
        <f>HYPERLINK("https://www.boe.es/gazeta/dias/1812/07/21/pdfs/GMD-1812-203.pdf#page=3","Abrir facsímil")</f>
        <v>Abrir facsímil</v>
      </c>
      <c r="K1907" s="3" t="s">
        <v>23</v>
      </c>
    </row>
    <row r="1908" spans="1:11" ht="42" customHeight="1">
      <c r="A1908" s="2" t="s">
        <v>5226</v>
      </c>
      <c r="B1908" s="2" t="s">
        <v>5227</v>
      </c>
      <c r="C1908" s="2" t="s">
        <v>26</v>
      </c>
      <c r="D1908" s="2" t="s">
        <v>27</v>
      </c>
      <c r="E1908" s="4">
        <v>-32088</v>
      </c>
      <c r="F1908" s="3" t="s">
        <v>250</v>
      </c>
      <c r="G1908" s="3" t="s">
        <v>5228</v>
      </c>
      <c r="H1908" s="2" t="s">
        <v>21</v>
      </c>
      <c r="I1908" s="2" t="s">
        <v>5229</v>
      </c>
      <c r="J1908" s="3" t="str">
        <f>HYPERLINK("https://www.boe.es/gazeta/dias/1812/02/22/pdfs/GRE-1812-23.pdf#page=4","Abrir facsímil")</f>
        <v>Abrir facsímil</v>
      </c>
      <c r="K1908" s="3" t="s">
        <v>23</v>
      </c>
    </row>
    <row r="1909" spans="1:11" ht="42" customHeight="1">
      <c r="A1909" s="2" t="s">
        <v>5230</v>
      </c>
      <c r="B1909" s="2" t="s">
        <v>5231</v>
      </c>
      <c r="C1909" s="2" t="s">
        <v>26</v>
      </c>
      <c r="D1909" s="2" t="s">
        <v>27</v>
      </c>
      <c r="E1909" s="4">
        <v>-32083</v>
      </c>
      <c r="F1909" s="3" t="s">
        <v>1496</v>
      </c>
      <c r="G1909" s="3" t="s">
        <v>2658</v>
      </c>
      <c r="H1909" s="2" t="s">
        <v>21</v>
      </c>
      <c r="I1909" s="2" t="s">
        <v>5232</v>
      </c>
      <c r="J1909" s="3" t="str">
        <f>HYPERLINK("https://www.boe.es/gazeta/dias/1812/02/27/pdfs/GRE-1812-26.pdf#page=7","Abrir facsímil")</f>
        <v>Abrir facsímil</v>
      </c>
      <c r="K1909" s="3" t="s">
        <v>23</v>
      </c>
    </row>
    <row r="1910" spans="1:11" ht="42" customHeight="1">
      <c r="A1910" s="2" t="s">
        <v>5233</v>
      </c>
      <c r="B1910" s="2" t="s">
        <v>5234</v>
      </c>
      <c r="C1910" s="2" t="s">
        <v>49</v>
      </c>
      <c r="D1910" s="2" t="s">
        <v>18</v>
      </c>
      <c r="E1910" s="4">
        <v>-31966</v>
      </c>
      <c r="F1910" s="3" t="s">
        <v>3665</v>
      </c>
      <c r="G1910" s="3" t="s">
        <v>3666</v>
      </c>
      <c r="H1910" s="2" t="s">
        <v>30</v>
      </c>
      <c r="I1910" s="2" t="s">
        <v>5235</v>
      </c>
      <c r="J1910" s="3" t="str">
        <f>HYPERLINK("https://www.boe.es/gazeta/dias/1812/06/23/pdfs/GRE-1812-77.pdf#page=8","Abrir facsímil")</f>
        <v>Abrir facsímil</v>
      </c>
      <c r="K1910" s="3" t="s">
        <v>32</v>
      </c>
    </row>
    <row r="1911" spans="1:11" ht="42" customHeight="1">
      <c r="A1911" s="2" t="s">
        <v>5236</v>
      </c>
      <c r="B1911" s="2" t="s">
        <v>5237</v>
      </c>
      <c r="C1911" s="2" t="s">
        <v>17</v>
      </c>
      <c r="D1911" s="2" t="s">
        <v>18</v>
      </c>
      <c r="E1911" s="4">
        <v>-31900</v>
      </c>
      <c r="F1911" s="3" t="s">
        <v>276</v>
      </c>
      <c r="G1911" s="3" t="s">
        <v>1650</v>
      </c>
      <c r="H1911" s="2" t="s">
        <v>21</v>
      </c>
      <c r="I1911" s="2" t="s">
        <v>5238</v>
      </c>
      <c r="J1911" s="3" t="str">
        <f>HYPERLINK("https://www.boe.es/gazeta/dias/1812/08/28/pdfs/GRE-1812-113E.pdf#page=5","Abrir facsímil")</f>
        <v>Abrir facsímil</v>
      </c>
      <c r="K1911" s="3" t="s">
        <v>23</v>
      </c>
    </row>
    <row r="1912" spans="1:11" ht="42" customHeight="1">
      <c r="A1912" s="2" t="s">
        <v>5239</v>
      </c>
      <c r="B1912" s="2" t="s">
        <v>5240</v>
      </c>
      <c r="C1912" s="2" t="s">
        <v>26</v>
      </c>
      <c r="D1912" s="2" t="s">
        <v>27</v>
      </c>
      <c r="E1912" s="4">
        <v>-32045</v>
      </c>
      <c r="F1912" s="3" t="s">
        <v>129</v>
      </c>
      <c r="G1912" s="3" t="s">
        <v>130</v>
      </c>
      <c r="H1912" s="2" t="s">
        <v>21</v>
      </c>
      <c r="I1912" s="2" t="s">
        <v>5241</v>
      </c>
      <c r="J1912" s="3" t="str">
        <f>HYPERLINK("https://www.boe.es/gazeta/dias/1812/04/05/pdfs/GMD-1812-96.pdf#page=4","Abrir facsímil")</f>
        <v>Abrir facsímil</v>
      </c>
      <c r="K1912" s="3" t="s">
        <v>23</v>
      </c>
    </row>
    <row r="1913" spans="1:11" ht="42" customHeight="1">
      <c r="A1913" s="2" t="s">
        <v>5242</v>
      </c>
      <c r="B1913" s="2" t="s">
        <v>5243</v>
      </c>
      <c r="C1913" s="2" t="s">
        <v>115</v>
      </c>
      <c r="D1913" s="2" t="s">
        <v>27</v>
      </c>
      <c r="E1913" s="4">
        <v>-32062</v>
      </c>
      <c r="F1913" s="3" t="s">
        <v>280</v>
      </c>
      <c r="G1913" s="3" t="s">
        <v>20</v>
      </c>
      <c r="H1913" s="2" t="s">
        <v>21</v>
      </c>
      <c r="I1913" s="2" t="s">
        <v>5244</v>
      </c>
      <c r="J1913" s="3" t="str">
        <f>HYPERLINK("https://www.boe.es/gazeta/dias/1812/03/19/pdfs/GMD-1812-79.pdf#page=4","Abrir facsímil")</f>
        <v>Abrir facsímil</v>
      </c>
      <c r="K1913" s="3" t="s">
        <v>23</v>
      </c>
    </row>
    <row r="1914" spans="1:11" ht="42" customHeight="1">
      <c r="A1914" s="2" t="s">
        <v>5245</v>
      </c>
      <c r="B1914" s="2" t="s">
        <v>5246</v>
      </c>
      <c r="C1914" s="2" t="s">
        <v>17</v>
      </c>
      <c r="D1914" s="2" t="s">
        <v>27</v>
      </c>
      <c r="E1914" s="4">
        <v>-32139</v>
      </c>
      <c r="F1914" s="3" t="s">
        <v>518</v>
      </c>
      <c r="G1914" s="3" t="s">
        <v>58</v>
      </c>
      <c r="H1914" s="2" t="s">
        <v>21</v>
      </c>
      <c r="I1914" s="2" t="s">
        <v>5247</v>
      </c>
      <c r="J1914" s="3" t="str">
        <f>HYPERLINK("https://www.boe.es/gazeta/dias/1812/01/02/pdfs/GEI-1812-1.pdf#page=6","Abrir facsímil")</f>
        <v>Abrir facsímil</v>
      </c>
      <c r="K1914" s="3" t="s">
        <v>23</v>
      </c>
    </row>
    <row r="1915" spans="1:11" ht="42" customHeight="1">
      <c r="A1915" s="2" t="s">
        <v>5248</v>
      </c>
      <c r="B1915" s="2" t="s">
        <v>5249</v>
      </c>
      <c r="C1915" s="2" t="s">
        <v>105</v>
      </c>
      <c r="D1915" s="2" t="s">
        <v>27</v>
      </c>
      <c r="E1915" s="4">
        <v>-31938</v>
      </c>
      <c r="F1915" s="3" t="s">
        <v>370</v>
      </c>
      <c r="G1915" s="3" t="s">
        <v>371</v>
      </c>
      <c r="H1915" s="2" t="s">
        <v>21</v>
      </c>
      <c r="I1915" s="2" t="s">
        <v>5250</v>
      </c>
      <c r="J1915" s="3" t="str">
        <f>HYPERLINK("https://www.boe.es/gazeta/dias/1812/07/21/pdfs/GRE-1812-91.pdf#page=8","Abrir facsímil")</f>
        <v>Abrir facsímil</v>
      </c>
      <c r="K1915" s="3" t="s">
        <v>23</v>
      </c>
    </row>
    <row r="1916" spans="1:11" ht="42" customHeight="1">
      <c r="A1916" s="2" t="s">
        <v>5251</v>
      </c>
      <c r="B1916" s="2" t="s">
        <v>5252</v>
      </c>
      <c r="C1916" s="2" t="s">
        <v>26</v>
      </c>
      <c r="D1916" s="2" t="s">
        <v>27</v>
      </c>
      <c r="E1916" s="4">
        <v>-32127</v>
      </c>
      <c r="F1916" s="3" t="s">
        <v>88</v>
      </c>
      <c r="G1916" s="3" t="s">
        <v>89</v>
      </c>
      <c r="H1916" s="2" t="s">
        <v>21</v>
      </c>
      <c r="I1916" s="2" t="s">
        <v>5253</v>
      </c>
      <c r="J1916" s="3" t="str">
        <f>HYPERLINK("https://www.boe.es/gazeta/dias/1812/01/14/pdfs/GEI-1812-6.pdf#page=8","Abrir facsímil")</f>
        <v>Abrir facsímil</v>
      </c>
      <c r="K1916" s="3" t="s">
        <v>23</v>
      </c>
    </row>
    <row r="1917" spans="1:11" ht="42" customHeight="1">
      <c r="A1917" s="2" t="s">
        <v>5254</v>
      </c>
      <c r="B1917" s="2" t="s">
        <v>5255</v>
      </c>
      <c r="C1917" s="2" t="s">
        <v>105</v>
      </c>
      <c r="D1917" s="2" t="s">
        <v>27</v>
      </c>
      <c r="E1917" s="4">
        <v>-32104</v>
      </c>
      <c r="F1917" s="3" t="s">
        <v>753</v>
      </c>
      <c r="G1917" s="3" t="s">
        <v>130</v>
      </c>
      <c r="H1917" s="2" t="s">
        <v>21</v>
      </c>
      <c r="I1917" s="2" t="s">
        <v>5256</v>
      </c>
      <c r="J1917" s="3" t="str">
        <f>HYPERLINK("https://www.boe.es/gazeta/dias/1812/02/06/pdfs/GMD-1812-37.pdf#page=4","Abrir facsímil")</f>
        <v>Abrir facsímil</v>
      </c>
      <c r="K1917" s="3" t="s">
        <v>23</v>
      </c>
    </row>
    <row r="1918" spans="1:11" ht="42" customHeight="1">
      <c r="A1918" s="2" t="s">
        <v>5257</v>
      </c>
      <c r="B1918" s="2" t="s">
        <v>5258</v>
      </c>
      <c r="C1918" s="2" t="s">
        <v>26</v>
      </c>
      <c r="D1918" s="2" t="s">
        <v>27</v>
      </c>
      <c r="E1918" s="4">
        <v>-31939</v>
      </c>
      <c r="F1918" s="3" t="s">
        <v>408</v>
      </c>
      <c r="G1918" s="3" t="s">
        <v>409</v>
      </c>
      <c r="H1918" s="2" t="s">
        <v>21</v>
      </c>
      <c r="I1918" s="2" t="s">
        <v>5259</v>
      </c>
      <c r="J1918" s="3" t="str">
        <f>HYPERLINK("https://www.boe.es/gazeta/dias/1812/07/20/pdfs/GMD-1812-202.pdf#page=3","Abrir facsímil")</f>
        <v>Abrir facsímil</v>
      </c>
      <c r="K1918" s="3" t="s">
        <v>23</v>
      </c>
    </row>
    <row r="1919" spans="1:11" ht="42" customHeight="1">
      <c r="A1919" s="2" t="s">
        <v>5260</v>
      </c>
      <c r="B1919" s="2" t="s">
        <v>5261</v>
      </c>
      <c r="C1919" s="2" t="s">
        <v>26</v>
      </c>
      <c r="D1919" s="2" t="s">
        <v>27</v>
      </c>
      <c r="E1919" s="4">
        <v>-32034</v>
      </c>
      <c r="F1919" s="3" t="s">
        <v>28</v>
      </c>
      <c r="G1919" s="3" t="s">
        <v>794</v>
      </c>
      <c r="H1919" s="2" t="s">
        <v>21</v>
      </c>
      <c r="I1919" s="2" t="s">
        <v>5262</v>
      </c>
      <c r="J1919" s="3" t="str">
        <f>HYPERLINK("https://www.boe.es/gazeta/dias/1812/04/16/pdfs/GMD-1812-107.pdf#page=7","Abrir facsímil")</f>
        <v>Abrir facsímil</v>
      </c>
      <c r="K1919" s="3" t="s">
        <v>23</v>
      </c>
    </row>
    <row r="1920" spans="1:11" ht="42" customHeight="1">
      <c r="A1920" s="2" t="s">
        <v>5263</v>
      </c>
      <c r="B1920" s="2" t="s">
        <v>5264</v>
      </c>
      <c r="C1920" s="2" t="s">
        <v>105</v>
      </c>
      <c r="D1920" s="2" t="s">
        <v>27</v>
      </c>
      <c r="E1920" s="4">
        <v>-32132</v>
      </c>
      <c r="F1920" s="3" t="s">
        <v>484</v>
      </c>
      <c r="G1920" s="3" t="s">
        <v>485</v>
      </c>
      <c r="H1920" s="2" t="s">
        <v>21</v>
      </c>
      <c r="I1920" s="2" t="s">
        <v>5265</v>
      </c>
      <c r="J1920" s="3" t="str">
        <f>HYPERLINK("https://www.boe.es/gazeta/dias/1812/01/09/pdfs/GEI-1812-4.pdf#page=8","Abrir facsímil")</f>
        <v>Abrir facsímil</v>
      </c>
      <c r="K1920" s="3" t="s">
        <v>23</v>
      </c>
    </row>
    <row r="1921" spans="1:11" ht="42" customHeight="1">
      <c r="A1921" s="2" t="s">
        <v>5266</v>
      </c>
      <c r="B1921" s="2" t="s">
        <v>5267</v>
      </c>
      <c r="C1921" s="2" t="s">
        <v>26</v>
      </c>
      <c r="D1921" s="2" t="s">
        <v>27</v>
      </c>
      <c r="E1921" s="4">
        <v>-32000</v>
      </c>
      <c r="F1921" s="3" t="s">
        <v>878</v>
      </c>
      <c r="G1921" s="3" t="s">
        <v>214</v>
      </c>
      <c r="H1921" s="2" t="s">
        <v>21</v>
      </c>
      <c r="I1921" s="2" t="s">
        <v>5268</v>
      </c>
      <c r="J1921" s="3" t="str">
        <f>HYPERLINK("https://www.boe.es/gazeta/dias/1812/05/20/pdfs/GMD-1812-141.pdf#page=2","Abrir facsímil")</f>
        <v>Abrir facsímil</v>
      </c>
      <c r="K1921" s="3" t="s">
        <v>23</v>
      </c>
    </row>
    <row r="1922" spans="1:11" ht="42" customHeight="1">
      <c r="A1922" s="2" t="s">
        <v>5269</v>
      </c>
      <c r="B1922" s="2" t="s">
        <v>5270</v>
      </c>
      <c r="C1922" s="2" t="s">
        <v>26</v>
      </c>
      <c r="D1922" s="2" t="s">
        <v>27</v>
      </c>
      <c r="E1922" s="4">
        <v>-32034</v>
      </c>
      <c r="F1922" s="3" t="s">
        <v>28</v>
      </c>
      <c r="G1922" s="3" t="s">
        <v>794</v>
      </c>
      <c r="H1922" s="2" t="s">
        <v>21</v>
      </c>
      <c r="I1922" s="2" t="s">
        <v>5271</v>
      </c>
      <c r="J1922" s="3" t="str">
        <f>HYPERLINK("https://www.boe.es/gazeta/dias/1812/04/16/pdfs/GMD-1812-107.pdf#page=7","Abrir facsímil")</f>
        <v>Abrir facsímil</v>
      </c>
      <c r="K1922" s="3" t="s">
        <v>23</v>
      </c>
    </row>
    <row r="1923" spans="1:11" ht="42" customHeight="1">
      <c r="A1923" s="2" t="s">
        <v>5272</v>
      </c>
      <c r="B1923" s="2" t="s">
        <v>5273</v>
      </c>
      <c r="C1923" s="2" t="s">
        <v>105</v>
      </c>
      <c r="D1923" s="2" t="s">
        <v>27</v>
      </c>
      <c r="E1923" s="4">
        <v>-31962</v>
      </c>
      <c r="F1923" s="3" t="s">
        <v>643</v>
      </c>
      <c r="G1923" s="3" t="s">
        <v>644</v>
      </c>
      <c r="H1923" s="2" t="s">
        <v>21</v>
      </c>
      <c r="I1923" s="2" t="s">
        <v>5274</v>
      </c>
      <c r="J1923" s="3" t="str">
        <f>HYPERLINK("https://www.boe.es/gazeta/dias/1812/06/27/pdfs/GMD-1812-179.pdf#page=2","Abrir facsímil")</f>
        <v>Abrir facsímil</v>
      </c>
      <c r="K1923" s="3" t="s">
        <v>23</v>
      </c>
    </row>
    <row r="1924" spans="1:11" ht="42" customHeight="1">
      <c r="A1924" s="2" t="s">
        <v>5275</v>
      </c>
      <c r="B1924" s="2" t="s">
        <v>5276</v>
      </c>
      <c r="C1924" s="2" t="s">
        <v>26</v>
      </c>
      <c r="D1924" s="2" t="s">
        <v>27</v>
      </c>
      <c r="E1924" s="4">
        <v>-31922</v>
      </c>
      <c r="F1924" s="3" t="s">
        <v>622</v>
      </c>
      <c r="G1924" s="3" t="s">
        <v>623</v>
      </c>
      <c r="H1924" s="2" t="s">
        <v>21</v>
      </c>
      <c r="I1924" s="2" t="s">
        <v>5277</v>
      </c>
      <c r="J1924" s="3" t="str">
        <f>HYPERLINK("https://www.boe.es/gazeta/dias/1812/08/06/pdfs/GMD-1812-219.pdf#page=1","Abrir facsímil")</f>
        <v>Abrir facsímil</v>
      </c>
      <c r="K1924" s="3" t="s">
        <v>23</v>
      </c>
    </row>
    <row r="1925" spans="1:11" ht="42" customHeight="1">
      <c r="A1925" s="2" t="s">
        <v>5278</v>
      </c>
      <c r="B1925" s="2" t="s">
        <v>5279</v>
      </c>
      <c r="C1925" s="2" t="s">
        <v>17</v>
      </c>
      <c r="D1925" s="2" t="s">
        <v>18</v>
      </c>
      <c r="E1925" s="4">
        <v>-31812</v>
      </c>
      <c r="F1925" s="3" t="s">
        <v>1533</v>
      </c>
      <c r="G1925" s="3" t="s">
        <v>4188</v>
      </c>
      <c r="H1925" s="2" t="s">
        <v>21</v>
      </c>
      <c r="I1925" s="2" t="s">
        <v>5280</v>
      </c>
      <c r="J1925" s="3" t="str">
        <f>HYPERLINK("https://www.boe.es/gazeta/dias/1812/11/24/pdfs/GMR-1812-37.pdf#page=3","Abrir facsímil")</f>
        <v>Abrir facsímil</v>
      </c>
      <c r="K1925" s="3" t="s">
        <v>23</v>
      </c>
    </row>
    <row r="1926" spans="1:11" ht="42" customHeight="1">
      <c r="A1926" s="2" t="s">
        <v>5281</v>
      </c>
      <c r="B1926" s="2" t="s">
        <v>5282</v>
      </c>
      <c r="C1926" s="2" t="s">
        <v>17</v>
      </c>
      <c r="D1926" s="2" t="s">
        <v>27</v>
      </c>
      <c r="E1926" s="4">
        <v>-31951</v>
      </c>
      <c r="F1926" s="3" t="s">
        <v>1603</v>
      </c>
      <c r="G1926" s="3" t="s">
        <v>214</v>
      </c>
      <c r="H1926" s="2" t="s">
        <v>21</v>
      </c>
      <c r="I1926" s="2" t="s">
        <v>5283</v>
      </c>
      <c r="J1926" s="3" t="str">
        <f>HYPERLINK("https://www.boe.es/gazeta/dias/1812/07/08/pdfs/GMD-1812-190.pdf#page=4","Abrir facsímil")</f>
        <v>Abrir facsímil</v>
      </c>
      <c r="K1926" s="3" t="s">
        <v>23</v>
      </c>
    </row>
    <row r="1927" spans="1:11" ht="42" customHeight="1">
      <c r="A1927" s="2" t="s">
        <v>5284</v>
      </c>
      <c r="B1927" s="2" t="s">
        <v>5285</v>
      </c>
      <c r="C1927" s="2" t="s">
        <v>26</v>
      </c>
      <c r="D1927" s="2" t="s">
        <v>27</v>
      </c>
      <c r="E1927" s="4">
        <v>-31980</v>
      </c>
      <c r="F1927" s="3" t="s">
        <v>40</v>
      </c>
      <c r="G1927" s="3" t="s">
        <v>41</v>
      </c>
      <c r="H1927" s="2" t="s">
        <v>21</v>
      </c>
      <c r="I1927" s="2" t="s">
        <v>5286</v>
      </c>
      <c r="J1927" s="3" t="str">
        <f>HYPERLINK("https://www.boe.es/gazeta/dias/1812/06/09/pdfs/GRE-1812-71.pdf#page=6","Abrir facsímil")</f>
        <v>Abrir facsímil</v>
      </c>
      <c r="K1927" s="3" t="s">
        <v>23</v>
      </c>
    </row>
    <row r="1928" spans="1:11" ht="42" customHeight="1">
      <c r="A1928" s="2" t="s">
        <v>5287</v>
      </c>
      <c r="B1928" s="2" t="s">
        <v>5288</v>
      </c>
      <c r="C1928" s="2" t="s">
        <v>26</v>
      </c>
      <c r="D1928" s="2" t="s">
        <v>27</v>
      </c>
      <c r="E1928" s="4">
        <v>-31964</v>
      </c>
      <c r="F1928" s="3" t="s">
        <v>305</v>
      </c>
      <c r="G1928" s="3" t="s">
        <v>306</v>
      </c>
      <c r="H1928" s="2" t="s">
        <v>21</v>
      </c>
      <c r="I1928" s="2" t="s">
        <v>5289</v>
      </c>
      <c r="J1928" s="3" t="str">
        <f>HYPERLINK("https://www.boe.es/gazeta/dias/1812/06/25/pdfs/GMD-1812-177.pdf#page=3","Abrir facsímil")</f>
        <v>Abrir facsímil</v>
      </c>
      <c r="K1928" s="3" t="s">
        <v>23</v>
      </c>
    </row>
    <row r="1929" spans="1:11" ht="42" customHeight="1">
      <c r="A1929" s="2" t="s">
        <v>5290</v>
      </c>
      <c r="B1929" s="2" t="s">
        <v>5291</v>
      </c>
      <c r="C1929" s="2" t="s">
        <v>549</v>
      </c>
      <c r="D1929" s="2" t="s">
        <v>27</v>
      </c>
      <c r="E1929" s="4">
        <v>-32060</v>
      </c>
      <c r="F1929" s="3" t="s">
        <v>1403</v>
      </c>
      <c r="G1929" s="3" t="s">
        <v>217</v>
      </c>
      <c r="H1929" s="2" t="s">
        <v>21</v>
      </c>
      <c r="I1929" s="2" t="s">
        <v>5292</v>
      </c>
      <c r="J1929" s="3" t="str">
        <f>HYPERLINK("https://www.boe.es/gazeta/dias/1812/03/21/pdfs/GRE-1812-36.pdf#page=8","Abrir facsímil")</f>
        <v>Abrir facsímil</v>
      </c>
      <c r="K1929" s="3" t="s">
        <v>23</v>
      </c>
    </row>
    <row r="1930" spans="1:11" ht="42" customHeight="1">
      <c r="A1930" s="2" t="s">
        <v>5293</v>
      </c>
      <c r="B1930" s="2" t="s">
        <v>5294</v>
      </c>
      <c r="C1930" s="2" t="s">
        <v>186</v>
      </c>
      <c r="D1930" s="2" t="s">
        <v>194</v>
      </c>
      <c r="E1930" s="4">
        <v>-32044</v>
      </c>
      <c r="F1930" s="3" t="s">
        <v>1031</v>
      </c>
      <c r="G1930" s="3" t="s">
        <v>1873</v>
      </c>
      <c r="H1930" s="2" t="s">
        <v>21</v>
      </c>
      <c r="I1930" s="2" t="s">
        <v>5295</v>
      </c>
      <c r="J1930" s="3" t="str">
        <f>HYPERLINK("https://www.boe.es/gazeta/dias/1812/04/06/pdfs/GMD-1812-97.pdf#page=4","Abrir facsímil")</f>
        <v>Abrir facsímil</v>
      </c>
      <c r="K1930" s="3" t="s">
        <v>23</v>
      </c>
    </row>
    <row r="1931" spans="1:11" ht="42" customHeight="1">
      <c r="A1931" s="2" t="s">
        <v>5296</v>
      </c>
      <c r="B1931" s="2" t="s">
        <v>5297</v>
      </c>
      <c r="C1931" s="2" t="s">
        <v>26</v>
      </c>
      <c r="D1931" s="2" t="s">
        <v>27</v>
      </c>
      <c r="E1931" s="4">
        <v>-32093</v>
      </c>
      <c r="F1931" s="3" t="s">
        <v>4503</v>
      </c>
      <c r="G1931" s="3" t="s">
        <v>5298</v>
      </c>
      <c r="H1931" s="2" t="s">
        <v>21</v>
      </c>
      <c r="I1931" s="2" t="s">
        <v>5299</v>
      </c>
      <c r="J1931" s="3" t="str">
        <f>HYPERLINK("https://www.boe.es/gazeta/dias/1812/02/17/pdfs/GMD-1812-48.pdf#page=4","Abrir facsímil")</f>
        <v>Abrir facsímil</v>
      </c>
      <c r="K1931" s="3" t="s">
        <v>23</v>
      </c>
    </row>
    <row r="1932" spans="1:11" ht="42" customHeight="1">
      <c r="A1932" s="2" t="s">
        <v>5300</v>
      </c>
      <c r="B1932" s="2" t="s">
        <v>5301</v>
      </c>
      <c r="C1932" s="2" t="s">
        <v>26</v>
      </c>
      <c r="D1932" s="2" t="s">
        <v>27</v>
      </c>
      <c r="E1932" s="4">
        <v>-32044</v>
      </c>
      <c r="F1932" s="3" t="s">
        <v>1031</v>
      </c>
      <c r="G1932" s="3" t="s">
        <v>20</v>
      </c>
      <c r="H1932" s="2" t="s">
        <v>21</v>
      </c>
      <c r="I1932" s="2" t="s">
        <v>5302</v>
      </c>
      <c r="J1932" s="3" t="str">
        <f>HYPERLINK("https://www.boe.es/gazeta/dias/1812/04/06/pdfs/GMD-1812-97.pdf#page=3","Abrir facsímil")</f>
        <v>Abrir facsímil</v>
      </c>
      <c r="K1932" s="3" t="s">
        <v>23</v>
      </c>
    </row>
    <row r="1933" spans="1:11" ht="42" customHeight="1">
      <c r="A1933" s="2" t="s">
        <v>5303</v>
      </c>
      <c r="B1933" s="2" t="s">
        <v>5304</v>
      </c>
      <c r="C1933" s="2" t="s">
        <v>82</v>
      </c>
      <c r="D1933" s="2" t="s">
        <v>27</v>
      </c>
      <c r="E1933" s="4">
        <v>-32004</v>
      </c>
      <c r="F1933" s="3" t="s">
        <v>5305</v>
      </c>
      <c r="G1933" s="3" t="s">
        <v>140</v>
      </c>
      <c r="H1933" s="2" t="s">
        <v>21</v>
      </c>
      <c r="I1933" s="2" t="s">
        <v>5306</v>
      </c>
      <c r="J1933" s="3" t="str">
        <f>HYPERLINK("https://www.boe.es/gazeta/dias/1812/05/16/pdfs/GMD-1812-137.pdf#page=2","Abrir facsímil")</f>
        <v>Abrir facsímil</v>
      </c>
      <c r="K1933" s="3" t="s">
        <v>23</v>
      </c>
    </row>
    <row r="1934" spans="1:11" ht="42" customHeight="1">
      <c r="A1934" s="2" t="s">
        <v>5307</v>
      </c>
      <c r="B1934" s="2" t="s">
        <v>5308</v>
      </c>
      <c r="C1934" s="2" t="s">
        <v>26</v>
      </c>
      <c r="D1934" s="2" t="s">
        <v>27</v>
      </c>
      <c r="E1934" s="4">
        <v>-31965</v>
      </c>
      <c r="F1934" s="3" t="s">
        <v>1180</v>
      </c>
      <c r="G1934" s="3" t="s">
        <v>777</v>
      </c>
      <c r="H1934" s="2" t="s">
        <v>21</v>
      </c>
      <c r="I1934" s="2" t="s">
        <v>5309</v>
      </c>
      <c r="J1934" s="3" t="str">
        <f>HYPERLINK("https://www.boe.es/gazeta/dias/1812/06/24/pdfs/GMD-1812-176.pdf#page=2","Abrir facsímil")</f>
        <v>Abrir facsímil</v>
      </c>
      <c r="K1934" s="3" t="s">
        <v>23</v>
      </c>
    </row>
    <row r="1935" spans="1:11" ht="42" customHeight="1">
      <c r="A1935" s="2" t="s">
        <v>5310</v>
      </c>
      <c r="B1935" s="2" t="s">
        <v>5311</v>
      </c>
      <c r="C1935" s="2" t="s">
        <v>115</v>
      </c>
      <c r="D1935" s="2" t="s">
        <v>27</v>
      </c>
      <c r="E1935" s="4">
        <v>-31973</v>
      </c>
      <c r="F1935" s="3" t="s">
        <v>1735</v>
      </c>
      <c r="G1935" s="3" t="s">
        <v>125</v>
      </c>
      <c r="H1935" s="2" t="s">
        <v>21</v>
      </c>
      <c r="I1935" s="2" t="s">
        <v>5312</v>
      </c>
      <c r="J1935" s="3" t="str">
        <f>HYPERLINK("https://www.boe.es/gazeta/dias/1812/06/16/pdfs/GRE-1812-74.pdf#page=4","Abrir facsímil")</f>
        <v>Abrir facsímil</v>
      </c>
      <c r="K1935" s="3" t="s">
        <v>23</v>
      </c>
    </row>
    <row r="1936" spans="1:11" ht="42" customHeight="1">
      <c r="A1936" s="2" t="s">
        <v>5313</v>
      </c>
      <c r="B1936" s="2" t="s">
        <v>5314</v>
      </c>
      <c r="C1936" s="2" t="s">
        <v>26</v>
      </c>
      <c r="D1936" s="2" t="s">
        <v>275</v>
      </c>
      <c r="E1936" s="4">
        <v>-31906</v>
      </c>
      <c r="F1936" s="3" t="s">
        <v>1815</v>
      </c>
      <c r="G1936" s="3" t="s">
        <v>233</v>
      </c>
      <c r="H1936" s="2" t="s">
        <v>21</v>
      </c>
      <c r="I1936" s="2" t="s">
        <v>5315</v>
      </c>
      <c r="J1936" s="3" t="str">
        <f>HYPERLINK("https://www.boe.es/gazeta/dias/1812/08/22/pdfs/GMR-1812-3.pdf#page=8","Abrir facsímil")</f>
        <v>Abrir facsímil</v>
      </c>
      <c r="K1936" s="3" t="s">
        <v>23</v>
      </c>
    </row>
    <row r="1937" spans="1:11" ht="42" customHeight="1">
      <c r="A1937" s="2" t="s">
        <v>5316</v>
      </c>
      <c r="B1937" s="2" t="s">
        <v>5317</v>
      </c>
      <c r="C1937" s="2" t="s">
        <v>26</v>
      </c>
      <c r="D1937" s="2" t="s">
        <v>27</v>
      </c>
      <c r="E1937" s="4">
        <v>-32011</v>
      </c>
      <c r="F1937" s="3" t="s">
        <v>1656</v>
      </c>
      <c r="G1937" s="3" t="s">
        <v>777</v>
      </c>
      <c r="H1937" s="2" t="s">
        <v>21</v>
      </c>
      <c r="I1937" s="2" t="s">
        <v>5318</v>
      </c>
      <c r="J1937" s="3" t="str">
        <f>HYPERLINK("https://www.boe.es/gazeta/dias/1812/05/09/pdfs/GMD-1812-130.pdf#page=2","Abrir facsímil")</f>
        <v>Abrir facsímil</v>
      </c>
      <c r="K1937" s="3" t="s">
        <v>23</v>
      </c>
    </row>
    <row r="1938" spans="1:11" ht="42" customHeight="1">
      <c r="A1938" s="2" t="s">
        <v>5319</v>
      </c>
      <c r="B1938" s="2" t="s">
        <v>5320</v>
      </c>
      <c r="C1938" s="2" t="s">
        <v>26</v>
      </c>
      <c r="D1938" s="2" t="s">
        <v>27</v>
      </c>
      <c r="E1938" s="4">
        <v>-31940</v>
      </c>
      <c r="F1938" s="3" t="s">
        <v>187</v>
      </c>
      <c r="G1938" s="3" t="s">
        <v>404</v>
      </c>
      <c r="H1938" s="2" t="s">
        <v>21</v>
      </c>
      <c r="I1938" s="2" t="s">
        <v>5321</v>
      </c>
      <c r="J1938" s="3" t="str">
        <f>HYPERLINK("https://www.boe.es/gazeta/dias/1812/07/19/pdfs/GMD-1812-201.pdf#page=3","Abrir facsímil")</f>
        <v>Abrir facsímil</v>
      </c>
      <c r="K1938" s="3" t="s">
        <v>23</v>
      </c>
    </row>
    <row r="1939" spans="1:11" ht="42" customHeight="1">
      <c r="A1939" s="2" t="s">
        <v>5322</v>
      </c>
      <c r="B1939" s="2" t="s">
        <v>5323</v>
      </c>
      <c r="C1939" s="2" t="s">
        <v>26</v>
      </c>
      <c r="D1939" s="2" t="s">
        <v>27</v>
      </c>
      <c r="E1939" s="4">
        <v>-32062</v>
      </c>
      <c r="F1939" s="3" t="s">
        <v>280</v>
      </c>
      <c r="G1939" s="3" t="s">
        <v>20</v>
      </c>
      <c r="H1939" s="2" t="s">
        <v>21</v>
      </c>
      <c r="I1939" s="2" t="s">
        <v>5324</v>
      </c>
      <c r="J1939" s="3" t="str">
        <f>HYPERLINK("https://www.boe.es/gazeta/dias/1812/03/19/pdfs/GMD-1812-79.pdf#page=4","Abrir facsímil")</f>
        <v>Abrir facsímil</v>
      </c>
      <c r="K1939" s="3" t="s">
        <v>23</v>
      </c>
    </row>
    <row r="1940" spans="1:11" ht="42" customHeight="1">
      <c r="A1940" s="2" t="s">
        <v>5325</v>
      </c>
      <c r="B1940" s="2" t="s">
        <v>5326</v>
      </c>
      <c r="C1940" s="2" t="s">
        <v>26</v>
      </c>
      <c r="D1940" s="2" t="s">
        <v>27</v>
      </c>
      <c r="E1940" s="4">
        <v>-31922</v>
      </c>
      <c r="F1940" s="3" t="s">
        <v>375</v>
      </c>
      <c r="G1940" s="3" t="s">
        <v>5327</v>
      </c>
      <c r="H1940" s="2" t="s">
        <v>21</v>
      </c>
      <c r="I1940" s="2" t="s">
        <v>5328</v>
      </c>
      <c r="J1940" s="3" t="str">
        <f>HYPERLINK("https://www.boe.es/gazeta/dias/1812/08/06/pdfs/GRE-1812-100.pdf#page=3","Abrir facsímil")</f>
        <v>Abrir facsímil</v>
      </c>
      <c r="K1940" s="3" t="s">
        <v>23</v>
      </c>
    </row>
    <row r="1941" spans="1:11" ht="42" customHeight="1">
      <c r="A1941" s="2" t="s">
        <v>5329</v>
      </c>
      <c r="B1941" s="2" t="s">
        <v>5330</v>
      </c>
      <c r="C1941" s="2" t="s">
        <v>26</v>
      </c>
      <c r="D1941" s="2" t="s">
        <v>27</v>
      </c>
      <c r="E1941" s="4">
        <v>-32000</v>
      </c>
      <c r="F1941" s="3" t="s">
        <v>878</v>
      </c>
      <c r="G1941" s="3" t="s">
        <v>214</v>
      </c>
      <c r="H1941" s="2" t="s">
        <v>21</v>
      </c>
      <c r="I1941" s="2" t="s">
        <v>5331</v>
      </c>
      <c r="J1941" s="3" t="str">
        <f>HYPERLINK("https://www.boe.es/gazeta/dias/1812/05/20/pdfs/GMD-1812-141.pdf#page=2","Abrir facsímil")</f>
        <v>Abrir facsímil</v>
      </c>
      <c r="K1941" s="3" t="s">
        <v>23</v>
      </c>
    </row>
    <row r="1942" spans="1:11" ht="42" customHeight="1">
      <c r="A1942" s="2" t="s">
        <v>5332</v>
      </c>
      <c r="B1942" s="2" t="s">
        <v>5333</v>
      </c>
      <c r="C1942" s="2" t="s">
        <v>26</v>
      </c>
      <c r="D1942" s="2" t="s">
        <v>27</v>
      </c>
      <c r="E1942" s="4">
        <v>-32137</v>
      </c>
      <c r="F1942" s="3" t="s">
        <v>355</v>
      </c>
      <c r="G1942" s="3" t="s">
        <v>117</v>
      </c>
      <c r="H1942" s="2" t="s">
        <v>21</v>
      </c>
      <c r="I1942" s="2" t="s">
        <v>5334</v>
      </c>
      <c r="J1942" s="3" t="str">
        <f>HYPERLINK("https://www.boe.es/gazeta/dias/1812/01/04/pdfs/GEI-1812-2.pdf#page=8","Abrir facsímil")</f>
        <v>Abrir facsímil</v>
      </c>
      <c r="K1942" s="3" t="s">
        <v>23</v>
      </c>
    </row>
    <row r="1943" spans="1:11" ht="42" customHeight="1">
      <c r="A1943" s="2" t="s">
        <v>5335</v>
      </c>
      <c r="B1943" s="2" t="s">
        <v>5336</v>
      </c>
      <c r="C1943" s="2" t="s">
        <v>186</v>
      </c>
      <c r="D1943" s="2" t="s">
        <v>27</v>
      </c>
      <c r="E1943" s="4">
        <v>-31964</v>
      </c>
      <c r="F1943" s="3" t="s">
        <v>305</v>
      </c>
      <c r="G1943" s="3" t="s">
        <v>306</v>
      </c>
      <c r="H1943" s="2" t="s">
        <v>21</v>
      </c>
      <c r="I1943" s="2" t="s">
        <v>5337</v>
      </c>
      <c r="J1943" s="3" t="str">
        <f>HYPERLINK("https://www.boe.es/gazeta/dias/1812/06/25/pdfs/GMD-1812-177.pdf#page=3","Abrir facsímil")</f>
        <v>Abrir facsímil</v>
      </c>
      <c r="K1943" s="3" t="s">
        <v>23</v>
      </c>
    </row>
    <row r="1944" spans="1:11" ht="42" customHeight="1">
      <c r="A1944" s="2" t="s">
        <v>5338</v>
      </c>
      <c r="B1944" s="2" t="s">
        <v>5339</v>
      </c>
      <c r="C1944" s="2" t="s">
        <v>26</v>
      </c>
      <c r="D1944" s="2" t="s">
        <v>27</v>
      </c>
      <c r="E1944" s="4">
        <v>-32074</v>
      </c>
      <c r="F1944" s="3" t="s">
        <v>816</v>
      </c>
      <c r="G1944" s="3" t="s">
        <v>777</v>
      </c>
      <c r="H1944" s="2" t="s">
        <v>21</v>
      </c>
      <c r="I1944" s="2" t="s">
        <v>5340</v>
      </c>
      <c r="J1944" s="3" t="str">
        <f>HYPERLINK("https://www.boe.es/gazeta/dias/1812/03/07/pdfs/GRE-1812-30.pdf#page=8","Abrir facsímil")</f>
        <v>Abrir facsímil</v>
      </c>
      <c r="K1944" s="3" t="s">
        <v>23</v>
      </c>
    </row>
    <row r="1945" spans="1:11" ht="42" customHeight="1">
      <c r="A1945" s="2" t="s">
        <v>5341</v>
      </c>
      <c r="B1945" s="2" t="s">
        <v>5342</v>
      </c>
      <c r="C1945" s="2" t="s">
        <v>26</v>
      </c>
      <c r="D1945" s="2" t="s">
        <v>27</v>
      </c>
      <c r="E1945" s="4">
        <v>-31994</v>
      </c>
      <c r="F1945" s="3" t="s">
        <v>207</v>
      </c>
      <c r="G1945" s="3" t="s">
        <v>1176</v>
      </c>
      <c r="H1945" s="2" t="s">
        <v>21</v>
      </c>
      <c r="I1945" s="2" t="s">
        <v>5343</v>
      </c>
      <c r="J1945" s="3" t="str">
        <f>HYPERLINK("https://www.boe.es/gazeta/dias/1812/05/26/pdfs/GRE-1812-65.pdf#page=8","Abrir facsímil")</f>
        <v>Abrir facsímil</v>
      </c>
      <c r="K1945" s="3" t="s">
        <v>23</v>
      </c>
    </row>
    <row r="1946" spans="1:11" ht="42" customHeight="1">
      <c r="A1946" s="2" t="s">
        <v>5344</v>
      </c>
      <c r="B1946" s="2" t="s">
        <v>5345</v>
      </c>
      <c r="C1946" s="2" t="s">
        <v>26</v>
      </c>
      <c r="D1946" s="2" t="s">
        <v>27</v>
      </c>
      <c r="E1946" s="4">
        <v>-31964</v>
      </c>
      <c r="F1946" s="3" t="s">
        <v>305</v>
      </c>
      <c r="G1946" s="3" t="s">
        <v>306</v>
      </c>
      <c r="H1946" s="2" t="s">
        <v>21</v>
      </c>
      <c r="I1946" s="2" t="s">
        <v>5346</v>
      </c>
      <c r="J1946" s="3" t="str">
        <f>HYPERLINK("https://www.boe.es/gazeta/dias/1812/06/25/pdfs/GMD-1812-177.pdf#page=3","Abrir facsímil")</f>
        <v>Abrir facsímil</v>
      </c>
      <c r="K1946" s="3" t="s">
        <v>23</v>
      </c>
    </row>
    <row r="1947" spans="1:11" ht="42" customHeight="1">
      <c r="A1947" s="2" t="s">
        <v>5347</v>
      </c>
      <c r="B1947" s="2" t="s">
        <v>5348</v>
      </c>
      <c r="C1947" s="2" t="s">
        <v>26</v>
      </c>
      <c r="D1947" s="2" t="s">
        <v>27</v>
      </c>
      <c r="E1947" s="4">
        <v>-31964</v>
      </c>
      <c r="F1947" s="3" t="s">
        <v>305</v>
      </c>
      <c r="G1947" s="3" t="s">
        <v>306</v>
      </c>
      <c r="H1947" s="2" t="s">
        <v>21</v>
      </c>
      <c r="I1947" s="2" t="s">
        <v>5349</v>
      </c>
      <c r="J1947" s="3" t="str">
        <f>HYPERLINK("https://www.boe.es/gazeta/dias/1812/06/25/pdfs/GMD-1812-177.pdf#page=3","Abrir facsímil")</f>
        <v>Abrir facsímil</v>
      </c>
      <c r="K1947" s="3" t="s">
        <v>23</v>
      </c>
    </row>
    <row r="1948" spans="1:11" ht="42" customHeight="1">
      <c r="A1948" s="2" t="s">
        <v>5350</v>
      </c>
      <c r="B1948" s="2" t="s">
        <v>5351</v>
      </c>
      <c r="C1948" s="2" t="s">
        <v>26</v>
      </c>
      <c r="D1948" s="2" t="s">
        <v>27</v>
      </c>
      <c r="E1948" s="4">
        <v>-31938</v>
      </c>
      <c r="F1948" s="3" t="s">
        <v>324</v>
      </c>
      <c r="G1948" s="3" t="s">
        <v>497</v>
      </c>
      <c r="H1948" s="2" t="s">
        <v>21</v>
      </c>
      <c r="I1948" s="2" t="s">
        <v>5352</v>
      </c>
      <c r="J1948" s="3" t="str">
        <f>HYPERLINK("https://www.boe.es/gazeta/dias/1812/07/21/pdfs/GMD-1812-203.pdf#page=3","Abrir facsímil")</f>
        <v>Abrir facsímil</v>
      </c>
      <c r="K1948" s="3" t="s">
        <v>23</v>
      </c>
    </row>
    <row r="1949" spans="1:11" ht="42" customHeight="1">
      <c r="A1949" s="2" t="s">
        <v>5353</v>
      </c>
      <c r="B1949" s="2" t="s">
        <v>5354</v>
      </c>
      <c r="C1949" s="2" t="s">
        <v>26</v>
      </c>
      <c r="D1949" s="2" t="s">
        <v>27</v>
      </c>
      <c r="E1949" s="4">
        <v>-32127</v>
      </c>
      <c r="F1949" s="3" t="s">
        <v>88</v>
      </c>
      <c r="G1949" s="3" t="s">
        <v>89</v>
      </c>
      <c r="H1949" s="2" t="s">
        <v>21</v>
      </c>
      <c r="I1949" s="2" t="s">
        <v>5355</v>
      </c>
      <c r="J1949" s="3" t="str">
        <f>HYPERLINK("https://www.boe.es/gazeta/dias/1812/01/14/pdfs/GEI-1812-6.pdf#page=8","Abrir facsímil")</f>
        <v>Abrir facsímil</v>
      </c>
      <c r="K1949" s="3" t="s">
        <v>23</v>
      </c>
    </row>
    <row r="1950" spans="1:11" ht="42" customHeight="1">
      <c r="A1950" s="2" t="s">
        <v>5356</v>
      </c>
      <c r="B1950" s="2" t="s">
        <v>5357</v>
      </c>
      <c r="C1950" s="2" t="s">
        <v>26</v>
      </c>
      <c r="D1950" s="2" t="s">
        <v>27</v>
      </c>
      <c r="E1950" s="4">
        <v>-31938</v>
      </c>
      <c r="F1950" s="3" t="s">
        <v>324</v>
      </c>
      <c r="G1950" s="3" t="s">
        <v>497</v>
      </c>
      <c r="H1950" s="2" t="s">
        <v>21</v>
      </c>
      <c r="I1950" s="2" t="s">
        <v>5358</v>
      </c>
      <c r="J1950" s="3" t="str">
        <f>HYPERLINK("https://www.boe.es/gazeta/dias/1812/07/21/pdfs/GMD-1812-203.pdf#page=3","Abrir facsímil")</f>
        <v>Abrir facsímil</v>
      </c>
      <c r="K1950" s="3" t="s">
        <v>23</v>
      </c>
    </row>
    <row r="1951" spans="1:11" ht="42" customHeight="1">
      <c r="A1951" s="2" t="s">
        <v>5359</v>
      </c>
      <c r="B1951" s="2" t="s">
        <v>5360</v>
      </c>
      <c r="C1951" s="2" t="s">
        <v>17</v>
      </c>
      <c r="D1951" s="2" t="s">
        <v>18</v>
      </c>
      <c r="E1951" s="4">
        <v>-31822</v>
      </c>
      <c r="F1951" s="3" t="s">
        <v>541</v>
      </c>
      <c r="G1951" s="3" t="s">
        <v>1459</v>
      </c>
      <c r="H1951" s="2" t="s">
        <v>21</v>
      </c>
      <c r="I1951" s="2" t="s">
        <v>5361</v>
      </c>
      <c r="J1951" s="3" t="str">
        <f>HYPERLINK("https://www.boe.es/gazeta/dias/1812/11/14/pdfs/GRE-1812-152.pdf#page=8","Abrir facsímil")</f>
        <v>Abrir facsímil</v>
      </c>
      <c r="K1951" s="3" t="s">
        <v>23</v>
      </c>
    </row>
    <row r="1952" spans="1:11" ht="42" customHeight="1">
      <c r="A1952" s="2" t="s">
        <v>5362</v>
      </c>
      <c r="B1952" s="2" t="s">
        <v>5363</v>
      </c>
      <c r="C1952" s="2" t="s">
        <v>17</v>
      </c>
      <c r="D1952" s="2" t="s">
        <v>27</v>
      </c>
      <c r="E1952" s="4">
        <v>-32069</v>
      </c>
      <c r="F1952" s="3" t="s">
        <v>445</v>
      </c>
      <c r="G1952" s="3" t="s">
        <v>446</v>
      </c>
      <c r="H1952" s="2" t="s">
        <v>21</v>
      </c>
      <c r="I1952" s="2" t="s">
        <v>5364</v>
      </c>
      <c r="J1952" s="3" t="str">
        <f>HYPERLINK("https://www.boe.es/gazeta/dias/1812/03/12/pdfs/GRE-1812-32.pdf#page=8","Abrir facsímil")</f>
        <v>Abrir facsímil</v>
      </c>
      <c r="K1952" s="3" t="s">
        <v>23</v>
      </c>
    </row>
    <row r="1953" spans="1:11" ht="42" customHeight="1">
      <c r="A1953" s="2" t="s">
        <v>5365</v>
      </c>
      <c r="B1953" s="2" t="s">
        <v>5366</v>
      </c>
      <c r="C1953" s="2" t="s">
        <v>26</v>
      </c>
      <c r="D1953" s="2" t="s">
        <v>27</v>
      </c>
      <c r="E1953" s="4">
        <v>-31901</v>
      </c>
      <c r="F1953" s="3" t="s">
        <v>590</v>
      </c>
      <c r="G1953" s="3" t="s">
        <v>742</v>
      </c>
      <c r="H1953" s="2" t="s">
        <v>21</v>
      </c>
      <c r="I1953" s="2" t="s">
        <v>5367</v>
      </c>
      <c r="J1953" s="3" t="str">
        <f>HYPERLINK("https://www.boe.es/gazeta/dias/1812/08/27/pdfs/GMR-1812-6.pdf#page=5","Abrir facsímil")</f>
        <v>Abrir facsímil</v>
      </c>
      <c r="K1953" s="3" t="s">
        <v>23</v>
      </c>
    </row>
    <row r="1954" spans="1:11" ht="42" customHeight="1">
      <c r="A1954" s="2" t="s">
        <v>5368</v>
      </c>
      <c r="B1954" s="2" t="s">
        <v>5369</v>
      </c>
      <c r="C1954" s="2" t="s">
        <v>17</v>
      </c>
      <c r="D1954" s="2" t="s">
        <v>18</v>
      </c>
      <c r="E1954" s="4">
        <v>-32022</v>
      </c>
      <c r="F1954" s="3" t="s">
        <v>1186</v>
      </c>
      <c r="G1954" s="3" t="s">
        <v>336</v>
      </c>
      <c r="H1954" s="2" t="s">
        <v>21</v>
      </c>
      <c r="I1954" s="2" t="s">
        <v>5370</v>
      </c>
      <c r="J1954" s="3" t="str">
        <f>HYPERLINK("https://www.boe.es/gazeta/dias/1812/04/28/pdfs/GRE-1812-53.pdf#page=8","Abrir facsímil")</f>
        <v>Abrir facsímil</v>
      </c>
      <c r="K1954" s="3" t="s">
        <v>23</v>
      </c>
    </row>
    <row r="1955" spans="1:11" ht="42" customHeight="1">
      <c r="A1955" s="2" t="s">
        <v>5371</v>
      </c>
      <c r="B1955" s="2" t="s">
        <v>5372</v>
      </c>
      <c r="C1955" s="2" t="s">
        <v>17</v>
      </c>
      <c r="D1955" s="2" t="s">
        <v>18</v>
      </c>
      <c r="E1955" s="4">
        <v>-31822</v>
      </c>
      <c r="F1955" s="3" t="s">
        <v>541</v>
      </c>
      <c r="G1955" s="3" t="s">
        <v>1459</v>
      </c>
      <c r="H1955" s="2" t="s">
        <v>21</v>
      </c>
      <c r="I1955" s="2" t="s">
        <v>5373</v>
      </c>
      <c r="J1955" s="3" t="str">
        <f>HYPERLINK("https://www.boe.es/gazeta/dias/1812/11/14/pdfs/GRE-1812-152.pdf#page=8","Abrir facsímil")</f>
        <v>Abrir facsímil</v>
      </c>
      <c r="K1955" s="3" t="s">
        <v>23</v>
      </c>
    </row>
    <row r="1956" spans="1:11" ht="42" customHeight="1">
      <c r="A1956" s="2" t="s">
        <v>5374</v>
      </c>
      <c r="B1956" s="2" t="s">
        <v>5375</v>
      </c>
      <c r="C1956" s="2" t="s">
        <v>26</v>
      </c>
      <c r="D1956" s="2" t="s">
        <v>27</v>
      </c>
      <c r="E1956" s="4">
        <v>-31938</v>
      </c>
      <c r="F1956" s="3" t="s">
        <v>324</v>
      </c>
      <c r="G1956" s="3" t="s">
        <v>497</v>
      </c>
      <c r="H1956" s="2" t="s">
        <v>21</v>
      </c>
      <c r="I1956" s="2" t="s">
        <v>5376</v>
      </c>
      <c r="J1956" s="3" t="str">
        <f>HYPERLINK("https://www.boe.es/gazeta/dias/1812/07/21/pdfs/GMD-1812-203.pdf#page=3","Abrir facsímil")</f>
        <v>Abrir facsímil</v>
      </c>
      <c r="K1956" s="3" t="s">
        <v>23</v>
      </c>
    </row>
    <row r="1957" spans="1:11" ht="42" customHeight="1">
      <c r="A1957" s="2" t="s">
        <v>5377</v>
      </c>
      <c r="B1957" s="2" t="s">
        <v>5378</v>
      </c>
      <c r="C1957" s="2" t="s">
        <v>26</v>
      </c>
      <c r="D1957" s="2" t="s">
        <v>27</v>
      </c>
      <c r="E1957" s="4">
        <v>-31964</v>
      </c>
      <c r="F1957" s="3" t="s">
        <v>305</v>
      </c>
      <c r="G1957" s="3" t="s">
        <v>306</v>
      </c>
      <c r="H1957" s="2" t="s">
        <v>21</v>
      </c>
      <c r="I1957" s="2" t="s">
        <v>5379</v>
      </c>
      <c r="J1957" s="3" t="str">
        <f>HYPERLINK("https://www.boe.es/gazeta/dias/1812/06/25/pdfs/GMD-1812-177.pdf#page=3","Abrir facsímil")</f>
        <v>Abrir facsímil</v>
      </c>
      <c r="K1957" s="3" t="s">
        <v>23</v>
      </c>
    </row>
    <row r="1958" spans="1:11" ht="42" customHeight="1">
      <c r="A1958" s="2" t="s">
        <v>5380</v>
      </c>
      <c r="B1958" s="2" t="s">
        <v>5381</v>
      </c>
      <c r="C1958" s="2" t="s">
        <v>26</v>
      </c>
      <c r="D1958" s="2" t="s">
        <v>27</v>
      </c>
      <c r="E1958" s="4">
        <v>-32066</v>
      </c>
      <c r="F1958" s="3" t="s">
        <v>291</v>
      </c>
      <c r="G1958" s="3" t="s">
        <v>125</v>
      </c>
      <c r="H1958" s="2" t="s">
        <v>21</v>
      </c>
      <c r="I1958" s="2" t="s">
        <v>5382</v>
      </c>
      <c r="J1958" s="3" t="str">
        <f>HYPERLINK("https://www.boe.es/gazeta/dias/1812/03/15/pdfs/GMD-1812-75.pdf#page=4","Abrir facsímil")</f>
        <v>Abrir facsímil</v>
      </c>
      <c r="K1958" s="3" t="s">
        <v>23</v>
      </c>
    </row>
    <row r="1959" spans="1:11" ht="42" customHeight="1">
      <c r="A1959" s="2" t="s">
        <v>5383</v>
      </c>
      <c r="B1959" s="2" t="s">
        <v>5384</v>
      </c>
      <c r="C1959" s="2" t="s">
        <v>26</v>
      </c>
      <c r="D1959" s="2" t="s">
        <v>27</v>
      </c>
      <c r="E1959" s="4">
        <v>-31969</v>
      </c>
      <c r="F1959" s="3" t="s">
        <v>83</v>
      </c>
      <c r="G1959" s="3" t="s">
        <v>84</v>
      </c>
      <c r="H1959" s="2" t="s">
        <v>21</v>
      </c>
      <c r="I1959" s="2" t="s">
        <v>5385</v>
      </c>
      <c r="J1959" s="3" t="str">
        <f>HYPERLINK("https://www.boe.es/gazeta/dias/1812/06/20/pdfs/GRE-1812-76.pdf#page=8","Abrir facsímil")</f>
        <v>Abrir facsímil</v>
      </c>
      <c r="K1959" s="3" t="s">
        <v>23</v>
      </c>
    </row>
    <row r="1960" spans="1:11" ht="42" customHeight="1">
      <c r="A1960" s="2" t="s">
        <v>5386</v>
      </c>
      <c r="B1960" s="2" t="s">
        <v>5387</v>
      </c>
      <c r="C1960" s="2" t="s">
        <v>186</v>
      </c>
      <c r="D1960" s="2" t="s">
        <v>27</v>
      </c>
      <c r="E1960" s="4">
        <v>-32045</v>
      </c>
      <c r="F1960" s="3" t="s">
        <v>129</v>
      </c>
      <c r="G1960" s="3" t="s">
        <v>130</v>
      </c>
      <c r="H1960" s="2" t="s">
        <v>21</v>
      </c>
      <c r="I1960" s="2" t="s">
        <v>5388</v>
      </c>
      <c r="J1960" s="3" t="str">
        <f>HYPERLINK("https://www.boe.es/gazeta/dias/1812/04/05/pdfs/GMD-1812-96.pdf#page=4","Abrir facsímil")</f>
        <v>Abrir facsímil</v>
      </c>
      <c r="K1960" s="3" t="s">
        <v>23</v>
      </c>
    </row>
    <row r="1961" spans="1:11" ht="42" customHeight="1">
      <c r="A1961" s="2" t="s">
        <v>5389</v>
      </c>
      <c r="B1961" s="2" t="s">
        <v>5390</v>
      </c>
      <c r="C1961" s="2" t="s">
        <v>105</v>
      </c>
      <c r="D1961" s="2" t="s">
        <v>27</v>
      </c>
      <c r="E1961" s="4">
        <v>-32055</v>
      </c>
      <c r="F1961" s="3" t="s">
        <v>459</v>
      </c>
      <c r="G1961" s="3" t="s">
        <v>20</v>
      </c>
      <c r="H1961" s="2" t="s">
        <v>21</v>
      </c>
      <c r="I1961" s="2" t="s">
        <v>5391</v>
      </c>
      <c r="J1961" s="3" t="str">
        <f>HYPERLINK("https://www.boe.es/gazeta/dias/1812/03/26/pdfs/GRE-1812-38.pdf#page=8","Abrir facsímil")</f>
        <v>Abrir facsímil</v>
      </c>
      <c r="K1961" s="3" t="s">
        <v>23</v>
      </c>
    </row>
    <row r="1962" spans="1:11" ht="42" customHeight="1">
      <c r="A1962" s="2" t="s">
        <v>5392</v>
      </c>
      <c r="B1962" s="2" t="s">
        <v>5393</v>
      </c>
      <c r="C1962" s="2" t="s">
        <v>26</v>
      </c>
      <c r="D1962" s="2" t="s">
        <v>27</v>
      </c>
      <c r="E1962" s="4">
        <v>-32015</v>
      </c>
      <c r="F1962" s="3" t="s">
        <v>77</v>
      </c>
      <c r="G1962" s="3" t="s">
        <v>78</v>
      </c>
      <c r="H1962" s="2" t="s">
        <v>21</v>
      </c>
      <c r="I1962" s="2" t="s">
        <v>5394</v>
      </c>
      <c r="J1962" s="3" t="str">
        <f>HYPERLINK("https://www.boe.es/gazeta/dias/1812/05/05/pdfs/GRE-1812-56.pdf#page=8","Abrir facsímil")</f>
        <v>Abrir facsímil</v>
      </c>
      <c r="K1962" s="3" t="s">
        <v>23</v>
      </c>
    </row>
    <row r="1963" spans="1:11" ht="42" customHeight="1">
      <c r="A1963" s="2" t="s">
        <v>5395</v>
      </c>
      <c r="B1963" s="2" t="s">
        <v>5396</v>
      </c>
      <c r="C1963" s="2" t="s">
        <v>26</v>
      </c>
      <c r="D1963" s="2" t="s">
        <v>27</v>
      </c>
      <c r="E1963" s="4">
        <v>-31938</v>
      </c>
      <c r="F1963" s="3" t="s">
        <v>370</v>
      </c>
      <c r="G1963" s="3" t="s">
        <v>371</v>
      </c>
      <c r="H1963" s="2" t="s">
        <v>21</v>
      </c>
      <c r="I1963" s="2" t="s">
        <v>5397</v>
      </c>
      <c r="J1963" s="3" t="str">
        <f>HYPERLINK("https://www.boe.es/gazeta/dias/1812/07/21/pdfs/GRE-1812-91.pdf#page=8","Abrir facsímil")</f>
        <v>Abrir facsímil</v>
      </c>
      <c r="K1963" s="3" t="s">
        <v>23</v>
      </c>
    </row>
    <row r="1964" spans="1:11" ht="42" customHeight="1">
      <c r="A1964" s="2" t="s">
        <v>5398</v>
      </c>
      <c r="B1964" s="2" t="s">
        <v>5399</v>
      </c>
      <c r="C1964" s="2" t="s">
        <v>17</v>
      </c>
      <c r="D1964" s="2" t="s">
        <v>27</v>
      </c>
      <c r="E1964" s="4">
        <v>-32036</v>
      </c>
      <c r="F1964" s="3" t="s">
        <v>781</v>
      </c>
      <c r="G1964" s="3" t="s">
        <v>782</v>
      </c>
      <c r="H1964" s="2" t="s">
        <v>21</v>
      </c>
      <c r="I1964" s="2" t="s">
        <v>5400</v>
      </c>
      <c r="J1964" s="3" t="str">
        <f>HYPERLINK("https://www.boe.es/gazeta/dias/1812/04/14/pdfs/GRE-1812-47.pdf#page=8","Abrir facsímil")</f>
        <v>Abrir facsímil</v>
      </c>
      <c r="K1964" s="3" t="s">
        <v>23</v>
      </c>
    </row>
    <row r="1965" spans="1:11" ht="42" customHeight="1">
      <c r="A1965" s="2" t="s">
        <v>5401</v>
      </c>
      <c r="B1965" s="2" t="s">
        <v>5402</v>
      </c>
      <c r="C1965" s="2" t="s">
        <v>17</v>
      </c>
      <c r="D1965" s="2" t="s">
        <v>27</v>
      </c>
      <c r="E1965" s="4">
        <v>-31917</v>
      </c>
      <c r="F1965" s="3" t="s">
        <v>946</v>
      </c>
      <c r="G1965" s="3" t="s">
        <v>947</v>
      </c>
      <c r="H1965" s="2" t="s">
        <v>21</v>
      </c>
      <c r="I1965" s="2" t="s">
        <v>5403</v>
      </c>
      <c r="J1965" s="3" t="str">
        <f>HYPERLINK("https://www.boe.es/gazeta/dias/1812/08/11/pdfs/GRE-1812-103.pdf#page=8","Abrir facsímil")</f>
        <v>Abrir facsímil</v>
      </c>
      <c r="K1965" s="3" t="s">
        <v>23</v>
      </c>
    </row>
    <row r="1966" spans="1:11" ht="42" customHeight="1">
      <c r="A1966" s="2" t="s">
        <v>5404</v>
      </c>
      <c r="B1966" s="2" t="s">
        <v>5405</v>
      </c>
      <c r="C1966" s="2" t="s">
        <v>17</v>
      </c>
      <c r="D1966" s="2" t="s">
        <v>18</v>
      </c>
      <c r="E1966" s="4">
        <v>-32011</v>
      </c>
      <c r="F1966" s="3" t="s">
        <v>1233</v>
      </c>
      <c r="G1966" s="3" t="s">
        <v>5406</v>
      </c>
      <c r="H1966" s="2" t="s">
        <v>30</v>
      </c>
      <c r="I1966" s="2" t="s">
        <v>5407</v>
      </c>
      <c r="J1966" s="3" t="str">
        <f>HYPERLINK("https://www.boe.es/gazeta/dias/1812/05/09/pdfs/GRE-1812-58.pdf#page=1","Abrir facsímil")</f>
        <v>Abrir facsímil</v>
      </c>
      <c r="K1966" s="3" t="s">
        <v>32</v>
      </c>
    </row>
    <row r="1967" spans="1:11" ht="42" customHeight="1">
      <c r="A1967" s="2" t="s">
        <v>5408</v>
      </c>
      <c r="B1967" s="2" t="s">
        <v>5409</v>
      </c>
      <c r="C1967" s="2" t="s">
        <v>26</v>
      </c>
      <c r="D1967" s="2" t="s">
        <v>27</v>
      </c>
      <c r="E1967" s="4">
        <v>-32034</v>
      </c>
      <c r="F1967" s="3" t="s">
        <v>28</v>
      </c>
      <c r="G1967" s="3" t="s">
        <v>29</v>
      </c>
      <c r="H1967" s="2" t="s">
        <v>30</v>
      </c>
      <c r="I1967" s="2" t="s">
        <v>5410</v>
      </c>
      <c r="J1967" s="3" t="str">
        <f>HYPERLINK("https://www.boe.es/gazeta/dias/1812/04/16/pdfs/GMD-1812-107.pdf#page=8","Abrir facsímil")</f>
        <v>Abrir facsímil</v>
      </c>
      <c r="K1967" s="3" t="s">
        <v>32</v>
      </c>
    </row>
    <row r="1968" spans="1:11" ht="42" customHeight="1">
      <c r="A1968" s="2" t="s">
        <v>5411</v>
      </c>
      <c r="B1968" s="2" t="s">
        <v>5412</v>
      </c>
      <c r="C1968" s="2" t="s">
        <v>26</v>
      </c>
      <c r="D1968" s="2" t="s">
        <v>27</v>
      </c>
      <c r="E1968" s="4">
        <v>-31936</v>
      </c>
      <c r="F1968" s="3" t="s">
        <v>603</v>
      </c>
      <c r="G1968" s="3" t="s">
        <v>2410</v>
      </c>
      <c r="H1968" s="2" t="s">
        <v>30</v>
      </c>
      <c r="I1968" s="2" t="s">
        <v>5413</v>
      </c>
      <c r="J1968" s="3" t="str">
        <f>HYPERLINK("https://www.boe.es/gazeta/dias/1812/07/23/pdfs/GMD-1812-205.pdf#page=4","Abrir facsímil")</f>
        <v>Abrir facsímil</v>
      </c>
      <c r="K1968" s="3" t="s">
        <v>32</v>
      </c>
    </row>
    <row r="1969" spans="1:11" ht="42" customHeight="1">
      <c r="A1969" s="2" t="s">
        <v>5414</v>
      </c>
      <c r="B1969" s="2" t="s">
        <v>5415</v>
      </c>
      <c r="C1969" s="2" t="s">
        <v>26</v>
      </c>
      <c r="D1969" s="2" t="s">
        <v>27</v>
      </c>
      <c r="E1969" s="4">
        <v>-32053</v>
      </c>
      <c r="F1969" s="3" t="s">
        <v>910</v>
      </c>
      <c r="G1969" s="3" t="s">
        <v>5416</v>
      </c>
      <c r="H1969" s="2" t="s">
        <v>21</v>
      </c>
      <c r="I1969" s="2" t="s">
        <v>5417</v>
      </c>
      <c r="J1969" s="3" t="str">
        <f>HYPERLINK("https://www.boe.es/gazeta/dias/1812/03/28/pdfs/GRE-1812-39.pdf#page=4","Abrir facsímil")</f>
        <v>Abrir facsímil</v>
      </c>
      <c r="K1969" s="3" t="s">
        <v>23</v>
      </c>
    </row>
    <row r="1970" spans="1:11" ht="42" customHeight="1">
      <c r="A1970" s="2" t="s">
        <v>5418</v>
      </c>
      <c r="B1970" s="2" t="s">
        <v>5419</v>
      </c>
      <c r="C1970" s="2" t="s">
        <v>82</v>
      </c>
      <c r="D1970" s="2" t="s">
        <v>275</v>
      </c>
      <c r="E1970" s="4">
        <v>-31917</v>
      </c>
      <c r="F1970" s="3" t="s">
        <v>946</v>
      </c>
      <c r="G1970" s="3" t="s">
        <v>5420</v>
      </c>
      <c r="H1970" s="2" t="s">
        <v>21</v>
      </c>
      <c r="I1970" s="2" t="s">
        <v>5421</v>
      </c>
      <c r="J1970" s="3" t="str">
        <f>HYPERLINK("https://www.boe.es/gazeta/dias/1812/08/11/pdfs/GRE-1812-103.pdf#page=6","Abrir facsímil")</f>
        <v>Abrir facsímil</v>
      </c>
      <c r="K1970" s="3" t="s">
        <v>23</v>
      </c>
    </row>
    <row r="1971" spans="1:11" ht="42" customHeight="1">
      <c r="A1971" s="2" t="s">
        <v>5422</v>
      </c>
      <c r="B1971" s="2" t="s">
        <v>5423</v>
      </c>
      <c r="C1971" s="2" t="s">
        <v>26</v>
      </c>
      <c r="D1971" s="2" t="s">
        <v>27</v>
      </c>
      <c r="E1971" s="4">
        <v>-31965</v>
      </c>
      <c r="F1971" s="3" t="s">
        <v>1180</v>
      </c>
      <c r="G1971" s="3" t="s">
        <v>777</v>
      </c>
      <c r="H1971" s="2" t="s">
        <v>21</v>
      </c>
      <c r="I1971" s="2" t="s">
        <v>5424</v>
      </c>
      <c r="J1971" s="3" t="str">
        <f>HYPERLINK("https://www.boe.es/gazeta/dias/1812/06/24/pdfs/GMD-1812-176.pdf#page=2","Abrir facsímil")</f>
        <v>Abrir facsímil</v>
      </c>
      <c r="K1971" s="3" t="s">
        <v>23</v>
      </c>
    </row>
    <row r="1972" spans="1:11" ht="42" customHeight="1">
      <c r="A1972" s="2" t="s">
        <v>5425</v>
      </c>
      <c r="B1972" s="2" t="s">
        <v>5426</v>
      </c>
      <c r="C1972" s="2" t="s">
        <v>26</v>
      </c>
      <c r="D1972" s="2" t="s">
        <v>27</v>
      </c>
      <c r="E1972" s="4">
        <v>-32019</v>
      </c>
      <c r="F1972" s="3" t="s">
        <v>476</v>
      </c>
      <c r="G1972" s="3" t="s">
        <v>404</v>
      </c>
      <c r="H1972" s="2" t="s">
        <v>21</v>
      </c>
      <c r="I1972" s="2" t="s">
        <v>5427</v>
      </c>
      <c r="J1972" s="3" t="str">
        <f>HYPERLINK("https://www.boe.es/gazeta/dias/1812/05/01/pdfs/GMD-1812-122.pdf#page=3","Abrir facsímil")</f>
        <v>Abrir facsímil</v>
      </c>
      <c r="K1972" s="3" t="s">
        <v>23</v>
      </c>
    </row>
    <row r="1973" spans="1:11" ht="42" customHeight="1">
      <c r="A1973" s="2" t="s">
        <v>5428</v>
      </c>
      <c r="B1973" s="2" t="s">
        <v>5429</v>
      </c>
      <c r="C1973" s="2" t="s">
        <v>105</v>
      </c>
      <c r="D1973" s="2" t="s">
        <v>27</v>
      </c>
      <c r="E1973" s="4">
        <v>-31815</v>
      </c>
      <c r="F1973" s="3" t="s">
        <v>1167</v>
      </c>
      <c r="G1973" s="3" t="s">
        <v>5430</v>
      </c>
      <c r="H1973" s="2" t="s">
        <v>21</v>
      </c>
      <c r="I1973" s="2" t="s">
        <v>5431</v>
      </c>
      <c r="J1973" s="3" t="str">
        <f>HYPERLINK("https://www.boe.es/gazeta/dias/1812/11/21/pdfs/GRE-1812-155.pdf#page=2","Abrir facsímil")</f>
        <v>Abrir facsímil</v>
      </c>
      <c r="K1973" s="3" t="s">
        <v>23</v>
      </c>
    </row>
    <row r="1974" spans="1:11" ht="42" customHeight="1">
      <c r="A1974" s="2" t="s">
        <v>5432</v>
      </c>
      <c r="B1974" s="2" t="s">
        <v>5433</v>
      </c>
      <c r="C1974" s="2" t="s">
        <v>17</v>
      </c>
      <c r="D1974" s="2" t="s">
        <v>27</v>
      </c>
      <c r="E1974" s="4">
        <v>-31889</v>
      </c>
      <c r="F1974" s="3" t="s">
        <v>699</v>
      </c>
      <c r="G1974" s="3" t="s">
        <v>20</v>
      </c>
      <c r="H1974" s="2" t="s">
        <v>21</v>
      </c>
      <c r="I1974" s="2" t="s">
        <v>5434</v>
      </c>
      <c r="J1974" s="3" t="str">
        <f>HYPERLINK("https://www.boe.es/gazeta/dias/1812/09/08/pdfs/GMR-1812-11.pdf#page=8","Abrir facsímil")</f>
        <v>Abrir facsímil</v>
      </c>
      <c r="K1974" s="3" t="s">
        <v>23</v>
      </c>
    </row>
    <row r="1975" spans="1:11" ht="42" customHeight="1">
      <c r="A1975" s="2" t="s">
        <v>5432</v>
      </c>
      <c r="B1975" s="2" t="s">
        <v>5433</v>
      </c>
      <c r="C1975" s="2" t="s">
        <v>26</v>
      </c>
      <c r="D1975" s="2" t="s">
        <v>275</v>
      </c>
      <c r="E1975" s="4">
        <v>-31815</v>
      </c>
      <c r="F1975" s="3" t="s">
        <v>1167</v>
      </c>
      <c r="G1975" s="3" t="s">
        <v>130</v>
      </c>
      <c r="H1975" s="2" t="s">
        <v>21</v>
      </c>
      <c r="I1975" s="2" t="s">
        <v>5435</v>
      </c>
      <c r="J1975" s="3" t="str">
        <f>HYPERLINK("https://www.boe.es/gazeta/dias/1812/11/21/pdfs/GRE-1812-155.pdf#page=4","Abrir facsímil")</f>
        <v>Abrir facsímil</v>
      </c>
      <c r="K1975" s="3" t="s">
        <v>23</v>
      </c>
    </row>
    <row r="1976" spans="1:11" ht="42" customHeight="1">
      <c r="A1976" s="2" t="s">
        <v>5436</v>
      </c>
      <c r="B1976" s="2" t="s">
        <v>5437</v>
      </c>
      <c r="C1976" s="2" t="s">
        <v>26</v>
      </c>
      <c r="D1976" s="2" t="s">
        <v>27</v>
      </c>
      <c r="E1976" s="4">
        <v>-32034</v>
      </c>
      <c r="F1976" s="3" t="s">
        <v>28</v>
      </c>
      <c r="G1976" s="3" t="s">
        <v>130</v>
      </c>
      <c r="H1976" s="2" t="s">
        <v>21</v>
      </c>
      <c r="I1976" s="2" t="s">
        <v>5438</v>
      </c>
      <c r="J1976" s="3" t="str">
        <f>HYPERLINK("https://www.boe.es/gazeta/dias/1812/04/16/pdfs/GMD-1812-107.pdf#page=4","Abrir facsímil")</f>
        <v>Abrir facsímil</v>
      </c>
      <c r="K1976" s="3" t="s">
        <v>23</v>
      </c>
    </row>
    <row r="1977" spans="1:11" ht="42" customHeight="1">
      <c r="A1977" s="2" t="s">
        <v>5439</v>
      </c>
      <c r="B1977" s="2" t="s">
        <v>5440</v>
      </c>
      <c r="C1977" s="2" t="s">
        <v>26</v>
      </c>
      <c r="D1977" s="2" t="s">
        <v>27</v>
      </c>
      <c r="E1977" s="4">
        <v>-31866</v>
      </c>
      <c r="F1977" s="3" t="s">
        <v>845</v>
      </c>
      <c r="G1977" s="3" t="s">
        <v>214</v>
      </c>
      <c r="H1977" s="2" t="s">
        <v>21</v>
      </c>
      <c r="I1977" s="2" t="s">
        <v>5441</v>
      </c>
      <c r="J1977" s="3" t="str">
        <f>HYPERLINK("https://www.boe.es/gazeta/dias/1812/10/01/pdfs/GRE-1812-133.pdf#page=2","Abrir facsímil")</f>
        <v>Abrir facsímil</v>
      </c>
      <c r="K1977" s="3" t="s">
        <v>23</v>
      </c>
    </row>
    <row r="1978" spans="1:11" ht="42" customHeight="1">
      <c r="A1978" s="2" t="s">
        <v>5442</v>
      </c>
      <c r="B1978" s="2" t="s">
        <v>5443</v>
      </c>
      <c r="C1978" s="2" t="s">
        <v>115</v>
      </c>
      <c r="D1978" s="2" t="s">
        <v>27</v>
      </c>
      <c r="E1978" s="4">
        <v>-32095</v>
      </c>
      <c r="F1978" s="3" t="s">
        <v>181</v>
      </c>
      <c r="G1978" s="3" t="s">
        <v>182</v>
      </c>
      <c r="H1978" s="2" t="s">
        <v>21</v>
      </c>
      <c r="I1978" s="2" t="s">
        <v>5444</v>
      </c>
      <c r="J1978" s="3" t="str">
        <f>HYPERLINK("https://www.boe.es/gazeta/dias/1812/02/15/pdfs/GMD-1812-47.pdf#page=4","Abrir facsímil")</f>
        <v>Abrir facsímil</v>
      </c>
      <c r="K1978" s="3" t="s">
        <v>23</v>
      </c>
    </row>
    <row r="1979" spans="1:11" ht="42" customHeight="1">
      <c r="A1979" s="2" t="s">
        <v>5442</v>
      </c>
      <c r="B1979" s="2" t="s">
        <v>5443</v>
      </c>
      <c r="C1979" s="2" t="s">
        <v>115</v>
      </c>
      <c r="D1979" s="2" t="s">
        <v>27</v>
      </c>
      <c r="E1979" s="4">
        <v>-32094</v>
      </c>
      <c r="F1979" s="3" t="s">
        <v>181</v>
      </c>
      <c r="G1979" s="3" t="s">
        <v>182</v>
      </c>
      <c r="H1979" s="2" t="s">
        <v>21</v>
      </c>
      <c r="I1979" s="2" t="s">
        <v>5444</v>
      </c>
      <c r="J1979" s="3" t="str">
        <f>HYPERLINK("https://www.boe.es/gazeta/dias/1812/02/16/pdfs/GMD-1812-47.pdf#page=4","Abrir facsímil")</f>
        <v>Abrir facsímil</v>
      </c>
      <c r="K1979" s="3" t="s">
        <v>23</v>
      </c>
    </row>
    <row r="1980" spans="1:11" ht="42" customHeight="1">
      <c r="A1980" s="2" t="s">
        <v>5445</v>
      </c>
      <c r="B1980" s="2" t="s">
        <v>5446</v>
      </c>
      <c r="C1980" s="2" t="s">
        <v>115</v>
      </c>
      <c r="D1980" s="2" t="s">
        <v>27</v>
      </c>
      <c r="E1980" s="4">
        <v>-32139</v>
      </c>
      <c r="F1980" s="3" t="s">
        <v>288</v>
      </c>
      <c r="G1980" s="3" t="s">
        <v>130</v>
      </c>
      <c r="H1980" s="2" t="s">
        <v>21</v>
      </c>
      <c r="I1980" s="2" t="s">
        <v>5447</v>
      </c>
      <c r="J1980" s="3" t="str">
        <f>HYPERLINK("https://www.boe.es/gazeta/dias/1812/01/02/pdfs/GMD-1812-2.pdf#page=4","Abrir facsímil")</f>
        <v>Abrir facsímil</v>
      </c>
      <c r="K1980" s="3" t="s">
        <v>23</v>
      </c>
    </row>
    <row r="1981" spans="1:11" ht="42" customHeight="1">
      <c r="A1981" s="2" t="s">
        <v>5448</v>
      </c>
      <c r="B1981" s="2" t="s">
        <v>5449</v>
      </c>
      <c r="C1981" s="2" t="s">
        <v>26</v>
      </c>
      <c r="D1981" s="2" t="s">
        <v>27</v>
      </c>
      <c r="E1981" s="4">
        <v>-32034</v>
      </c>
      <c r="F1981" s="3" t="s">
        <v>28</v>
      </c>
      <c r="G1981" s="3" t="s">
        <v>317</v>
      </c>
      <c r="H1981" s="2" t="s">
        <v>21</v>
      </c>
      <c r="I1981" s="2" t="s">
        <v>5450</v>
      </c>
      <c r="J1981" s="3" t="str">
        <f>HYPERLINK("https://www.boe.es/gazeta/dias/1812/04/16/pdfs/GMD-1812-107.pdf#page=6","Abrir facsímil")</f>
        <v>Abrir facsímil</v>
      </c>
      <c r="K1981" s="3" t="s">
        <v>23</v>
      </c>
    </row>
    <row r="1982" spans="1:11" ht="42" customHeight="1">
      <c r="A1982" s="2" t="s">
        <v>5451</v>
      </c>
      <c r="B1982" s="2" t="s">
        <v>5452</v>
      </c>
      <c r="C1982" s="2" t="s">
        <v>26</v>
      </c>
      <c r="D1982" s="2" t="s">
        <v>27</v>
      </c>
      <c r="E1982" s="4">
        <v>-31940</v>
      </c>
      <c r="F1982" s="3" t="s">
        <v>187</v>
      </c>
      <c r="G1982" s="3" t="s">
        <v>404</v>
      </c>
      <c r="H1982" s="2" t="s">
        <v>21</v>
      </c>
      <c r="I1982" s="2" t="s">
        <v>5453</v>
      </c>
      <c r="J1982" s="3" t="str">
        <f>HYPERLINK("https://www.boe.es/gazeta/dias/1812/07/19/pdfs/GMD-1812-201.pdf#page=3","Abrir facsímil")</f>
        <v>Abrir facsímil</v>
      </c>
      <c r="K1982" s="3" t="s">
        <v>23</v>
      </c>
    </row>
    <row r="1983" spans="1:11" ht="42" customHeight="1">
      <c r="A1983" s="2" t="s">
        <v>5454</v>
      </c>
      <c r="B1983" s="2" t="s">
        <v>5455</v>
      </c>
      <c r="C1983" s="2" t="s">
        <v>115</v>
      </c>
      <c r="D1983" s="2" t="s">
        <v>27</v>
      </c>
      <c r="E1983" s="4">
        <v>-31963</v>
      </c>
      <c r="F1983" s="3" t="s">
        <v>171</v>
      </c>
      <c r="G1983" s="3" t="s">
        <v>172</v>
      </c>
      <c r="H1983" s="2" t="s">
        <v>21</v>
      </c>
      <c r="I1983" s="2" t="s">
        <v>5456</v>
      </c>
      <c r="J1983" s="3" t="str">
        <f>HYPERLINK("https://www.boe.es/gazeta/dias/1812/06/26/pdfs/GMD-1812-178.pdf#page=3","Abrir facsímil")</f>
        <v>Abrir facsímil</v>
      </c>
      <c r="K1983" s="3" t="s">
        <v>23</v>
      </c>
    </row>
    <row r="1984" spans="1:11" ht="42" customHeight="1">
      <c r="A1984" s="2" t="s">
        <v>5457</v>
      </c>
      <c r="B1984" s="2" t="s">
        <v>5458</v>
      </c>
      <c r="C1984" s="2" t="s">
        <v>26</v>
      </c>
      <c r="D1984" s="2" t="s">
        <v>27</v>
      </c>
      <c r="E1984" s="4">
        <v>-31922</v>
      </c>
      <c r="F1984" s="3" t="s">
        <v>622</v>
      </c>
      <c r="G1984" s="3" t="s">
        <v>623</v>
      </c>
      <c r="H1984" s="2" t="s">
        <v>21</v>
      </c>
      <c r="I1984" s="2" t="s">
        <v>5459</v>
      </c>
      <c r="J1984" s="3" t="str">
        <f>HYPERLINK("https://www.boe.es/gazeta/dias/1812/08/06/pdfs/GMD-1812-219.pdf#page=1","Abrir facsímil")</f>
        <v>Abrir facsímil</v>
      </c>
      <c r="K1984" s="3" t="s">
        <v>23</v>
      </c>
    </row>
    <row r="1985" spans="1:11" ht="42" customHeight="1">
      <c r="A1985" s="2" t="s">
        <v>5460</v>
      </c>
      <c r="B1985" s="2" t="s">
        <v>5461</v>
      </c>
      <c r="C1985" s="2" t="s">
        <v>17</v>
      </c>
      <c r="D1985" s="2" t="s">
        <v>27</v>
      </c>
      <c r="E1985" s="4">
        <v>-31945</v>
      </c>
      <c r="F1985" s="3" t="s">
        <v>1485</v>
      </c>
      <c r="G1985" s="3" t="s">
        <v>2905</v>
      </c>
      <c r="H1985" s="2" t="s">
        <v>21</v>
      </c>
      <c r="I1985" s="2" t="s">
        <v>5462</v>
      </c>
      <c r="J1985" s="3" t="str">
        <f>HYPERLINK("https://www.boe.es/gazeta/dias/1812/07/14/pdfs/GRE-1812-88.pdf#page=2","Abrir facsímil")</f>
        <v>Abrir facsímil</v>
      </c>
      <c r="K1985" s="3" t="s">
        <v>23</v>
      </c>
    </row>
    <row r="1986" spans="1:11" ht="42" customHeight="1">
      <c r="A1986" s="2" t="s">
        <v>5463</v>
      </c>
      <c r="B1986" s="2" t="s">
        <v>5464</v>
      </c>
      <c r="C1986" s="2" t="s">
        <v>17</v>
      </c>
      <c r="D1986" s="2" t="s">
        <v>18</v>
      </c>
      <c r="E1986" s="4">
        <v>-32022</v>
      </c>
      <c r="F1986" s="3" t="s">
        <v>1186</v>
      </c>
      <c r="G1986" s="3" t="s">
        <v>336</v>
      </c>
      <c r="H1986" s="2" t="s">
        <v>21</v>
      </c>
      <c r="I1986" s="2" t="s">
        <v>5465</v>
      </c>
      <c r="J1986" s="3" t="str">
        <f>HYPERLINK("https://www.boe.es/gazeta/dias/1812/04/28/pdfs/GRE-1812-53.pdf#page=8","Abrir facsímil")</f>
        <v>Abrir facsímil</v>
      </c>
      <c r="K1986" s="3" t="s">
        <v>23</v>
      </c>
    </row>
    <row r="1987" spans="1:11" ht="42" customHeight="1">
      <c r="A1987" s="2" t="s">
        <v>5466</v>
      </c>
      <c r="B1987" s="2" t="s">
        <v>5467</v>
      </c>
      <c r="C1987" s="2" t="s">
        <v>49</v>
      </c>
      <c r="D1987" s="2" t="s">
        <v>194</v>
      </c>
      <c r="E1987" s="4">
        <v>-32098</v>
      </c>
      <c r="F1987" s="3" t="s">
        <v>4560</v>
      </c>
      <c r="G1987" s="3" t="s">
        <v>58</v>
      </c>
      <c r="H1987" s="2" t="s">
        <v>21</v>
      </c>
      <c r="I1987" s="2" t="s">
        <v>5468</v>
      </c>
      <c r="J1987" s="3" t="str">
        <f>HYPERLINK("https://www.boe.es/gazeta/dias/1812/02/12/pdfs/GMD-1812-43.pdf#page=3","Abrir facsímil")</f>
        <v>Abrir facsímil</v>
      </c>
      <c r="K1987" s="3" t="s">
        <v>23</v>
      </c>
    </row>
    <row r="1988" spans="1:11" ht="42" customHeight="1">
      <c r="A1988" s="2" t="s">
        <v>5469</v>
      </c>
      <c r="B1988" s="2" t="s">
        <v>5470</v>
      </c>
      <c r="C1988" s="2" t="s">
        <v>17</v>
      </c>
      <c r="D1988" s="2" t="s">
        <v>18</v>
      </c>
      <c r="E1988" s="4">
        <v>-32127</v>
      </c>
      <c r="F1988" s="3" t="s">
        <v>88</v>
      </c>
      <c r="G1988" s="3" t="s">
        <v>2650</v>
      </c>
      <c r="H1988" s="2" t="s">
        <v>21</v>
      </c>
      <c r="I1988" s="2" t="s">
        <v>5471</v>
      </c>
      <c r="J1988" s="3" t="str">
        <f>HYPERLINK("https://www.boe.es/gazeta/dias/1812/01/14/pdfs/GEI-1812-6.pdf#page=3","Abrir facsímil")</f>
        <v>Abrir facsímil</v>
      </c>
      <c r="K1988" s="3" t="s">
        <v>23</v>
      </c>
    </row>
    <row r="1989" spans="1:11" ht="42" customHeight="1">
      <c r="A1989" s="2" t="s">
        <v>5472</v>
      </c>
      <c r="B1989" s="2" t="s">
        <v>5473</v>
      </c>
      <c r="C1989" s="2" t="s">
        <v>105</v>
      </c>
      <c r="D1989" s="2" t="s">
        <v>194</v>
      </c>
      <c r="E1989" s="4">
        <v>-31866</v>
      </c>
      <c r="F1989" s="3" t="s">
        <v>2438</v>
      </c>
      <c r="G1989" s="3" t="s">
        <v>5474</v>
      </c>
      <c r="H1989" s="2" t="s">
        <v>21</v>
      </c>
      <c r="I1989" s="2" t="s">
        <v>5475</v>
      </c>
      <c r="J1989" s="3" t="str">
        <f>HYPERLINK("https://www.boe.es/gazeta/dias/1812/10/01/pdfs/GMR-1812-21.pdf#page=7","Abrir facsímil")</f>
        <v>Abrir facsímil</v>
      </c>
      <c r="K1989" s="3" t="s">
        <v>23</v>
      </c>
    </row>
    <row r="1990" spans="1:11" ht="42" customHeight="1">
      <c r="A1990" s="2" t="s">
        <v>5476</v>
      </c>
      <c r="B1990" s="2" t="s">
        <v>5477</v>
      </c>
      <c r="C1990" s="2" t="s">
        <v>26</v>
      </c>
      <c r="D1990" s="2" t="s">
        <v>275</v>
      </c>
      <c r="E1990" s="4">
        <v>-31859</v>
      </c>
      <c r="F1990" s="3" t="s">
        <v>158</v>
      </c>
      <c r="G1990" s="3" t="s">
        <v>237</v>
      </c>
      <c r="H1990" s="2" t="s">
        <v>21</v>
      </c>
      <c r="I1990" s="2" t="s">
        <v>5478</v>
      </c>
      <c r="J1990" s="3" t="str">
        <f>HYPERLINK("https://www.boe.es/gazeta/dias/1812/10/08/pdfs/GMR-1812-24.pdf#page=6","Abrir facsímil")</f>
        <v>Abrir facsímil</v>
      </c>
      <c r="K1990" s="3" t="s">
        <v>23</v>
      </c>
    </row>
    <row r="1991" spans="1:11" ht="42" customHeight="1">
      <c r="A1991" s="2" t="s">
        <v>5479</v>
      </c>
      <c r="B1991" s="2" t="s">
        <v>5480</v>
      </c>
      <c r="C1991" s="2" t="s">
        <v>26</v>
      </c>
      <c r="D1991" s="2" t="s">
        <v>27</v>
      </c>
      <c r="E1991" s="4">
        <v>-31969</v>
      </c>
      <c r="F1991" s="3" t="s">
        <v>5481</v>
      </c>
      <c r="G1991" s="3" t="s">
        <v>5482</v>
      </c>
      <c r="H1991" s="2" t="s">
        <v>21</v>
      </c>
      <c r="I1991" s="2" t="s">
        <v>5483</v>
      </c>
      <c r="J1991" s="3" t="str">
        <f>HYPERLINK("https://www.boe.es/gazeta/dias/1812/06/20/pdfs/GMD-1812-172.pdf#page=4","Abrir facsímil")</f>
        <v>Abrir facsímil</v>
      </c>
      <c r="K1991" s="3" t="s">
        <v>23</v>
      </c>
    </row>
    <row r="1992" spans="1:11" ht="42" customHeight="1">
      <c r="A1992" s="2" t="s">
        <v>5484</v>
      </c>
      <c r="B1992" s="2" t="s">
        <v>5485</v>
      </c>
      <c r="C1992" s="2" t="s">
        <v>17</v>
      </c>
      <c r="D1992" s="2" t="s">
        <v>18</v>
      </c>
      <c r="E1992" s="4">
        <v>-31812</v>
      </c>
      <c r="F1992" s="3" t="s">
        <v>1533</v>
      </c>
      <c r="G1992" s="3" t="s">
        <v>644</v>
      </c>
      <c r="H1992" s="2" t="s">
        <v>30</v>
      </c>
      <c r="I1992" s="2" t="s">
        <v>5486</v>
      </c>
      <c r="J1992" s="3" t="str">
        <f>HYPERLINK("https://www.boe.es/gazeta/dias/1812/11/24/pdfs/GMR-1812-37.pdf#page=4","Abrir facsímil")</f>
        <v>Abrir facsímil</v>
      </c>
      <c r="K1992" s="3" t="s">
        <v>32</v>
      </c>
    </row>
    <row r="1993" spans="1:11" ht="42" customHeight="1">
      <c r="A1993" s="2" t="s">
        <v>5487</v>
      </c>
      <c r="B1993" s="2" t="s">
        <v>5488</v>
      </c>
      <c r="C1993" s="2" t="s">
        <v>105</v>
      </c>
      <c r="D1993" s="2" t="s">
        <v>27</v>
      </c>
      <c r="E1993" s="4">
        <v>-31822</v>
      </c>
      <c r="F1993" s="3" t="s">
        <v>541</v>
      </c>
      <c r="G1993" s="3" t="s">
        <v>1459</v>
      </c>
      <c r="H1993" s="2" t="s">
        <v>21</v>
      </c>
      <c r="I1993" s="2" t="s">
        <v>5489</v>
      </c>
      <c r="J1993" s="3" t="str">
        <f>HYPERLINK("https://www.boe.es/gazeta/dias/1812/11/14/pdfs/GRE-1812-152.pdf#page=8","Abrir facsímil")</f>
        <v>Abrir facsímil</v>
      </c>
      <c r="K1993" s="3" t="s">
        <v>23</v>
      </c>
    </row>
    <row r="1994" spans="1:11" ht="42" customHeight="1">
      <c r="A1994" s="2" t="s">
        <v>5487</v>
      </c>
      <c r="B1994" s="2" t="s">
        <v>5488</v>
      </c>
      <c r="C1994" s="2" t="s">
        <v>26</v>
      </c>
      <c r="D1994" s="2" t="s">
        <v>27</v>
      </c>
      <c r="E1994" s="4">
        <v>-31775</v>
      </c>
      <c r="F1994" s="3" t="s">
        <v>660</v>
      </c>
      <c r="G1994" s="3" t="s">
        <v>2138</v>
      </c>
      <c r="H1994" s="2" t="s">
        <v>21</v>
      </c>
      <c r="I1994" s="2" t="s">
        <v>5490</v>
      </c>
      <c r="J1994" s="3" t="str">
        <f>HYPERLINK("https://www.boe.es/gazeta/dias/1812/12/31/pdfs/GRE-1812-172.pdf#page=8","Abrir facsímil")</f>
        <v>Abrir facsímil</v>
      </c>
      <c r="K1994" s="3" t="s">
        <v>23</v>
      </c>
    </row>
    <row r="1995" spans="1:11" ht="42" customHeight="1">
      <c r="A1995" s="2" t="s">
        <v>5491</v>
      </c>
      <c r="B1995" s="2" t="s">
        <v>5492</v>
      </c>
      <c r="C1995" s="2" t="s">
        <v>26</v>
      </c>
      <c r="D1995" s="2" t="s">
        <v>27</v>
      </c>
      <c r="E1995" s="4">
        <v>-31980</v>
      </c>
      <c r="F1995" s="3" t="s">
        <v>40</v>
      </c>
      <c r="G1995" s="3" t="s">
        <v>41</v>
      </c>
      <c r="H1995" s="2" t="s">
        <v>21</v>
      </c>
      <c r="I1995" s="2" t="s">
        <v>5493</v>
      </c>
      <c r="J1995" s="3" t="str">
        <f>HYPERLINK("https://www.boe.es/gazeta/dias/1812/06/09/pdfs/GRE-1812-71.pdf#page=6","Abrir facsímil")</f>
        <v>Abrir facsímil</v>
      </c>
      <c r="K1995" s="3" t="s">
        <v>23</v>
      </c>
    </row>
    <row r="1996" spans="1:11" ht="42" customHeight="1">
      <c r="A1996" s="2" t="s">
        <v>5494</v>
      </c>
      <c r="B1996" s="2" t="s">
        <v>5495</v>
      </c>
      <c r="C1996" s="2" t="s">
        <v>67</v>
      </c>
      <c r="D1996" s="2" t="s">
        <v>27</v>
      </c>
      <c r="E1996" s="4">
        <v>-32075</v>
      </c>
      <c r="F1996" s="3" t="s">
        <v>301</v>
      </c>
      <c r="G1996" s="3" t="s">
        <v>20</v>
      </c>
      <c r="H1996" s="2" t="s">
        <v>21</v>
      </c>
      <c r="I1996" s="2" t="s">
        <v>5496</v>
      </c>
      <c r="J1996" s="3" t="str">
        <f>HYPERLINK("https://www.boe.es/gazeta/dias/1812/03/06/pdfs/GMD-1812-66.pdf#page=4","Abrir facsímil")</f>
        <v>Abrir facsímil</v>
      </c>
      <c r="K1996" s="3" t="s">
        <v>23</v>
      </c>
    </row>
    <row r="1997" spans="1:11" ht="42" customHeight="1">
      <c r="A1997" s="2" t="s">
        <v>5497</v>
      </c>
      <c r="B1997" s="2" t="s">
        <v>5498</v>
      </c>
      <c r="C1997" s="2" t="s">
        <v>26</v>
      </c>
      <c r="D1997" s="2" t="s">
        <v>27</v>
      </c>
      <c r="E1997" s="4">
        <v>-32036</v>
      </c>
      <c r="F1997" s="3" t="s">
        <v>781</v>
      </c>
      <c r="G1997" s="3" t="s">
        <v>782</v>
      </c>
      <c r="H1997" s="2" t="s">
        <v>21</v>
      </c>
      <c r="I1997" s="2" t="s">
        <v>5499</v>
      </c>
      <c r="J1997" s="3" t="str">
        <f>HYPERLINK("https://www.boe.es/gazeta/dias/1812/04/14/pdfs/GRE-1812-47.pdf#page=8","Abrir facsímil")</f>
        <v>Abrir facsímil</v>
      </c>
      <c r="K1997" s="3" t="s">
        <v>23</v>
      </c>
    </row>
    <row r="1998" spans="1:11" ht="42" customHeight="1">
      <c r="A1998" s="2" t="s">
        <v>5500</v>
      </c>
      <c r="B1998" s="2" t="s">
        <v>5501</v>
      </c>
      <c r="C1998" s="2" t="s">
        <v>26</v>
      </c>
      <c r="D1998" s="2" t="s">
        <v>27</v>
      </c>
      <c r="E1998" s="4">
        <v>-32011</v>
      </c>
      <c r="F1998" s="3" t="s">
        <v>1656</v>
      </c>
      <c r="G1998" s="3" t="s">
        <v>777</v>
      </c>
      <c r="H1998" s="2" t="s">
        <v>21</v>
      </c>
      <c r="I1998" s="2" t="s">
        <v>5502</v>
      </c>
      <c r="J1998" s="3" t="str">
        <f>HYPERLINK("https://www.boe.es/gazeta/dias/1812/05/09/pdfs/GMD-1812-130.pdf#page=2","Abrir facsímil")</f>
        <v>Abrir facsímil</v>
      </c>
      <c r="K1998" s="3" t="s">
        <v>23</v>
      </c>
    </row>
    <row r="1999" spans="1:11" ht="42" customHeight="1">
      <c r="A1999" s="2" t="s">
        <v>5503</v>
      </c>
      <c r="B1999" s="2" t="s">
        <v>5504</v>
      </c>
      <c r="C1999" s="2" t="s">
        <v>26</v>
      </c>
      <c r="D1999" s="2" t="s">
        <v>27</v>
      </c>
      <c r="E1999" s="4">
        <v>-32044</v>
      </c>
      <c r="F1999" s="3" t="s">
        <v>1031</v>
      </c>
      <c r="G1999" s="3" t="s">
        <v>20</v>
      </c>
      <c r="H1999" s="2" t="s">
        <v>21</v>
      </c>
      <c r="I1999" s="2" t="s">
        <v>5505</v>
      </c>
      <c r="J1999" s="3" t="str">
        <f>HYPERLINK("https://www.boe.es/gazeta/dias/1812/04/06/pdfs/GMD-1812-97.pdf#page=3","Abrir facsímil")</f>
        <v>Abrir facsímil</v>
      </c>
      <c r="K1999" s="3" t="s">
        <v>23</v>
      </c>
    </row>
    <row r="2000" spans="1:11" ht="42" customHeight="1">
      <c r="A2000" s="2" t="s">
        <v>5506</v>
      </c>
      <c r="B2000" s="2" t="s">
        <v>5507</v>
      </c>
      <c r="C2000" s="2" t="s">
        <v>26</v>
      </c>
      <c r="D2000" s="2" t="s">
        <v>27</v>
      </c>
      <c r="E2000" s="4">
        <v>-31939</v>
      </c>
      <c r="F2000" s="3" t="s">
        <v>408</v>
      </c>
      <c r="G2000" s="3" t="s">
        <v>20</v>
      </c>
      <c r="H2000" s="2" t="s">
        <v>21</v>
      </c>
      <c r="I2000" s="2" t="s">
        <v>5508</v>
      </c>
      <c r="J2000" s="3" t="str">
        <f>HYPERLINK("https://www.boe.es/gazeta/dias/1812/07/20/pdfs/GMD-1812-202.pdf#page=4","Abrir facsímil")</f>
        <v>Abrir facsímil</v>
      </c>
      <c r="K2000" s="3" t="s">
        <v>23</v>
      </c>
    </row>
    <row r="2001" spans="1:11" ht="42" customHeight="1">
      <c r="A2001" s="2" t="s">
        <v>5509</v>
      </c>
      <c r="B2001" s="2" t="s">
        <v>5510</v>
      </c>
      <c r="C2001" s="2" t="s">
        <v>17</v>
      </c>
      <c r="D2001" s="2" t="s">
        <v>18</v>
      </c>
      <c r="E2001" s="4">
        <v>-31989</v>
      </c>
      <c r="F2001" s="3" t="s">
        <v>263</v>
      </c>
      <c r="G2001" s="3" t="s">
        <v>58</v>
      </c>
      <c r="H2001" s="2" t="s">
        <v>21</v>
      </c>
      <c r="I2001" s="2" t="s">
        <v>5511</v>
      </c>
      <c r="J2001" s="3" t="str">
        <f>HYPERLINK("https://www.boe.es/gazeta/dias/1812/05/31/pdfs/GMD-1812-152.pdf#page=4","Abrir facsímil")</f>
        <v>Abrir facsímil</v>
      </c>
      <c r="K2001" s="3" t="s">
        <v>23</v>
      </c>
    </row>
    <row r="2002" spans="1:11" ht="42" customHeight="1">
      <c r="A2002" s="2" t="s">
        <v>5512</v>
      </c>
      <c r="B2002" s="2" t="s">
        <v>5513</v>
      </c>
      <c r="C2002" s="2" t="s">
        <v>26</v>
      </c>
      <c r="D2002" s="2" t="s">
        <v>275</v>
      </c>
      <c r="E2002" s="4">
        <v>-31955</v>
      </c>
      <c r="F2002" s="3" t="s">
        <v>1195</v>
      </c>
      <c r="G2002" s="3" t="s">
        <v>5514</v>
      </c>
      <c r="H2002" s="2" t="s">
        <v>30</v>
      </c>
      <c r="I2002" s="2" t="s">
        <v>5515</v>
      </c>
      <c r="J2002" s="3" t="str">
        <f>HYPERLINK("https://www.boe.es/gazeta/dias/1812/07/04/pdfs/GMD-1812-186.pdf#page=3","Abrir facsímil")</f>
        <v>Abrir facsímil</v>
      </c>
      <c r="K2002" s="3" t="s">
        <v>32</v>
      </c>
    </row>
    <row r="2003" spans="1:11" ht="42" customHeight="1">
      <c r="A2003" s="2" t="s">
        <v>5516</v>
      </c>
      <c r="B2003" s="2" t="s">
        <v>5517</v>
      </c>
      <c r="C2003" s="2" t="s">
        <v>17</v>
      </c>
      <c r="D2003" s="2" t="s">
        <v>18</v>
      </c>
      <c r="E2003" s="4">
        <v>-32053</v>
      </c>
      <c r="F2003" s="3" t="s">
        <v>910</v>
      </c>
      <c r="G2003" s="3" t="s">
        <v>911</v>
      </c>
      <c r="H2003" s="2" t="s">
        <v>21</v>
      </c>
      <c r="I2003" s="2" t="s">
        <v>5518</v>
      </c>
      <c r="J2003" s="3" t="str">
        <f>HYPERLINK("https://www.boe.es/gazeta/dias/1812/03/28/pdfs/GRE-1812-39.pdf#page=8","Abrir facsímil")</f>
        <v>Abrir facsímil</v>
      </c>
      <c r="K2003" s="3" t="s">
        <v>23</v>
      </c>
    </row>
    <row r="2004" spans="1:11" ht="42" customHeight="1">
      <c r="A2004" s="2" t="s">
        <v>5519</v>
      </c>
      <c r="B2004" s="2" t="s">
        <v>5520</v>
      </c>
      <c r="C2004" s="2" t="s">
        <v>26</v>
      </c>
      <c r="D2004" s="2" t="s">
        <v>27</v>
      </c>
      <c r="E2004" s="4">
        <v>-32060</v>
      </c>
      <c r="F2004" s="3" t="s">
        <v>399</v>
      </c>
      <c r="G2004" s="3" t="s">
        <v>136</v>
      </c>
      <c r="H2004" s="2" t="s">
        <v>21</v>
      </c>
      <c r="I2004" s="2" t="s">
        <v>5521</v>
      </c>
      <c r="J2004" s="3" t="str">
        <f>HYPERLINK("https://www.boe.es/gazeta/dias/1812/03/21/pdfs/GMD-1812-81.pdf#page=4","Abrir facsímil")</f>
        <v>Abrir facsímil</v>
      </c>
      <c r="K2004" s="3" t="s">
        <v>23</v>
      </c>
    </row>
    <row r="2005" spans="1:11" ht="42" customHeight="1">
      <c r="A2005" s="2" t="s">
        <v>5522</v>
      </c>
      <c r="B2005" s="2" t="s">
        <v>5523</v>
      </c>
      <c r="C2005" s="2" t="s">
        <v>186</v>
      </c>
      <c r="D2005" s="2" t="s">
        <v>27</v>
      </c>
      <c r="E2005" s="4">
        <v>-32002</v>
      </c>
      <c r="F2005" s="3" t="s">
        <v>619</v>
      </c>
      <c r="G2005" s="3" t="s">
        <v>620</v>
      </c>
      <c r="H2005" s="2" t="s">
        <v>21</v>
      </c>
      <c r="I2005" s="2" t="s">
        <v>5524</v>
      </c>
      <c r="J2005" s="3" t="str">
        <f>HYPERLINK("https://www.boe.es/gazeta/dias/1812/05/18/pdfs/GMD-1812-139.pdf#page=2","Abrir facsímil")</f>
        <v>Abrir facsímil</v>
      </c>
      <c r="K2005" s="3" t="s">
        <v>23</v>
      </c>
    </row>
    <row r="2006" spans="1:11" ht="42" customHeight="1">
      <c r="A2006" s="2" t="s">
        <v>5525</v>
      </c>
      <c r="B2006" s="2" t="s">
        <v>5526</v>
      </c>
      <c r="C2006" s="2" t="s">
        <v>26</v>
      </c>
      <c r="D2006" s="2" t="s">
        <v>27</v>
      </c>
      <c r="E2006" s="4">
        <v>-31938</v>
      </c>
      <c r="F2006" s="3" t="s">
        <v>324</v>
      </c>
      <c r="G2006" s="3" t="s">
        <v>497</v>
      </c>
      <c r="H2006" s="2" t="s">
        <v>21</v>
      </c>
      <c r="I2006" s="2" t="s">
        <v>5527</v>
      </c>
      <c r="J2006" s="3" t="str">
        <f>HYPERLINK("https://www.boe.es/gazeta/dias/1812/07/21/pdfs/GMD-1812-203.pdf#page=3","Abrir facsímil")</f>
        <v>Abrir facsímil</v>
      </c>
      <c r="K2006" s="3" t="s">
        <v>23</v>
      </c>
    </row>
    <row r="2007" spans="1:11" ht="42" customHeight="1">
      <c r="A2007" s="2" t="s">
        <v>5528</v>
      </c>
      <c r="B2007" s="2" t="s">
        <v>5529</v>
      </c>
      <c r="C2007" s="2" t="s">
        <v>105</v>
      </c>
      <c r="D2007" s="2" t="s">
        <v>27</v>
      </c>
      <c r="E2007" s="4">
        <v>-31963</v>
      </c>
      <c r="F2007" s="3" t="s">
        <v>171</v>
      </c>
      <c r="G2007" s="3" t="s">
        <v>172</v>
      </c>
      <c r="H2007" s="2" t="s">
        <v>21</v>
      </c>
      <c r="I2007" s="2" t="s">
        <v>5530</v>
      </c>
      <c r="J2007" s="3" t="str">
        <f>HYPERLINK("https://www.boe.es/gazeta/dias/1812/06/26/pdfs/GMD-1812-178.pdf#page=3","Abrir facsímil")</f>
        <v>Abrir facsímil</v>
      </c>
      <c r="K2007" s="3" t="s">
        <v>23</v>
      </c>
    </row>
    <row r="2008" spans="1:11" ht="42" customHeight="1">
      <c r="A2008" s="2" t="s">
        <v>5531</v>
      </c>
      <c r="B2008" s="2" t="s">
        <v>5532</v>
      </c>
      <c r="C2008" s="2" t="s">
        <v>26</v>
      </c>
      <c r="D2008" s="2" t="s">
        <v>27</v>
      </c>
      <c r="E2008" s="4">
        <v>-31963</v>
      </c>
      <c r="F2008" s="3" t="s">
        <v>171</v>
      </c>
      <c r="G2008" s="3" t="s">
        <v>1653</v>
      </c>
      <c r="H2008" s="2" t="s">
        <v>21</v>
      </c>
      <c r="I2008" s="2" t="s">
        <v>5533</v>
      </c>
      <c r="J2008" s="3" t="str">
        <f>HYPERLINK("https://www.boe.es/gazeta/dias/1812/06/26/pdfs/GMD-1812-178.pdf#page=2","Abrir facsímil")</f>
        <v>Abrir facsímil</v>
      </c>
      <c r="K2008" s="3" t="s">
        <v>23</v>
      </c>
    </row>
    <row r="2009" spans="1:11" ht="42" customHeight="1">
      <c r="A2009" s="2" t="s">
        <v>5534</v>
      </c>
      <c r="B2009" s="2" t="s">
        <v>5535</v>
      </c>
      <c r="C2009" s="2" t="s">
        <v>17</v>
      </c>
      <c r="D2009" s="2" t="s">
        <v>275</v>
      </c>
      <c r="E2009" s="4">
        <v>-31907</v>
      </c>
      <c r="F2009" s="3" t="s">
        <v>5536</v>
      </c>
      <c r="G2009" s="3" t="s">
        <v>1698</v>
      </c>
      <c r="H2009" s="2" t="s">
        <v>21</v>
      </c>
      <c r="I2009" s="2" t="s">
        <v>5537</v>
      </c>
      <c r="J2009" s="3" t="str">
        <f>HYPERLINK("https://www.boe.es/gazeta/dias/1812/08/21/pdfs/GRE-1812-108E.pdf#page=1","Abrir facsímil")</f>
        <v>Abrir facsímil</v>
      </c>
      <c r="K2009" s="3" t="s">
        <v>23</v>
      </c>
    </row>
    <row r="2010" spans="1:11" ht="42" customHeight="1">
      <c r="A2010" s="2" t="s">
        <v>5538</v>
      </c>
      <c r="B2010" s="2" t="s">
        <v>5539</v>
      </c>
      <c r="C2010" s="2" t="s">
        <v>26</v>
      </c>
      <c r="D2010" s="2" t="s">
        <v>573</v>
      </c>
      <c r="E2010" s="4">
        <v>-31900</v>
      </c>
      <c r="F2010" s="3" t="s">
        <v>276</v>
      </c>
      <c r="G2010" s="3" t="s">
        <v>277</v>
      </c>
      <c r="H2010" s="2" t="s">
        <v>21</v>
      </c>
      <c r="I2010" s="2" t="s">
        <v>5540</v>
      </c>
      <c r="J2010" s="3" t="str">
        <f>HYPERLINK("https://www.boe.es/gazeta/dias/1812/08/28/pdfs/GRE-1812-113E.pdf#page=8","Abrir facsímil")</f>
        <v>Abrir facsímil</v>
      </c>
      <c r="K2010" s="3" t="s">
        <v>23</v>
      </c>
    </row>
    <row r="2011" spans="1:11" ht="42" customHeight="1">
      <c r="A2011" s="2" t="s">
        <v>5541</v>
      </c>
      <c r="B2011" s="2" t="s">
        <v>5542</v>
      </c>
      <c r="C2011" s="2" t="s">
        <v>26</v>
      </c>
      <c r="D2011" s="2" t="s">
        <v>27</v>
      </c>
      <c r="E2011" s="4">
        <v>-31964</v>
      </c>
      <c r="F2011" s="3" t="s">
        <v>305</v>
      </c>
      <c r="G2011" s="3" t="s">
        <v>58</v>
      </c>
      <c r="H2011" s="2" t="s">
        <v>21</v>
      </c>
      <c r="I2011" s="2" t="s">
        <v>5543</v>
      </c>
      <c r="J2011" s="3" t="str">
        <f>HYPERLINK("https://www.boe.es/gazeta/dias/1812/06/25/pdfs/GMD-1812-177.pdf#page=2","Abrir facsímil")</f>
        <v>Abrir facsímil</v>
      </c>
      <c r="K2011" s="3" t="s">
        <v>23</v>
      </c>
    </row>
    <row r="2012" spans="1:11" ht="42" customHeight="1">
      <c r="A2012" s="2" t="s">
        <v>5541</v>
      </c>
      <c r="B2012" s="2" t="s">
        <v>5542</v>
      </c>
      <c r="C2012" s="2" t="s">
        <v>26</v>
      </c>
      <c r="D2012" s="2" t="s">
        <v>27</v>
      </c>
      <c r="E2012" s="4">
        <v>-31938</v>
      </c>
      <c r="F2012" s="3" t="s">
        <v>324</v>
      </c>
      <c r="G2012" s="3" t="s">
        <v>237</v>
      </c>
      <c r="H2012" s="2" t="s">
        <v>21</v>
      </c>
      <c r="I2012" s="2" t="s">
        <v>5544</v>
      </c>
      <c r="J2012" s="3" t="str">
        <f>HYPERLINK("https://www.boe.es/gazeta/dias/1812/07/21/pdfs/GMD-1812-203.pdf#page=2","Abrir facsímil")</f>
        <v>Abrir facsímil</v>
      </c>
      <c r="K2012" s="3" t="s">
        <v>23</v>
      </c>
    </row>
    <row r="2013" spans="1:11" ht="42" customHeight="1">
      <c r="A2013" s="2" t="s">
        <v>5545</v>
      </c>
      <c r="B2013" s="2" t="s">
        <v>5546</v>
      </c>
      <c r="C2013" s="2" t="s">
        <v>26</v>
      </c>
      <c r="D2013" s="2" t="s">
        <v>27</v>
      </c>
      <c r="E2013" s="4">
        <v>-32060</v>
      </c>
      <c r="F2013" s="3" t="s">
        <v>399</v>
      </c>
      <c r="G2013" s="3" t="s">
        <v>136</v>
      </c>
      <c r="H2013" s="2" t="s">
        <v>21</v>
      </c>
      <c r="I2013" s="2" t="s">
        <v>5547</v>
      </c>
      <c r="J2013" s="3" t="str">
        <f>HYPERLINK("https://www.boe.es/gazeta/dias/1812/03/21/pdfs/GMD-1812-81.pdf#page=4","Abrir facsímil")</f>
        <v>Abrir facsímil</v>
      </c>
      <c r="K2013" s="3" t="s">
        <v>23</v>
      </c>
    </row>
    <row r="2014" spans="1:11" ht="42" customHeight="1">
      <c r="A2014" s="2" t="s">
        <v>5548</v>
      </c>
      <c r="B2014" s="2" t="s">
        <v>5549</v>
      </c>
      <c r="C2014" s="2" t="s">
        <v>26</v>
      </c>
      <c r="D2014" s="2" t="s">
        <v>573</v>
      </c>
      <c r="E2014" s="4">
        <v>-31900</v>
      </c>
      <c r="F2014" s="3" t="s">
        <v>276</v>
      </c>
      <c r="G2014" s="3" t="s">
        <v>277</v>
      </c>
      <c r="H2014" s="2" t="s">
        <v>21</v>
      </c>
      <c r="I2014" s="2" t="s">
        <v>5550</v>
      </c>
      <c r="J2014" s="3" t="str">
        <f>HYPERLINK("https://www.boe.es/gazeta/dias/1812/08/28/pdfs/GRE-1812-113E.pdf#page=8","Abrir facsímil")</f>
        <v>Abrir facsímil</v>
      </c>
      <c r="K2014" s="3" t="s">
        <v>23</v>
      </c>
    </row>
    <row r="2015" spans="1:11" ht="42" customHeight="1">
      <c r="A2015" s="2" t="s">
        <v>5551</v>
      </c>
      <c r="B2015" s="2" t="s">
        <v>5552</v>
      </c>
      <c r="C2015" s="2" t="s">
        <v>26</v>
      </c>
      <c r="D2015" s="2" t="s">
        <v>27</v>
      </c>
      <c r="E2015" s="4">
        <v>-31857</v>
      </c>
      <c r="F2015" s="3" t="s">
        <v>1000</v>
      </c>
      <c r="G2015" s="3" t="s">
        <v>1001</v>
      </c>
      <c r="H2015" s="2" t="s">
        <v>21</v>
      </c>
      <c r="I2015" s="2" t="s">
        <v>5553</v>
      </c>
      <c r="J2015" s="3" t="str">
        <f>HYPERLINK("https://www.boe.es/gazeta/dias/1812/10/10/pdfs/GRE-1812-137.pdf#page=7","Abrir facsímil")</f>
        <v>Abrir facsímil</v>
      </c>
      <c r="K2015" s="3" t="s">
        <v>23</v>
      </c>
    </row>
    <row r="2016" spans="1:11" ht="42" customHeight="1">
      <c r="A2016" s="2" t="s">
        <v>5554</v>
      </c>
      <c r="B2016" s="2" t="s">
        <v>5555</v>
      </c>
      <c r="C2016" s="2" t="s">
        <v>26</v>
      </c>
      <c r="D2016" s="2" t="s">
        <v>27</v>
      </c>
      <c r="E2016" s="4">
        <v>-31821</v>
      </c>
      <c r="F2016" s="3" t="s">
        <v>1979</v>
      </c>
      <c r="G2016" s="3" t="s">
        <v>317</v>
      </c>
      <c r="H2016" s="2" t="s">
        <v>21</v>
      </c>
      <c r="I2016" s="2" t="s">
        <v>5556</v>
      </c>
      <c r="J2016" s="3" t="str">
        <f>HYPERLINK("https://www.boe.es/gazeta/dias/1812/11/15/pdfs/GMR-1812-34.pdf#page=6","Abrir facsímil")</f>
        <v>Abrir facsímil</v>
      </c>
      <c r="K2016" s="3" t="s">
        <v>23</v>
      </c>
    </row>
    <row r="2017" spans="1:11" ht="42" customHeight="1">
      <c r="A2017" s="2" t="s">
        <v>5557</v>
      </c>
      <c r="B2017" s="2" t="s">
        <v>5558</v>
      </c>
      <c r="C2017" s="2" t="s">
        <v>26</v>
      </c>
      <c r="D2017" s="2" t="s">
        <v>27</v>
      </c>
      <c r="E2017" s="4">
        <v>-31901</v>
      </c>
      <c r="F2017" s="3" t="s">
        <v>590</v>
      </c>
      <c r="G2017" s="3" t="s">
        <v>742</v>
      </c>
      <c r="H2017" s="2" t="s">
        <v>21</v>
      </c>
      <c r="I2017" s="2" t="s">
        <v>5559</v>
      </c>
      <c r="J2017" s="3" t="str">
        <f>HYPERLINK("https://www.boe.es/gazeta/dias/1812/08/27/pdfs/GMR-1812-6.pdf#page=5","Abrir facsímil")</f>
        <v>Abrir facsímil</v>
      </c>
      <c r="K2017" s="3" t="s">
        <v>23</v>
      </c>
    </row>
    <row r="2018" spans="1:11" ht="42" customHeight="1">
      <c r="A2018" s="2" t="s">
        <v>5557</v>
      </c>
      <c r="B2018" s="2" t="s">
        <v>5558</v>
      </c>
      <c r="C2018" s="2" t="s">
        <v>26</v>
      </c>
      <c r="D2018" s="2" t="s">
        <v>27</v>
      </c>
      <c r="E2018" s="4">
        <v>-31901</v>
      </c>
      <c r="F2018" s="3" t="s">
        <v>590</v>
      </c>
      <c r="G2018" s="3" t="s">
        <v>674</v>
      </c>
      <c r="H2018" s="2" t="s">
        <v>21</v>
      </c>
      <c r="I2018" s="2" t="s">
        <v>5560</v>
      </c>
      <c r="J2018" s="3" t="str">
        <f>HYPERLINK("https://www.boe.es/gazeta/dias/1812/08/27/pdfs/GMR-1812-6.pdf#page=6","Abrir facsímil")</f>
        <v>Abrir facsímil</v>
      </c>
      <c r="K2018" s="3" t="s">
        <v>23</v>
      </c>
    </row>
    <row r="2019" spans="1:11" ht="42" customHeight="1">
      <c r="A2019" s="2" t="s">
        <v>5561</v>
      </c>
      <c r="B2019" s="2" t="s">
        <v>5562</v>
      </c>
      <c r="C2019" s="2" t="s">
        <v>26</v>
      </c>
      <c r="D2019" s="2" t="s">
        <v>275</v>
      </c>
      <c r="E2019" s="4">
        <v>-31924</v>
      </c>
      <c r="F2019" s="3" t="s">
        <v>1948</v>
      </c>
      <c r="G2019" s="3" t="s">
        <v>5563</v>
      </c>
      <c r="H2019" s="2" t="s">
        <v>21</v>
      </c>
      <c r="I2019" s="2" t="s">
        <v>5564</v>
      </c>
      <c r="J2019" s="3" t="str">
        <f>HYPERLINK("https://www.boe.es/gazeta/dias/1812/08/04/pdfs/GRE-1812-99.pdf#page=8","Abrir facsímil")</f>
        <v>Abrir facsímil</v>
      </c>
      <c r="K2019" s="3" t="s">
        <v>23</v>
      </c>
    </row>
    <row r="2020" spans="1:11" ht="42" customHeight="1">
      <c r="A2020" s="2" t="s">
        <v>5561</v>
      </c>
      <c r="B2020" s="2" t="s">
        <v>5562</v>
      </c>
      <c r="C2020" s="2" t="s">
        <v>67</v>
      </c>
      <c r="D2020" s="2" t="s">
        <v>275</v>
      </c>
      <c r="E2020" s="4">
        <v>-31817</v>
      </c>
      <c r="F2020" s="3" t="s">
        <v>454</v>
      </c>
      <c r="G2020" s="3" t="s">
        <v>5565</v>
      </c>
      <c r="H2020" s="2" t="s">
        <v>21</v>
      </c>
      <c r="I2020" s="2" t="s">
        <v>5566</v>
      </c>
      <c r="J2020" s="3" t="str">
        <f>HYPERLINK("https://www.boe.es/gazeta/dias/1812/11/19/pdfs/GRE-1812-154.pdf#page=6","Abrir facsímil")</f>
        <v>Abrir facsímil</v>
      </c>
      <c r="K2020" s="3" t="s">
        <v>23</v>
      </c>
    </row>
    <row r="2021" spans="1:11" ht="42" customHeight="1">
      <c r="A2021" s="2" t="s">
        <v>5567</v>
      </c>
      <c r="B2021" s="2" t="s">
        <v>5568</v>
      </c>
      <c r="C2021" s="2" t="s">
        <v>17</v>
      </c>
      <c r="D2021" s="2" t="s">
        <v>18</v>
      </c>
      <c r="E2021" s="4">
        <v>-32125</v>
      </c>
      <c r="F2021" s="3" t="s">
        <v>335</v>
      </c>
      <c r="G2021" s="3" t="s">
        <v>674</v>
      </c>
      <c r="H2021" s="2" t="s">
        <v>21</v>
      </c>
      <c r="I2021" s="2" t="s">
        <v>5569</v>
      </c>
      <c r="J2021" s="3" t="str">
        <f>HYPERLINK("https://www.boe.es/gazeta/dias/1812/01/16/pdfs/GEI-1812-7.pdf#page=6","Abrir facsímil")</f>
        <v>Abrir facsímil</v>
      </c>
      <c r="K2021" s="3" t="s">
        <v>23</v>
      </c>
    </row>
    <row r="2022" spans="1:11" ht="42" customHeight="1">
      <c r="A2022" s="2" t="s">
        <v>5567</v>
      </c>
      <c r="B2022" s="2" t="s">
        <v>5568</v>
      </c>
      <c r="C2022" s="2" t="s">
        <v>49</v>
      </c>
      <c r="D2022" s="2" t="s">
        <v>27</v>
      </c>
      <c r="E2022" s="4">
        <v>-32036</v>
      </c>
      <c r="F2022" s="3" t="s">
        <v>781</v>
      </c>
      <c r="G2022" s="3" t="s">
        <v>317</v>
      </c>
      <c r="H2022" s="2" t="s">
        <v>21</v>
      </c>
      <c r="I2022" s="2" t="s">
        <v>5570</v>
      </c>
      <c r="J2022" s="3" t="str">
        <f>HYPERLINK("https://www.boe.es/gazeta/dias/1812/04/14/pdfs/GRE-1812-47.pdf#page=6","Abrir facsímil")</f>
        <v>Abrir facsímil</v>
      </c>
      <c r="K2022" s="3" t="s">
        <v>23</v>
      </c>
    </row>
    <row r="2023" spans="1:11" ht="42" customHeight="1">
      <c r="A2023" s="2" t="s">
        <v>5571</v>
      </c>
      <c r="B2023" s="2" t="s">
        <v>5572</v>
      </c>
      <c r="C2023" s="2" t="s">
        <v>17</v>
      </c>
      <c r="D2023" s="2" t="s">
        <v>27</v>
      </c>
      <c r="E2023" s="4">
        <v>-31994</v>
      </c>
      <c r="F2023" s="3" t="s">
        <v>207</v>
      </c>
      <c r="G2023" s="3" t="s">
        <v>125</v>
      </c>
      <c r="H2023" s="2" t="s">
        <v>30</v>
      </c>
      <c r="I2023" s="2" t="s">
        <v>5573</v>
      </c>
      <c r="J2023" s="3" t="str">
        <f>HYPERLINK("https://www.boe.es/gazeta/dias/1812/05/26/pdfs/GRE-1812-65.pdf#page=4","Abrir facsímil")</f>
        <v>Abrir facsímil</v>
      </c>
      <c r="K2023" s="3" t="s">
        <v>32</v>
      </c>
    </row>
    <row r="2024" spans="1:11" ht="42" customHeight="1">
      <c r="A2024" s="2" t="s">
        <v>5574</v>
      </c>
      <c r="B2024" s="2" t="s">
        <v>5575</v>
      </c>
      <c r="C2024" s="2" t="s">
        <v>17</v>
      </c>
      <c r="D2024" s="2" t="s">
        <v>27</v>
      </c>
      <c r="E2024" s="4">
        <v>-32006</v>
      </c>
      <c r="F2024" s="3" t="s">
        <v>190</v>
      </c>
      <c r="G2024" s="3" t="s">
        <v>1380</v>
      </c>
      <c r="H2024" s="2" t="s">
        <v>21</v>
      </c>
      <c r="I2024" s="2" t="s">
        <v>5576</v>
      </c>
      <c r="J2024" s="3" t="str">
        <f>HYPERLINK("https://www.boe.es/gazeta/dias/1812/05/14/pdfs/GRE-1812-60.pdf#page=6","Abrir facsímil")</f>
        <v>Abrir facsímil</v>
      </c>
      <c r="K2024" s="3" t="s">
        <v>23</v>
      </c>
    </row>
    <row r="2025" spans="1:11" ht="42" customHeight="1">
      <c r="A2025" s="2" t="s">
        <v>5574</v>
      </c>
      <c r="B2025" s="2" t="s">
        <v>5575</v>
      </c>
      <c r="C2025" s="2" t="s">
        <v>17</v>
      </c>
      <c r="D2025" s="2" t="s">
        <v>18</v>
      </c>
      <c r="E2025" s="4">
        <v>-31895</v>
      </c>
      <c r="F2025" s="3" t="s">
        <v>3980</v>
      </c>
      <c r="G2025" s="3" t="s">
        <v>874</v>
      </c>
      <c r="H2025" s="2" t="s">
        <v>21</v>
      </c>
      <c r="I2025" s="2" t="s">
        <v>5577</v>
      </c>
      <c r="J2025" s="3" t="str">
        <f>HYPERLINK("https://www.boe.es/gazeta/dias/1812/09/02/pdfs/GRE-1812-118E.pdf#page=2","Abrir facsímil")</f>
        <v>Abrir facsímil</v>
      </c>
      <c r="K2025" s="3" t="s">
        <v>23</v>
      </c>
    </row>
    <row r="2026" spans="1:11" ht="42" customHeight="1">
      <c r="A2026" s="2" t="s">
        <v>5574</v>
      </c>
      <c r="B2026" s="2" t="s">
        <v>5575</v>
      </c>
      <c r="C2026" s="2" t="s">
        <v>17</v>
      </c>
      <c r="D2026" s="2" t="s">
        <v>18</v>
      </c>
      <c r="E2026" s="4">
        <v>-31882</v>
      </c>
      <c r="F2026" s="3" t="s">
        <v>1798</v>
      </c>
      <c r="G2026" s="3" t="s">
        <v>5578</v>
      </c>
      <c r="H2026" s="2" t="s">
        <v>21</v>
      </c>
      <c r="I2026" s="2" t="s">
        <v>5579</v>
      </c>
      <c r="J2026" s="3" t="str">
        <f>HYPERLINK("https://www.boe.es/gazeta/dias/1812/09/15/pdfs/GMR-1812-14.pdf#page=13","Abrir facsímil")</f>
        <v>Abrir facsímil</v>
      </c>
      <c r="K2026" s="3" t="s">
        <v>23</v>
      </c>
    </row>
    <row r="2027" spans="1:11" ht="42" customHeight="1">
      <c r="A2027" s="2" t="s">
        <v>5580</v>
      </c>
      <c r="B2027" s="2" t="s">
        <v>5581</v>
      </c>
      <c r="C2027" s="2" t="s">
        <v>26</v>
      </c>
      <c r="D2027" s="2" t="s">
        <v>27</v>
      </c>
      <c r="E2027" s="4">
        <v>-31922</v>
      </c>
      <c r="F2027" s="3" t="s">
        <v>622</v>
      </c>
      <c r="G2027" s="3" t="s">
        <v>404</v>
      </c>
      <c r="H2027" s="2" t="s">
        <v>21</v>
      </c>
      <c r="I2027" s="2" t="s">
        <v>5582</v>
      </c>
      <c r="J2027" s="3" t="str">
        <f>HYPERLINK("https://www.boe.es/gazeta/dias/1812/08/06/pdfs/GMD-1812-219.pdf#page=2","Abrir facsímil")</f>
        <v>Abrir facsímil</v>
      </c>
      <c r="K2027" s="3" t="s">
        <v>23</v>
      </c>
    </row>
    <row r="2028" spans="1:11" ht="42" customHeight="1">
      <c r="A2028" s="2" t="s">
        <v>5583</v>
      </c>
      <c r="B2028" s="2" t="s">
        <v>5584</v>
      </c>
      <c r="C2028" s="2" t="s">
        <v>17</v>
      </c>
      <c r="D2028" s="2" t="s">
        <v>27</v>
      </c>
      <c r="E2028" s="4">
        <v>-31936</v>
      </c>
      <c r="F2028" s="3" t="s">
        <v>614</v>
      </c>
      <c r="G2028" s="3" t="s">
        <v>615</v>
      </c>
      <c r="H2028" s="2" t="s">
        <v>21</v>
      </c>
      <c r="I2028" s="2" t="s">
        <v>5585</v>
      </c>
      <c r="J2028" s="3" t="str">
        <f>HYPERLINK("https://www.boe.es/gazeta/dias/1812/07/23/pdfs/GRE-1812-92.pdf#page=8","Abrir facsímil")</f>
        <v>Abrir facsímil</v>
      </c>
      <c r="K2028" s="3" t="s">
        <v>23</v>
      </c>
    </row>
    <row r="2029" spans="1:11" ht="42" customHeight="1">
      <c r="A2029" s="2" t="s">
        <v>5586</v>
      </c>
      <c r="B2029" s="2" t="s">
        <v>5587</v>
      </c>
      <c r="C2029" s="2" t="s">
        <v>105</v>
      </c>
      <c r="D2029" s="2" t="s">
        <v>27</v>
      </c>
      <c r="E2029" s="4">
        <v>-31796</v>
      </c>
      <c r="F2029" s="3" t="s">
        <v>741</v>
      </c>
      <c r="G2029" s="3" t="s">
        <v>5588</v>
      </c>
      <c r="H2029" s="2" t="s">
        <v>21</v>
      </c>
      <c r="I2029" s="2" t="s">
        <v>5589</v>
      </c>
      <c r="J2029" s="3" t="str">
        <f>HYPERLINK("https://www.boe.es/gazeta/dias/1812/12/10/pdfs/GRE-1812-163.pdf#page=8","Abrir facsímil")</f>
        <v>Abrir facsímil</v>
      </c>
      <c r="K2029" s="3" t="s">
        <v>23</v>
      </c>
    </row>
    <row r="2030" spans="1:11" ht="42" customHeight="1">
      <c r="A2030" s="2" t="s">
        <v>5590</v>
      </c>
      <c r="B2030" s="2" t="s">
        <v>5591</v>
      </c>
      <c r="C2030" s="2" t="s">
        <v>26</v>
      </c>
      <c r="D2030" s="2" t="s">
        <v>27</v>
      </c>
      <c r="E2030" s="4">
        <v>-31939</v>
      </c>
      <c r="F2030" s="3" t="s">
        <v>408</v>
      </c>
      <c r="G2030" s="3" t="s">
        <v>20</v>
      </c>
      <c r="H2030" s="2" t="s">
        <v>21</v>
      </c>
      <c r="I2030" s="2" t="s">
        <v>5592</v>
      </c>
      <c r="J2030" s="3" t="str">
        <f>HYPERLINK("https://www.boe.es/gazeta/dias/1812/07/20/pdfs/GMD-1812-202.pdf#page=4","Abrir facsímil")</f>
        <v>Abrir facsímil</v>
      </c>
      <c r="K2030" s="3" t="s">
        <v>23</v>
      </c>
    </row>
    <row r="2031" spans="1:11" ht="42" customHeight="1">
      <c r="A2031" s="2" t="s">
        <v>5593</v>
      </c>
      <c r="B2031" s="2" t="s">
        <v>5594</v>
      </c>
      <c r="C2031" s="2" t="s">
        <v>26</v>
      </c>
      <c r="D2031" s="2" t="s">
        <v>27</v>
      </c>
      <c r="E2031" s="4">
        <v>-32088</v>
      </c>
      <c r="F2031" s="3" t="s">
        <v>1217</v>
      </c>
      <c r="G2031" s="3" t="s">
        <v>1218</v>
      </c>
      <c r="H2031" s="2" t="s">
        <v>21</v>
      </c>
      <c r="I2031" s="2" t="s">
        <v>5595</v>
      </c>
      <c r="J2031" s="3" t="str">
        <f>HYPERLINK("https://www.boe.es/gazeta/dias/1812/02/22/pdfs/GMD-1812-53.pdf#page=4","Abrir facsímil")</f>
        <v>Abrir facsímil</v>
      </c>
      <c r="K2031" s="3" t="s">
        <v>23</v>
      </c>
    </row>
    <row r="2032" spans="1:11" ht="42" customHeight="1">
      <c r="A2032" s="2" t="s">
        <v>5596</v>
      </c>
      <c r="B2032" s="2" t="s">
        <v>5597</v>
      </c>
      <c r="C2032" s="2" t="s">
        <v>26</v>
      </c>
      <c r="D2032" s="2" t="s">
        <v>27</v>
      </c>
      <c r="E2032" s="4">
        <v>-31938</v>
      </c>
      <c r="F2032" s="3" t="s">
        <v>324</v>
      </c>
      <c r="G2032" s="3" t="s">
        <v>497</v>
      </c>
      <c r="H2032" s="2" t="s">
        <v>21</v>
      </c>
      <c r="I2032" s="2" t="s">
        <v>5598</v>
      </c>
      <c r="J2032" s="3" t="str">
        <f>HYPERLINK("https://www.boe.es/gazeta/dias/1812/07/21/pdfs/GMD-1812-203.pdf#page=3","Abrir facsímil")</f>
        <v>Abrir facsímil</v>
      </c>
      <c r="K2032" s="3" t="s">
        <v>23</v>
      </c>
    </row>
    <row r="2033" spans="1:11" ht="42" customHeight="1">
      <c r="A2033" s="2" t="s">
        <v>5599</v>
      </c>
      <c r="B2033" s="2" t="s">
        <v>5600</v>
      </c>
      <c r="C2033" s="2" t="s">
        <v>26</v>
      </c>
      <c r="D2033" s="2" t="s">
        <v>27</v>
      </c>
      <c r="E2033" s="4">
        <v>-31938</v>
      </c>
      <c r="F2033" s="3" t="s">
        <v>324</v>
      </c>
      <c r="G2033" s="3" t="s">
        <v>497</v>
      </c>
      <c r="H2033" s="2" t="s">
        <v>21</v>
      </c>
      <c r="I2033" s="2" t="s">
        <v>5601</v>
      </c>
      <c r="J2033" s="3" t="str">
        <f>HYPERLINK("https://www.boe.es/gazeta/dias/1812/07/21/pdfs/GMD-1812-203.pdf#page=3","Abrir facsímil")</f>
        <v>Abrir facsímil</v>
      </c>
      <c r="K2033" s="3" t="s">
        <v>23</v>
      </c>
    </row>
    <row r="2034" spans="1:11" ht="42" customHeight="1">
      <c r="A2034" s="2" t="s">
        <v>5602</v>
      </c>
      <c r="B2034" s="2" t="s">
        <v>5603</v>
      </c>
      <c r="C2034" s="2" t="s">
        <v>26</v>
      </c>
      <c r="D2034" s="2" t="s">
        <v>27</v>
      </c>
      <c r="E2034" s="4">
        <v>-31939</v>
      </c>
      <c r="F2034" s="3" t="s">
        <v>408</v>
      </c>
      <c r="G2034" s="3" t="s">
        <v>20</v>
      </c>
      <c r="H2034" s="2" t="s">
        <v>21</v>
      </c>
      <c r="I2034" s="2" t="s">
        <v>5604</v>
      </c>
      <c r="J2034" s="3" t="str">
        <f>HYPERLINK("https://www.boe.es/gazeta/dias/1812/07/20/pdfs/GMD-1812-202.pdf#page=4","Abrir facsímil")</f>
        <v>Abrir facsímil</v>
      </c>
      <c r="K2034" s="3" t="s">
        <v>23</v>
      </c>
    </row>
    <row r="2035" spans="1:11" ht="42" customHeight="1">
      <c r="A2035" s="2" t="s">
        <v>5605</v>
      </c>
      <c r="B2035" s="2" t="s">
        <v>5606</v>
      </c>
      <c r="C2035" s="2" t="s">
        <v>26</v>
      </c>
      <c r="D2035" s="2" t="s">
        <v>275</v>
      </c>
      <c r="E2035" s="4">
        <v>-32034</v>
      </c>
      <c r="F2035" s="3" t="s">
        <v>28</v>
      </c>
      <c r="G2035" s="3" t="s">
        <v>794</v>
      </c>
      <c r="H2035" s="2" t="s">
        <v>21</v>
      </c>
      <c r="I2035" s="2" t="s">
        <v>5607</v>
      </c>
      <c r="J2035" s="3" t="str">
        <f>HYPERLINK("https://www.boe.es/gazeta/dias/1812/04/16/pdfs/GMD-1812-107.pdf#page=7","Abrir facsímil")</f>
        <v>Abrir facsímil</v>
      </c>
      <c r="K2035" s="3" t="s">
        <v>23</v>
      </c>
    </row>
    <row r="2036" spans="1:11" ht="42" customHeight="1">
      <c r="A2036" s="2" t="s">
        <v>5608</v>
      </c>
      <c r="B2036" s="2" t="s">
        <v>5609</v>
      </c>
      <c r="C2036" s="2" t="s">
        <v>26</v>
      </c>
      <c r="D2036" s="2" t="s">
        <v>573</v>
      </c>
      <c r="E2036" s="4">
        <v>-31900</v>
      </c>
      <c r="F2036" s="3" t="s">
        <v>276</v>
      </c>
      <c r="G2036" s="3" t="s">
        <v>277</v>
      </c>
      <c r="H2036" s="2" t="s">
        <v>21</v>
      </c>
      <c r="I2036" s="2" t="s">
        <v>5610</v>
      </c>
      <c r="J2036" s="3" t="str">
        <f>HYPERLINK("https://www.boe.es/gazeta/dias/1812/08/28/pdfs/GRE-1812-113E.pdf#page=8","Abrir facsímil")</f>
        <v>Abrir facsímil</v>
      </c>
      <c r="K2036" s="3" t="s">
        <v>23</v>
      </c>
    </row>
    <row r="2037" spans="1:11" ht="42" customHeight="1">
      <c r="A2037" s="2" t="s">
        <v>5611</v>
      </c>
      <c r="B2037" s="2" t="s">
        <v>5612</v>
      </c>
      <c r="C2037" s="2" t="s">
        <v>26</v>
      </c>
      <c r="D2037" s="2" t="s">
        <v>27</v>
      </c>
      <c r="E2037" s="4">
        <v>-31885</v>
      </c>
      <c r="F2037" s="3" t="s">
        <v>750</v>
      </c>
      <c r="G2037" s="3" t="s">
        <v>5613</v>
      </c>
      <c r="H2037" s="2" t="s">
        <v>21</v>
      </c>
      <c r="I2037" s="2" t="s">
        <v>5614</v>
      </c>
      <c r="J2037" s="3" t="str">
        <f>HYPERLINK("https://www.boe.es/gazeta/dias/1812/09/12/pdfs/GMR-1812-13.pdf#page=6","Abrir facsímil")</f>
        <v>Abrir facsímil</v>
      </c>
      <c r="K2037" s="3" t="s">
        <v>23</v>
      </c>
    </row>
    <row r="2038" spans="1:11" ht="42" customHeight="1">
      <c r="A2038" s="2" t="s">
        <v>5615</v>
      </c>
      <c r="B2038" s="2" t="s">
        <v>5616</v>
      </c>
      <c r="C2038" s="2" t="s">
        <v>17</v>
      </c>
      <c r="D2038" s="2" t="s">
        <v>27</v>
      </c>
      <c r="E2038" s="4">
        <v>-31982</v>
      </c>
      <c r="F2038" s="3" t="s">
        <v>1630</v>
      </c>
      <c r="G2038" s="3" t="s">
        <v>1631</v>
      </c>
      <c r="H2038" s="2" t="s">
        <v>21</v>
      </c>
      <c r="I2038" s="2" t="s">
        <v>5617</v>
      </c>
      <c r="J2038" s="3" t="str">
        <f>HYPERLINK("https://www.boe.es/gazeta/dias/1812/06/07/pdfs/GMD-1812-159.pdf#page=4","Abrir facsímil")</f>
        <v>Abrir facsímil</v>
      </c>
      <c r="K2038" s="3" t="s">
        <v>23</v>
      </c>
    </row>
    <row r="2039" spans="1:11" ht="42" customHeight="1">
      <c r="A2039" s="2" t="s">
        <v>5618</v>
      </c>
      <c r="B2039" s="2" t="s">
        <v>5619</v>
      </c>
      <c r="C2039" s="2" t="s">
        <v>26</v>
      </c>
      <c r="D2039" s="2" t="s">
        <v>27</v>
      </c>
      <c r="E2039" s="4">
        <v>-31940</v>
      </c>
      <c r="F2039" s="3" t="s">
        <v>187</v>
      </c>
      <c r="G2039" s="3" t="s">
        <v>404</v>
      </c>
      <c r="H2039" s="2" t="s">
        <v>21</v>
      </c>
      <c r="I2039" s="2" t="s">
        <v>5620</v>
      </c>
      <c r="J2039" s="3" t="str">
        <f>HYPERLINK("https://www.boe.es/gazeta/dias/1812/07/19/pdfs/GMD-1812-201.pdf#page=3","Abrir facsímil")</f>
        <v>Abrir facsímil</v>
      </c>
      <c r="K2039" s="3" t="s">
        <v>23</v>
      </c>
    </row>
    <row r="2040" spans="1:11" ht="42" customHeight="1">
      <c r="A2040" s="2" t="s">
        <v>5621</v>
      </c>
      <c r="B2040" s="2" t="s">
        <v>5622</v>
      </c>
      <c r="C2040" s="2" t="s">
        <v>49</v>
      </c>
      <c r="D2040" s="2" t="s">
        <v>27</v>
      </c>
      <c r="E2040" s="4">
        <v>-31964</v>
      </c>
      <c r="F2040" s="3" t="s">
        <v>93</v>
      </c>
      <c r="G2040" s="3" t="s">
        <v>5623</v>
      </c>
      <c r="H2040" s="2" t="s">
        <v>30</v>
      </c>
      <c r="I2040" s="2" t="s">
        <v>5624</v>
      </c>
      <c r="J2040" s="3" t="str">
        <f>HYPERLINK("https://www.boe.es/gazeta/dias/1812/06/25/pdfs/GRE-1812-78.pdf#page=1","Abrir facsímil")</f>
        <v>Abrir facsímil</v>
      </c>
      <c r="K2040" s="3" t="s">
        <v>32</v>
      </c>
    </row>
    <row r="2041" spans="1:11" ht="42" customHeight="1">
      <c r="A2041" s="2" t="s">
        <v>5625</v>
      </c>
      <c r="B2041" s="2" t="s">
        <v>5626</v>
      </c>
      <c r="C2041" s="2" t="s">
        <v>186</v>
      </c>
      <c r="D2041" s="2" t="s">
        <v>27</v>
      </c>
      <c r="E2041" s="4">
        <v>-31885</v>
      </c>
      <c r="F2041" s="3" t="s">
        <v>609</v>
      </c>
      <c r="G2041" s="3" t="s">
        <v>610</v>
      </c>
      <c r="H2041" s="2" t="s">
        <v>21</v>
      </c>
      <c r="I2041" s="2" t="s">
        <v>5627</v>
      </c>
      <c r="J2041" s="3" t="str">
        <f>HYPERLINK("https://www.boe.es/gazeta/dias/1812/09/12/pdfs/GRE-1812-124.pdf#page=2","Abrir facsímil")</f>
        <v>Abrir facsímil</v>
      </c>
      <c r="K2041" s="3" t="s">
        <v>23</v>
      </c>
    </row>
    <row r="2042" spans="1:11" ht="42" customHeight="1">
      <c r="A2042" s="2" t="s">
        <v>5628</v>
      </c>
      <c r="B2042" s="2" t="s">
        <v>5629</v>
      </c>
      <c r="C2042" s="2" t="s">
        <v>115</v>
      </c>
      <c r="D2042" s="2" t="s">
        <v>27</v>
      </c>
      <c r="E2042" s="4">
        <v>-32066</v>
      </c>
      <c r="F2042" s="3" t="s">
        <v>291</v>
      </c>
      <c r="G2042" s="3" t="s">
        <v>125</v>
      </c>
      <c r="H2042" s="2" t="s">
        <v>21</v>
      </c>
      <c r="I2042" s="2" t="s">
        <v>5630</v>
      </c>
      <c r="J2042" s="3" t="str">
        <f>HYPERLINK("https://www.boe.es/gazeta/dias/1812/03/15/pdfs/GMD-1812-75.pdf#page=4","Abrir facsímil")</f>
        <v>Abrir facsímil</v>
      </c>
      <c r="K2042" s="3" t="s">
        <v>23</v>
      </c>
    </row>
    <row r="2043" spans="1:11" ht="42" customHeight="1">
      <c r="A2043" s="2" t="s">
        <v>5631</v>
      </c>
      <c r="B2043" s="2" t="s">
        <v>5632</v>
      </c>
      <c r="C2043" s="2" t="s">
        <v>17</v>
      </c>
      <c r="D2043" s="2" t="s">
        <v>27</v>
      </c>
      <c r="E2043" s="4">
        <v>-31922</v>
      </c>
      <c r="F2043" s="3" t="s">
        <v>622</v>
      </c>
      <c r="G2043" s="3" t="s">
        <v>404</v>
      </c>
      <c r="H2043" s="2" t="s">
        <v>21</v>
      </c>
      <c r="I2043" s="2" t="s">
        <v>5633</v>
      </c>
      <c r="J2043" s="3" t="str">
        <f>HYPERLINK("https://www.boe.es/gazeta/dias/1812/08/06/pdfs/GMD-1812-219.pdf#page=2","Abrir facsímil")</f>
        <v>Abrir facsímil</v>
      </c>
      <c r="K2043" s="3" t="s">
        <v>23</v>
      </c>
    </row>
    <row r="2044" spans="1:11" ht="42" customHeight="1">
      <c r="A2044" s="2" t="s">
        <v>5634</v>
      </c>
      <c r="B2044" s="2" t="s">
        <v>5635</v>
      </c>
      <c r="C2044" s="2" t="s">
        <v>105</v>
      </c>
      <c r="D2044" s="2" t="s">
        <v>275</v>
      </c>
      <c r="E2044" s="4">
        <v>-32034</v>
      </c>
      <c r="F2044" s="3" t="s">
        <v>28</v>
      </c>
      <c r="G2044" s="3" t="s">
        <v>20</v>
      </c>
      <c r="H2044" s="2" t="s">
        <v>21</v>
      </c>
      <c r="I2044" s="2" t="s">
        <v>5636</v>
      </c>
      <c r="J2044" s="3" t="str">
        <f>HYPERLINK("https://www.boe.es/gazeta/dias/1812/04/16/pdfs/GMD-1812-107.pdf#page=3","Abrir facsímil")</f>
        <v>Abrir facsímil</v>
      </c>
      <c r="K2044" s="3" t="s">
        <v>23</v>
      </c>
    </row>
    <row r="2045" spans="1:11" ht="42" customHeight="1">
      <c r="A2045" s="2" t="s">
        <v>5637</v>
      </c>
      <c r="B2045" s="2" t="s">
        <v>5638</v>
      </c>
      <c r="C2045" s="2" t="s">
        <v>26</v>
      </c>
      <c r="D2045" s="2" t="s">
        <v>27</v>
      </c>
      <c r="E2045" s="4">
        <v>-32065</v>
      </c>
      <c r="F2045" s="3" t="s">
        <v>259</v>
      </c>
      <c r="G2045" s="3" t="s">
        <v>20</v>
      </c>
      <c r="H2045" s="2" t="s">
        <v>21</v>
      </c>
      <c r="I2045" s="2" t="s">
        <v>5639</v>
      </c>
      <c r="J2045" s="3" t="str">
        <f>HYPERLINK("https://www.boe.es/gazeta/dias/1812/03/16/pdfs/GMD-1812-76.pdf#page=4","Abrir facsímil")</f>
        <v>Abrir facsímil</v>
      </c>
      <c r="K2045" s="3" t="s">
        <v>23</v>
      </c>
    </row>
    <row r="2046" spans="1:11" ht="42" customHeight="1">
      <c r="A2046" s="2" t="s">
        <v>5640</v>
      </c>
      <c r="B2046" s="2" t="s">
        <v>5641</v>
      </c>
      <c r="C2046" s="2" t="s">
        <v>17</v>
      </c>
      <c r="D2046" s="2" t="s">
        <v>18</v>
      </c>
      <c r="E2046" s="4">
        <v>-32118</v>
      </c>
      <c r="F2046" s="3" t="s">
        <v>964</v>
      </c>
      <c r="G2046" s="3" t="s">
        <v>836</v>
      </c>
      <c r="H2046" s="2" t="s">
        <v>21</v>
      </c>
      <c r="I2046" s="2" t="s">
        <v>5642</v>
      </c>
      <c r="J2046" s="3" t="str">
        <f>HYPERLINK("https://www.boe.es/gazeta/dias/1812/01/23/pdfs/GEI-H-1812-10.pdf#page=2","Abrir facsímil")</f>
        <v>Abrir facsímil</v>
      </c>
      <c r="K2046" s="3" t="s">
        <v>23</v>
      </c>
    </row>
    <row r="2047" spans="1:11" ht="42" customHeight="1">
      <c r="A2047" s="2" t="s">
        <v>5643</v>
      </c>
      <c r="B2047" s="2" t="s">
        <v>5644</v>
      </c>
      <c r="C2047" s="2" t="s">
        <v>26</v>
      </c>
      <c r="D2047" s="2" t="s">
        <v>275</v>
      </c>
      <c r="E2047" s="4">
        <v>-31805</v>
      </c>
      <c r="F2047" s="3" t="s">
        <v>895</v>
      </c>
      <c r="G2047" s="3" t="s">
        <v>896</v>
      </c>
      <c r="H2047" s="2" t="s">
        <v>21</v>
      </c>
      <c r="I2047" s="2" t="s">
        <v>5645</v>
      </c>
      <c r="J2047" s="3" t="str">
        <f>HYPERLINK("https://www.boe.es/gazeta/dias/1812/12/01/pdfs/GMR-1812-39.pdf#page=15","Abrir facsímil")</f>
        <v>Abrir facsímil</v>
      </c>
      <c r="K2047" s="3" t="s">
        <v>23</v>
      </c>
    </row>
    <row r="2048" spans="1:11" ht="42" customHeight="1">
      <c r="A2048" s="2" t="s">
        <v>5646</v>
      </c>
      <c r="B2048" s="2" t="s">
        <v>5647</v>
      </c>
      <c r="C2048" s="2" t="s">
        <v>26</v>
      </c>
      <c r="D2048" s="2" t="s">
        <v>27</v>
      </c>
      <c r="E2048" s="4">
        <v>-31936</v>
      </c>
      <c r="F2048" s="3" t="s">
        <v>603</v>
      </c>
      <c r="G2048" s="3" t="s">
        <v>2410</v>
      </c>
      <c r="H2048" s="2" t="s">
        <v>21</v>
      </c>
      <c r="I2048" s="2" t="s">
        <v>5648</v>
      </c>
      <c r="J2048" s="3" t="str">
        <f>HYPERLINK("https://www.boe.es/gazeta/dias/1812/07/23/pdfs/GMD-1812-205.pdf#page=4","Abrir facsímil")</f>
        <v>Abrir facsímil</v>
      </c>
      <c r="K2048" s="3" t="s">
        <v>23</v>
      </c>
    </row>
    <row r="2049" spans="1:11" ht="42" customHeight="1">
      <c r="A2049" s="2" t="s">
        <v>5649</v>
      </c>
      <c r="B2049" s="2" t="s">
        <v>5650</v>
      </c>
      <c r="C2049" s="2" t="s">
        <v>26</v>
      </c>
      <c r="D2049" s="2" t="s">
        <v>27</v>
      </c>
      <c r="E2049" s="4">
        <v>-31938</v>
      </c>
      <c r="F2049" s="3" t="s">
        <v>324</v>
      </c>
      <c r="G2049" s="3" t="s">
        <v>237</v>
      </c>
      <c r="H2049" s="2" t="s">
        <v>21</v>
      </c>
      <c r="I2049" s="2" t="s">
        <v>5651</v>
      </c>
      <c r="J2049" s="3" t="str">
        <f>HYPERLINK("https://www.boe.es/gazeta/dias/1812/07/21/pdfs/GMD-1812-203.pdf#page=2","Abrir facsímil")</f>
        <v>Abrir facsímil</v>
      </c>
      <c r="K2049" s="3" t="s">
        <v>23</v>
      </c>
    </row>
    <row r="2050" spans="1:11" ht="42" customHeight="1">
      <c r="A2050" s="2" t="s">
        <v>5652</v>
      </c>
      <c r="B2050" s="2" t="s">
        <v>5653</v>
      </c>
      <c r="C2050" s="2" t="s">
        <v>105</v>
      </c>
      <c r="D2050" s="2" t="s">
        <v>27</v>
      </c>
      <c r="E2050" s="4">
        <v>-31775</v>
      </c>
      <c r="F2050" s="3" t="s">
        <v>660</v>
      </c>
      <c r="G2050" s="3" t="s">
        <v>2138</v>
      </c>
      <c r="H2050" s="2" t="s">
        <v>21</v>
      </c>
      <c r="I2050" s="2" t="s">
        <v>5654</v>
      </c>
      <c r="J2050" s="3" t="str">
        <f>HYPERLINK("https://www.boe.es/gazeta/dias/1812/12/31/pdfs/GRE-1812-172.pdf#page=8","Abrir facsímil")</f>
        <v>Abrir facsímil</v>
      </c>
      <c r="K2050" s="3" t="s">
        <v>23</v>
      </c>
    </row>
    <row r="2051" spans="1:11" ht="42" customHeight="1">
      <c r="A2051" s="2" t="s">
        <v>5655</v>
      </c>
      <c r="B2051" s="2" t="s">
        <v>5656</v>
      </c>
      <c r="C2051" s="2" t="s">
        <v>26</v>
      </c>
      <c r="D2051" s="2" t="s">
        <v>27</v>
      </c>
      <c r="E2051" s="4">
        <v>-32053</v>
      </c>
      <c r="F2051" s="3" t="s">
        <v>910</v>
      </c>
      <c r="G2051" s="3" t="s">
        <v>911</v>
      </c>
      <c r="H2051" s="2" t="s">
        <v>21</v>
      </c>
      <c r="I2051" s="2" t="s">
        <v>5657</v>
      </c>
      <c r="J2051" s="3" t="str">
        <f>HYPERLINK("https://www.boe.es/gazeta/dias/1812/03/28/pdfs/GRE-1812-39.pdf#page=8","Abrir facsímil")</f>
        <v>Abrir facsímil</v>
      </c>
      <c r="K2051" s="3" t="s">
        <v>23</v>
      </c>
    </row>
    <row r="2052" spans="1:11" ht="42" customHeight="1">
      <c r="A2052" s="2" t="s">
        <v>5658</v>
      </c>
      <c r="B2052" s="2" t="s">
        <v>5659</v>
      </c>
      <c r="C2052" s="2" t="s">
        <v>49</v>
      </c>
      <c r="D2052" s="2" t="s">
        <v>27</v>
      </c>
      <c r="E2052" s="4">
        <v>-31821</v>
      </c>
      <c r="F2052" s="3" t="s">
        <v>1979</v>
      </c>
      <c r="G2052" s="3" t="s">
        <v>5660</v>
      </c>
      <c r="H2052" s="2" t="s">
        <v>21</v>
      </c>
      <c r="I2052" s="2" t="s">
        <v>5661</v>
      </c>
      <c r="J2052" s="3" t="str">
        <f>HYPERLINK("https://www.boe.es/gazeta/dias/1812/11/15/pdfs/GMR-1812-34.pdf#page=5","Abrir facsímil")</f>
        <v>Abrir facsímil</v>
      </c>
      <c r="K2052" s="3" t="s">
        <v>23</v>
      </c>
    </row>
    <row r="2053" spans="1:11" ht="42" customHeight="1">
      <c r="A2053" s="2" t="s">
        <v>5662</v>
      </c>
      <c r="B2053" s="2" t="s">
        <v>5663</v>
      </c>
      <c r="C2053" s="2" t="s">
        <v>67</v>
      </c>
      <c r="D2053" s="2" t="s">
        <v>27</v>
      </c>
      <c r="E2053" s="4">
        <v>-31861</v>
      </c>
      <c r="F2053" s="3" t="s">
        <v>1080</v>
      </c>
      <c r="G2053" s="3" t="s">
        <v>2401</v>
      </c>
      <c r="H2053" s="2" t="s">
        <v>21</v>
      </c>
      <c r="I2053" s="2" t="s">
        <v>5664</v>
      </c>
      <c r="J2053" s="3" t="str">
        <f>HYPERLINK("https://www.boe.es/gazeta/dias/1812/10/06/pdfs/GMR-1812-23.pdf#page=13","Abrir facsímil")</f>
        <v>Abrir facsímil</v>
      </c>
      <c r="K2053" s="3" t="s">
        <v>23</v>
      </c>
    </row>
    <row r="2054" spans="1:11" ht="42" customHeight="1">
      <c r="A2054" s="2" t="s">
        <v>5662</v>
      </c>
      <c r="B2054" s="2" t="s">
        <v>5663</v>
      </c>
      <c r="C2054" s="2" t="s">
        <v>67</v>
      </c>
      <c r="D2054" s="2" t="s">
        <v>27</v>
      </c>
      <c r="E2054" s="4">
        <v>-31859</v>
      </c>
      <c r="F2054" s="3" t="s">
        <v>158</v>
      </c>
      <c r="G2054" s="3" t="s">
        <v>1497</v>
      </c>
      <c r="H2054" s="2" t="s">
        <v>21</v>
      </c>
      <c r="I2054" s="2" t="s">
        <v>5665</v>
      </c>
      <c r="J2054" s="3" t="str">
        <f>HYPERLINK("https://www.boe.es/gazeta/dias/1812/10/08/pdfs/GMR-1812-24.pdf#page=7","Abrir facsímil")</f>
        <v>Abrir facsímil</v>
      </c>
      <c r="K2054" s="3" t="s">
        <v>23</v>
      </c>
    </row>
    <row r="2055" spans="1:11" ht="42" customHeight="1">
      <c r="A2055" s="2" t="s">
        <v>5662</v>
      </c>
      <c r="B2055" s="2" t="s">
        <v>5663</v>
      </c>
      <c r="C2055" s="2" t="s">
        <v>26</v>
      </c>
      <c r="D2055" s="2" t="s">
        <v>27</v>
      </c>
      <c r="E2055" s="4">
        <v>-31850</v>
      </c>
      <c r="F2055" s="3" t="s">
        <v>719</v>
      </c>
      <c r="G2055" s="3" t="s">
        <v>5666</v>
      </c>
      <c r="H2055" s="2" t="s">
        <v>21</v>
      </c>
      <c r="I2055" s="2" t="s">
        <v>5667</v>
      </c>
      <c r="J2055" s="3" t="str">
        <f>HYPERLINK("https://www.boe.es/gazeta/dias/1812/10/17/pdfs/GMR-1812-28.pdf#page=10","Abrir facsímil")</f>
        <v>Abrir facsímil</v>
      </c>
      <c r="K2055" s="3" t="s">
        <v>23</v>
      </c>
    </row>
    <row r="2056" spans="1:11" ht="42" customHeight="1">
      <c r="A2056" s="2" t="s">
        <v>5668</v>
      </c>
      <c r="B2056" s="2" t="s">
        <v>5669</v>
      </c>
      <c r="C2056" s="2" t="s">
        <v>17</v>
      </c>
      <c r="D2056" s="2" t="s">
        <v>27</v>
      </c>
      <c r="E2056" s="4">
        <v>-31822</v>
      </c>
      <c r="F2056" s="3" t="s">
        <v>541</v>
      </c>
      <c r="G2056" s="3" t="s">
        <v>1459</v>
      </c>
      <c r="H2056" s="2" t="s">
        <v>21</v>
      </c>
      <c r="I2056" s="2" t="s">
        <v>5670</v>
      </c>
      <c r="J2056" s="3" t="str">
        <f>HYPERLINK("https://www.boe.es/gazeta/dias/1812/11/14/pdfs/GRE-1812-152.pdf#page=8","Abrir facsímil")</f>
        <v>Abrir facsímil</v>
      </c>
      <c r="K2056" s="3" t="s">
        <v>23</v>
      </c>
    </row>
    <row r="2057" spans="1:11" ht="42" customHeight="1">
      <c r="A2057" s="2" t="s">
        <v>5671</v>
      </c>
      <c r="B2057" s="2" t="s">
        <v>5672</v>
      </c>
      <c r="C2057" s="2" t="s">
        <v>186</v>
      </c>
      <c r="D2057" s="2" t="s">
        <v>27</v>
      </c>
      <c r="E2057" s="4">
        <v>-32002</v>
      </c>
      <c r="F2057" s="3" t="s">
        <v>619</v>
      </c>
      <c r="G2057" s="3" t="s">
        <v>620</v>
      </c>
      <c r="H2057" s="2" t="s">
        <v>21</v>
      </c>
      <c r="I2057" s="2" t="s">
        <v>5673</v>
      </c>
      <c r="J2057" s="3" t="str">
        <f>HYPERLINK("https://www.boe.es/gazeta/dias/1812/05/18/pdfs/GMD-1812-139.pdf#page=2","Abrir facsímil")</f>
        <v>Abrir facsímil</v>
      </c>
      <c r="K2057" s="3" t="s">
        <v>23</v>
      </c>
    </row>
    <row r="2058" spans="1:11" ht="42" customHeight="1">
      <c r="A2058" s="2" t="s">
        <v>5671</v>
      </c>
      <c r="B2058" s="2" t="s">
        <v>5672</v>
      </c>
      <c r="C2058" s="2" t="s">
        <v>26</v>
      </c>
      <c r="D2058" s="2" t="s">
        <v>27</v>
      </c>
      <c r="E2058" s="4">
        <v>-32000</v>
      </c>
      <c r="F2058" s="3" t="s">
        <v>878</v>
      </c>
      <c r="G2058" s="3" t="s">
        <v>214</v>
      </c>
      <c r="H2058" s="2" t="s">
        <v>21</v>
      </c>
      <c r="I2058" s="2" t="s">
        <v>5674</v>
      </c>
      <c r="J2058" s="3" t="str">
        <f>HYPERLINK("https://www.boe.es/gazeta/dias/1812/05/20/pdfs/GMD-1812-141.pdf#page=2","Abrir facsímil")</f>
        <v>Abrir facsímil</v>
      </c>
      <c r="K2058" s="3" t="s">
        <v>23</v>
      </c>
    </row>
    <row r="2059" spans="1:11" ht="42" customHeight="1">
      <c r="A2059" s="2" t="s">
        <v>5675</v>
      </c>
      <c r="B2059" s="2" t="s">
        <v>5676</v>
      </c>
      <c r="C2059" s="2" t="s">
        <v>26</v>
      </c>
      <c r="D2059" s="2" t="s">
        <v>27</v>
      </c>
      <c r="E2059" s="4">
        <v>-31938</v>
      </c>
      <c r="F2059" s="3" t="s">
        <v>324</v>
      </c>
      <c r="G2059" s="3" t="s">
        <v>404</v>
      </c>
      <c r="H2059" s="2" t="s">
        <v>21</v>
      </c>
      <c r="I2059" s="2" t="s">
        <v>5677</v>
      </c>
      <c r="J2059" s="3" t="str">
        <f>HYPERLINK("https://www.boe.es/gazeta/dias/1812/07/21/pdfs/GMD-1812-203.pdf#page=4","Abrir facsímil")</f>
        <v>Abrir facsímil</v>
      </c>
      <c r="K2059" s="3" t="s">
        <v>23</v>
      </c>
    </row>
    <row r="2060" spans="1:11" ht="42" customHeight="1">
      <c r="A2060" s="2" t="s">
        <v>5678</v>
      </c>
      <c r="B2060" s="2" t="s">
        <v>5679</v>
      </c>
      <c r="C2060" s="2" t="s">
        <v>26</v>
      </c>
      <c r="D2060" s="2" t="s">
        <v>27</v>
      </c>
      <c r="E2060" s="4">
        <v>-31940</v>
      </c>
      <c r="F2060" s="3" t="s">
        <v>187</v>
      </c>
      <c r="G2060" s="3" t="s">
        <v>404</v>
      </c>
      <c r="H2060" s="2" t="s">
        <v>21</v>
      </c>
      <c r="I2060" s="2" t="s">
        <v>5680</v>
      </c>
      <c r="J2060" s="3" t="str">
        <f>HYPERLINK("https://www.boe.es/gazeta/dias/1812/07/19/pdfs/GMD-1812-201.pdf#page=4","Abrir facsímil")</f>
        <v>Abrir facsímil</v>
      </c>
      <c r="K2060" s="3" t="s">
        <v>23</v>
      </c>
    </row>
    <row r="2061" spans="1:11" ht="42" customHeight="1">
      <c r="A2061" s="2" t="s">
        <v>5681</v>
      </c>
      <c r="B2061" s="2" t="s">
        <v>5682</v>
      </c>
      <c r="C2061" s="2" t="s">
        <v>26</v>
      </c>
      <c r="D2061" s="2" t="s">
        <v>27</v>
      </c>
      <c r="E2061" s="4">
        <v>-31940</v>
      </c>
      <c r="F2061" s="3" t="s">
        <v>187</v>
      </c>
      <c r="G2061" s="3" t="s">
        <v>404</v>
      </c>
      <c r="H2061" s="2" t="s">
        <v>21</v>
      </c>
      <c r="I2061" s="2" t="s">
        <v>5683</v>
      </c>
      <c r="J2061" s="3" t="str">
        <f>HYPERLINK("https://www.boe.es/gazeta/dias/1812/07/19/pdfs/GMD-1812-201.pdf#page=3","Abrir facsímil")</f>
        <v>Abrir facsímil</v>
      </c>
      <c r="K2061" s="3" t="s">
        <v>23</v>
      </c>
    </row>
    <row r="2062" spans="1:11" ht="42" customHeight="1">
      <c r="A2062" s="2" t="s">
        <v>5684</v>
      </c>
      <c r="B2062" s="2" t="s">
        <v>5685</v>
      </c>
      <c r="C2062" s="2" t="s">
        <v>17</v>
      </c>
      <c r="D2062" s="2" t="s">
        <v>27</v>
      </c>
      <c r="E2062" s="4">
        <v>-31992</v>
      </c>
      <c r="F2062" s="3" t="s">
        <v>1292</v>
      </c>
      <c r="G2062" s="3" t="s">
        <v>5686</v>
      </c>
      <c r="H2062" s="2" t="s">
        <v>30</v>
      </c>
      <c r="I2062" s="2" t="s">
        <v>5687</v>
      </c>
      <c r="J2062" s="3" t="str">
        <f>HYPERLINK("https://www.boe.es/gazeta/dias/1812/05/28/pdfs/GRE-1812-66.pdf#page=2","Abrir facsímil")</f>
        <v>Abrir facsímil</v>
      </c>
      <c r="K2062" s="3" t="s">
        <v>32</v>
      </c>
    </row>
    <row r="2063" spans="1:11" ht="42" customHeight="1">
      <c r="A2063" s="2" t="s">
        <v>5688</v>
      </c>
      <c r="B2063" s="2" t="s">
        <v>5689</v>
      </c>
      <c r="C2063" s="2" t="s">
        <v>17</v>
      </c>
      <c r="D2063" s="2" t="s">
        <v>27</v>
      </c>
      <c r="E2063" s="4">
        <v>-31964</v>
      </c>
      <c r="F2063" s="3" t="s">
        <v>93</v>
      </c>
      <c r="G2063" s="3" t="s">
        <v>20</v>
      </c>
      <c r="H2063" s="2" t="s">
        <v>30</v>
      </c>
      <c r="I2063" s="2" t="s">
        <v>5690</v>
      </c>
      <c r="J2063" s="3" t="str">
        <f>HYPERLINK("https://www.boe.es/gazeta/dias/1812/06/25/pdfs/GRE-1812-78.pdf#page=2","Abrir facsímil")</f>
        <v>Abrir facsímil</v>
      </c>
      <c r="K2063" s="3" t="s">
        <v>32</v>
      </c>
    </row>
    <row r="2064" spans="1:11" ht="42" customHeight="1">
      <c r="A2064" s="2" t="s">
        <v>5691</v>
      </c>
      <c r="B2064" s="2" t="s">
        <v>5692</v>
      </c>
      <c r="C2064" s="2" t="s">
        <v>17</v>
      </c>
      <c r="D2064" s="2" t="s">
        <v>27</v>
      </c>
      <c r="E2064" s="4">
        <v>-31822</v>
      </c>
      <c r="F2064" s="3" t="s">
        <v>541</v>
      </c>
      <c r="G2064" s="3" t="s">
        <v>1205</v>
      </c>
      <c r="H2064" s="2" t="s">
        <v>30</v>
      </c>
      <c r="I2064" s="2" t="s">
        <v>5693</v>
      </c>
      <c r="J2064" s="3" t="str">
        <f>HYPERLINK("https://www.boe.es/gazeta/dias/1812/11/14/pdfs/GRE-1812-152.pdf#page=5","Abrir facsímil")</f>
        <v>Abrir facsímil</v>
      </c>
      <c r="K2064" s="3" t="s">
        <v>32</v>
      </c>
    </row>
    <row r="2065" spans="1:11" ht="42" customHeight="1">
      <c r="A2065" s="2" t="s">
        <v>5694</v>
      </c>
      <c r="B2065" s="2" t="s">
        <v>5695</v>
      </c>
      <c r="C2065" s="2" t="s">
        <v>26</v>
      </c>
      <c r="D2065" s="2" t="s">
        <v>27</v>
      </c>
      <c r="E2065" s="4">
        <v>-32034</v>
      </c>
      <c r="F2065" s="3" t="s">
        <v>28</v>
      </c>
      <c r="G2065" s="3" t="s">
        <v>29</v>
      </c>
      <c r="H2065" s="2" t="s">
        <v>21</v>
      </c>
      <c r="I2065" s="2" t="s">
        <v>5696</v>
      </c>
      <c r="J2065" s="3" t="str">
        <f>HYPERLINK("https://www.boe.es/gazeta/dias/1812/04/16/pdfs/GMD-1812-107.pdf#page=8","Abrir facsímil")</f>
        <v>Abrir facsímil</v>
      </c>
      <c r="K2065" s="3" t="s">
        <v>23</v>
      </c>
    </row>
    <row r="2066" spans="1:11" ht="42" customHeight="1">
      <c r="A2066" s="2" t="s">
        <v>5697</v>
      </c>
      <c r="B2066" s="2" t="s">
        <v>5698</v>
      </c>
      <c r="C2066" s="2" t="s">
        <v>186</v>
      </c>
      <c r="D2066" s="2" t="s">
        <v>27</v>
      </c>
      <c r="E2066" s="4">
        <v>-32062</v>
      </c>
      <c r="F2066" s="3" t="s">
        <v>280</v>
      </c>
      <c r="G2066" s="3" t="s">
        <v>20</v>
      </c>
      <c r="H2066" s="2" t="s">
        <v>21</v>
      </c>
      <c r="I2066" s="2" t="s">
        <v>5699</v>
      </c>
      <c r="J2066" s="3" t="str">
        <f>HYPERLINK("https://www.boe.es/gazeta/dias/1812/03/19/pdfs/GMD-1812-79.pdf#page=4","Abrir facsímil")</f>
        <v>Abrir facsímil</v>
      </c>
      <c r="K2066" s="3" t="s">
        <v>23</v>
      </c>
    </row>
    <row r="2067" spans="1:11" ht="42" customHeight="1">
      <c r="A2067" s="2" t="s">
        <v>5700</v>
      </c>
      <c r="B2067" s="2" t="s">
        <v>5701</v>
      </c>
      <c r="C2067" s="2" t="s">
        <v>17</v>
      </c>
      <c r="D2067" s="2" t="s">
        <v>18</v>
      </c>
      <c r="E2067" s="4">
        <v>-31854</v>
      </c>
      <c r="F2067" s="3" t="s">
        <v>717</v>
      </c>
      <c r="G2067" s="3" t="s">
        <v>4983</v>
      </c>
      <c r="H2067" s="2" t="s">
        <v>21</v>
      </c>
      <c r="I2067" s="2" t="s">
        <v>5702</v>
      </c>
      <c r="J2067" s="3" t="str">
        <f>HYPERLINK("https://www.boe.es/gazeta/dias/1812/10/13/pdfs/GRE-1812-138.pdf#page=8","Abrir facsímil")</f>
        <v>Abrir facsímil</v>
      </c>
      <c r="K2067" s="3" t="s">
        <v>23</v>
      </c>
    </row>
    <row r="2068" spans="1:11" ht="42" customHeight="1">
      <c r="A2068" s="2" t="s">
        <v>5703</v>
      </c>
      <c r="B2068" s="2" t="s">
        <v>5704</v>
      </c>
      <c r="C2068" s="2" t="s">
        <v>26</v>
      </c>
      <c r="D2068" s="2" t="s">
        <v>134</v>
      </c>
      <c r="E2068" s="4">
        <v>-31983</v>
      </c>
      <c r="F2068" s="3" t="s">
        <v>1437</v>
      </c>
      <c r="G2068" s="3" t="s">
        <v>1438</v>
      </c>
      <c r="H2068" s="2" t="s">
        <v>21</v>
      </c>
      <c r="I2068" s="2" t="s">
        <v>5705</v>
      </c>
      <c r="J2068" s="3" t="str">
        <f>HYPERLINK("https://www.boe.es/gazeta/dias/1812/06/06/pdfs/GRE-F-1812-70.pdf#page=4","Abrir facsímil")</f>
        <v>Abrir facsímil</v>
      </c>
      <c r="K2068" s="3" t="s">
        <v>23</v>
      </c>
    </row>
    <row r="2069" spans="1:11" ht="42" customHeight="1">
      <c r="A2069" s="2" t="s">
        <v>5706</v>
      </c>
      <c r="B2069" s="2" t="s">
        <v>5707</v>
      </c>
      <c r="C2069" s="2" t="s">
        <v>26</v>
      </c>
      <c r="D2069" s="2" t="s">
        <v>27</v>
      </c>
      <c r="E2069" s="4">
        <v>-32044</v>
      </c>
      <c r="F2069" s="3" t="s">
        <v>1031</v>
      </c>
      <c r="G2069" s="3" t="s">
        <v>20</v>
      </c>
      <c r="H2069" s="2" t="s">
        <v>21</v>
      </c>
      <c r="I2069" s="2" t="s">
        <v>5708</v>
      </c>
      <c r="J2069" s="3" t="str">
        <f>HYPERLINK("https://www.boe.es/gazeta/dias/1812/04/06/pdfs/GMD-1812-97.pdf#page=3","Abrir facsímil")</f>
        <v>Abrir facsímil</v>
      </c>
      <c r="K2069" s="3" t="s">
        <v>23</v>
      </c>
    </row>
    <row r="2070" spans="1:11" ht="42" customHeight="1">
      <c r="A2070" s="2" t="s">
        <v>5709</v>
      </c>
      <c r="B2070" s="2" t="s">
        <v>5710</v>
      </c>
      <c r="C2070" s="2" t="s">
        <v>186</v>
      </c>
      <c r="D2070" s="2" t="s">
        <v>27</v>
      </c>
      <c r="E2070" s="4">
        <v>-31945</v>
      </c>
      <c r="F2070" s="3" t="s">
        <v>1485</v>
      </c>
      <c r="G2070" s="3" t="s">
        <v>1486</v>
      </c>
      <c r="H2070" s="2" t="s">
        <v>21</v>
      </c>
      <c r="I2070" s="2" t="s">
        <v>5711</v>
      </c>
      <c r="J2070" s="3" t="str">
        <f>HYPERLINK("https://www.boe.es/gazeta/dias/1812/07/14/pdfs/GRE-1812-88.pdf#page=1","Abrir facsímil")</f>
        <v>Abrir facsímil</v>
      </c>
      <c r="K2070" s="3" t="s">
        <v>23</v>
      </c>
    </row>
    <row r="2071" spans="1:11" ht="42" customHeight="1">
      <c r="A2071" s="2" t="s">
        <v>5712</v>
      </c>
      <c r="B2071" s="2" t="s">
        <v>5713</v>
      </c>
      <c r="C2071" s="2" t="s">
        <v>26</v>
      </c>
      <c r="D2071" s="2" t="s">
        <v>27</v>
      </c>
      <c r="E2071" s="4">
        <v>-31875</v>
      </c>
      <c r="F2071" s="3" t="s">
        <v>110</v>
      </c>
      <c r="G2071" s="3" t="s">
        <v>111</v>
      </c>
      <c r="H2071" s="2" t="s">
        <v>21</v>
      </c>
      <c r="I2071" s="2" t="s">
        <v>5714</v>
      </c>
      <c r="J2071" s="3" t="str">
        <f>HYPERLINK("https://www.boe.es/gazeta/dias/1812/09/22/pdfs/GRE-1812-128.pdf#page=6","Abrir facsímil")</f>
        <v>Abrir facsímil</v>
      </c>
      <c r="K2071" s="3" t="s">
        <v>23</v>
      </c>
    </row>
    <row r="2072" spans="1:11" ht="42" customHeight="1">
      <c r="A2072" s="2" t="s">
        <v>5715</v>
      </c>
      <c r="B2072" s="2" t="s">
        <v>5716</v>
      </c>
      <c r="C2072" s="2" t="s">
        <v>49</v>
      </c>
      <c r="D2072" s="2" t="s">
        <v>27</v>
      </c>
      <c r="E2072" s="4">
        <v>-32002</v>
      </c>
      <c r="F2072" s="3" t="s">
        <v>619</v>
      </c>
      <c r="G2072" s="3" t="s">
        <v>620</v>
      </c>
      <c r="H2072" s="2" t="s">
        <v>21</v>
      </c>
      <c r="I2072" s="2" t="s">
        <v>5717</v>
      </c>
      <c r="J2072" s="3" t="str">
        <f>HYPERLINK("https://www.boe.es/gazeta/dias/1812/05/18/pdfs/GMD-1812-139.pdf#page=2","Abrir facsímil")</f>
        <v>Abrir facsímil</v>
      </c>
      <c r="K2072" s="3" t="s">
        <v>23</v>
      </c>
    </row>
    <row r="2073" spans="1:11" ht="42" customHeight="1">
      <c r="A2073" s="2" t="s">
        <v>5718</v>
      </c>
      <c r="B2073" s="2" t="s">
        <v>5719</v>
      </c>
      <c r="C2073" s="2" t="s">
        <v>49</v>
      </c>
      <c r="D2073" s="2" t="s">
        <v>27</v>
      </c>
      <c r="E2073" s="4">
        <v>-31978</v>
      </c>
      <c r="F2073" s="3" t="s">
        <v>1790</v>
      </c>
      <c r="G2073" s="3" t="s">
        <v>1791</v>
      </c>
      <c r="H2073" s="2" t="s">
        <v>21</v>
      </c>
      <c r="I2073" s="2" t="s">
        <v>5720</v>
      </c>
      <c r="J2073" s="3" t="str">
        <f>HYPERLINK("https://www.boe.es/gazeta/dias/1812/06/11/pdfs/GRE-1812-72.pdf#page=8","Abrir facsímil")</f>
        <v>Abrir facsímil</v>
      </c>
      <c r="K2073" s="3" t="s">
        <v>23</v>
      </c>
    </row>
    <row r="2074" spans="1:11" ht="42" customHeight="1">
      <c r="A2074" s="2" t="s">
        <v>5721</v>
      </c>
      <c r="B2074" s="2" t="s">
        <v>5722</v>
      </c>
      <c r="C2074" s="2" t="s">
        <v>17</v>
      </c>
      <c r="D2074" s="2" t="s">
        <v>18</v>
      </c>
      <c r="E2074" s="4">
        <v>-32095</v>
      </c>
      <c r="F2074" s="3" t="s">
        <v>284</v>
      </c>
      <c r="G2074" s="3" t="s">
        <v>29</v>
      </c>
      <c r="H2074" s="2" t="s">
        <v>21</v>
      </c>
      <c r="I2074" s="2" t="s">
        <v>5723</v>
      </c>
      <c r="J2074" s="3" t="str">
        <f>HYPERLINK("https://www.boe.es/gazeta/dias/1812/02/15/pdfs/GRE-1812-20.pdf#page=8","Abrir facsímil")</f>
        <v>Abrir facsímil</v>
      </c>
      <c r="K2074" s="3" t="s">
        <v>23</v>
      </c>
    </row>
    <row r="2075" spans="1:11" ht="42" customHeight="1">
      <c r="A2075" s="2" t="s">
        <v>5724</v>
      </c>
      <c r="B2075" s="2" t="s">
        <v>5725</v>
      </c>
      <c r="C2075" s="2" t="s">
        <v>186</v>
      </c>
      <c r="D2075" s="2" t="s">
        <v>27</v>
      </c>
      <c r="E2075" s="4">
        <v>-32090</v>
      </c>
      <c r="F2075" s="3" t="s">
        <v>142</v>
      </c>
      <c r="G2075" s="3" t="s">
        <v>29</v>
      </c>
      <c r="H2075" s="2" t="s">
        <v>21</v>
      </c>
      <c r="I2075" s="2" t="s">
        <v>5726</v>
      </c>
      <c r="J2075" s="3" t="str">
        <f>HYPERLINK("https://www.boe.es/gazeta/dias/1812/02/20/pdfs/GRE-1812-22.pdf#page=8","Abrir facsímil")</f>
        <v>Abrir facsímil</v>
      </c>
      <c r="K2075" s="3" t="s">
        <v>23</v>
      </c>
    </row>
    <row r="2076" spans="1:11" ht="42" customHeight="1">
      <c r="A2076" s="2" t="s">
        <v>5727</v>
      </c>
      <c r="B2076" s="2" t="s">
        <v>5728</v>
      </c>
      <c r="C2076" s="2" t="s">
        <v>26</v>
      </c>
      <c r="D2076" s="2" t="s">
        <v>27</v>
      </c>
      <c r="E2076" s="4">
        <v>-31784</v>
      </c>
      <c r="F2076" s="3" t="s">
        <v>1648</v>
      </c>
      <c r="G2076" s="3" t="s">
        <v>1650</v>
      </c>
      <c r="H2076" s="2" t="s">
        <v>21</v>
      </c>
      <c r="I2076" s="2" t="s">
        <v>5729</v>
      </c>
      <c r="J2076" s="3" t="str">
        <f>HYPERLINK("https://www.boe.es/gazeta/dias/1812/12/22/pdfs/GMD-1812-245.pdf#page=4","Abrir facsímil")</f>
        <v>Abrir facsímil</v>
      </c>
      <c r="K2076" s="3" t="s">
        <v>23</v>
      </c>
    </row>
    <row r="2077" spans="1:11" ht="42" customHeight="1">
      <c r="A2077" s="2" t="s">
        <v>5730</v>
      </c>
      <c r="B2077" s="2" t="s">
        <v>5731</v>
      </c>
      <c r="C2077" s="2" t="s">
        <v>26</v>
      </c>
      <c r="D2077" s="2" t="s">
        <v>27</v>
      </c>
      <c r="E2077" s="4">
        <v>-31945</v>
      </c>
      <c r="F2077" s="3" t="s">
        <v>1485</v>
      </c>
      <c r="G2077" s="3" t="s">
        <v>1486</v>
      </c>
      <c r="H2077" s="2" t="s">
        <v>21</v>
      </c>
      <c r="I2077" s="2" t="s">
        <v>5732</v>
      </c>
      <c r="J2077" s="3" t="str">
        <f>HYPERLINK("https://www.boe.es/gazeta/dias/1812/07/14/pdfs/GRE-1812-88.pdf#page=1","Abrir facsímil")</f>
        <v>Abrir facsímil</v>
      </c>
      <c r="K2077" s="3" t="s">
        <v>23</v>
      </c>
    </row>
    <row r="2078" spans="1:11" ht="42" customHeight="1">
      <c r="A2078" s="2" t="s">
        <v>5733</v>
      </c>
      <c r="B2078" s="2" t="s">
        <v>5734</v>
      </c>
      <c r="C2078" s="2" t="s">
        <v>49</v>
      </c>
      <c r="D2078" s="2" t="s">
        <v>18</v>
      </c>
      <c r="E2078" s="4">
        <v>-31857</v>
      </c>
      <c r="F2078" s="3" t="s">
        <v>1000</v>
      </c>
      <c r="G2078" s="3" t="s">
        <v>1001</v>
      </c>
      <c r="H2078" s="2" t="s">
        <v>21</v>
      </c>
      <c r="I2078" s="2" t="s">
        <v>5735</v>
      </c>
      <c r="J2078" s="3" t="str">
        <f>HYPERLINK("https://www.boe.es/gazeta/dias/1812/10/10/pdfs/GRE-1812-137.pdf#page=7","Abrir facsímil")</f>
        <v>Abrir facsímil</v>
      </c>
      <c r="K2078" s="3" t="s">
        <v>23</v>
      </c>
    </row>
    <row r="2079" spans="1:11" ht="42" customHeight="1">
      <c r="A2079" s="2" t="s">
        <v>5736</v>
      </c>
      <c r="B2079" s="2" t="s">
        <v>5737</v>
      </c>
      <c r="C2079" s="2" t="s">
        <v>26</v>
      </c>
      <c r="D2079" s="2" t="s">
        <v>573</v>
      </c>
      <c r="E2079" s="4">
        <v>-31900</v>
      </c>
      <c r="F2079" s="3" t="s">
        <v>276</v>
      </c>
      <c r="G2079" s="3" t="s">
        <v>277</v>
      </c>
      <c r="H2079" s="2" t="s">
        <v>21</v>
      </c>
      <c r="I2079" s="2" t="s">
        <v>5738</v>
      </c>
      <c r="J2079" s="3" t="str">
        <f>HYPERLINK("https://www.boe.es/gazeta/dias/1812/08/28/pdfs/GRE-1812-113E.pdf#page=8","Abrir facsímil")</f>
        <v>Abrir facsímil</v>
      </c>
      <c r="K2079" s="3" t="s">
        <v>23</v>
      </c>
    </row>
    <row r="2080" spans="1:11" ht="42" customHeight="1">
      <c r="A2080" s="2" t="s">
        <v>5739</v>
      </c>
      <c r="B2080" s="2" t="s">
        <v>5740</v>
      </c>
      <c r="C2080" s="2" t="s">
        <v>26</v>
      </c>
      <c r="D2080" s="2" t="s">
        <v>27</v>
      </c>
      <c r="E2080" s="4">
        <v>-32000</v>
      </c>
      <c r="F2080" s="3" t="s">
        <v>878</v>
      </c>
      <c r="G2080" s="3" t="s">
        <v>214</v>
      </c>
      <c r="H2080" s="2" t="s">
        <v>21</v>
      </c>
      <c r="I2080" s="2" t="s">
        <v>5741</v>
      </c>
      <c r="J2080" s="3" t="str">
        <f>HYPERLINK("https://www.boe.es/gazeta/dias/1812/05/20/pdfs/GMD-1812-141.pdf#page=2","Abrir facsímil")</f>
        <v>Abrir facsímil</v>
      </c>
      <c r="K2080" s="3" t="s">
        <v>23</v>
      </c>
    </row>
    <row r="2081" spans="1:11" ht="42" customHeight="1">
      <c r="A2081" s="2" t="s">
        <v>5742</v>
      </c>
      <c r="B2081" s="2" t="s">
        <v>5743</v>
      </c>
      <c r="C2081" s="2" t="s">
        <v>26</v>
      </c>
      <c r="D2081" s="2" t="s">
        <v>27</v>
      </c>
      <c r="E2081" s="4">
        <v>-32000</v>
      </c>
      <c r="F2081" s="3" t="s">
        <v>878</v>
      </c>
      <c r="G2081" s="3" t="s">
        <v>214</v>
      </c>
      <c r="H2081" s="2" t="s">
        <v>21</v>
      </c>
      <c r="I2081" s="2" t="s">
        <v>5744</v>
      </c>
      <c r="J2081" s="3" t="str">
        <f>HYPERLINK("https://www.boe.es/gazeta/dias/1812/05/20/pdfs/GMD-1812-141.pdf#page=2","Abrir facsímil")</f>
        <v>Abrir facsímil</v>
      </c>
      <c r="K2081" s="3" t="s">
        <v>23</v>
      </c>
    </row>
    <row r="2082" spans="1:11" ht="42" customHeight="1">
      <c r="A2082" s="2" t="s">
        <v>5745</v>
      </c>
      <c r="B2082" s="2" t="s">
        <v>5746</v>
      </c>
      <c r="C2082" s="2" t="s">
        <v>26</v>
      </c>
      <c r="D2082" s="2" t="s">
        <v>27</v>
      </c>
      <c r="E2082" s="4">
        <v>-32121</v>
      </c>
      <c r="F2082" s="3" t="s">
        <v>1237</v>
      </c>
      <c r="G2082" s="3" t="s">
        <v>404</v>
      </c>
      <c r="H2082" s="2" t="s">
        <v>21</v>
      </c>
      <c r="I2082" s="2" t="s">
        <v>5747</v>
      </c>
      <c r="J2082" s="3" t="str">
        <f>HYPERLINK("https://www.boe.es/gazeta/dias/1812/01/20/pdfs/GMD-1812-20.pdf#page=4","Abrir facsímil")</f>
        <v>Abrir facsímil</v>
      </c>
      <c r="K2082" s="3" t="s">
        <v>23</v>
      </c>
    </row>
    <row r="2083" spans="1:11" ht="42" customHeight="1">
      <c r="A2083" s="2" t="s">
        <v>5748</v>
      </c>
      <c r="B2083" s="2" t="s">
        <v>5749</v>
      </c>
      <c r="C2083" s="2" t="s">
        <v>26</v>
      </c>
      <c r="D2083" s="2" t="s">
        <v>275</v>
      </c>
      <c r="E2083" s="4">
        <v>-32045</v>
      </c>
      <c r="F2083" s="3" t="s">
        <v>129</v>
      </c>
      <c r="G2083" s="3" t="s">
        <v>130</v>
      </c>
      <c r="H2083" s="2" t="s">
        <v>21</v>
      </c>
      <c r="I2083" s="2" t="s">
        <v>5750</v>
      </c>
      <c r="J2083" s="3" t="str">
        <f>HYPERLINK("https://www.boe.es/gazeta/dias/1812/04/05/pdfs/GMD-1812-96.pdf#page=4","Abrir facsímil")</f>
        <v>Abrir facsímil</v>
      </c>
      <c r="K2083" s="3" t="s">
        <v>23</v>
      </c>
    </row>
    <row r="2084" spans="1:11" ht="42" customHeight="1">
      <c r="A2084" s="2" t="s">
        <v>5751</v>
      </c>
      <c r="B2084" s="2" t="s">
        <v>5752</v>
      </c>
      <c r="C2084" s="2" t="s">
        <v>67</v>
      </c>
      <c r="D2084" s="2" t="s">
        <v>27</v>
      </c>
      <c r="E2084" s="4">
        <v>-31885</v>
      </c>
      <c r="F2084" s="3" t="s">
        <v>750</v>
      </c>
      <c r="G2084" s="3" t="s">
        <v>5613</v>
      </c>
      <c r="H2084" s="2" t="s">
        <v>21</v>
      </c>
      <c r="I2084" s="2" t="s">
        <v>5753</v>
      </c>
      <c r="J2084" s="3" t="str">
        <f>HYPERLINK("https://www.boe.es/gazeta/dias/1812/09/12/pdfs/GMR-1812-13.pdf#page=6","Abrir facsímil")</f>
        <v>Abrir facsímil</v>
      </c>
      <c r="K2084" s="3" t="s">
        <v>23</v>
      </c>
    </row>
    <row r="2085" spans="1:11" ht="42" customHeight="1">
      <c r="A2085" s="2" t="s">
        <v>5754</v>
      </c>
      <c r="B2085" s="2" t="s">
        <v>5755</v>
      </c>
      <c r="C2085" s="2" t="s">
        <v>26</v>
      </c>
      <c r="D2085" s="2" t="s">
        <v>27</v>
      </c>
      <c r="E2085" s="4">
        <v>-32071</v>
      </c>
      <c r="F2085" s="3" t="s">
        <v>3601</v>
      </c>
      <c r="G2085" s="3" t="s">
        <v>2708</v>
      </c>
      <c r="H2085" s="2" t="s">
        <v>21</v>
      </c>
      <c r="I2085" s="2" t="s">
        <v>5756</v>
      </c>
      <c r="J2085" s="3" t="str">
        <f>HYPERLINK("https://www.boe.es/gazeta/dias/1812/03/10/pdfs/GMD-1812-70.pdf#page=4","Abrir facsímil")</f>
        <v>Abrir facsímil</v>
      </c>
      <c r="K2085" s="3" t="s">
        <v>23</v>
      </c>
    </row>
    <row r="2086" spans="1:11" ht="42" customHeight="1">
      <c r="A2086" s="2" t="s">
        <v>5757</v>
      </c>
      <c r="B2086" s="2" t="s">
        <v>5758</v>
      </c>
      <c r="C2086" s="2" t="s">
        <v>17</v>
      </c>
      <c r="D2086" s="2" t="s">
        <v>27</v>
      </c>
      <c r="E2086" s="4">
        <v>-31908</v>
      </c>
      <c r="F2086" s="3" t="s">
        <v>835</v>
      </c>
      <c r="G2086" s="3" t="s">
        <v>5298</v>
      </c>
      <c r="H2086" s="2" t="s">
        <v>21</v>
      </c>
      <c r="I2086" s="2" t="s">
        <v>5759</v>
      </c>
      <c r="J2086" s="3" t="str">
        <f>HYPERLINK("https://www.boe.es/gazeta/dias/1812/08/20/pdfs/GRE-1812-107.pdf#page=5","Abrir facsímil")</f>
        <v>Abrir facsímil</v>
      </c>
      <c r="K2086" s="3" t="s">
        <v>23</v>
      </c>
    </row>
    <row r="2087" spans="1:11" ht="42" customHeight="1">
      <c r="A2087" s="2" t="s">
        <v>5760</v>
      </c>
      <c r="B2087" s="2" t="s">
        <v>5761</v>
      </c>
      <c r="C2087" s="2" t="s">
        <v>17</v>
      </c>
      <c r="D2087" s="2" t="s">
        <v>275</v>
      </c>
      <c r="E2087" s="4">
        <v>-31857</v>
      </c>
      <c r="F2087" s="3" t="s">
        <v>2176</v>
      </c>
      <c r="G2087" s="3" t="s">
        <v>58</v>
      </c>
      <c r="H2087" s="2" t="s">
        <v>21</v>
      </c>
      <c r="I2087" s="2" t="s">
        <v>5762</v>
      </c>
      <c r="J2087" s="3" t="str">
        <f>HYPERLINK("https://www.boe.es/gazeta/dias/1812/10/10/pdfs/GMR-1812-25.pdf#page=4","Abrir facsímil")</f>
        <v>Abrir facsímil</v>
      </c>
      <c r="K2087" s="3" t="s">
        <v>23</v>
      </c>
    </row>
    <row r="2088" spans="1:11" ht="42" customHeight="1">
      <c r="A2088" s="2" t="s">
        <v>5763</v>
      </c>
      <c r="B2088" s="2" t="s">
        <v>5764</v>
      </c>
      <c r="C2088" s="2" t="s">
        <v>26</v>
      </c>
      <c r="D2088" s="2" t="s">
        <v>27</v>
      </c>
      <c r="E2088" s="4">
        <v>-31938</v>
      </c>
      <c r="F2088" s="3" t="s">
        <v>324</v>
      </c>
      <c r="G2088" s="3" t="s">
        <v>237</v>
      </c>
      <c r="H2088" s="2" t="s">
        <v>21</v>
      </c>
      <c r="I2088" s="2" t="s">
        <v>5765</v>
      </c>
      <c r="J2088" s="3" t="str">
        <f>HYPERLINK("https://www.boe.es/gazeta/dias/1812/07/21/pdfs/GMD-1812-203.pdf#page=2","Abrir facsímil")</f>
        <v>Abrir facsímil</v>
      </c>
      <c r="K2088" s="3" t="s">
        <v>23</v>
      </c>
    </row>
    <row r="2089" spans="1:11" ht="42" customHeight="1">
      <c r="A2089" s="2" t="s">
        <v>5766</v>
      </c>
      <c r="B2089" s="2" t="s">
        <v>5767</v>
      </c>
      <c r="C2089" s="2" t="s">
        <v>26</v>
      </c>
      <c r="D2089" s="2" t="s">
        <v>27</v>
      </c>
      <c r="E2089" s="4">
        <v>-31938</v>
      </c>
      <c r="F2089" s="3" t="s">
        <v>324</v>
      </c>
      <c r="G2089" s="3" t="s">
        <v>404</v>
      </c>
      <c r="H2089" s="2" t="s">
        <v>21</v>
      </c>
      <c r="I2089" s="2" t="s">
        <v>5768</v>
      </c>
      <c r="J2089" s="3" t="str">
        <f>HYPERLINK("https://www.boe.es/gazeta/dias/1812/07/21/pdfs/GMD-1812-203.pdf#page=4","Abrir facsímil")</f>
        <v>Abrir facsímil</v>
      </c>
      <c r="K2089" s="3" t="s">
        <v>23</v>
      </c>
    </row>
    <row r="2090" spans="1:11" ht="42" customHeight="1">
      <c r="A2090" s="2" t="s">
        <v>5769</v>
      </c>
      <c r="B2090" s="2" t="s">
        <v>5770</v>
      </c>
      <c r="C2090" s="2" t="s">
        <v>26</v>
      </c>
      <c r="D2090" s="2" t="s">
        <v>27</v>
      </c>
      <c r="E2090" s="4">
        <v>-31938</v>
      </c>
      <c r="F2090" s="3" t="s">
        <v>324</v>
      </c>
      <c r="G2090" s="3" t="s">
        <v>497</v>
      </c>
      <c r="H2090" s="2" t="s">
        <v>21</v>
      </c>
      <c r="I2090" s="2" t="s">
        <v>5771</v>
      </c>
      <c r="J2090" s="3" t="str">
        <f>HYPERLINK("https://www.boe.es/gazeta/dias/1812/07/21/pdfs/GMD-1812-203.pdf#page=3","Abrir facsímil")</f>
        <v>Abrir facsímil</v>
      </c>
      <c r="K2090" s="3" t="s">
        <v>23</v>
      </c>
    </row>
    <row r="2091" spans="1:11" ht="42" customHeight="1">
      <c r="A2091" s="2" t="s">
        <v>5772</v>
      </c>
      <c r="B2091" s="2" t="s">
        <v>5773</v>
      </c>
      <c r="C2091" s="2" t="s">
        <v>49</v>
      </c>
      <c r="D2091" s="2" t="s">
        <v>27</v>
      </c>
      <c r="E2091" s="4">
        <v>-31988</v>
      </c>
      <c r="F2091" s="3" t="s">
        <v>1094</v>
      </c>
      <c r="G2091" s="3" t="s">
        <v>1095</v>
      </c>
      <c r="H2091" s="2" t="s">
        <v>21</v>
      </c>
      <c r="I2091" s="2" t="s">
        <v>5774</v>
      </c>
      <c r="J2091" s="3" t="str">
        <f>HYPERLINK("https://www.boe.es/gazeta/dias/1812/06/01/pdfs/GMD-1812-153.pdf#page=2","Abrir facsímil")</f>
        <v>Abrir facsímil</v>
      </c>
      <c r="K2091" s="3" t="s">
        <v>23</v>
      </c>
    </row>
    <row r="2092" spans="1:11" ht="42" customHeight="1">
      <c r="A2092" s="2" t="s">
        <v>5775</v>
      </c>
      <c r="B2092" s="2" t="s">
        <v>5776</v>
      </c>
      <c r="C2092" s="2" t="s">
        <v>26</v>
      </c>
      <c r="D2092" s="2" t="s">
        <v>27</v>
      </c>
      <c r="E2092" s="4">
        <v>-31939</v>
      </c>
      <c r="F2092" s="3" t="s">
        <v>408</v>
      </c>
      <c r="G2092" s="3" t="s">
        <v>20</v>
      </c>
      <c r="H2092" s="2" t="s">
        <v>21</v>
      </c>
      <c r="I2092" s="2" t="s">
        <v>5777</v>
      </c>
      <c r="J2092" s="3" t="str">
        <f>HYPERLINK("https://www.boe.es/gazeta/dias/1812/07/20/pdfs/GMD-1812-202.pdf#page=4","Abrir facsímil")</f>
        <v>Abrir facsímil</v>
      </c>
      <c r="K2092" s="3" t="s">
        <v>23</v>
      </c>
    </row>
    <row r="2093" spans="1:11" ht="42" customHeight="1">
      <c r="A2093" s="2" t="s">
        <v>5778</v>
      </c>
      <c r="B2093" s="2" t="s">
        <v>5779</v>
      </c>
      <c r="C2093" s="2" t="s">
        <v>26</v>
      </c>
      <c r="D2093" s="2" t="s">
        <v>27</v>
      </c>
      <c r="E2093" s="4">
        <v>-31965</v>
      </c>
      <c r="F2093" s="3" t="s">
        <v>1180</v>
      </c>
      <c r="G2093" s="3" t="s">
        <v>777</v>
      </c>
      <c r="H2093" s="2" t="s">
        <v>21</v>
      </c>
      <c r="I2093" s="2" t="s">
        <v>5780</v>
      </c>
      <c r="J2093" s="3" t="str">
        <f>HYPERLINK("https://www.boe.es/gazeta/dias/1812/06/24/pdfs/GMD-1812-176.pdf#page=2","Abrir facsímil")</f>
        <v>Abrir facsímil</v>
      </c>
      <c r="K2093" s="3" t="s">
        <v>23</v>
      </c>
    </row>
    <row r="2094" spans="1:11" ht="42" customHeight="1">
      <c r="A2094" s="2" t="s">
        <v>5781</v>
      </c>
      <c r="B2094" s="2" t="s">
        <v>5782</v>
      </c>
      <c r="C2094" s="2" t="s">
        <v>17</v>
      </c>
      <c r="D2094" s="2" t="s">
        <v>18</v>
      </c>
      <c r="E2094" s="4">
        <v>-32083</v>
      </c>
      <c r="F2094" s="3" t="s">
        <v>1496</v>
      </c>
      <c r="G2094" s="3" t="s">
        <v>2658</v>
      </c>
      <c r="H2094" s="2" t="s">
        <v>21</v>
      </c>
      <c r="I2094" s="2" t="s">
        <v>5783</v>
      </c>
      <c r="J2094" s="3" t="str">
        <f>HYPERLINK("https://www.boe.es/gazeta/dias/1812/02/27/pdfs/GRE-1812-26.pdf#page=7","Abrir facsímil")</f>
        <v>Abrir facsímil</v>
      </c>
      <c r="K2094" s="3" t="s">
        <v>23</v>
      </c>
    </row>
    <row r="2095" spans="1:11" ht="42" customHeight="1">
      <c r="A2095" s="2" t="s">
        <v>5784</v>
      </c>
      <c r="B2095" s="2" t="s">
        <v>5785</v>
      </c>
      <c r="C2095" s="2" t="s">
        <v>17</v>
      </c>
      <c r="D2095" s="2" t="s">
        <v>27</v>
      </c>
      <c r="E2095" s="4">
        <v>-32036</v>
      </c>
      <c r="F2095" s="3" t="s">
        <v>781</v>
      </c>
      <c r="G2095" s="3" t="s">
        <v>782</v>
      </c>
      <c r="H2095" s="2" t="s">
        <v>21</v>
      </c>
      <c r="I2095" s="2" t="s">
        <v>5786</v>
      </c>
      <c r="J2095" s="3" t="str">
        <f>HYPERLINK("https://www.boe.es/gazeta/dias/1812/04/14/pdfs/GRE-1812-47.pdf#page=8","Abrir facsímil")</f>
        <v>Abrir facsímil</v>
      </c>
      <c r="K2095" s="3" t="s">
        <v>23</v>
      </c>
    </row>
    <row r="2096" spans="1:11" ht="42" customHeight="1">
      <c r="A2096" s="2" t="s">
        <v>5787</v>
      </c>
      <c r="B2096" s="2" t="s">
        <v>5788</v>
      </c>
      <c r="C2096" s="2" t="s">
        <v>549</v>
      </c>
      <c r="D2096" s="2" t="s">
        <v>27</v>
      </c>
      <c r="E2096" s="4">
        <v>-31838</v>
      </c>
      <c r="F2096" s="3" t="s">
        <v>1960</v>
      </c>
      <c r="G2096" s="3" t="s">
        <v>196</v>
      </c>
      <c r="H2096" s="2" t="s">
        <v>21</v>
      </c>
      <c r="I2096" s="2" t="s">
        <v>5789</v>
      </c>
      <c r="J2096" s="3" t="str">
        <f>HYPERLINK("https://www.boe.es/gazeta/dias/1812/10/29/pdfs/GRE-1812-145.pdf#page=8","Abrir facsímil")</f>
        <v>Abrir facsímil</v>
      </c>
      <c r="K2096" s="3" t="s">
        <v>23</v>
      </c>
    </row>
    <row r="2097" spans="1:11" ht="42" customHeight="1">
      <c r="A2097" s="2" t="s">
        <v>5790</v>
      </c>
      <c r="B2097" s="2" t="s">
        <v>5791</v>
      </c>
      <c r="C2097" s="2" t="s">
        <v>105</v>
      </c>
      <c r="D2097" s="2" t="s">
        <v>27</v>
      </c>
      <c r="E2097" s="4">
        <v>-31982</v>
      </c>
      <c r="F2097" s="3" t="s">
        <v>1630</v>
      </c>
      <c r="G2097" s="3" t="s">
        <v>5792</v>
      </c>
      <c r="H2097" s="2" t="s">
        <v>21</v>
      </c>
      <c r="I2097" s="2" t="s">
        <v>5793</v>
      </c>
      <c r="J2097" s="3" t="str">
        <f>HYPERLINK("https://www.boe.es/gazeta/dias/1812/06/07/pdfs/GMD-1812-159.pdf#page=2","Abrir facsímil")</f>
        <v>Abrir facsímil</v>
      </c>
      <c r="K2097" s="3" t="s">
        <v>23</v>
      </c>
    </row>
    <row r="2098" spans="1:11" ht="42" customHeight="1">
      <c r="A2098" s="2" t="s">
        <v>5794</v>
      </c>
      <c r="B2098" s="2" t="s">
        <v>5795</v>
      </c>
      <c r="C2098" s="2" t="s">
        <v>105</v>
      </c>
      <c r="D2098" s="2" t="s">
        <v>27</v>
      </c>
      <c r="E2098" s="4">
        <v>-31944</v>
      </c>
      <c r="F2098" s="3" t="s">
        <v>5796</v>
      </c>
      <c r="G2098" s="3" t="s">
        <v>623</v>
      </c>
      <c r="H2098" s="2" t="s">
        <v>21</v>
      </c>
      <c r="I2098" s="2" t="s">
        <v>5797</v>
      </c>
      <c r="J2098" s="3" t="str">
        <f>HYPERLINK("https://www.boe.es/gazeta/dias/1812/07/15/pdfs/GMD-1812-197.pdf#page=1","Abrir facsímil")</f>
        <v>Abrir facsímil</v>
      </c>
      <c r="K2098" s="3" t="s">
        <v>23</v>
      </c>
    </row>
    <row r="2099" spans="1:11" ht="42" customHeight="1">
      <c r="A2099" s="2" t="s">
        <v>5798</v>
      </c>
      <c r="B2099" s="2" t="s">
        <v>5799</v>
      </c>
      <c r="C2099" s="2" t="s">
        <v>26</v>
      </c>
      <c r="D2099" s="2" t="s">
        <v>27</v>
      </c>
      <c r="E2099" s="4">
        <v>-31913</v>
      </c>
      <c r="F2099" s="3" t="s">
        <v>450</v>
      </c>
      <c r="G2099" s="3" t="s">
        <v>451</v>
      </c>
      <c r="H2099" s="2" t="s">
        <v>21</v>
      </c>
      <c r="I2099" s="2" t="s">
        <v>5800</v>
      </c>
      <c r="J2099" s="3" t="str">
        <f>HYPERLINK("https://www.boe.es/gazeta/dias/1812/08/15/pdfs/GRE-1812-105.pdf#page=8","Abrir facsímil")</f>
        <v>Abrir facsímil</v>
      </c>
      <c r="K2099" s="3" t="s">
        <v>23</v>
      </c>
    </row>
    <row r="2100" spans="1:11" ht="42" customHeight="1">
      <c r="A2100" s="2" t="s">
        <v>5801</v>
      </c>
      <c r="B2100" s="2" t="s">
        <v>5802</v>
      </c>
      <c r="C2100" s="2" t="s">
        <v>49</v>
      </c>
      <c r="D2100" s="2" t="s">
        <v>27</v>
      </c>
      <c r="E2100" s="4">
        <v>-32075</v>
      </c>
      <c r="F2100" s="3" t="s">
        <v>301</v>
      </c>
      <c r="G2100" s="3" t="s">
        <v>20</v>
      </c>
      <c r="H2100" s="2" t="s">
        <v>21</v>
      </c>
      <c r="I2100" s="2" t="s">
        <v>5803</v>
      </c>
      <c r="J2100" s="3" t="str">
        <f>HYPERLINK("https://www.boe.es/gazeta/dias/1812/03/06/pdfs/GMD-1812-66.pdf#page=4","Abrir facsímil")</f>
        <v>Abrir facsímil</v>
      </c>
      <c r="K2100" s="3" t="s">
        <v>23</v>
      </c>
    </row>
    <row r="2101" spans="1:11" ht="42" customHeight="1">
      <c r="A2101" s="2" t="s">
        <v>5804</v>
      </c>
      <c r="B2101" s="2" t="s">
        <v>5805</v>
      </c>
      <c r="C2101" s="2" t="s">
        <v>17</v>
      </c>
      <c r="D2101" s="2" t="s">
        <v>18</v>
      </c>
      <c r="E2101" s="4">
        <v>-31840</v>
      </c>
      <c r="F2101" s="3" t="s">
        <v>2181</v>
      </c>
      <c r="G2101" s="3" t="s">
        <v>1799</v>
      </c>
      <c r="H2101" s="2" t="s">
        <v>21</v>
      </c>
      <c r="I2101" s="2" t="s">
        <v>5806</v>
      </c>
      <c r="J2101" s="3" t="str">
        <f>HYPERLINK("https://www.boe.es/gazeta/dias/1812/10/27/pdfs/GMR-1812-32.pdf#page=12","Abrir facsímil")</f>
        <v>Abrir facsímil</v>
      </c>
      <c r="K2101" s="3" t="s">
        <v>23</v>
      </c>
    </row>
    <row r="2102" spans="1:11" ht="42" customHeight="1">
      <c r="A2102" s="2" t="s">
        <v>5807</v>
      </c>
      <c r="B2102" s="2" t="s">
        <v>5808</v>
      </c>
      <c r="C2102" s="2" t="s">
        <v>26</v>
      </c>
      <c r="D2102" s="2" t="s">
        <v>27</v>
      </c>
      <c r="E2102" s="4">
        <v>-31857</v>
      </c>
      <c r="F2102" s="3" t="s">
        <v>1000</v>
      </c>
      <c r="G2102" s="3" t="s">
        <v>136</v>
      </c>
      <c r="H2102" s="2" t="s">
        <v>21</v>
      </c>
      <c r="I2102" s="2" t="s">
        <v>5809</v>
      </c>
      <c r="J2102" s="3" t="str">
        <f>HYPERLINK("https://www.boe.es/gazeta/dias/1812/10/10/pdfs/GRE-1812-137.pdf#page=8","Abrir facsímil")</f>
        <v>Abrir facsímil</v>
      </c>
      <c r="K2102" s="3" t="s">
        <v>23</v>
      </c>
    </row>
    <row r="2103" spans="1:11" ht="42" customHeight="1">
      <c r="A2103" s="2" t="s">
        <v>5810</v>
      </c>
      <c r="B2103" s="2" t="s">
        <v>5811</v>
      </c>
      <c r="C2103" s="2" t="s">
        <v>26</v>
      </c>
      <c r="D2103" s="2" t="s">
        <v>27</v>
      </c>
      <c r="E2103" s="4">
        <v>-31964</v>
      </c>
      <c r="F2103" s="3" t="s">
        <v>305</v>
      </c>
      <c r="G2103" s="3" t="s">
        <v>306</v>
      </c>
      <c r="H2103" s="2" t="s">
        <v>21</v>
      </c>
      <c r="I2103" s="2" t="s">
        <v>5812</v>
      </c>
      <c r="J2103" s="3" t="str">
        <f>HYPERLINK("https://www.boe.es/gazeta/dias/1812/06/25/pdfs/GMD-1812-177.pdf#page=3","Abrir facsímil")</f>
        <v>Abrir facsímil</v>
      </c>
      <c r="K2103" s="3" t="s">
        <v>23</v>
      </c>
    </row>
    <row r="2104" spans="1:11" ht="42" customHeight="1">
      <c r="A2104" s="2" t="s">
        <v>5813</v>
      </c>
      <c r="B2104" s="2" t="s">
        <v>5814</v>
      </c>
      <c r="C2104" s="2" t="s">
        <v>105</v>
      </c>
      <c r="D2104" s="2" t="s">
        <v>27</v>
      </c>
      <c r="E2104" s="4">
        <v>-31945</v>
      </c>
      <c r="F2104" s="3" t="s">
        <v>1485</v>
      </c>
      <c r="G2104" s="3" t="s">
        <v>159</v>
      </c>
      <c r="H2104" s="2" t="s">
        <v>21</v>
      </c>
      <c r="I2104" s="2" t="s">
        <v>5815</v>
      </c>
      <c r="J2104" s="3" t="str">
        <f>HYPERLINK("https://www.boe.es/gazeta/dias/1812/07/14/pdfs/GRE-1812-88.pdf#page=5","Abrir facsímil")</f>
        <v>Abrir facsímil</v>
      </c>
      <c r="K2104" s="3" t="s">
        <v>23</v>
      </c>
    </row>
    <row r="2105" spans="1:11" ht="42" customHeight="1">
      <c r="A2105" s="2" t="s">
        <v>5816</v>
      </c>
      <c r="B2105" s="2" t="s">
        <v>5817</v>
      </c>
      <c r="C2105" s="2" t="s">
        <v>26</v>
      </c>
      <c r="D2105" s="2" t="s">
        <v>27</v>
      </c>
      <c r="E2105" s="4">
        <v>-31964</v>
      </c>
      <c r="F2105" s="3" t="s">
        <v>305</v>
      </c>
      <c r="G2105" s="3" t="s">
        <v>306</v>
      </c>
      <c r="H2105" s="2" t="s">
        <v>21</v>
      </c>
      <c r="I2105" s="2" t="s">
        <v>5818</v>
      </c>
      <c r="J2105" s="3" t="str">
        <f>HYPERLINK("https://www.boe.es/gazeta/dias/1812/06/25/pdfs/GMD-1812-177.pdf#page=3","Abrir facsímil")</f>
        <v>Abrir facsímil</v>
      </c>
      <c r="K2105" s="3" t="s">
        <v>23</v>
      </c>
    </row>
    <row r="2106" spans="1:11" ht="42" customHeight="1">
      <c r="A2106" s="2" t="s">
        <v>5819</v>
      </c>
      <c r="B2106" s="2" t="s">
        <v>5820</v>
      </c>
      <c r="C2106" s="2" t="s">
        <v>17</v>
      </c>
      <c r="D2106" s="2" t="s">
        <v>27</v>
      </c>
      <c r="E2106" s="4">
        <v>-31962</v>
      </c>
      <c r="F2106" s="3" t="s">
        <v>153</v>
      </c>
      <c r="G2106" s="3" t="s">
        <v>154</v>
      </c>
      <c r="H2106" s="2" t="s">
        <v>21</v>
      </c>
      <c r="I2106" s="2" t="s">
        <v>5821</v>
      </c>
      <c r="J2106" s="3" t="str">
        <f>HYPERLINK("https://www.boe.es/gazeta/dias/1812/06/27/pdfs/GRE-1812-79.pdf#page=8","Abrir facsímil")</f>
        <v>Abrir facsímil</v>
      </c>
      <c r="K2106" s="3" t="s">
        <v>23</v>
      </c>
    </row>
    <row r="2107" spans="1:11" ht="42" customHeight="1">
      <c r="A2107" s="2" t="s">
        <v>5822</v>
      </c>
      <c r="B2107" s="2" t="s">
        <v>5823</v>
      </c>
      <c r="C2107" s="2" t="s">
        <v>26</v>
      </c>
      <c r="D2107" s="2" t="s">
        <v>27</v>
      </c>
      <c r="E2107" s="4">
        <v>-31939</v>
      </c>
      <c r="F2107" s="3" t="s">
        <v>408</v>
      </c>
      <c r="G2107" s="3" t="s">
        <v>20</v>
      </c>
      <c r="H2107" s="2" t="s">
        <v>21</v>
      </c>
      <c r="I2107" s="2" t="s">
        <v>5824</v>
      </c>
      <c r="J2107" s="3" t="str">
        <f>HYPERLINK("https://www.boe.es/gazeta/dias/1812/07/20/pdfs/GMD-1812-202.pdf#page=4","Abrir facsímil")</f>
        <v>Abrir facsímil</v>
      </c>
      <c r="K2107" s="3" t="s">
        <v>23</v>
      </c>
    </row>
    <row r="2108" spans="1:11" ht="42" customHeight="1">
      <c r="A2108" s="2" t="s">
        <v>5825</v>
      </c>
      <c r="B2108" s="2" t="s">
        <v>5826</v>
      </c>
      <c r="C2108" s="2" t="s">
        <v>26</v>
      </c>
      <c r="D2108" s="2" t="s">
        <v>27</v>
      </c>
      <c r="E2108" s="4">
        <v>-31963</v>
      </c>
      <c r="F2108" s="3" t="s">
        <v>171</v>
      </c>
      <c r="G2108" s="3" t="s">
        <v>172</v>
      </c>
      <c r="H2108" s="2" t="s">
        <v>21</v>
      </c>
      <c r="I2108" s="2" t="s">
        <v>5827</v>
      </c>
      <c r="J2108" s="3" t="str">
        <f>HYPERLINK("https://www.boe.es/gazeta/dias/1812/06/26/pdfs/GMD-1812-178.pdf#page=3","Abrir facsímil")</f>
        <v>Abrir facsímil</v>
      </c>
      <c r="K2108" s="3" t="s">
        <v>23</v>
      </c>
    </row>
    <row r="2109" spans="1:11" ht="42" customHeight="1">
      <c r="A2109" s="2" t="s">
        <v>5828</v>
      </c>
      <c r="B2109" s="2" t="s">
        <v>5829</v>
      </c>
      <c r="C2109" s="2" t="s">
        <v>17</v>
      </c>
      <c r="D2109" s="2" t="s">
        <v>27</v>
      </c>
      <c r="E2109" s="4">
        <v>-31857</v>
      </c>
      <c r="F2109" s="3" t="s">
        <v>1000</v>
      </c>
      <c r="G2109" s="3" t="s">
        <v>4086</v>
      </c>
      <c r="H2109" s="2" t="s">
        <v>21</v>
      </c>
      <c r="I2109" s="2" t="s">
        <v>5830</v>
      </c>
      <c r="J2109" s="3" t="str">
        <f>HYPERLINK("https://www.boe.es/gazeta/dias/1812/10/10/pdfs/GRE-1812-137.pdf#page=5","Abrir facsímil")</f>
        <v>Abrir facsímil</v>
      </c>
      <c r="K2109" s="3" t="s">
        <v>23</v>
      </c>
    </row>
    <row r="2110" spans="1:11" ht="42" customHeight="1">
      <c r="A2110" s="2" t="s">
        <v>5831</v>
      </c>
      <c r="B2110" s="2" t="s">
        <v>5832</v>
      </c>
      <c r="C2110" s="2" t="s">
        <v>17</v>
      </c>
      <c r="D2110" s="2" t="s">
        <v>18</v>
      </c>
      <c r="E2110" s="4">
        <v>-32080</v>
      </c>
      <c r="F2110" s="3" t="s">
        <v>4604</v>
      </c>
      <c r="G2110" s="3" t="s">
        <v>965</v>
      </c>
      <c r="H2110" s="2" t="s">
        <v>21</v>
      </c>
      <c r="I2110" s="2" t="s">
        <v>5833</v>
      </c>
      <c r="J2110" s="3" t="str">
        <f>HYPERLINK("https://www.boe.es/gazeta/dias/1812/03/01/pdfs/GMD-1812-61.pdf#page=4","Abrir facsímil")</f>
        <v>Abrir facsímil</v>
      </c>
      <c r="K2110" s="3" t="s">
        <v>23</v>
      </c>
    </row>
    <row r="2111" spans="1:11" ht="42" customHeight="1">
      <c r="A2111" s="2" t="s">
        <v>5834</v>
      </c>
      <c r="B2111" s="2" t="s">
        <v>5835</v>
      </c>
      <c r="C2111" s="2" t="s">
        <v>26</v>
      </c>
      <c r="D2111" s="2" t="s">
        <v>27</v>
      </c>
      <c r="E2111" s="4">
        <v>-31901</v>
      </c>
      <c r="F2111" s="3" t="s">
        <v>590</v>
      </c>
      <c r="G2111" s="3" t="s">
        <v>742</v>
      </c>
      <c r="H2111" s="2" t="s">
        <v>21</v>
      </c>
      <c r="I2111" s="2" t="s">
        <v>5836</v>
      </c>
      <c r="J2111" s="3" t="str">
        <f>HYPERLINK("https://www.boe.es/gazeta/dias/1812/08/27/pdfs/GMR-1812-6.pdf#page=5","Abrir facsímil")</f>
        <v>Abrir facsímil</v>
      </c>
      <c r="K2111" s="3" t="s">
        <v>23</v>
      </c>
    </row>
    <row r="2112" spans="1:11" ht="42" customHeight="1">
      <c r="A2112" s="2" t="s">
        <v>5837</v>
      </c>
      <c r="B2112" s="2" t="s">
        <v>5838</v>
      </c>
      <c r="C2112" s="2" t="s">
        <v>49</v>
      </c>
      <c r="D2112" s="2" t="s">
        <v>27</v>
      </c>
      <c r="E2112" s="4">
        <v>-31857</v>
      </c>
      <c r="F2112" s="3" t="s">
        <v>1000</v>
      </c>
      <c r="G2112" s="3" t="s">
        <v>1001</v>
      </c>
      <c r="H2112" s="2" t="s">
        <v>21</v>
      </c>
      <c r="I2112" s="2" t="s">
        <v>5839</v>
      </c>
      <c r="J2112" s="3" t="str">
        <f>HYPERLINK("https://www.boe.es/gazeta/dias/1812/10/10/pdfs/GRE-1812-137.pdf#page=7","Abrir facsímil")</f>
        <v>Abrir facsímil</v>
      </c>
      <c r="K2112" s="3" t="s">
        <v>23</v>
      </c>
    </row>
    <row r="2113" spans="1:11" ht="42" customHeight="1">
      <c r="A2113" s="2" t="s">
        <v>5840</v>
      </c>
      <c r="B2113" s="2" t="s">
        <v>5841</v>
      </c>
      <c r="C2113" s="2" t="s">
        <v>26</v>
      </c>
      <c r="D2113" s="2" t="s">
        <v>275</v>
      </c>
      <c r="E2113" s="4">
        <v>-31838</v>
      </c>
      <c r="F2113" s="3" t="s">
        <v>1960</v>
      </c>
      <c r="G2113" s="3" t="s">
        <v>196</v>
      </c>
      <c r="H2113" s="2" t="s">
        <v>21</v>
      </c>
      <c r="I2113" s="2" t="s">
        <v>5842</v>
      </c>
      <c r="J2113" s="3" t="str">
        <f>HYPERLINK("https://www.boe.es/gazeta/dias/1812/10/29/pdfs/GRE-1812-145.pdf#page=8","Abrir facsímil")</f>
        <v>Abrir facsímil</v>
      </c>
      <c r="K2113" s="3" t="s">
        <v>23</v>
      </c>
    </row>
    <row r="2114" spans="1:11" ht="42" customHeight="1">
      <c r="A2114" s="2" t="s">
        <v>5843</v>
      </c>
      <c r="B2114" s="2" t="s">
        <v>5844</v>
      </c>
      <c r="C2114" s="2" t="s">
        <v>26</v>
      </c>
      <c r="D2114" s="2" t="s">
        <v>27</v>
      </c>
      <c r="E2114" s="4">
        <v>-31965</v>
      </c>
      <c r="F2114" s="3" t="s">
        <v>1180</v>
      </c>
      <c r="G2114" s="3" t="s">
        <v>777</v>
      </c>
      <c r="H2114" s="2" t="s">
        <v>21</v>
      </c>
      <c r="I2114" s="2" t="s">
        <v>5845</v>
      </c>
      <c r="J2114" s="3" t="str">
        <f>HYPERLINK("https://www.boe.es/gazeta/dias/1812/06/24/pdfs/GMD-1812-176.pdf#page=2","Abrir facsímil")</f>
        <v>Abrir facsímil</v>
      </c>
      <c r="K2114" s="3" t="s">
        <v>23</v>
      </c>
    </row>
    <row r="2115" spans="1:11" ht="42" customHeight="1">
      <c r="A2115" s="2" t="s">
        <v>5846</v>
      </c>
      <c r="B2115" s="2" t="s">
        <v>5847</v>
      </c>
      <c r="C2115" s="2" t="s">
        <v>26</v>
      </c>
      <c r="D2115" s="2" t="s">
        <v>27</v>
      </c>
      <c r="E2115" s="4">
        <v>-31965</v>
      </c>
      <c r="F2115" s="3" t="s">
        <v>1180</v>
      </c>
      <c r="G2115" s="3" t="s">
        <v>777</v>
      </c>
      <c r="H2115" s="2" t="s">
        <v>21</v>
      </c>
      <c r="I2115" s="2" t="s">
        <v>5848</v>
      </c>
      <c r="J2115" s="3" t="str">
        <f>HYPERLINK("https://www.boe.es/gazeta/dias/1812/06/24/pdfs/GMD-1812-176.pdf#page=2","Abrir facsímil")</f>
        <v>Abrir facsímil</v>
      </c>
      <c r="K2115" s="3" t="s">
        <v>23</v>
      </c>
    </row>
    <row r="2116" spans="1:11" ht="42" customHeight="1">
      <c r="A2116" s="2" t="s">
        <v>5849</v>
      </c>
      <c r="B2116" s="2" t="s">
        <v>5850</v>
      </c>
      <c r="C2116" s="2" t="s">
        <v>26</v>
      </c>
      <c r="D2116" s="2" t="s">
        <v>275</v>
      </c>
      <c r="E2116" s="4">
        <v>-31791</v>
      </c>
      <c r="F2116" s="3" t="s">
        <v>905</v>
      </c>
      <c r="G2116" s="3" t="s">
        <v>5851</v>
      </c>
      <c r="H2116" s="2" t="s">
        <v>21</v>
      </c>
      <c r="I2116" s="2" t="s">
        <v>5852</v>
      </c>
      <c r="J2116" s="3" t="str">
        <f>HYPERLINK("https://www.boe.es/gazeta/dias/1812/12/15/pdfs/GRE-1812-165.pdf#page=7","Abrir facsímil")</f>
        <v>Abrir facsímil</v>
      </c>
      <c r="K2116" s="3" t="s">
        <v>23</v>
      </c>
    </row>
    <row r="2117" spans="1:11" ht="42" customHeight="1">
      <c r="A2117" s="2" t="s">
        <v>5853</v>
      </c>
      <c r="B2117" s="2" t="s">
        <v>5854</v>
      </c>
      <c r="C2117" s="2" t="s">
        <v>17</v>
      </c>
      <c r="D2117" s="2" t="s">
        <v>18</v>
      </c>
      <c r="E2117" s="4">
        <v>-31889</v>
      </c>
      <c r="F2117" s="3" t="s">
        <v>699</v>
      </c>
      <c r="G2117" s="3" t="s">
        <v>20</v>
      </c>
      <c r="H2117" s="2" t="s">
        <v>21</v>
      </c>
      <c r="I2117" s="2" t="s">
        <v>5855</v>
      </c>
      <c r="J2117" s="3" t="str">
        <f>HYPERLINK("https://www.boe.es/gazeta/dias/1812/09/08/pdfs/GMR-1812-11.pdf#page=8","Abrir facsímil")</f>
        <v>Abrir facsímil</v>
      </c>
      <c r="K2117" s="3" t="s">
        <v>23</v>
      </c>
    </row>
    <row r="2118" spans="1:11" ht="42" customHeight="1">
      <c r="A2118" s="2" t="s">
        <v>5856</v>
      </c>
      <c r="B2118" s="2" t="s">
        <v>5857</v>
      </c>
      <c r="C2118" s="2" t="s">
        <v>17</v>
      </c>
      <c r="D2118" s="2" t="s">
        <v>27</v>
      </c>
      <c r="E2118" s="4">
        <v>-32109</v>
      </c>
      <c r="F2118" s="3" t="s">
        <v>62</v>
      </c>
      <c r="G2118" s="3" t="s">
        <v>472</v>
      </c>
      <c r="H2118" s="2" t="s">
        <v>21</v>
      </c>
      <c r="I2118" s="2" t="s">
        <v>5858</v>
      </c>
      <c r="J2118" s="3" t="str">
        <f>HYPERLINK("https://www.boe.es/gazeta/dias/1812/02/01/pdfs/GRE-1812-14.pdf#page=12","Abrir facsímil")</f>
        <v>Abrir facsímil</v>
      </c>
      <c r="K2118" s="3" t="s">
        <v>23</v>
      </c>
    </row>
    <row r="2119" spans="1:11" ht="42" customHeight="1">
      <c r="A2119" s="2" t="s">
        <v>5859</v>
      </c>
      <c r="B2119" s="2" t="s">
        <v>5860</v>
      </c>
      <c r="C2119" s="2" t="s">
        <v>17</v>
      </c>
      <c r="D2119" s="2" t="s">
        <v>275</v>
      </c>
      <c r="E2119" s="4">
        <v>-32061</v>
      </c>
      <c r="F2119" s="3" t="s">
        <v>798</v>
      </c>
      <c r="G2119" s="3" t="s">
        <v>36</v>
      </c>
      <c r="H2119" s="2" t="s">
        <v>21</v>
      </c>
      <c r="I2119" s="2" t="s">
        <v>5861</v>
      </c>
      <c r="J2119" s="3" t="str">
        <f>HYPERLINK("https://www.boe.es/gazeta/dias/1812/03/20/pdfs/GMD-1812-80.pdf#page=3","Abrir facsímil")</f>
        <v>Abrir facsímil</v>
      </c>
      <c r="K2119" s="3" t="s">
        <v>23</v>
      </c>
    </row>
    <row r="2120" spans="1:11" ht="42" customHeight="1">
      <c r="A2120" s="2" t="s">
        <v>5862</v>
      </c>
      <c r="B2120" s="2" t="s">
        <v>5863</v>
      </c>
      <c r="C2120" s="2" t="s">
        <v>105</v>
      </c>
      <c r="D2120" s="2" t="s">
        <v>27</v>
      </c>
      <c r="E2120" s="4">
        <v>-32134</v>
      </c>
      <c r="F2120" s="3" t="s">
        <v>50</v>
      </c>
      <c r="G2120" s="3" t="s">
        <v>1650</v>
      </c>
      <c r="H2120" s="2" t="s">
        <v>21</v>
      </c>
      <c r="I2120" s="2" t="s">
        <v>5864</v>
      </c>
      <c r="J2120" s="3" t="str">
        <f>HYPERLINK("https://www.boe.es/gazeta/dias/1812/01/07/pdfs/GEI-1812-3.pdf#page=6","Abrir facsímil")</f>
        <v>Abrir facsímil</v>
      </c>
      <c r="K2120" s="3" t="s">
        <v>23</v>
      </c>
    </row>
    <row r="2121" spans="1:11" ht="42" customHeight="1">
      <c r="A2121" s="2" t="s">
        <v>5865</v>
      </c>
      <c r="B2121" s="2" t="s">
        <v>5866</v>
      </c>
      <c r="C2121" s="2" t="s">
        <v>17</v>
      </c>
      <c r="D2121" s="2" t="s">
        <v>275</v>
      </c>
      <c r="E2121" s="4">
        <v>-31819</v>
      </c>
      <c r="F2121" s="3" t="s">
        <v>1856</v>
      </c>
      <c r="G2121" s="3" t="s">
        <v>29</v>
      </c>
      <c r="H2121" s="2" t="s">
        <v>21</v>
      </c>
      <c r="I2121" s="2" t="s">
        <v>5867</v>
      </c>
      <c r="J2121" s="3" t="str">
        <f>HYPERLINK("https://www.boe.es/gazeta/dias/1812/11/17/pdfs/GMR-1812-35.pdf#page=8","Abrir facsímil")</f>
        <v>Abrir facsímil</v>
      </c>
      <c r="K2121" s="3" t="s">
        <v>23</v>
      </c>
    </row>
    <row r="2122" spans="1:11" ht="42" customHeight="1">
      <c r="A2122" s="2" t="s">
        <v>5868</v>
      </c>
      <c r="B2122" s="2" t="s">
        <v>5869</v>
      </c>
      <c r="C2122" s="2" t="s">
        <v>17</v>
      </c>
      <c r="D2122" s="2" t="s">
        <v>27</v>
      </c>
      <c r="E2122" s="4">
        <v>-32135</v>
      </c>
      <c r="F2122" s="3" t="s">
        <v>4558</v>
      </c>
      <c r="G2122" s="3" t="s">
        <v>1907</v>
      </c>
      <c r="H2122" s="2" t="s">
        <v>21</v>
      </c>
      <c r="I2122" s="2" t="s">
        <v>5870</v>
      </c>
      <c r="J2122" s="3" t="str">
        <f>HYPERLINK("https://www.boe.es/gazeta/dias/1812/01/06/pdfs/GMD-1812-7.pdf#page=4","Abrir facsímil")</f>
        <v>Abrir facsímil</v>
      </c>
      <c r="K2122" s="3" t="s">
        <v>23</v>
      </c>
    </row>
    <row r="2123" spans="1:11" ht="42" customHeight="1">
      <c r="A2123" s="2" t="s">
        <v>5868</v>
      </c>
      <c r="B2123" s="2" t="s">
        <v>5869</v>
      </c>
      <c r="C2123" s="2" t="s">
        <v>17</v>
      </c>
      <c r="D2123" s="2" t="s">
        <v>27</v>
      </c>
      <c r="E2123" s="4">
        <v>-32134</v>
      </c>
      <c r="F2123" s="3" t="s">
        <v>4558</v>
      </c>
      <c r="G2123" s="3" t="s">
        <v>1907</v>
      </c>
      <c r="H2123" s="2" t="s">
        <v>21</v>
      </c>
      <c r="I2123" s="2" t="s">
        <v>5870</v>
      </c>
      <c r="J2123" s="3" t="str">
        <f>HYPERLINK("https://www.boe.es/gazeta/dias/1812/01/07/pdfs/GMD-1812-7.pdf#page=4","Abrir facsímil")</f>
        <v>Abrir facsímil</v>
      </c>
      <c r="K2123" s="3" t="s">
        <v>23</v>
      </c>
    </row>
    <row r="2124" spans="1:11" ht="42" customHeight="1">
      <c r="A2124" s="2" t="s">
        <v>5871</v>
      </c>
      <c r="B2124" s="2" t="s">
        <v>5872</v>
      </c>
      <c r="C2124" s="2" t="s">
        <v>17</v>
      </c>
      <c r="D2124" s="2" t="s">
        <v>18</v>
      </c>
      <c r="E2124" s="4">
        <v>-31822</v>
      </c>
      <c r="F2124" s="3" t="s">
        <v>541</v>
      </c>
      <c r="G2124" s="3" t="s">
        <v>1459</v>
      </c>
      <c r="H2124" s="2" t="s">
        <v>21</v>
      </c>
      <c r="I2124" s="2" t="s">
        <v>5873</v>
      </c>
      <c r="J2124" s="3" t="str">
        <f>HYPERLINK("https://www.boe.es/gazeta/dias/1812/11/14/pdfs/GRE-1812-152.pdf#page=8","Abrir facsímil")</f>
        <v>Abrir facsímil</v>
      </c>
      <c r="K2124" s="3" t="s">
        <v>23</v>
      </c>
    </row>
    <row r="2125" spans="1:11" ht="42" customHeight="1">
      <c r="A2125" s="2" t="s">
        <v>5874</v>
      </c>
      <c r="B2125" s="2" t="s">
        <v>5875</v>
      </c>
      <c r="C2125" s="2" t="s">
        <v>17</v>
      </c>
      <c r="D2125" s="2" t="s">
        <v>27</v>
      </c>
      <c r="E2125" s="4">
        <v>-32108</v>
      </c>
      <c r="F2125" s="3" t="s">
        <v>1143</v>
      </c>
      <c r="G2125" s="3" t="s">
        <v>45</v>
      </c>
      <c r="H2125" s="2" t="s">
        <v>21</v>
      </c>
      <c r="I2125" s="2" t="s">
        <v>5876</v>
      </c>
      <c r="J2125" s="3" t="str">
        <f>HYPERLINK("https://www.boe.es/gazeta/dias/1812/02/02/pdfs/GMD-1812-33.pdf#page=4","Abrir facsímil")</f>
        <v>Abrir facsímil</v>
      </c>
      <c r="K2125" s="3" t="s">
        <v>23</v>
      </c>
    </row>
    <row r="2126" spans="1:11" ht="42" customHeight="1">
      <c r="A2126" s="2" t="s">
        <v>5877</v>
      </c>
      <c r="B2126" s="2" t="s">
        <v>5878</v>
      </c>
      <c r="C2126" s="2" t="s">
        <v>115</v>
      </c>
      <c r="D2126" s="2" t="s">
        <v>27</v>
      </c>
      <c r="E2126" s="4">
        <v>-32066</v>
      </c>
      <c r="F2126" s="3" t="s">
        <v>291</v>
      </c>
      <c r="G2126" s="3" t="s">
        <v>125</v>
      </c>
      <c r="H2126" s="2" t="s">
        <v>21</v>
      </c>
      <c r="I2126" s="2" t="s">
        <v>5879</v>
      </c>
      <c r="J2126" s="3" t="str">
        <f>HYPERLINK("https://www.boe.es/gazeta/dias/1812/03/15/pdfs/GMD-1812-75.pdf#page=4","Abrir facsímil")</f>
        <v>Abrir facsímil</v>
      </c>
      <c r="K2126" s="3" t="s">
        <v>23</v>
      </c>
    </row>
    <row r="2127" spans="1:11" ht="42" customHeight="1">
      <c r="A2127" s="2" t="s">
        <v>5880</v>
      </c>
      <c r="B2127" s="2" t="s">
        <v>5881</v>
      </c>
      <c r="C2127" s="2" t="s">
        <v>26</v>
      </c>
      <c r="D2127" s="2" t="s">
        <v>27</v>
      </c>
      <c r="E2127" s="4">
        <v>-31935</v>
      </c>
      <c r="F2127" s="3" t="s">
        <v>2678</v>
      </c>
      <c r="G2127" s="3" t="s">
        <v>404</v>
      </c>
      <c r="H2127" s="2" t="s">
        <v>21</v>
      </c>
      <c r="I2127" s="2" t="s">
        <v>5882</v>
      </c>
      <c r="J2127" s="3" t="str">
        <f>HYPERLINK("https://www.boe.es/gazeta/dias/1812/07/24/pdfs/GMD-1812-206.pdf#page=1","Abrir facsímil")</f>
        <v>Abrir facsímil</v>
      </c>
      <c r="K2127" s="3" t="s">
        <v>23</v>
      </c>
    </row>
    <row r="2128" spans="1:11" ht="42" customHeight="1">
      <c r="A2128" s="2" t="s">
        <v>5883</v>
      </c>
      <c r="B2128" s="2" t="s">
        <v>5884</v>
      </c>
      <c r="C2128" s="2" t="s">
        <v>105</v>
      </c>
      <c r="D2128" s="2" t="s">
        <v>27</v>
      </c>
      <c r="E2128" s="4">
        <v>-31996</v>
      </c>
      <c r="F2128" s="3" t="s">
        <v>3706</v>
      </c>
      <c r="G2128" s="3" t="s">
        <v>2539</v>
      </c>
      <c r="H2128" s="2" t="s">
        <v>21</v>
      </c>
      <c r="I2128" s="2" t="s">
        <v>5885</v>
      </c>
      <c r="J2128" s="3" t="str">
        <f>HYPERLINK("https://www.boe.es/gazeta/dias/1812/05/24/pdfs/GMD-1812-145.pdf#page=2","Abrir facsímil")</f>
        <v>Abrir facsímil</v>
      </c>
      <c r="K2128" s="3" t="s">
        <v>23</v>
      </c>
    </row>
    <row r="2129" spans="1:11" ht="42" customHeight="1">
      <c r="A2129" s="2" t="s">
        <v>5886</v>
      </c>
      <c r="B2129" s="2" t="s">
        <v>5887</v>
      </c>
      <c r="C2129" s="2" t="s">
        <v>49</v>
      </c>
      <c r="D2129" s="2" t="s">
        <v>27</v>
      </c>
      <c r="E2129" s="4">
        <v>-31857</v>
      </c>
      <c r="F2129" s="3" t="s">
        <v>2176</v>
      </c>
      <c r="G2129" s="3" t="s">
        <v>217</v>
      </c>
      <c r="H2129" s="2" t="s">
        <v>21</v>
      </c>
      <c r="I2129" s="2" t="s">
        <v>5888</v>
      </c>
      <c r="J2129" s="3" t="str">
        <f>HYPERLINK("https://www.boe.es/gazeta/dias/1812/10/10/pdfs/GMR-1812-25.pdf#page=7","Abrir facsímil")</f>
        <v>Abrir facsímil</v>
      </c>
      <c r="K2129" s="3" t="s">
        <v>23</v>
      </c>
    </row>
    <row r="2130" spans="1:11" ht="42" customHeight="1">
      <c r="A2130" s="2" t="s">
        <v>5889</v>
      </c>
      <c r="B2130" s="2" t="s">
        <v>5890</v>
      </c>
      <c r="C2130" s="2" t="s">
        <v>186</v>
      </c>
      <c r="D2130" s="2" t="s">
        <v>27</v>
      </c>
      <c r="E2130" s="4">
        <v>-32011</v>
      </c>
      <c r="F2130" s="3" t="s">
        <v>1656</v>
      </c>
      <c r="G2130" s="3" t="s">
        <v>777</v>
      </c>
      <c r="H2130" s="2" t="s">
        <v>21</v>
      </c>
      <c r="I2130" s="2" t="s">
        <v>5891</v>
      </c>
      <c r="J2130" s="3" t="str">
        <f>HYPERLINK("https://www.boe.es/gazeta/dias/1812/05/09/pdfs/GMD-1812-130.pdf#page=2","Abrir facsímil")</f>
        <v>Abrir facsímil</v>
      </c>
      <c r="K2130" s="3" t="s">
        <v>23</v>
      </c>
    </row>
    <row r="2131" spans="1:11" ht="42" customHeight="1">
      <c r="A2131" s="2" t="s">
        <v>5892</v>
      </c>
      <c r="B2131" s="2" t="s">
        <v>5893</v>
      </c>
      <c r="C2131" s="2" t="s">
        <v>17</v>
      </c>
      <c r="D2131" s="2" t="s">
        <v>27</v>
      </c>
      <c r="E2131" s="4">
        <v>-31976</v>
      </c>
      <c r="F2131" s="3" t="s">
        <v>54</v>
      </c>
      <c r="G2131" s="3" t="s">
        <v>1335</v>
      </c>
      <c r="H2131" s="2" t="s">
        <v>21</v>
      </c>
      <c r="I2131" s="2" t="s">
        <v>5894</v>
      </c>
      <c r="J2131" s="3" t="str">
        <f>HYPERLINK("https://www.boe.es/gazeta/dias/1812/06/13/pdfs/GRE-1812-73.pdf#page=7","Abrir facsímil")</f>
        <v>Abrir facsímil</v>
      </c>
      <c r="K2131" s="3" t="s">
        <v>23</v>
      </c>
    </row>
    <row r="2132" spans="1:11" ht="42" customHeight="1">
      <c r="A2132" s="2" t="s">
        <v>5895</v>
      </c>
      <c r="B2132" s="2" t="s">
        <v>5896</v>
      </c>
      <c r="C2132" s="2" t="s">
        <v>67</v>
      </c>
      <c r="D2132" s="2" t="s">
        <v>27</v>
      </c>
      <c r="E2132" s="4">
        <v>-32066</v>
      </c>
      <c r="F2132" s="3" t="s">
        <v>291</v>
      </c>
      <c r="G2132" s="3" t="s">
        <v>125</v>
      </c>
      <c r="H2132" s="2" t="s">
        <v>21</v>
      </c>
      <c r="I2132" s="2" t="s">
        <v>5897</v>
      </c>
      <c r="J2132" s="3" t="str">
        <f>HYPERLINK("https://www.boe.es/gazeta/dias/1812/03/15/pdfs/GMD-1812-75.pdf#page=4","Abrir facsímil")</f>
        <v>Abrir facsímil</v>
      </c>
      <c r="K2132" s="3" t="s">
        <v>23</v>
      </c>
    </row>
    <row r="2133" spans="1:11" ht="42" customHeight="1">
      <c r="A2133" s="2" t="s">
        <v>5898</v>
      </c>
      <c r="B2133" s="2" t="s">
        <v>5899</v>
      </c>
      <c r="C2133" s="2" t="s">
        <v>17</v>
      </c>
      <c r="D2133" s="2" t="s">
        <v>18</v>
      </c>
      <c r="E2133" s="4">
        <v>-31822</v>
      </c>
      <c r="F2133" s="3" t="s">
        <v>541</v>
      </c>
      <c r="G2133" s="3" t="s">
        <v>1459</v>
      </c>
      <c r="H2133" s="2" t="s">
        <v>21</v>
      </c>
      <c r="I2133" s="2" t="s">
        <v>5900</v>
      </c>
      <c r="J2133" s="3" t="str">
        <f>HYPERLINK("https://www.boe.es/gazeta/dias/1812/11/14/pdfs/GRE-1812-152.pdf#page=8","Abrir facsímil")</f>
        <v>Abrir facsímil</v>
      </c>
      <c r="K2133" s="3" t="s">
        <v>23</v>
      </c>
    </row>
    <row r="2134" spans="1:11" ht="42" customHeight="1">
      <c r="A2134" s="2" t="s">
        <v>5901</v>
      </c>
      <c r="B2134" s="2" t="s">
        <v>5902</v>
      </c>
      <c r="C2134" s="2" t="s">
        <v>26</v>
      </c>
      <c r="D2134" s="2" t="s">
        <v>275</v>
      </c>
      <c r="E2134" s="4">
        <v>-31964</v>
      </c>
      <c r="F2134" s="3" t="s">
        <v>305</v>
      </c>
      <c r="G2134" s="3" t="s">
        <v>58</v>
      </c>
      <c r="H2134" s="2" t="s">
        <v>21</v>
      </c>
      <c r="I2134" s="2" t="s">
        <v>5903</v>
      </c>
      <c r="J2134" s="3" t="str">
        <f>HYPERLINK("https://www.boe.es/gazeta/dias/1812/06/25/pdfs/GMD-1812-177.pdf#page=2","Abrir facsímil")</f>
        <v>Abrir facsímil</v>
      </c>
      <c r="K2134" s="3" t="s">
        <v>23</v>
      </c>
    </row>
    <row r="2135" spans="1:11" ht="42" customHeight="1">
      <c r="A2135" s="2" t="s">
        <v>5904</v>
      </c>
      <c r="B2135" s="2" t="s">
        <v>5905</v>
      </c>
      <c r="C2135" s="2" t="s">
        <v>26</v>
      </c>
      <c r="D2135" s="2" t="s">
        <v>27</v>
      </c>
      <c r="E2135" s="4">
        <v>-31913</v>
      </c>
      <c r="F2135" s="3" t="s">
        <v>450</v>
      </c>
      <c r="G2135" s="3" t="s">
        <v>451</v>
      </c>
      <c r="H2135" s="2" t="s">
        <v>21</v>
      </c>
      <c r="I2135" s="2" t="s">
        <v>5906</v>
      </c>
      <c r="J2135" s="3" t="str">
        <f>HYPERLINK("https://www.boe.es/gazeta/dias/1812/08/15/pdfs/GRE-1812-105.pdf#page=8","Abrir facsímil")</f>
        <v>Abrir facsímil</v>
      </c>
      <c r="K2135" s="3" t="s">
        <v>23</v>
      </c>
    </row>
    <row r="2136" spans="1:11" ht="42" customHeight="1">
      <c r="A2136" s="2" t="s">
        <v>5907</v>
      </c>
      <c r="B2136" s="2" t="s">
        <v>5908</v>
      </c>
      <c r="C2136" s="2" t="s">
        <v>26</v>
      </c>
      <c r="D2136" s="2" t="s">
        <v>27</v>
      </c>
      <c r="E2136" s="4">
        <v>-32000</v>
      </c>
      <c r="F2136" s="3" t="s">
        <v>878</v>
      </c>
      <c r="G2136" s="3" t="s">
        <v>214</v>
      </c>
      <c r="H2136" s="2" t="s">
        <v>21</v>
      </c>
      <c r="I2136" s="2" t="s">
        <v>5909</v>
      </c>
      <c r="J2136" s="3" t="str">
        <f>HYPERLINK("https://www.boe.es/gazeta/dias/1812/05/20/pdfs/GMD-1812-141.pdf#page=2","Abrir facsímil")</f>
        <v>Abrir facsímil</v>
      </c>
      <c r="K2136" s="3" t="s">
        <v>23</v>
      </c>
    </row>
    <row r="2137" spans="1:11" ht="42" customHeight="1">
      <c r="A2137" s="2" t="s">
        <v>5910</v>
      </c>
      <c r="B2137" s="2" t="s">
        <v>5911</v>
      </c>
      <c r="C2137" s="2" t="s">
        <v>17</v>
      </c>
      <c r="D2137" s="2" t="s">
        <v>18</v>
      </c>
      <c r="E2137" s="4">
        <v>-32006</v>
      </c>
      <c r="F2137" s="3" t="s">
        <v>1153</v>
      </c>
      <c r="G2137" s="3" t="s">
        <v>5912</v>
      </c>
      <c r="H2137" s="2" t="s">
        <v>21</v>
      </c>
      <c r="I2137" s="2" t="s">
        <v>5913</v>
      </c>
      <c r="J2137" s="3" t="str">
        <f>HYPERLINK("https://www.boe.es/gazeta/dias/1812/05/14/pdfs/GMD-1812-135.pdf#page=1","Abrir facsímil")</f>
        <v>Abrir facsímil</v>
      </c>
      <c r="K2137" s="3" t="s">
        <v>23</v>
      </c>
    </row>
    <row r="2138" spans="1:11" ht="42" customHeight="1">
      <c r="A2138" s="2" t="s">
        <v>5914</v>
      </c>
      <c r="B2138" s="2" t="s">
        <v>5915</v>
      </c>
      <c r="C2138" s="2" t="s">
        <v>26</v>
      </c>
      <c r="D2138" s="2" t="s">
        <v>275</v>
      </c>
      <c r="E2138" s="4">
        <v>-32106</v>
      </c>
      <c r="F2138" s="3" t="s">
        <v>5916</v>
      </c>
      <c r="G2138" s="3" t="s">
        <v>196</v>
      </c>
      <c r="H2138" s="2" t="s">
        <v>21</v>
      </c>
      <c r="I2138" s="2" t="s">
        <v>5917</v>
      </c>
      <c r="J2138" s="3" t="str">
        <f>HYPERLINK("https://www.boe.es/gazeta/dias/1812/02/04/pdfs/GMD-1812-35.pdf#page=1","Abrir facsímil")</f>
        <v>Abrir facsímil</v>
      </c>
      <c r="K2138" s="3" t="s">
        <v>23</v>
      </c>
    </row>
    <row r="2139" spans="1:11" ht="42" customHeight="1">
      <c r="A2139" s="2" t="s">
        <v>5918</v>
      </c>
      <c r="B2139" s="2" t="s">
        <v>5919</v>
      </c>
      <c r="C2139" s="2" t="s">
        <v>26</v>
      </c>
      <c r="D2139" s="2" t="s">
        <v>27</v>
      </c>
      <c r="E2139" s="4">
        <v>-32066</v>
      </c>
      <c r="F2139" s="3" t="s">
        <v>291</v>
      </c>
      <c r="G2139" s="3" t="s">
        <v>125</v>
      </c>
      <c r="H2139" s="2" t="s">
        <v>21</v>
      </c>
      <c r="I2139" s="2" t="s">
        <v>5920</v>
      </c>
      <c r="J2139" s="3" t="str">
        <f>HYPERLINK("https://www.boe.es/gazeta/dias/1812/03/15/pdfs/GMD-1812-75.pdf#page=4","Abrir facsímil")</f>
        <v>Abrir facsímil</v>
      </c>
      <c r="K2139" s="3" t="s">
        <v>23</v>
      </c>
    </row>
    <row r="2140" spans="1:11" ht="42" customHeight="1">
      <c r="A2140" s="2" t="s">
        <v>5921</v>
      </c>
      <c r="B2140" s="2" t="s">
        <v>5922</v>
      </c>
      <c r="C2140" s="2" t="s">
        <v>26</v>
      </c>
      <c r="D2140" s="2" t="s">
        <v>27</v>
      </c>
      <c r="E2140" s="4">
        <v>-31938</v>
      </c>
      <c r="F2140" s="3" t="s">
        <v>324</v>
      </c>
      <c r="G2140" s="3" t="s">
        <v>497</v>
      </c>
      <c r="H2140" s="2" t="s">
        <v>21</v>
      </c>
      <c r="I2140" s="2" t="s">
        <v>5923</v>
      </c>
      <c r="J2140" s="3" t="str">
        <f>HYPERLINK("https://www.boe.es/gazeta/dias/1812/07/21/pdfs/GMD-1812-203.pdf#page=3","Abrir facsímil")</f>
        <v>Abrir facsímil</v>
      </c>
      <c r="K2140" s="3" t="s">
        <v>23</v>
      </c>
    </row>
    <row r="2141" spans="1:11" ht="42" customHeight="1">
      <c r="A2141" s="2" t="s">
        <v>5924</v>
      </c>
      <c r="B2141" s="2" t="s">
        <v>5925</v>
      </c>
      <c r="C2141" s="2" t="s">
        <v>26</v>
      </c>
      <c r="D2141" s="2" t="s">
        <v>27</v>
      </c>
      <c r="E2141" s="4">
        <v>-31938</v>
      </c>
      <c r="F2141" s="3" t="s">
        <v>324</v>
      </c>
      <c r="G2141" s="3" t="s">
        <v>237</v>
      </c>
      <c r="H2141" s="2" t="s">
        <v>21</v>
      </c>
      <c r="I2141" s="2" t="s">
        <v>5926</v>
      </c>
      <c r="J2141" s="3" t="str">
        <f>HYPERLINK("https://www.boe.es/gazeta/dias/1812/07/21/pdfs/GMD-1812-203.pdf#page=2","Abrir facsímil")</f>
        <v>Abrir facsímil</v>
      </c>
      <c r="K2141" s="3" t="s">
        <v>23</v>
      </c>
    </row>
    <row r="2142" spans="1:11" ht="42" customHeight="1">
      <c r="A2142" s="2" t="s">
        <v>5927</v>
      </c>
      <c r="B2142" s="2" t="s">
        <v>5928</v>
      </c>
      <c r="C2142" s="2" t="s">
        <v>26</v>
      </c>
      <c r="D2142" s="2" t="s">
        <v>27</v>
      </c>
      <c r="E2142" s="4">
        <v>-31864</v>
      </c>
      <c r="F2142" s="3" t="s">
        <v>3014</v>
      </c>
      <c r="G2142" s="3" t="s">
        <v>5929</v>
      </c>
      <c r="H2142" s="2" t="s">
        <v>21</v>
      </c>
      <c r="I2142" s="2" t="s">
        <v>5930</v>
      </c>
      <c r="J2142" s="3" t="str">
        <f>HYPERLINK("https://www.boe.es/gazeta/dias/1812/10/03/pdfs/GRE-1812-134.pdf#page=8","Abrir facsímil")</f>
        <v>Abrir facsímil</v>
      </c>
      <c r="K2142" s="3" t="s">
        <v>23</v>
      </c>
    </row>
    <row r="2143" spans="1:11" ht="42" customHeight="1">
      <c r="A2143" s="2" t="s">
        <v>5931</v>
      </c>
      <c r="B2143" s="2" t="s">
        <v>5932</v>
      </c>
      <c r="C2143" s="2" t="s">
        <v>26</v>
      </c>
      <c r="D2143" s="2" t="s">
        <v>27</v>
      </c>
      <c r="E2143" s="4">
        <v>-32044</v>
      </c>
      <c r="F2143" s="3" t="s">
        <v>1031</v>
      </c>
      <c r="G2143" s="3" t="s">
        <v>20</v>
      </c>
      <c r="H2143" s="2" t="s">
        <v>21</v>
      </c>
      <c r="I2143" s="2" t="s">
        <v>5933</v>
      </c>
      <c r="J2143" s="3" t="str">
        <f>HYPERLINK("https://www.boe.es/gazeta/dias/1812/04/06/pdfs/GMD-1812-97.pdf#page=3","Abrir facsímil")</f>
        <v>Abrir facsímil</v>
      </c>
      <c r="K2143" s="3" t="s">
        <v>23</v>
      </c>
    </row>
    <row r="2144" spans="1:11" ht="42" customHeight="1">
      <c r="A2144" s="2" t="s">
        <v>5934</v>
      </c>
      <c r="B2144" s="2" t="s">
        <v>5935</v>
      </c>
      <c r="C2144" s="2" t="s">
        <v>26</v>
      </c>
      <c r="D2144" s="2" t="s">
        <v>27</v>
      </c>
      <c r="E2144" s="4">
        <v>-32085</v>
      </c>
      <c r="F2144" s="3" t="s">
        <v>3321</v>
      </c>
      <c r="G2144" s="3" t="s">
        <v>688</v>
      </c>
      <c r="H2144" s="2" t="s">
        <v>30</v>
      </c>
      <c r="I2144" s="2" t="s">
        <v>5936</v>
      </c>
      <c r="J2144" s="3" t="str">
        <f>HYPERLINK("https://www.boe.es/gazeta/dias/1812/02/25/pdfs/GRE-1812-25.pdf#page=4","Abrir facsímil")</f>
        <v>Abrir facsímil</v>
      </c>
      <c r="K2144" s="3" t="s">
        <v>32</v>
      </c>
    </row>
    <row r="2145" spans="1:11" ht="42" customHeight="1">
      <c r="A2145" s="2" t="s">
        <v>5937</v>
      </c>
      <c r="B2145" s="2" t="s">
        <v>5938</v>
      </c>
      <c r="C2145" s="2" t="s">
        <v>26</v>
      </c>
      <c r="D2145" s="2" t="s">
        <v>134</v>
      </c>
      <c r="E2145" s="4">
        <v>-31983</v>
      </c>
      <c r="F2145" s="3" t="s">
        <v>1437</v>
      </c>
      <c r="G2145" s="3" t="s">
        <v>1438</v>
      </c>
      <c r="H2145" s="2" t="s">
        <v>21</v>
      </c>
      <c r="I2145" s="2" t="s">
        <v>5939</v>
      </c>
      <c r="J2145" s="3" t="str">
        <f>HYPERLINK("https://www.boe.es/gazeta/dias/1812/06/06/pdfs/GRE-F-1812-70.pdf#page=4","Abrir facsímil")</f>
        <v>Abrir facsímil</v>
      </c>
      <c r="K2145" s="3" t="s">
        <v>23</v>
      </c>
    </row>
    <row r="2146" spans="1:11" ht="42" customHeight="1">
      <c r="A2146" s="2" t="s">
        <v>5940</v>
      </c>
      <c r="B2146" s="2" t="s">
        <v>5941</v>
      </c>
      <c r="C2146" s="2" t="s">
        <v>17</v>
      </c>
      <c r="D2146" s="2" t="s">
        <v>275</v>
      </c>
      <c r="E2146" s="4">
        <v>-31780</v>
      </c>
      <c r="F2146" s="3" t="s">
        <v>4192</v>
      </c>
      <c r="G2146" s="3" t="s">
        <v>130</v>
      </c>
      <c r="H2146" s="2" t="s">
        <v>21</v>
      </c>
      <c r="I2146" s="2" t="s">
        <v>5942</v>
      </c>
      <c r="J2146" s="3" t="str">
        <f>HYPERLINK("https://www.boe.es/gazeta/dias/1812/12/26/pdfs/GMD-1812-249.pdf#page=4","Abrir facsímil")</f>
        <v>Abrir facsímil</v>
      </c>
      <c r="K2146" s="3" t="s">
        <v>23</v>
      </c>
    </row>
    <row r="2147" spans="1:11" ht="42" customHeight="1">
      <c r="A2147" s="2" t="s">
        <v>5943</v>
      </c>
      <c r="B2147" s="2" t="s">
        <v>5944</v>
      </c>
      <c r="C2147" s="2" t="s">
        <v>105</v>
      </c>
      <c r="D2147" s="2" t="s">
        <v>27</v>
      </c>
      <c r="E2147" s="4">
        <v>-31980</v>
      </c>
      <c r="F2147" s="3" t="s">
        <v>40</v>
      </c>
      <c r="G2147" s="3" t="s">
        <v>41</v>
      </c>
      <c r="H2147" s="2" t="s">
        <v>21</v>
      </c>
      <c r="I2147" s="2" t="s">
        <v>5945</v>
      </c>
      <c r="J2147" s="3" t="str">
        <f>HYPERLINK("https://www.boe.es/gazeta/dias/1812/06/09/pdfs/GRE-1812-71.pdf#page=6","Abrir facsímil")</f>
        <v>Abrir facsímil</v>
      </c>
      <c r="K2147" s="3" t="s">
        <v>23</v>
      </c>
    </row>
    <row r="2148" spans="1:11" ht="42" customHeight="1">
      <c r="A2148" s="2" t="s">
        <v>5946</v>
      </c>
      <c r="B2148" s="2" t="s">
        <v>5947</v>
      </c>
      <c r="C2148" s="2" t="s">
        <v>17</v>
      </c>
      <c r="D2148" s="2" t="s">
        <v>27</v>
      </c>
      <c r="E2148" s="4">
        <v>-32134</v>
      </c>
      <c r="F2148" s="3" t="s">
        <v>50</v>
      </c>
      <c r="G2148" s="3" t="s">
        <v>2262</v>
      </c>
      <c r="H2148" s="2" t="s">
        <v>21</v>
      </c>
      <c r="I2148" s="2" t="s">
        <v>5948</v>
      </c>
      <c r="J2148" s="3" t="str">
        <f>HYPERLINK("https://www.boe.es/gazeta/dias/1812/01/07/pdfs/GEI-1812-3.pdf#page=5","Abrir facsímil")</f>
        <v>Abrir facsímil</v>
      </c>
      <c r="K2148" s="3" t="s">
        <v>23</v>
      </c>
    </row>
    <row r="2149" spans="1:11" ht="42" customHeight="1">
      <c r="A2149" s="2" t="s">
        <v>5949</v>
      </c>
      <c r="B2149" s="2" t="s">
        <v>5950</v>
      </c>
      <c r="C2149" s="2" t="s">
        <v>26</v>
      </c>
      <c r="D2149" s="2" t="s">
        <v>27</v>
      </c>
      <c r="E2149" s="4">
        <v>-32137</v>
      </c>
      <c r="F2149" s="3" t="s">
        <v>355</v>
      </c>
      <c r="G2149" s="3" t="s">
        <v>117</v>
      </c>
      <c r="H2149" s="2" t="s">
        <v>21</v>
      </c>
      <c r="I2149" s="2" t="s">
        <v>5951</v>
      </c>
      <c r="J2149" s="3" t="str">
        <f>HYPERLINK("https://www.boe.es/gazeta/dias/1812/01/04/pdfs/GEI-1812-2.pdf#page=8","Abrir facsímil")</f>
        <v>Abrir facsímil</v>
      </c>
      <c r="K2149" s="3" t="s">
        <v>23</v>
      </c>
    </row>
    <row r="2150" spans="1:11" ht="42" customHeight="1">
      <c r="A2150" s="2" t="s">
        <v>5949</v>
      </c>
      <c r="B2150" s="2" t="s">
        <v>5950</v>
      </c>
      <c r="C2150" s="2" t="s">
        <v>26</v>
      </c>
      <c r="D2150" s="2" t="s">
        <v>27</v>
      </c>
      <c r="E2150" s="4">
        <v>-31980</v>
      </c>
      <c r="F2150" s="3" t="s">
        <v>40</v>
      </c>
      <c r="G2150" s="3" t="s">
        <v>41</v>
      </c>
      <c r="H2150" s="2" t="s">
        <v>21</v>
      </c>
      <c r="I2150" s="2" t="s">
        <v>5952</v>
      </c>
      <c r="J2150" s="3" t="str">
        <f>HYPERLINK("https://www.boe.es/gazeta/dias/1812/06/09/pdfs/GRE-1812-71.pdf#page=6","Abrir facsímil")</f>
        <v>Abrir facsímil</v>
      </c>
      <c r="K2150" s="3" t="s">
        <v>23</v>
      </c>
    </row>
    <row r="2151" spans="1:11" ht="42" customHeight="1">
      <c r="A2151" s="2" t="s">
        <v>5953</v>
      </c>
      <c r="B2151" s="2" t="s">
        <v>5954</v>
      </c>
      <c r="C2151" s="2" t="s">
        <v>17</v>
      </c>
      <c r="D2151" s="2" t="s">
        <v>18</v>
      </c>
      <c r="E2151" s="4">
        <v>-32111</v>
      </c>
      <c r="F2151" s="3" t="s">
        <v>951</v>
      </c>
      <c r="G2151" s="3" t="s">
        <v>45</v>
      </c>
      <c r="H2151" s="2" t="s">
        <v>21</v>
      </c>
      <c r="I2151" s="2" t="s">
        <v>5955</v>
      </c>
      <c r="J2151" s="3" t="str">
        <f>HYPERLINK("https://www.boe.es/gazeta/dias/1812/01/30/pdfs/GMD-1812-30.pdf#page=4","Abrir facsímil")</f>
        <v>Abrir facsímil</v>
      </c>
      <c r="K2151" s="3" t="s">
        <v>23</v>
      </c>
    </row>
    <row r="2152" spans="1:11" ht="42" customHeight="1">
      <c r="A2152" s="2" t="s">
        <v>5956</v>
      </c>
      <c r="B2152" s="2" t="s">
        <v>5957</v>
      </c>
      <c r="C2152" s="2" t="s">
        <v>17</v>
      </c>
      <c r="D2152" s="2" t="s">
        <v>27</v>
      </c>
      <c r="E2152" s="4">
        <v>-32006</v>
      </c>
      <c r="F2152" s="3" t="s">
        <v>190</v>
      </c>
      <c r="G2152" s="3" t="s">
        <v>36</v>
      </c>
      <c r="H2152" s="2" t="s">
        <v>21</v>
      </c>
      <c r="I2152" s="2" t="s">
        <v>5958</v>
      </c>
      <c r="J2152" s="3" t="str">
        <f>HYPERLINK("https://www.boe.es/gazeta/dias/1812/05/14/pdfs/GRE-1812-60.pdf#page=3","Abrir facsímil")</f>
        <v>Abrir facsímil</v>
      </c>
      <c r="K2152" s="3" t="s">
        <v>23</v>
      </c>
    </row>
    <row r="2153" spans="1:11" ht="42" customHeight="1">
      <c r="A2153" s="2" t="s">
        <v>5959</v>
      </c>
      <c r="B2153" s="2" t="s">
        <v>5960</v>
      </c>
      <c r="C2153" s="2" t="s">
        <v>26</v>
      </c>
      <c r="D2153" s="2" t="s">
        <v>27</v>
      </c>
      <c r="E2153" s="4">
        <v>-31896</v>
      </c>
      <c r="F2153" s="3" t="s">
        <v>1808</v>
      </c>
      <c r="G2153" s="3" t="s">
        <v>214</v>
      </c>
      <c r="H2153" s="2" t="s">
        <v>21</v>
      </c>
      <c r="I2153" s="2" t="s">
        <v>5961</v>
      </c>
      <c r="J2153" s="3" t="str">
        <f>HYPERLINK("https://www.boe.es/gazeta/dias/1812/09/01/pdfs/GMR-1812-8.pdf#page=7","Abrir facsímil")</f>
        <v>Abrir facsímil</v>
      </c>
      <c r="K2153" s="3" t="s">
        <v>23</v>
      </c>
    </row>
    <row r="2154" spans="1:11" ht="42" customHeight="1">
      <c r="A2154" s="2" t="s">
        <v>5962</v>
      </c>
      <c r="B2154" s="2" t="s">
        <v>5963</v>
      </c>
      <c r="C2154" s="2" t="s">
        <v>17</v>
      </c>
      <c r="D2154" s="2" t="s">
        <v>27</v>
      </c>
      <c r="E2154" s="4">
        <v>-31917</v>
      </c>
      <c r="F2154" s="3" t="s">
        <v>946</v>
      </c>
      <c r="G2154" s="3" t="s">
        <v>947</v>
      </c>
      <c r="H2154" s="2" t="s">
        <v>21</v>
      </c>
      <c r="I2154" s="2" t="s">
        <v>5964</v>
      </c>
      <c r="J2154" s="3" t="str">
        <f>HYPERLINK("https://www.boe.es/gazeta/dias/1812/08/11/pdfs/GRE-1812-103.pdf#page=8","Abrir facsímil")</f>
        <v>Abrir facsímil</v>
      </c>
      <c r="K2154" s="3" t="s">
        <v>23</v>
      </c>
    </row>
    <row r="2155" spans="1:11" ht="42" customHeight="1">
      <c r="A2155" s="2" t="s">
        <v>5965</v>
      </c>
      <c r="B2155" s="2" t="s">
        <v>5966</v>
      </c>
      <c r="C2155" s="2" t="s">
        <v>26</v>
      </c>
      <c r="D2155" s="2" t="s">
        <v>27</v>
      </c>
      <c r="E2155" s="4">
        <v>-32034</v>
      </c>
      <c r="F2155" s="3" t="s">
        <v>28</v>
      </c>
      <c r="G2155" s="3" t="s">
        <v>29</v>
      </c>
      <c r="H2155" s="2" t="s">
        <v>21</v>
      </c>
      <c r="I2155" s="2" t="s">
        <v>5967</v>
      </c>
      <c r="J2155" s="3" t="str">
        <f>HYPERLINK("https://www.boe.es/gazeta/dias/1812/04/16/pdfs/GMD-1812-107.pdf#page=8","Abrir facsímil")</f>
        <v>Abrir facsímil</v>
      </c>
      <c r="K2155" s="3" t="s">
        <v>23</v>
      </c>
    </row>
    <row r="2156" spans="1:11" ht="42" customHeight="1">
      <c r="A2156" s="2" t="s">
        <v>5968</v>
      </c>
      <c r="B2156" s="2" t="s">
        <v>5969</v>
      </c>
      <c r="C2156" s="2" t="s">
        <v>26</v>
      </c>
      <c r="D2156" s="2" t="s">
        <v>27</v>
      </c>
      <c r="E2156" s="4">
        <v>-31822</v>
      </c>
      <c r="F2156" s="3" t="s">
        <v>541</v>
      </c>
      <c r="G2156" s="3" t="s">
        <v>214</v>
      </c>
      <c r="H2156" s="2" t="s">
        <v>21</v>
      </c>
      <c r="I2156" s="2" t="s">
        <v>5970</v>
      </c>
      <c r="J2156" s="3" t="str">
        <f>HYPERLINK("https://www.boe.es/gazeta/dias/1812/11/14/pdfs/GRE-1812-152.pdf#page=3","Abrir facsímil")</f>
        <v>Abrir facsímil</v>
      </c>
      <c r="K2156" s="3" t="s">
        <v>23</v>
      </c>
    </row>
    <row r="2157" spans="1:11" ht="42" customHeight="1">
      <c r="A2157" s="2" t="s">
        <v>5971</v>
      </c>
      <c r="B2157" s="2" t="s">
        <v>5972</v>
      </c>
      <c r="C2157" s="2" t="s">
        <v>26</v>
      </c>
      <c r="D2157" s="2" t="s">
        <v>27</v>
      </c>
      <c r="E2157" s="4">
        <v>-32044</v>
      </c>
      <c r="F2157" s="3" t="s">
        <v>1031</v>
      </c>
      <c r="G2157" s="3" t="s">
        <v>20</v>
      </c>
      <c r="H2157" s="2" t="s">
        <v>21</v>
      </c>
      <c r="I2157" s="2" t="s">
        <v>5973</v>
      </c>
      <c r="J2157" s="3" t="str">
        <f>HYPERLINK("https://www.boe.es/gazeta/dias/1812/04/06/pdfs/GMD-1812-97.pdf#page=3","Abrir facsímil")</f>
        <v>Abrir facsímil</v>
      </c>
      <c r="K2157" s="3" t="s">
        <v>23</v>
      </c>
    </row>
    <row r="2158" spans="1:11" ht="42" customHeight="1">
      <c r="A2158" s="2" t="s">
        <v>5974</v>
      </c>
      <c r="B2158" s="2" t="s">
        <v>5975</v>
      </c>
      <c r="C2158" s="2" t="s">
        <v>26</v>
      </c>
      <c r="D2158" s="2" t="s">
        <v>27</v>
      </c>
      <c r="E2158" s="4">
        <v>-31838</v>
      </c>
      <c r="F2158" s="3" t="s">
        <v>1452</v>
      </c>
      <c r="G2158" s="3" t="s">
        <v>29</v>
      </c>
      <c r="H2158" s="2" t="s">
        <v>21</v>
      </c>
      <c r="I2158" s="2" t="s">
        <v>5976</v>
      </c>
      <c r="J2158" s="3" t="str">
        <f>HYPERLINK("https://www.boe.es/gazeta/dias/1812/10/29/pdfs/GMR-1812-33.pdf#page=8","Abrir facsímil")</f>
        <v>Abrir facsímil</v>
      </c>
      <c r="K2158" s="3" t="s">
        <v>23</v>
      </c>
    </row>
    <row r="2159" spans="1:11" ht="42" customHeight="1">
      <c r="A2159" s="2" t="s">
        <v>5977</v>
      </c>
      <c r="B2159" s="2" t="s">
        <v>5978</v>
      </c>
      <c r="C2159" s="2" t="s">
        <v>26</v>
      </c>
      <c r="D2159" s="2" t="s">
        <v>27</v>
      </c>
      <c r="E2159" s="4">
        <v>-32137</v>
      </c>
      <c r="F2159" s="3" t="s">
        <v>355</v>
      </c>
      <c r="G2159" s="3" t="s">
        <v>117</v>
      </c>
      <c r="H2159" s="2" t="s">
        <v>21</v>
      </c>
      <c r="I2159" s="2" t="s">
        <v>5979</v>
      </c>
      <c r="J2159" s="3" t="str">
        <f>HYPERLINK("https://www.boe.es/gazeta/dias/1812/01/04/pdfs/GEI-1812-2.pdf#page=8","Abrir facsímil")</f>
        <v>Abrir facsímil</v>
      </c>
      <c r="K2159" s="3" t="s">
        <v>23</v>
      </c>
    </row>
    <row r="2160" spans="1:11" ht="42" customHeight="1">
      <c r="A2160" s="2" t="s">
        <v>5980</v>
      </c>
      <c r="B2160" s="2" t="s">
        <v>5981</v>
      </c>
      <c r="C2160" s="2" t="s">
        <v>17</v>
      </c>
      <c r="D2160" s="2" t="s">
        <v>18</v>
      </c>
      <c r="E2160" s="4">
        <v>-31900</v>
      </c>
      <c r="F2160" s="3" t="s">
        <v>276</v>
      </c>
      <c r="G2160" s="3" t="s">
        <v>794</v>
      </c>
      <c r="H2160" s="2" t="s">
        <v>21</v>
      </c>
      <c r="I2160" s="2" t="s">
        <v>5982</v>
      </c>
      <c r="J2160" s="3" t="str">
        <f>HYPERLINK("https://www.boe.es/gazeta/dias/1812/08/28/pdfs/GRE-1812-113E.pdf#page=7","Abrir facsímil")</f>
        <v>Abrir facsímil</v>
      </c>
      <c r="K2160" s="3" t="s">
        <v>23</v>
      </c>
    </row>
    <row r="2161" spans="1:11" ht="42" customHeight="1">
      <c r="A2161" s="2" t="s">
        <v>5983</v>
      </c>
      <c r="B2161" s="2" t="s">
        <v>5984</v>
      </c>
      <c r="C2161" s="2" t="s">
        <v>26</v>
      </c>
      <c r="D2161" s="2" t="s">
        <v>27</v>
      </c>
      <c r="E2161" s="4">
        <v>-31871</v>
      </c>
      <c r="F2161" s="3" t="s">
        <v>5985</v>
      </c>
      <c r="G2161" s="3" t="s">
        <v>5986</v>
      </c>
      <c r="H2161" s="2" t="s">
        <v>21</v>
      </c>
      <c r="I2161" s="2" t="s">
        <v>5987</v>
      </c>
      <c r="J2161" s="3" t="str">
        <f>HYPERLINK("https://www.boe.es/gazeta/dias/1812/09/26/pdfs/GRE-1812-131.pdf#page=8","Abrir facsímil")</f>
        <v>Abrir facsímil</v>
      </c>
      <c r="K2161" s="3" t="s">
        <v>23</v>
      </c>
    </row>
    <row r="2162" spans="1:11" ht="42" customHeight="1">
      <c r="A2162" s="2" t="s">
        <v>5988</v>
      </c>
      <c r="B2162" s="2" t="s">
        <v>5989</v>
      </c>
      <c r="C2162" s="2" t="s">
        <v>17</v>
      </c>
      <c r="D2162" s="2" t="s">
        <v>18</v>
      </c>
      <c r="E2162" s="4">
        <v>-32006</v>
      </c>
      <c r="F2162" s="3" t="s">
        <v>190</v>
      </c>
      <c r="G2162" s="3" t="s">
        <v>36</v>
      </c>
      <c r="H2162" s="2" t="s">
        <v>21</v>
      </c>
      <c r="I2162" s="2" t="s">
        <v>5990</v>
      </c>
      <c r="J2162" s="3" t="str">
        <f>HYPERLINK("https://www.boe.es/gazeta/dias/1812/05/14/pdfs/GRE-1812-60.pdf#page=3","Abrir facsímil")</f>
        <v>Abrir facsímil</v>
      </c>
      <c r="K2162" s="3" t="s">
        <v>23</v>
      </c>
    </row>
    <row r="2163" spans="1:11" ht="42" customHeight="1">
      <c r="A2163" s="2" t="s">
        <v>5988</v>
      </c>
      <c r="B2163" s="2" t="s">
        <v>5989</v>
      </c>
      <c r="C2163" s="2" t="s">
        <v>26</v>
      </c>
      <c r="D2163" s="2" t="s">
        <v>27</v>
      </c>
      <c r="E2163" s="4">
        <v>-31927</v>
      </c>
      <c r="F2163" s="3" t="s">
        <v>1160</v>
      </c>
      <c r="G2163" s="3" t="s">
        <v>20</v>
      </c>
      <c r="H2163" s="2" t="s">
        <v>21</v>
      </c>
      <c r="I2163" s="2" t="s">
        <v>5991</v>
      </c>
      <c r="J2163" s="3" t="str">
        <f>HYPERLINK("https://www.boe.es/gazeta/dias/1812/08/01/pdfs/GRE-1812-97.pdf#page=6","Abrir facsímil")</f>
        <v>Abrir facsímil</v>
      </c>
      <c r="K2163" s="3" t="s">
        <v>23</v>
      </c>
    </row>
    <row r="2164" spans="1:11" ht="42" customHeight="1">
      <c r="A2164" s="2" t="s">
        <v>5988</v>
      </c>
      <c r="B2164" s="2" t="s">
        <v>5989</v>
      </c>
      <c r="C2164" s="2" t="s">
        <v>17</v>
      </c>
      <c r="D2164" s="2" t="s">
        <v>27</v>
      </c>
      <c r="E2164" s="4">
        <v>-31878</v>
      </c>
      <c r="F2164" s="3" t="s">
        <v>2891</v>
      </c>
      <c r="G2164" s="3" t="s">
        <v>2892</v>
      </c>
      <c r="H2164" s="2" t="s">
        <v>21</v>
      </c>
      <c r="I2164" s="2" t="s">
        <v>5992</v>
      </c>
      <c r="J2164" s="3" t="str">
        <f>HYPERLINK("https://www.boe.es/gazeta/dias/1812/09/19/pdfs/GRE-1812-127.pdf#page=3","Abrir facsímil")</f>
        <v>Abrir facsímil</v>
      </c>
      <c r="K2164" s="3" t="s">
        <v>23</v>
      </c>
    </row>
    <row r="2165" spans="1:11" ht="42" customHeight="1">
      <c r="A2165" s="2" t="s">
        <v>5993</v>
      </c>
      <c r="B2165" s="2" t="s">
        <v>5994</v>
      </c>
      <c r="C2165" s="2" t="s">
        <v>105</v>
      </c>
      <c r="D2165" s="2" t="s">
        <v>27</v>
      </c>
      <c r="E2165" s="4">
        <v>-32139</v>
      </c>
      <c r="F2165" s="3" t="s">
        <v>518</v>
      </c>
      <c r="G2165" s="3" t="s">
        <v>125</v>
      </c>
      <c r="H2165" s="2" t="s">
        <v>21</v>
      </c>
      <c r="I2165" s="2" t="s">
        <v>5995</v>
      </c>
      <c r="J2165" s="3" t="str">
        <f>HYPERLINK("https://www.boe.es/gazeta/dias/1812/01/02/pdfs/GEI-1812-1.pdf#page=8","Abrir facsímil")</f>
        <v>Abrir facsímil</v>
      </c>
      <c r="K2165" s="3" t="s">
        <v>23</v>
      </c>
    </row>
    <row r="2166" spans="1:11" ht="42" customHeight="1">
      <c r="A2166" s="2" t="s">
        <v>5996</v>
      </c>
      <c r="B2166" s="2" t="s">
        <v>5997</v>
      </c>
      <c r="C2166" s="2" t="s">
        <v>549</v>
      </c>
      <c r="D2166" s="2" t="s">
        <v>27</v>
      </c>
      <c r="E2166" s="4">
        <v>-31915</v>
      </c>
      <c r="F2166" s="3" t="s">
        <v>1592</v>
      </c>
      <c r="G2166" s="3" t="s">
        <v>29</v>
      </c>
      <c r="H2166" s="2" t="s">
        <v>21</v>
      </c>
      <c r="I2166" s="2" t="s">
        <v>5998</v>
      </c>
      <c r="J2166" s="3" t="str">
        <f>HYPERLINK("https://www.boe.es/gazeta/dias/1812/08/13/pdfs/GRE-1812-104.pdf#page=8","Abrir facsímil")</f>
        <v>Abrir facsímil</v>
      </c>
      <c r="K2166" s="3" t="s">
        <v>23</v>
      </c>
    </row>
    <row r="2167" spans="1:11" ht="42" customHeight="1">
      <c r="A2167" s="2" t="s">
        <v>5999</v>
      </c>
      <c r="B2167" s="2" t="s">
        <v>6000</v>
      </c>
      <c r="C2167" s="2" t="s">
        <v>17</v>
      </c>
      <c r="D2167" s="2" t="s">
        <v>27</v>
      </c>
      <c r="E2167" s="4">
        <v>-32069</v>
      </c>
      <c r="F2167" s="3" t="s">
        <v>445</v>
      </c>
      <c r="G2167" s="3" t="s">
        <v>446</v>
      </c>
      <c r="H2167" s="2" t="s">
        <v>21</v>
      </c>
      <c r="I2167" s="2" t="s">
        <v>6001</v>
      </c>
      <c r="J2167" s="3" t="str">
        <f>HYPERLINK("https://www.boe.es/gazeta/dias/1812/03/12/pdfs/GRE-1812-32.pdf#page=8","Abrir facsímil")</f>
        <v>Abrir facsímil</v>
      </c>
      <c r="K2167" s="3" t="s">
        <v>23</v>
      </c>
    </row>
    <row r="2168" spans="1:11" ht="42" customHeight="1">
      <c r="A2168" s="2" t="s">
        <v>6002</v>
      </c>
      <c r="B2168" s="2" t="s">
        <v>6003</v>
      </c>
      <c r="C2168" s="2" t="s">
        <v>17</v>
      </c>
      <c r="D2168" s="2" t="s">
        <v>18</v>
      </c>
      <c r="E2168" s="4">
        <v>-31810</v>
      </c>
      <c r="F2168" s="3" t="s">
        <v>2305</v>
      </c>
      <c r="G2168" s="3" t="s">
        <v>6004</v>
      </c>
      <c r="H2168" s="2" t="s">
        <v>21</v>
      </c>
      <c r="I2168" s="2" t="s">
        <v>6005</v>
      </c>
      <c r="J2168" s="3" t="str">
        <f>HYPERLINK("https://www.boe.es/gazeta/dias/1812/11/26/pdfs/GRE-1812-157.pdf#page=8","Abrir facsímil")</f>
        <v>Abrir facsímil</v>
      </c>
      <c r="K2168" s="3" t="s">
        <v>23</v>
      </c>
    </row>
    <row r="2169" spans="1:11" ht="42" customHeight="1">
      <c r="A2169" s="2" t="s">
        <v>6006</v>
      </c>
      <c r="B2169" s="2" t="s">
        <v>6007</v>
      </c>
      <c r="C2169" s="2" t="s">
        <v>26</v>
      </c>
      <c r="D2169" s="2" t="s">
        <v>27</v>
      </c>
      <c r="E2169" s="4">
        <v>-31952</v>
      </c>
      <c r="F2169" s="3" t="s">
        <v>210</v>
      </c>
      <c r="G2169" s="3" t="s">
        <v>438</v>
      </c>
      <c r="H2169" s="2" t="s">
        <v>21</v>
      </c>
      <c r="I2169" s="2" t="s">
        <v>6008</v>
      </c>
      <c r="J2169" s="3" t="str">
        <f>HYPERLINK("https://www.boe.es/gazeta/dias/1812/07/07/pdfs/GRE-1812-83.pdf#page=5","Abrir facsímil")</f>
        <v>Abrir facsímil</v>
      </c>
      <c r="K2169" s="3" t="s">
        <v>23</v>
      </c>
    </row>
    <row r="2170" spans="1:11" ht="42" customHeight="1">
      <c r="A2170" s="2" t="s">
        <v>6009</v>
      </c>
      <c r="B2170" s="2" t="s">
        <v>6010</v>
      </c>
      <c r="C2170" s="2" t="s">
        <v>105</v>
      </c>
      <c r="D2170" s="2" t="s">
        <v>275</v>
      </c>
      <c r="E2170" s="4">
        <v>-31805</v>
      </c>
      <c r="F2170" s="3" t="s">
        <v>895</v>
      </c>
      <c r="G2170" s="3" t="s">
        <v>6011</v>
      </c>
      <c r="H2170" s="2" t="s">
        <v>21</v>
      </c>
      <c r="I2170" s="2" t="s">
        <v>6012</v>
      </c>
      <c r="J2170" s="3" t="str">
        <f>HYPERLINK("https://www.boe.es/gazeta/dias/1812/12/01/pdfs/GMR-1812-39.pdf#page=16","Abrir facsímil")</f>
        <v>Abrir facsímil</v>
      </c>
      <c r="K2170" s="3" t="s">
        <v>23</v>
      </c>
    </row>
    <row r="2171" spans="1:11" ht="42" customHeight="1">
      <c r="A2171" s="2" t="s">
        <v>6013</v>
      </c>
      <c r="B2171" s="2" t="s">
        <v>6014</v>
      </c>
      <c r="C2171" s="2" t="s">
        <v>115</v>
      </c>
      <c r="D2171" s="2" t="s">
        <v>27</v>
      </c>
      <c r="E2171" s="4">
        <v>-32130</v>
      </c>
      <c r="F2171" s="3" t="s">
        <v>2538</v>
      </c>
      <c r="G2171" s="3" t="s">
        <v>3294</v>
      </c>
      <c r="H2171" s="2" t="s">
        <v>21</v>
      </c>
      <c r="I2171" s="2" t="s">
        <v>6015</v>
      </c>
      <c r="J2171" s="3" t="str">
        <f>HYPERLINK("https://www.boe.es/gazeta/dias/1812/01/11/pdfs/GEI-1812-5.pdf#page=7","Abrir facsímil")</f>
        <v>Abrir facsímil</v>
      </c>
      <c r="K2171" s="3" t="s">
        <v>23</v>
      </c>
    </row>
    <row r="2172" spans="1:11" ht="42" customHeight="1">
      <c r="A2172" s="2" t="s">
        <v>6016</v>
      </c>
      <c r="B2172" s="2" t="s">
        <v>6017</v>
      </c>
      <c r="C2172" s="2" t="s">
        <v>115</v>
      </c>
      <c r="D2172" s="2" t="s">
        <v>27</v>
      </c>
      <c r="E2172" s="4">
        <v>-32095</v>
      </c>
      <c r="F2172" s="3" t="s">
        <v>284</v>
      </c>
      <c r="G2172" s="3" t="s">
        <v>101</v>
      </c>
      <c r="H2172" s="2" t="s">
        <v>21</v>
      </c>
      <c r="I2172" s="2" t="s">
        <v>6018</v>
      </c>
      <c r="J2172" s="3" t="str">
        <f>HYPERLINK("https://www.boe.es/gazeta/dias/1812/02/15/pdfs/GRE-1812-20.pdf#page=5","Abrir facsímil")</f>
        <v>Abrir facsímil</v>
      </c>
      <c r="K2172" s="3" t="s">
        <v>23</v>
      </c>
    </row>
    <row r="2173" spans="1:11" ht="42" customHeight="1">
      <c r="A2173" s="2" t="s">
        <v>6019</v>
      </c>
      <c r="B2173" s="2" t="s">
        <v>6020</v>
      </c>
      <c r="C2173" s="2" t="s">
        <v>17</v>
      </c>
      <c r="D2173" s="2" t="s">
        <v>18</v>
      </c>
      <c r="E2173" s="4">
        <v>-32085</v>
      </c>
      <c r="F2173" s="3" t="s">
        <v>3321</v>
      </c>
      <c r="G2173" s="3" t="s">
        <v>1907</v>
      </c>
      <c r="H2173" s="2" t="s">
        <v>21</v>
      </c>
      <c r="I2173" s="2" t="s">
        <v>6021</v>
      </c>
      <c r="J2173" s="3" t="str">
        <f>HYPERLINK("https://www.boe.es/gazeta/dias/1812/02/25/pdfs/GRE-1812-25.pdf#page=6","Abrir facsímil")</f>
        <v>Abrir facsímil</v>
      </c>
      <c r="K2173" s="3" t="s">
        <v>23</v>
      </c>
    </row>
    <row r="2174" spans="1:11" ht="42" customHeight="1">
      <c r="A2174" s="2" t="s">
        <v>6022</v>
      </c>
      <c r="B2174" s="2" t="s">
        <v>6023</v>
      </c>
      <c r="C2174" s="2" t="s">
        <v>17</v>
      </c>
      <c r="D2174" s="2" t="s">
        <v>27</v>
      </c>
      <c r="E2174" s="4">
        <v>-31917</v>
      </c>
      <c r="F2174" s="3" t="s">
        <v>946</v>
      </c>
      <c r="G2174" s="3" t="s">
        <v>947</v>
      </c>
      <c r="H2174" s="2" t="s">
        <v>21</v>
      </c>
      <c r="I2174" s="2" t="s">
        <v>6024</v>
      </c>
      <c r="J2174" s="3" t="str">
        <f>HYPERLINK("https://www.boe.es/gazeta/dias/1812/08/11/pdfs/GRE-1812-103.pdf#page=8","Abrir facsímil")</f>
        <v>Abrir facsímil</v>
      </c>
      <c r="K2174" s="3" t="s">
        <v>23</v>
      </c>
    </row>
    <row r="2175" spans="1:11" ht="42" customHeight="1">
      <c r="A2175" s="2" t="s">
        <v>6025</v>
      </c>
      <c r="B2175" s="2" t="s">
        <v>6026</v>
      </c>
      <c r="C2175" s="2" t="s">
        <v>26</v>
      </c>
      <c r="D2175" s="2" t="s">
        <v>27</v>
      </c>
      <c r="E2175" s="4">
        <v>-31831</v>
      </c>
      <c r="F2175" s="3" t="s">
        <v>1963</v>
      </c>
      <c r="G2175" s="3" t="s">
        <v>6027</v>
      </c>
      <c r="H2175" s="2" t="s">
        <v>21</v>
      </c>
      <c r="I2175" s="2" t="s">
        <v>6028</v>
      </c>
      <c r="J2175" s="3" t="str">
        <f>HYPERLINK("https://www.boe.es/gazeta/dias/1812/11/05/pdfs/GRE-1812-148.pdf#page=2","Abrir facsímil")</f>
        <v>Abrir facsímil</v>
      </c>
      <c r="K2175" s="3" t="s">
        <v>23</v>
      </c>
    </row>
    <row r="2176" spans="1:11" ht="42" customHeight="1">
      <c r="A2176" s="2" t="s">
        <v>6029</v>
      </c>
      <c r="B2176" s="2" t="s">
        <v>6030</v>
      </c>
      <c r="C2176" s="2" t="s">
        <v>26</v>
      </c>
      <c r="D2176" s="2" t="s">
        <v>27</v>
      </c>
      <c r="E2176" s="4">
        <v>-32086</v>
      </c>
      <c r="F2176" s="3" t="s">
        <v>2067</v>
      </c>
      <c r="G2176" s="3" t="s">
        <v>196</v>
      </c>
      <c r="H2176" s="2" t="s">
        <v>30</v>
      </c>
      <c r="I2176" s="2" t="s">
        <v>6031</v>
      </c>
      <c r="J2176" s="3" t="str">
        <f>HYPERLINK("https://www.boe.es/gazeta/dias/1812/02/24/pdfs/GMD-1812-55.pdf#page=1","Abrir facsímil")</f>
        <v>Abrir facsímil</v>
      </c>
      <c r="K2176" s="3" t="s">
        <v>32</v>
      </c>
    </row>
    <row r="2177" spans="1:11" ht="42" customHeight="1">
      <c r="A2177" s="2" t="s">
        <v>6032</v>
      </c>
      <c r="B2177" s="2" t="s">
        <v>6033</v>
      </c>
      <c r="C2177" s="2" t="s">
        <v>49</v>
      </c>
      <c r="D2177" s="2" t="s">
        <v>27</v>
      </c>
      <c r="E2177" s="4">
        <v>-32064</v>
      </c>
      <c r="F2177" s="3" t="s">
        <v>403</v>
      </c>
      <c r="G2177" s="3" t="s">
        <v>404</v>
      </c>
      <c r="H2177" s="2" t="s">
        <v>21</v>
      </c>
      <c r="I2177" s="2" t="s">
        <v>6034</v>
      </c>
      <c r="J2177" s="3" t="str">
        <f>HYPERLINK("https://www.boe.es/gazeta/dias/1812/03/17/pdfs/GMD-1812-77.pdf#page=4","Abrir facsímil")</f>
        <v>Abrir facsímil</v>
      </c>
      <c r="K2177" s="3" t="s">
        <v>23</v>
      </c>
    </row>
    <row r="2178" spans="1:11" ht="42" customHeight="1">
      <c r="A2178" s="2" t="s">
        <v>6035</v>
      </c>
      <c r="B2178" s="2" t="s">
        <v>6036</v>
      </c>
      <c r="C2178" s="2" t="s">
        <v>17</v>
      </c>
      <c r="D2178" s="2" t="s">
        <v>275</v>
      </c>
      <c r="E2178" s="4">
        <v>-32015</v>
      </c>
      <c r="F2178" s="3" t="s">
        <v>77</v>
      </c>
      <c r="G2178" s="3" t="s">
        <v>78</v>
      </c>
      <c r="H2178" s="2" t="s">
        <v>30</v>
      </c>
      <c r="I2178" s="2" t="s">
        <v>6037</v>
      </c>
      <c r="J2178" s="3" t="str">
        <f>HYPERLINK("https://www.boe.es/gazeta/dias/1812/05/05/pdfs/GRE-1812-56.pdf#page=8","Abrir facsímil")</f>
        <v>Abrir facsímil</v>
      </c>
      <c r="K2178" s="3" t="s">
        <v>32</v>
      </c>
    </row>
    <row r="2179" spans="1:11" ht="42" customHeight="1">
      <c r="A2179" s="2" t="s">
        <v>6038</v>
      </c>
      <c r="B2179" s="2" t="s">
        <v>6039</v>
      </c>
      <c r="C2179" s="2" t="s">
        <v>26</v>
      </c>
      <c r="D2179" s="2" t="s">
        <v>27</v>
      </c>
      <c r="E2179" s="4">
        <v>-32011</v>
      </c>
      <c r="F2179" s="3" t="s">
        <v>1233</v>
      </c>
      <c r="G2179" s="3" t="s">
        <v>20</v>
      </c>
      <c r="H2179" s="2" t="s">
        <v>30</v>
      </c>
      <c r="I2179" s="2" t="s">
        <v>6040</v>
      </c>
      <c r="J2179" s="3" t="str">
        <f>HYPERLINK("https://www.boe.es/gazeta/dias/1812/05/09/pdfs/GRE-1812-58.pdf#page=5","Abrir facsímil")</f>
        <v>Abrir facsímil</v>
      </c>
      <c r="K2179" s="3" t="s">
        <v>32</v>
      </c>
    </row>
    <row r="2180" spans="1:11" ht="42" customHeight="1">
      <c r="A2180" s="2" t="s">
        <v>6038</v>
      </c>
      <c r="B2180" s="2" t="s">
        <v>6039</v>
      </c>
      <c r="C2180" s="2" t="s">
        <v>49</v>
      </c>
      <c r="D2180" s="2" t="s">
        <v>27</v>
      </c>
      <c r="E2180" s="4">
        <v>-32011</v>
      </c>
      <c r="F2180" s="3" t="s">
        <v>1233</v>
      </c>
      <c r="G2180" s="3" t="s">
        <v>20</v>
      </c>
      <c r="H2180" s="2" t="s">
        <v>30</v>
      </c>
      <c r="I2180" s="2" t="s">
        <v>6041</v>
      </c>
      <c r="J2180" s="3" t="str">
        <f>HYPERLINK("https://www.boe.es/gazeta/dias/1812/05/09/pdfs/GRE-1812-58.pdf#page=6","Abrir facsímil")</f>
        <v>Abrir facsímil</v>
      </c>
      <c r="K2180" s="3" t="s">
        <v>32</v>
      </c>
    </row>
    <row r="2181" spans="1:11" ht="42" customHeight="1">
      <c r="A2181" s="2" t="s">
        <v>6042</v>
      </c>
      <c r="B2181" s="2" t="s">
        <v>6043</v>
      </c>
      <c r="C2181" s="2" t="s">
        <v>26</v>
      </c>
      <c r="D2181" s="2" t="s">
        <v>27</v>
      </c>
      <c r="E2181" s="4">
        <v>-31938</v>
      </c>
      <c r="F2181" s="3" t="s">
        <v>324</v>
      </c>
      <c r="G2181" s="3" t="s">
        <v>404</v>
      </c>
      <c r="H2181" s="2" t="s">
        <v>21</v>
      </c>
      <c r="I2181" s="2" t="s">
        <v>6044</v>
      </c>
      <c r="J2181" s="3" t="str">
        <f>HYPERLINK("https://www.boe.es/gazeta/dias/1812/07/21/pdfs/GMD-1812-203.pdf#page=4","Abrir facsímil")</f>
        <v>Abrir facsímil</v>
      </c>
      <c r="K2181" s="3" t="s">
        <v>23</v>
      </c>
    </row>
    <row r="2182" spans="1:11" ht="42" customHeight="1">
      <c r="A2182" s="2" t="s">
        <v>6045</v>
      </c>
      <c r="B2182" s="2" t="s">
        <v>6046</v>
      </c>
      <c r="C2182" s="2" t="s">
        <v>26</v>
      </c>
      <c r="D2182" s="2" t="s">
        <v>27</v>
      </c>
      <c r="E2182" s="4">
        <v>-31939</v>
      </c>
      <c r="F2182" s="3" t="s">
        <v>408</v>
      </c>
      <c r="G2182" s="3" t="s">
        <v>20</v>
      </c>
      <c r="H2182" s="2" t="s">
        <v>21</v>
      </c>
      <c r="I2182" s="2" t="s">
        <v>6047</v>
      </c>
      <c r="J2182" s="3" t="str">
        <f>HYPERLINK("https://www.boe.es/gazeta/dias/1812/07/20/pdfs/GMD-1812-202.pdf#page=4","Abrir facsímil")</f>
        <v>Abrir facsímil</v>
      </c>
      <c r="K2182" s="3" t="s">
        <v>23</v>
      </c>
    </row>
    <row r="2183" spans="1:11" ht="42" customHeight="1">
      <c r="A2183" s="2" t="s">
        <v>6048</v>
      </c>
      <c r="B2183" s="2" t="s">
        <v>6049</v>
      </c>
      <c r="C2183" s="2" t="s">
        <v>186</v>
      </c>
      <c r="D2183" s="2" t="s">
        <v>27</v>
      </c>
      <c r="E2183" s="4">
        <v>-32088</v>
      </c>
      <c r="F2183" s="3" t="s">
        <v>1217</v>
      </c>
      <c r="G2183" s="3" t="s">
        <v>1218</v>
      </c>
      <c r="H2183" s="2" t="s">
        <v>21</v>
      </c>
      <c r="I2183" s="2" t="s">
        <v>6050</v>
      </c>
      <c r="J2183" s="3" t="str">
        <f>HYPERLINK("https://www.boe.es/gazeta/dias/1812/02/22/pdfs/GMD-1812-53.pdf#page=4","Abrir facsímil")</f>
        <v>Abrir facsímil</v>
      </c>
      <c r="K2183" s="3" t="s">
        <v>23</v>
      </c>
    </row>
    <row r="2184" spans="1:11" ht="42" customHeight="1">
      <c r="A2184" s="2" t="s">
        <v>6051</v>
      </c>
      <c r="B2184" s="2" t="s">
        <v>6052</v>
      </c>
      <c r="C2184" s="2" t="s">
        <v>26</v>
      </c>
      <c r="D2184" s="2" t="s">
        <v>27</v>
      </c>
      <c r="E2184" s="4">
        <v>-31940</v>
      </c>
      <c r="F2184" s="3" t="s">
        <v>187</v>
      </c>
      <c r="G2184" s="3" t="s">
        <v>404</v>
      </c>
      <c r="H2184" s="2" t="s">
        <v>21</v>
      </c>
      <c r="I2184" s="2" t="s">
        <v>6053</v>
      </c>
      <c r="J2184" s="3" t="str">
        <f>HYPERLINK("https://www.boe.es/gazeta/dias/1812/07/19/pdfs/GMD-1812-201.pdf#page=3","Abrir facsímil")</f>
        <v>Abrir facsímil</v>
      </c>
      <c r="K2184" s="3" t="s">
        <v>23</v>
      </c>
    </row>
    <row r="2185" spans="1:11" ht="42" customHeight="1">
      <c r="A2185" s="2" t="s">
        <v>6054</v>
      </c>
      <c r="B2185" s="2" t="s">
        <v>6055</v>
      </c>
      <c r="C2185" s="2" t="s">
        <v>186</v>
      </c>
      <c r="D2185" s="2" t="s">
        <v>275</v>
      </c>
      <c r="E2185" s="4">
        <v>-32074</v>
      </c>
      <c r="F2185" s="3" t="s">
        <v>816</v>
      </c>
      <c r="G2185" s="3" t="s">
        <v>777</v>
      </c>
      <c r="H2185" s="2" t="s">
        <v>21</v>
      </c>
      <c r="I2185" s="2" t="s">
        <v>6056</v>
      </c>
      <c r="J2185" s="3" t="str">
        <f>HYPERLINK("https://www.boe.es/gazeta/dias/1812/03/07/pdfs/GRE-1812-30.pdf#page=8","Abrir facsímil")</f>
        <v>Abrir facsímil</v>
      </c>
      <c r="K2185" s="3" t="s">
        <v>23</v>
      </c>
    </row>
    <row r="2186" spans="1:11" ht="42" customHeight="1">
      <c r="A2186" s="2" t="s">
        <v>6057</v>
      </c>
      <c r="B2186" s="2" t="s">
        <v>6058</v>
      </c>
      <c r="C2186" s="2" t="s">
        <v>49</v>
      </c>
      <c r="D2186" s="2" t="s">
        <v>27</v>
      </c>
      <c r="E2186" s="4">
        <v>-31922</v>
      </c>
      <c r="F2186" s="3" t="s">
        <v>622</v>
      </c>
      <c r="G2186" s="3" t="s">
        <v>6059</v>
      </c>
      <c r="H2186" s="2" t="s">
        <v>21</v>
      </c>
      <c r="I2186" s="2" t="s">
        <v>6060</v>
      </c>
      <c r="J2186" s="3" t="str">
        <f>HYPERLINK("https://www.boe.es/gazeta/dias/1812/08/06/pdfs/GMD-1812-219.pdf#page=3","Abrir facsímil")</f>
        <v>Abrir facsímil</v>
      </c>
      <c r="K2186" s="3" t="s">
        <v>23</v>
      </c>
    </row>
    <row r="2187" spans="1:11" ht="42" customHeight="1">
      <c r="A2187" s="2" t="s">
        <v>6061</v>
      </c>
      <c r="B2187" s="2" t="s">
        <v>6062</v>
      </c>
      <c r="C2187" s="2" t="s">
        <v>115</v>
      </c>
      <c r="D2187" s="2" t="s">
        <v>27</v>
      </c>
      <c r="E2187" s="4">
        <v>-31963</v>
      </c>
      <c r="F2187" s="3" t="s">
        <v>171</v>
      </c>
      <c r="G2187" s="3" t="s">
        <v>172</v>
      </c>
      <c r="H2187" s="2" t="s">
        <v>21</v>
      </c>
      <c r="I2187" s="2" t="s">
        <v>6063</v>
      </c>
      <c r="J2187" s="3" t="str">
        <f>HYPERLINK("https://www.boe.es/gazeta/dias/1812/06/26/pdfs/GMD-1812-178.pdf#page=3","Abrir facsímil")</f>
        <v>Abrir facsímil</v>
      </c>
      <c r="K2187" s="3" t="s">
        <v>23</v>
      </c>
    </row>
    <row r="2188" spans="1:11" ht="42" customHeight="1">
      <c r="A2188" s="2" t="s">
        <v>6064</v>
      </c>
      <c r="B2188" s="2" t="s">
        <v>6065</v>
      </c>
      <c r="C2188" s="2" t="s">
        <v>26</v>
      </c>
      <c r="D2188" s="2" t="s">
        <v>27</v>
      </c>
      <c r="E2188" s="4">
        <v>-31940</v>
      </c>
      <c r="F2188" s="3" t="s">
        <v>187</v>
      </c>
      <c r="G2188" s="3" t="s">
        <v>404</v>
      </c>
      <c r="H2188" s="2" t="s">
        <v>21</v>
      </c>
      <c r="I2188" s="2" t="s">
        <v>6066</v>
      </c>
      <c r="J2188" s="3" t="str">
        <f>HYPERLINK("https://www.boe.es/gazeta/dias/1812/07/19/pdfs/GMD-1812-201.pdf#page=4","Abrir facsímil")</f>
        <v>Abrir facsímil</v>
      </c>
      <c r="K2188" s="3" t="s">
        <v>23</v>
      </c>
    </row>
    <row r="2189" spans="1:11" ht="42" customHeight="1">
      <c r="A2189" s="2" t="s">
        <v>6067</v>
      </c>
      <c r="B2189" s="2" t="s">
        <v>6068</v>
      </c>
      <c r="C2189" s="2" t="s">
        <v>26</v>
      </c>
      <c r="D2189" s="2" t="s">
        <v>27</v>
      </c>
      <c r="E2189" s="4">
        <v>-32055</v>
      </c>
      <c r="F2189" s="3" t="s">
        <v>1271</v>
      </c>
      <c r="G2189" s="3" t="s">
        <v>130</v>
      </c>
      <c r="H2189" s="2" t="s">
        <v>21</v>
      </c>
      <c r="I2189" s="2" t="s">
        <v>6069</v>
      </c>
      <c r="J2189" s="3" t="str">
        <f>HYPERLINK("https://www.boe.es/gazeta/dias/1812/03/26/pdfs/GMD-1812-86.pdf#page=4","Abrir facsímil")</f>
        <v>Abrir facsímil</v>
      </c>
      <c r="K2189" s="3" t="s">
        <v>23</v>
      </c>
    </row>
    <row r="2190" spans="1:11" ht="42" customHeight="1">
      <c r="A2190" s="2" t="s">
        <v>6070</v>
      </c>
      <c r="B2190" s="2" t="s">
        <v>6071</v>
      </c>
      <c r="C2190" s="2" t="s">
        <v>67</v>
      </c>
      <c r="D2190" s="2" t="s">
        <v>27</v>
      </c>
      <c r="E2190" s="4">
        <v>-31878</v>
      </c>
      <c r="F2190" s="3" t="s">
        <v>1831</v>
      </c>
      <c r="G2190" s="3" t="s">
        <v>106</v>
      </c>
      <c r="H2190" s="2" t="s">
        <v>21</v>
      </c>
      <c r="I2190" s="2" t="s">
        <v>6072</v>
      </c>
      <c r="J2190" s="3" t="str">
        <f>HYPERLINK("https://www.boe.es/gazeta/dias/1812/09/19/pdfs/GMR-1812-16.pdf#page=7","Abrir facsímil")</f>
        <v>Abrir facsímil</v>
      </c>
      <c r="K2190" s="3" t="s">
        <v>23</v>
      </c>
    </row>
    <row r="2191" spans="1:11" ht="42" customHeight="1">
      <c r="A2191" s="2" t="s">
        <v>6073</v>
      </c>
      <c r="B2191" s="2" t="s">
        <v>6074</v>
      </c>
      <c r="C2191" s="2" t="s">
        <v>26</v>
      </c>
      <c r="D2191" s="2" t="s">
        <v>27</v>
      </c>
      <c r="E2191" s="4">
        <v>-32036</v>
      </c>
      <c r="F2191" s="3" t="s">
        <v>781</v>
      </c>
      <c r="G2191" s="3" t="s">
        <v>782</v>
      </c>
      <c r="H2191" s="2" t="s">
        <v>21</v>
      </c>
      <c r="I2191" s="2" t="s">
        <v>6075</v>
      </c>
      <c r="J2191" s="3" t="str">
        <f>HYPERLINK("https://www.boe.es/gazeta/dias/1812/04/14/pdfs/GRE-1812-47.pdf#page=8","Abrir facsímil")</f>
        <v>Abrir facsímil</v>
      </c>
      <c r="K2191" s="3" t="s">
        <v>23</v>
      </c>
    </row>
    <row r="2192" spans="1:11" ht="42" customHeight="1">
      <c r="A2192" s="2" t="s">
        <v>6076</v>
      </c>
      <c r="B2192" s="2" t="s">
        <v>6077</v>
      </c>
      <c r="C2192" s="2" t="s">
        <v>549</v>
      </c>
      <c r="D2192" s="2" t="s">
        <v>27</v>
      </c>
      <c r="E2192" s="4">
        <v>-31969</v>
      </c>
      <c r="F2192" s="3" t="s">
        <v>83</v>
      </c>
      <c r="G2192" s="3" t="s">
        <v>84</v>
      </c>
      <c r="H2192" s="2" t="s">
        <v>21</v>
      </c>
      <c r="I2192" s="2" t="s">
        <v>6078</v>
      </c>
      <c r="J2192" s="3" t="str">
        <f>HYPERLINK("https://www.boe.es/gazeta/dias/1812/06/20/pdfs/GRE-1812-76.pdf#page=8","Abrir facsímil")</f>
        <v>Abrir facsímil</v>
      </c>
      <c r="K2192" s="3" t="s">
        <v>23</v>
      </c>
    </row>
    <row r="2193" spans="1:11" ht="42" customHeight="1">
      <c r="A2193" s="2" t="s">
        <v>6079</v>
      </c>
      <c r="B2193" s="2" t="s">
        <v>6080</v>
      </c>
      <c r="C2193" s="2" t="s">
        <v>49</v>
      </c>
      <c r="D2193" s="2" t="s">
        <v>27</v>
      </c>
      <c r="E2193" s="4">
        <v>-32011</v>
      </c>
      <c r="F2193" s="3" t="s">
        <v>1233</v>
      </c>
      <c r="G2193" s="3" t="s">
        <v>20</v>
      </c>
      <c r="H2193" s="2" t="s">
        <v>21</v>
      </c>
      <c r="I2193" s="2" t="s">
        <v>6081</v>
      </c>
      <c r="J2193" s="3" t="str">
        <f>HYPERLINK("https://www.boe.es/gazeta/dias/1812/05/09/pdfs/GRE-1812-58.pdf#page=6","Abrir facsímil")</f>
        <v>Abrir facsímil</v>
      </c>
      <c r="K2193" s="3" t="s">
        <v>23</v>
      </c>
    </row>
    <row r="2194" spans="1:11" ht="42" customHeight="1">
      <c r="A2194" s="2" t="s">
        <v>6082</v>
      </c>
      <c r="B2194" s="2" t="s">
        <v>6083</v>
      </c>
      <c r="C2194" s="2" t="s">
        <v>26</v>
      </c>
      <c r="D2194" s="2" t="s">
        <v>27</v>
      </c>
      <c r="E2194" s="4">
        <v>-32109</v>
      </c>
      <c r="F2194" s="3" t="s">
        <v>2637</v>
      </c>
      <c r="G2194" s="3" t="s">
        <v>1380</v>
      </c>
      <c r="H2194" s="2" t="s">
        <v>21</v>
      </c>
      <c r="I2194" s="2" t="s">
        <v>6084</v>
      </c>
      <c r="J2194" s="3" t="str">
        <f>HYPERLINK("https://www.boe.es/gazeta/dias/1812/02/01/pdfs/GMD-1812-32.pdf#page=4","Abrir facsímil")</f>
        <v>Abrir facsímil</v>
      </c>
      <c r="K2194" s="3" t="s">
        <v>23</v>
      </c>
    </row>
    <row r="2195" spans="1:11" ht="42" customHeight="1">
      <c r="A2195" s="2" t="s">
        <v>6085</v>
      </c>
      <c r="B2195" s="2" t="s">
        <v>6086</v>
      </c>
      <c r="C2195" s="2" t="s">
        <v>17</v>
      </c>
      <c r="D2195" s="2" t="s">
        <v>27</v>
      </c>
      <c r="E2195" s="4">
        <v>-31822</v>
      </c>
      <c r="F2195" s="3" t="s">
        <v>541</v>
      </c>
      <c r="G2195" s="3" t="s">
        <v>1459</v>
      </c>
      <c r="H2195" s="2" t="s">
        <v>30</v>
      </c>
      <c r="I2195" s="2" t="s">
        <v>6087</v>
      </c>
      <c r="J2195" s="3" t="str">
        <f>HYPERLINK("https://www.boe.es/gazeta/dias/1812/11/14/pdfs/GRE-1812-152.pdf#page=8","Abrir facsímil")</f>
        <v>Abrir facsímil</v>
      </c>
      <c r="K2195" s="3" t="s">
        <v>32</v>
      </c>
    </row>
    <row r="2196" spans="1:11" ht="42" customHeight="1">
      <c r="A2196" s="2" t="s">
        <v>6088</v>
      </c>
      <c r="B2196" s="2" t="s">
        <v>6089</v>
      </c>
      <c r="C2196" s="2" t="s">
        <v>67</v>
      </c>
      <c r="D2196" s="2" t="s">
        <v>27</v>
      </c>
      <c r="E2196" s="4">
        <v>-32112</v>
      </c>
      <c r="F2196" s="3" t="s">
        <v>2794</v>
      </c>
      <c r="G2196" s="3" t="s">
        <v>58</v>
      </c>
      <c r="H2196" s="2" t="s">
        <v>21</v>
      </c>
      <c r="I2196" s="2" t="s">
        <v>6090</v>
      </c>
      <c r="J2196" s="3" t="str">
        <f>HYPERLINK("https://www.boe.es/gazeta/dias/1812/01/29/pdfs/GMD-1812-29.pdf#page=4","Abrir facsímil")</f>
        <v>Abrir facsímil</v>
      </c>
      <c r="K2196" s="3" t="s">
        <v>23</v>
      </c>
    </row>
    <row r="2197" spans="1:11" ht="42" customHeight="1">
      <c r="A2197" s="2" t="s">
        <v>6091</v>
      </c>
      <c r="B2197" s="2" t="s">
        <v>6092</v>
      </c>
      <c r="C2197" s="2" t="s">
        <v>26</v>
      </c>
      <c r="D2197" s="2" t="s">
        <v>27</v>
      </c>
      <c r="E2197" s="4">
        <v>-31941</v>
      </c>
      <c r="F2197" s="3" t="s">
        <v>57</v>
      </c>
      <c r="G2197" s="3" t="s">
        <v>140</v>
      </c>
      <c r="H2197" s="2" t="s">
        <v>21</v>
      </c>
      <c r="I2197" s="2" t="s">
        <v>6093</v>
      </c>
      <c r="J2197" s="3" t="str">
        <f>HYPERLINK("https://www.boe.es/gazeta/dias/1812/07/18/pdfs/GMD-1812-200.pdf#page=2","Abrir facsímil")</f>
        <v>Abrir facsímil</v>
      </c>
      <c r="K2197" s="3" t="s">
        <v>23</v>
      </c>
    </row>
    <row r="2198" spans="1:11" ht="42" customHeight="1">
      <c r="A2198" s="2" t="s">
        <v>6094</v>
      </c>
      <c r="B2198" s="2" t="s">
        <v>6095</v>
      </c>
      <c r="C2198" s="2" t="s">
        <v>26</v>
      </c>
      <c r="D2198" s="2" t="s">
        <v>27</v>
      </c>
      <c r="E2198" s="4">
        <v>-31938</v>
      </c>
      <c r="F2198" s="3" t="s">
        <v>324</v>
      </c>
      <c r="G2198" s="3" t="s">
        <v>237</v>
      </c>
      <c r="H2198" s="2" t="s">
        <v>21</v>
      </c>
      <c r="I2198" s="2" t="s">
        <v>6096</v>
      </c>
      <c r="J2198" s="3" t="str">
        <f>HYPERLINK("https://www.boe.es/gazeta/dias/1812/07/21/pdfs/GMD-1812-203.pdf#page=2","Abrir facsímil")</f>
        <v>Abrir facsímil</v>
      </c>
      <c r="K2198" s="3" t="s">
        <v>23</v>
      </c>
    </row>
    <row r="2199" spans="1:11" ht="42" customHeight="1">
      <c r="A2199" s="2" t="s">
        <v>6097</v>
      </c>
      <c r="B2199" s="2" t="s">
        <v>6098</v>
      </c>
      <c r="C2199" s="2" t="s">
        <v>26</v>
      </c>
      <c r="D2199" s="2" t="s">
        <v>27</v>
      </c>
      <c r="E2199" s="4">
        <v>-31939</v>
      </c>
      <c r="F2199" s="3" t="s">
        <v>408</v>
      </c>
      <c r="G2199" s="3" t="s">
        <v>20</v>
      </c>
      <c r="H2199" s="2" t="s">
        <v>21</v>
      </c>
      <c r="I2199" s="2" t="s">
        <v>6099</v>
      </c>
      <c r="J2199" s="3" t="str">
        <f>HYPERLINK("https://www.boe.es/gazeta/dias/1812/07/20/pdfs/GMD-1812-202.pdf#page=4","Abrir facsímil")</f>
        <v>Abrir facsímil</v>
      </c>
      <c r="K2199" s="3" t="s">
        <v>23</v>
      </c>
    </row>
    <row r="2200" spans="1:11" ht="42" customHeight="1">
      <c r="A2200" s="2" t="s">
        <v>6100</v>
      </c>
      <c r="B2200" s="2" t="s">
        <v>6101</v>
      </c>
      <c r="C2200" s="2" t="s">
        <v>26</v>
      </c>
      <c r="D2200" s="2" t="s">
        <v>27</v>
      </c>
      <c r="E2200" s="4">
        <v>-32034</v>
      </c>
      <c r="F2200" s="3" t="s">
        <v>28</v>
      </c>
      <c r="G2200" s="3" t="s">
        <v>317</v>
      </c>
      <c r="H2200" s="2" t="s">
        <v>21</v>
      </c>
      <c r="I2200" s="2" t="s">
        <v>6102</v>
      </c>
      <c r="J2200" s="3" t="str">
        <f>HYPERLINK("https://www.boe.es/gazeta/dias/1812/04/16/pdfs/GMD-1812-107.pdf#page=6","Abrir facsímil")</f>
        <v>Abrir facsímil</v>
      </c>
      <c r="K2200" s="3" t="s">
        <v>23</v>
      </c>
    </row>
    <row r="2201" spans="1:11" ht="42" customHeight="1">
      <c r="A2201" s="2" t="s">
        <v>6103</v>
      </c>
      <c r="B2201" s="2" t="s">
        <v>6104</v>
      </c>
      <c r="C2201" s="2" t="s">
        <v>17</v>
      </c>
      <c r="D2201" s="2" t="s">
        <v>27</v>
      </c>
      <c r="E2201" s="4">
        <v>-32109</v>
      </c>
      <c r="F2201" s="3" t="s">
        <v>62</v>
      </c>
      <c r="G2201" s="3" t="s">
        <v>63</v>
      </c>
      <c r="H2201" s="2" t="s">
        <v>21</v>
      </c>
      <c r="I2201" s="2" t="s">
        <v>6105</v>
      </c>
      <c r="J2201" s="3" t="str">
        <f>HYPERLINK("https://www.boe.es/gazeta/dias/1812/02/01/pdfs/GRE-1812-14.pdf#page=10","Abrir facsímil")</f>
        <v>Abrir facsímil</v>
      </c>
      <c r="K2201" s="3" t="s">
        <v>23</v>
      </c>
    </row>
    <row r="2202" spans="1:11" ht="42" customHeight="1">
      <c r="A2202" s="2" t="s">
        <v>6106</v>
      </c>
      <c r="B2202" s="2" t="s">
        <v>6107</v>
      </c>
      <c r="C2202" s="2" t="s">
        <v>26</v>
      </c>
      <c r="D2202" s="2" t="s">
        <v>27</v>
      </c>
      <c r="E2202" s="4">
        <v>-31938</v>
      </c>
      <c r="F2202" s="3" t="s">
        <v>324</v>
      </c>
      <c r="G2202" s="3" t="s">
        <v>497</v>
      </c>
      <c r="H2202" s="2" t="s">
        <v>21</v>
      </c>
      <c r="I2202" s="2" t="s">
        <v>6108</v>
      </c>
      <c r="J2202" s="3" t="str">
        <f>HYPERLINK("https://www.boe.es/gazeta/dias/1812/07/21/pdfs/GMD-1812-203.pdf#page=3","Abrir facsímil")</f>
        <v>Abrir facsímil</v>
      </c>
      <c r="K2202" s="3" t="s">
        <v>23</v>
      </c>
    </row>
    <row r="2203" spans="1:11" ht="42" customHeight="1">
      <c r="A2203" s="2" t="s">
        <v>6109</v>
      </c>
      <c r="B2203" s="2" t="s">
        <v>6110</v>
      </c>
      <c r="C2203" s="2" t="s">
        <v>26</v>
      </c>
      <c r="D2203" s="2" t="s">
        <v>27</v>
      </c>
      <c r="E2203" s="4">
        <v>-32114</v>
      </c>
      <c r="F2203" s="3" t="s">
        <v>480</v>
      </c>
      <c r="G2203" s="3" t="s">
        <v>481</v>
      </c>
      <c r="H2203" s="2" t="s">
        <v>21</v>
      </c>
      <c r="I2203" s="2" t="s">
        <v>6111</v>
      </c>
      <c r="J2203" s="3" t="str">
        <f>HYPERLINK("https://www.boe.es/gazeta/dias/1812/01/27/pdfs/GMD-1812-27.pdf#page=4","Abrir facsímil")</f>
        <v>Abrir facsímil</v>
      </c>
      <c r="K2203" s="3" t="s">
        <v>23</v>
      </c>
    </row>
    <row r="2204" spans="1:11" ht="42" customHeight="1">
      <c r="A2204" s="2" t="s">
        <v>6109</v>
      </c>
      <c r="B2204" s="2" t="s">
        <v>6110</v>
      </c>
      <c r="C2204" s="2" t="s">
        <v>26</v>
      </c>
      <c r="D2204" s="2" t="s">
        <v>27</v>
      </c>
      <c r="E2204" s="4">
        <v>-31938</v>
      </c>
      <c r="F2204" s="3" t="s">
        <v>324</v>
      </c>
      <c r="G2204" s="3" t="s">
        <v>497</v>
      </c>
      <c r="H2204" s="2" t="s">
        <v>21</v>
      </c>
      <c r="I2204" s="2" t="s">
        <v>6112</v>
      </c>
      <c r="J2204" s="3" t="str">
        <f>HYPERLINK("https://www.boe.es/gazeta/dias/1812/07/21/pdfs/GMD-1812-203.pdf#page=3","Abrir facsímil")</f>
        <v>Abrir facsímil</v>
      </c>
      <c r="K2204" s="3" t="s">
        <v>23</v>
      </c>
    </row>
    <row r="2205" spans="1:11" ht="42" customHeight="1">
      <c r="A2205" s="2" t="s">
        <v>6113</v>
      </c>
      <c r="B2205" s="2" t="s">
        <v>6114</v>
      </c>
      <c r="C2205" s="2" t="s">
        <v>26</v>
      </c>
      <c r="D2205" s="2" t="s">
        <v>27</v>
      </c>
      <c r="E2205" s="4">
        <v>-31938</v>
      </c>
      <c r="F2205" s="3" t="s">
        <v>324</v>
      </c>
      <c r="G2205" s="3" t="s">
        <v>237</v>
      </c>
      <c r="H2205" s="2" t="s">
        <v>21</v>
      </c>
      <c r="I2205" s="2" t="s">
        <v>6115</v>
      </c>
      <c r="J2205" s="3" t="str">
        <f>HYPERLINK("https://www.boe.es/gazeta/dias/1812/07/21/pdfs/GMD-1812-203.pdf#page=2","Abrir facsímil")</f>
        <v>Abrir facsímil</v>
      </c>
      <c r="K2205" s="3" t="s">
        <v>23</v>
      </c>
    </row>
    <row r="2206" spans="1:11" ht="42" customHeight="1">
      <c r="A2206" s="2" t="s">
        <v>6116</v>
      </c>
      <c r="B2206" s="2" t="s">
        <v>6117</v>
      </c>
      <c r="C2206" s="2" t="s">
        <v>17</v>
      </c>
      <c r="D2206" s="2" t="s">
        <v>275</v>
      </c>
      <c r="E2206" s="4">
        <v>-32114</v>
      </c>
      <c r="F2206" s="3" t="s">
        <v>480</v>
      </c>
      <c r="G2206" s="3" t="s">
        <v>481</v>
      </c>
      <c r="H2206" s="2" t="s">
        <v>21</v>
      </c>
      <c r="I2206" s="2" t="s">
        <v>6118</v>
      </c>
      <c r="J2206" s="3" t="str">
        <f>HYPERLINK("https://www.boe.es/gazeta/dias/1812/01/27/pdfs/GMD-1812-27.pdf#page=4","Abrir facsímil")</f>
        <v>Abrir facsímil</v>
      </c>
      <c r="K2206" s="3" t="s">
        <v>23</v>
      </c>
    </row>
    <row r="2207" spans="1:11" ht="42" customHeight="1">
      <c r="A2207" s="2" t="s">
        <v>6119</v>
      </c>
      <c r="B2207" s="2" t="s">
        <v>6120</v>
      </c>
      <c r="C2207" s="2" t="s">
        <v>26</v>
      </c>
      <c r="D2207" s="2" t="s">
        <v>275</v>
      </c>
      <c r="E2207" s="4">
        <v>-31964</v>
      </c>
      <c r="F2207" s="3" t="s">
        <v>305</v>
      </c>
      <c r="G2207" s="3" t="s">
        <v>58</v>
      </c>
      <c r="H2207" s="2" t="s">
        <v>21</v>
      </c>
      <c r="I2207" s="2" t="s">
        <v>6121</v>
      </c>
      <c r="J2207" s="3" t="str">
        <f>HYPERLINK("https://www.boe.es/gazeta/dias/1812/06/25/pdfs/GMD-1812-177.pdf#page=2","Abrir facsímil")</f>
        <v>Abrir facsímil</v>
      </c>
      <c r="K2207" s="3" t="s">
        <v>23</v>
      </c>
    </row>
    <row r="2208" spans="1:11" ht="42" customHeight="1">
      <c r="A2208" s="2" t="s">
        <v>6122</v>
      </c>
      <c r="B2208" s="2" t="s">
        <v>6123</v>
      </c>
      <c r="C2208" s="2" t="s">
        <v>26</v>
      </c>
      <c r="D2208" s="2" t="s">
        <v>27</v>
      </c>
      <c r="E2208" s="4">
        <v>-31938</v>
      </c>
      <c r="F2208" s="3" t="s">
        <v>324</v>
      </c>
      <c r="G2208" s="3" t="s">
        <v>404</v>
      </c>
      <c r="H2208" s="2" t="s">
        <v>21</v>
      </c>
      <c r="I2208" s="2" t="s">
        <v>6124</v>
      </c>
      <c r="J2208" s="3" t="str">
        <f>HYPERLINK("https://www.boe.es/gazeta/dias/1812/07/21/pdfs/GMD-1812-203.pdf#page=4","Abrir facsímil")</f>
        <v>Abrir facsímil</v>
      </c>
      <c r="K2208" s="3" t="s">
        <v>23</v>
      </c>
    </row>
    <row r="2209" spans="1:11" ht="42" customHeight="1">
      <c r="A2209" s="2" t="s">
        <v>6125</v>
      </c>
      <c r="B2209" s="2" t="s">
        <v>6126</v>
      </c>
      <c r="C2209" s="2" t="s">
        <v>26</v>
      </c>
      <c r="D2209" s="2" t="s">
        <v>134</v>
      </c>
      <c r="E2209" s="4">
        <v>-31955</v>
      </c>
      <c r="F2209" s="3" t="s">
        <v>135</v>
      </c>
      <c r="G2209" s="3" t="s">
        <v>4551</v>
      </c>
      <c r="H2209" s="2" t="s">
        <v>21</v>
      </c>
      <c r="I2209" s="2" t="s">
        <v>6127</v>
      </c>
      <c r="J2209" s="3" t="str">
        <f>HYPERLINK("https://www.boe.es/gazeta/dias/1812/07/04/pdfs/GRE-F-1812-82.pdf#page=3","Abrir facsímil")</f>
        <v>Abrir facsímil</v>
      </c>
      <c r="K2209" s="3" t="s">
        <v>23</v>
      </c>
    </row>
    <row r="2210" spans="1:11" ht="42" customHeight="1">
      <c r="A2210" s="2" t="s">
        <v>6128</v>
      </c>
      <c r="B2210" s="2" t="s">
        <v>6129</v>
      </c>
      <c r="C2210" s="2" t="s">
        <v>26</v>
      </c>
      <c r="D2210" s="2" t="s">
        <v>27</v>
      </c>
      <c r="E2210" s="4">
        <v>-31938</v>
      </c>
      <c r="F2210" s="3" t="s">
        <v>324</v>
      </c>
      <c r="G2210" s="3" t="s">
        <v>237</v>
      </c>
      <c r="H2210" s="2" t="s">
        <v>21</v>
      </c>
      <c r="I2210" s="2" t="s">
        <v>6130</v>
      </c>
      <c r="J2210" s="3" t="str">
        <f>HYPERLINK("https://www.boe.es/gazeta/dias/1812/07/21/pdfs/GMD-1812-203.pdf#page=2","Abrir facsímil")</f>
        <v>Abrir facsímil</v>
      </c>
      <c r="K2210" s="3" t="s">
        <v>23</v>
      </c>
    </row>
    <row r="2211" spans="1:11" ht="42" customHeight="1">
      <c r="A2211" s="2" t="s">
        <v>6131</v>
      </c>
      <c r="B2211" s="2" t="s">
        <v>6132</v>
      </c>
      <c r="C2211" s="2" t="s">
        <v>26</v>
      </c>
      <c r="D2211" s="2" t="s">
        <v>27</v>
      </c>
      <c r="E2211" s="4">
        <v>-32132</v>
      </c>
      <c r="F2211" s="3" t="s">
        <v>484</v>
      </c>
      <c r="G2211" s="3" t="s">
        <v>485</v>
      </c>
      <c r="H2211" s="2" t="s">
        <v>21</v>
      </c>
      <c r="I2211" s="2" t="s">
        <v>6133</v>
      </c>
      <c r="J2211" s="3" t="str">
        <f>HYPERLINK("https://www.boe.es/gazeta/dias/1812/01/09/pdfs/GEI-1812-4.pdf#page=8","Abrir facsímil")</f>
        <v>Abrir facsímil</v>
      </c>
      <c r="K2211" s="3" t="s">
        <v>23</v>
      </c>
    </row>
    <row r="2212" spans="1:11" ht="42" customHeight="1">
      <c r="A2212" s="2" t="s">
        <v>6134</v>
      </c>
      <c r="B2212" s="2" t="s">
        <v>6135</v>
      </c>
      <c r="C2212" s="2" t="s">
        <v>17</v>
      </c>
      <c r="D2212" s="2" t="s">
        <v>27</v>
      </c>
      <c r="E2212" s="4">
        <v>-31824</v>
      </c>
      <c r="F2212" s="3" t="s">
        <v>3123</v>
      </c>
      <c r="G2212" s="3" t="s">
        <v>20</v>
      </c>
      <c r="H2212" s="2" t="s">
        <v>21</v>
      </c>
      <c r="I2212" s="2" t="s">
        <v>6136</v>
      </c>
      <c r="J2212" s="3" t="str">
        <f>HYPERLINK("https://www.boe.es/gazeta/dias/1812/11/12/pdfs/GRE-1812-151.pdf#page=5","Abrir facsímil")</f>
        <v>Abrir facsímil</v>
      </c>
      <c r="K2212" s="3" t="s">
        <v>23</v>
      </c>
    </row>
    <row r="2213" spans="1:11" ht="42" customHeight="1">
      <c r="A2213" s="2" t="s">
        <v>6137</v>
      </c>
      <c r="B2213" s="2" t="s">
        <v>6138</v>
      </c>
      <c r="C2213" s="2" t="s">
        <v>17</v>
      </c>
      <c r="D2213" s="2" t="s">
        <v>18</v>
      </c>
      <c r="E2213" s="4">
        <v>-31992</v>
      </c>
      <c r="F2213" s="3" t="s">
        <v>1292</v>
      </c>
      <c r="G2213" s="3" t="s">
        <v>1424</v>
      </c>
      <c r="H2213" s="2" t="s">
        <v>21</v>
      </c>
      <c r="I2213" s="2" t="s">
        <v>6139</v>
      </c>
      <c r="J2213" s="3" t="str">
        <f>HYPERLINK("https://www.boe.es/gazeta/dias/1812/05/28/pdfs/GRE-1812-66.pdf#page=5","Abrir facsímil")</f>
        <v>Abrir facsímil</v>
      </c>
      <c r="K2213" s="3" t="s">
        <v>23</v>
      </c>
    </row>
    <row r="2214" spans="1:11" ht="42" customHeight="1">
      <c r="A2214" s="2" t="s">
        <v>6140</v>
      </c>
      <c r="B2214" s="2" t="s">
        <v>6141</v>
      </c>
      <c r="C2214" s="2" t="s">
        <v>26</v>
      </c>
      <c r="D2214" s="2" t="s">
        <v>27</v>
      </c>
      <c r="E2214" s="4">
        <v>-31978</v>
      </c>
      <c r="F2214" s="3" t="s">
        <v>1790</v>
      </c>
      <c r="G2214" s="3" t="s">
        <v>1791</v>
      </c>
      <c r="H2214" s="2" t="s">
        <v>21</v>
      </c>
      <c r="I2214" s="2" t="s">
        <v>6142</v>
      </c>
      <c r="J2214" s="3" t="str">
        <f>HYPERLINK("https://www.boe.es/gazeta/dias/1812/06/11/pdfs/GRE-1812-72.pdf#page=8","Abrir facsímil")</f>
        <v>Abrir facsímil</v>
      </c>
      <c r="K2214" s="3" t="s">
        <v>23</v>
      </c>
    </row>
    <row r="2215" spans="1:11" ht="42" customHeight="1">
      <c r="A2215" s="2" t="s">
        <v>6143</v>
      </c>
      <c r="B2215" s="2" t="s">
        <v>6144</v>
      </c>
      <c r="C2215" s="2" t="s">
        <v>67</v>
      </c>
      <c r="D2215" s="2" t="s">
        <v>27</v>
      </c>
      <c r="E2215" s="4">
        <v>-31941</v>
      </c>
      <c r="F2215" s="3" t="s">
        <v>2048</v>
      </c>
      <c r="G2215" s="3" t="s">
        <v>20</v>
      </c>
      <c r="H2215" s="2" t="s">
        <v>21</v>
      </c>
      <c r="I2215" s="2" t="s">
        <v>6145</v>
      </c>
      <c r="J2215" s="3" t="str">
        <f>HYPERLINK("https://www.boe.es/gazeta/dias/1812/07/18/pdfs/GRE-1812-90.pdf#page=8","Abrir facsímil")</f>
        <v>Abrir facsímil</v>
      </c>
      <c r="K2215" s="3" t="s">
        <v>23</v>
      </c>
    </row>
    <row r="2216" spans="1:11" ht="42" customHeight="1">
      <c r="A2216" s="2" t="s">
        <v>6146</v>
      </c>
      <c r="B2216" s="2" t="s">
        <v>6147</v>
      </c>
      <c r="C2216" s="2" t="s">
        <v>67</v>
      </c>
      <c r="D2216" s="2" t="s">
        <v>27</v>
      </c>
      <c r="E2216" s="4">
        <v>-32000</v>
      </c>
      <c r="F2216" s="3" t="s">
        <v>878</v>
      </c>
      <c r="G2216" s="3" t="s">
        <v>214</v>
      </c>
      <c r="H2216" s="2" t="s">
        <v>21</v>
      </c>
      <c r="I2216" s="2" t="s">
        <v>6148</v>
      </c>
      <c r="J2216" s="3" t="str">
        <f>HYPERLINK("https://www.boe.es/gazeta/dias/1812/05/20/pdfs/GMD-1812-141.pdf#page=2","Abrir facsímil")</f>
        <v>Abrir facsímil</v>
      </c>
      <c r="K2216" s="3" t="s">
        <v>23</v>
      </c>
    </row>
    <row r="2217" spans="1:11" ht="42" customHeight="1">
      <c r="A2217" s="2" t="s">
        <v>6149</v>
      </c>
      <c r="B2217" s="2" t="s">
        <v>6150</v>
      </c>
      <c r="C2217" s="2" t="s">
        <v>26</v>
      </c>
      <c r="D2217" s="2" t="s">
        <v>27</v>
      </c>
      <c r="E2217" s="4">
        <v>-32062</v>
      </c>
      <c r="F2217" s="3" t="s">
        <v>280</v>
      </c>
      <c r="G2217" s="3" t="s">
        <v>20</v>
      </c>
      <c r="H2217" s="2" t="s">
        <v>21</v>
      </c>
      <c r="I2217" s="2" t="s">
        <v>6151</v>
      </c>
      <c r="J2217" s="3" t="str">
        <f>HYPERLINK("https://www.boe.es/gazeta/dias/1812/03/19/pdfs/GMD-1812-79.pdf#page=4","Abrir facsímil")</f>
        <v>Abrir facsímil</v>
      </c>
      <c r="K2217" s="3" t="s">
        <v>23</v>
      </c>
    </row>
    <row r="2218" spans="1:11" ht="42" customHeight="1">
      <c r="A2218" s="2" t="s">
        <v>6152</v>
      </c>
      <c r="B2218" s="2" t="s">
        <v>6153</v>
      </c>
      <c r="C2218" s="2" t="s">
        <v>26</v>
      </c>
      <c r="D2218" s="2" t="s">
        <v>27</v>
      </c>
      <c r="E2218" s="4">
        <v>-32022</v>
      </c>
      <c r="F2218" s="3" t="s">
        <v>1186</v>
      </c>
      <c r="G2218" s="3" t="s">
        <v>6154</v>
      </c>
      <c r="H2218" s="2" t="s">
        <v>21</v>
      </c>
      <c r="I2218" s="2" t="s">
        <v>6155</v>
      </c>
      <c r="J2218" s="3" t="str">
        <f>HYPERLINK("https://www.boe.es/gazeta/dias/1812/04/28/pdfs/GRE-1812-53.pdf#page=7","Abrir facsímil")</f>
        <v>Abrir facsímil</v>
      </c>
      <c r="K2218" s="3" t="s">
        <v>23</v>
      </c>
    </row>
    <row r="2219" spans="1:11" ht="42" customHeight="1">
      <c r="A2219" s="2" t="s">
        <v>6156</v>
      </c>
      <c r="B2219" s="2" t="s">
        <v>6157</v>
      </c>
      <c r="C2219" s="2" t="s">
        <v>49</v>
      </c>
      <c r="D2219" s="2" t="s">
        <v>194</v>
      </c>
      <c r="E2219" s="4">
        <v>-31977</v>
      </c>
      <c r="F2219" s="3" t="s">
        <v>1566</v>
      </c>
      <c r="G2219" s="3" t="s">
        <v>6158</v>
      </c>
      <c r="H2219" s="2" t="s">
        <v>21</v>
      </c>
      <c r="I2219" s="2" t="s">
        <v>6159</v>
      </c>
      <c r="J2219" s="3" t="str">
        <f>HYPERLINK("https://www.boe.es/gazeta/dias/1812/06/12/pdfs/GMD-1812-164.pdf#page=2","Abrir facsímil")</f>
        <v>Abrir facsímil</v>
      </c>
      <c r="K2219" s="3" t="s">
        <v>23</v>
      </c>
    </row>
    <row r="2220" spans="1:11" ht="42" customHeight="1">
      <c r="A2220" s="2" t="s">
        <v>6160</v>
      </c>
      <c r="B2220" s="2" t="s">
        <v>6161</v>
      </c>
      <c r="C2220" s="2" t="s">
        <v>17</v>
      </c>
      <c r="D2220" s="2" t="s">
        <v>18</v>
      </c>
      <c r="E2220" s="4">
        <v>-32053</v>
      </c>
      <c r="F2220" s="3" t="s">
        <v>910</v>
      </c>
      <c r="G2220" s="3" t="s">
        <v>911</v>
      </c>
      <c r="H2220" s="2" t="s">
        <v>21</v>
      </c>
      <c r="I2220" s="2" t="s">
        <v>6162</v>
      </c>
      <c r="J2220" s="3" t="str">
        <f>HYPERLINK("https://www.boe.es/gazeta/dias/1812/03/28/pdfs/GRE-1812-39.pdf#page=8","Abrir facsímil")</f>
        <v>Abrir facsímil</v>
      </c>
      <c r="K2220" s="3" t="s">
        <v>23</v>
      </c>
    </row>
    <row r="2221" spans="1:11" ht="42" customHeight="1">
      <c r="A2221" s="2" t="s">
        <v>6163</v>
      </c>
      <c r="B2221" s="2" t="s">
        <v>6164</v>
      </c>
      <c r="C2221" s="2" t="s">
        <v>17</v>
      </c>
      <c r="D2221" s="2" t="s">
        <v>18</v>
      </c>
      <c r="E2221" s="4">
        <v>-32033</v>
      </c>
      <c r="F2221" s="3" t="s">
        <v>771</v>
      </c>
      <c r="G2221" s="3" t="s">
        <v>217</v>
      </c>
      <c r="H2221" s="2" t="s">
        <v>21</v>
      </c>
      <c r="I2221" s="2" t="s">
        <v>6165</v>
      </c>
      <c r="J2221" s="3" t="str">
        <f>HYPERLINK("https://www.boe.es/gazeta/dias/1812/04/17/pdfs/GMD-1812-108.pdf#page=3","Abrir facsímil")</f>
        <v>Abrir facsímil</v>
      </c>
      <c r="K2221" s="3" t="s">
        <v>23</v>
      </c>
    </row>
    <row r="2222" spans="1:11" ht="42" customHeight="1">
      <c r="A2222" s="2" t="s">
        <v>6166</v>
      </c>
      <c r="B2222" s="2" t="s">
        <v>6167</v>
      </c>
      <c r="C2222" s="2" t="s">
        <v>26</v>
      </c>
      <c r="D2222" s="2" t="s">
        <v>27</v>
      </c>
      <c r="E2222" s="4">
        <v>-32000</v>
      </c>
      <c r="F2222" s="3" t="s">
        <v>878</v>
      </c>
      <c r="G2222" s="3" t="s">
        <v>214</v>
      </c>
      <c r="H2222" s="2" t="s">
        <v>21</v>
      </c>
      <c r="I2222" s="2" t="s">
        <v>6168</v>
      </c>
      <c r="J2222" s="3" t="str">
        <f>HYPERLINK("https://www.boe.es/gazeta/dias/1812/05/20/pdfs/GMD-1812-141.pdf#page=2","Abrir facsímil")</f>
        <v>Abrir facsímil</v>
      </c>
      <c r="K2222" s="3" t="s">
        <v>23</v>
      </c>
    </row>
    <row r="2223" spans="1:11" ht="42" customHeight="1">
      <c r="A2223" s="2" t="s">
        <v>6169</v>
      </c>
      <c r="B2223" s="2" t="s">
        <v>6170</v>
      </c>
      <c r="C2223" s="2" t="s">
        <v>49</v>
      </c>
      <c r="D2223" s="2" t="s">
        <v>27</v>
      </c>
      <c r="E2223" s="4">
        <v>-32069</v>
      </c>
      <c r="F2223" s="3" t="s">
        <v>445</v>
      </c>
      <c r="G2223" s="3" t="s">
        <v>214</v>
      </c>
      <c r="H2223" s="2" t="s">
        <v>21</v>
      </c>
      <c r="I2223" s="2" t="s">
        <v>6171</v>
      </c>
      <c r="J2223" s="3" t="str">
        <f>HYPERLINK("https://www.boe.es/gazeta/dias/1812/03/12/pdfs/GRE-1812-32.pdf#page=5","Abrir facsímil")</f>
        <v>Abrir facsímil</v>
      </c>
      <c r="K2223" s="3" t="s">
        <v>23</v>
      </c>
    </row>
    <row r="2224" spans="1:11" ht="42" customHeight="1">
      <c r="A2224" s="2" t="s">
        <v>6172</v>
      </c>
      <c r="B2224" s="2" t="s">
        <v>6173</v>
      </c>
      <c r="C2224" s="2" t="s">
        <v>26</v>
      </c>
      <c r="D2224" s="2" t="s">
        <v>27</v>
      </c>
      <c r="E2224" s="4">
        <v>-31901</v>
      </c>
      <c r="F2224" s="3" t="s">
        <v>2199</v>
      </c>
      <c r="G2224" s="3" t="s">
        <v>2200</v>
      </c>
      <c r="H2224" s="2" t="s">
        <v>21</v>
      </c>
      <c r="I2224" s="2" t="s">
        <v>6174</v>
      </c>
      <c r="J2224" s="3" t="str">
        <f>HYPERLINK("https://www.boe.es/gazeta/dias/1812/08/27/pdfs/GRE-1812-111.pdf#page=8","Abrir facsímil")</f>
        <v>Abrir facsímil</v>
      </c>
      <c r="K2224" s="3" t="s">
        <v>23</v>
      </c>
    </row>
    <row r="2225" spans="1:11" ht="42" customHeight="1">
      <c r="A2225" s="2" t="s">
        <v>6175</v>
      </c>
      <c r="B2225" s="2" t="s">
        <v>6176</v>
      </c>
      <c r="C2225" s="2" t="s">
        <v>26</v>
      </c>
      <c r="D2225" s="2" t="s">
        <v>27</v>
      </c>
      <c r="E2225" s="4">
        <v>-31992</v>
      </c>
      <c r="F2225" s="3" t="s">
        <v>2239</v>
      </c>
      <c r="G2225" s="3" t="s">
        <v>36</v>
      </c>
      <c r="H2225" s="2" t="s">
        <v>21</v>
      </c>
      <c r="I2225" s="2" t="s">
        <v>6177</v>
      </c>
      <c r="J2225" s="3" t="str">
        <f>HYPERLINK("https://www.boe.es/gazeta/dias/1812/05/28/pdfs/GMD-1812-149.pdf#page=3","Abrir facsímil")</f>
        <v>Abrir facsímil</v>
      </c>
      <c r="K2225" s="3" t="s">
        <v>23</v>
      </c>
    </row>
    <row r="2226" spans="1:11" ht="42" customHeight="1">
      <c r="A2226" s="2" t="s">
        <v>6178</v>
      </c>
      <c r="B2226" s="2" t="s">
        <v>6179</v>
      </c>
      <c r="C2226" s="2" t="s">
        <v>105</v>
      </c>
      <c r="D2226" s="2" t="s">
        <v>27</v>
      </c>
      <c r="E2226" s="4">
        <v>-32002</v>
      </c>
      <c r="F2226" s="3" t="s">
        <v>619</v>
      </c>
      <c r="G2226" s="3" t="s">
        <v>620</v>
      </c>
      <c r="H2226" s="2" t="s">
        <v>21</v>
      </c>
      <c r="I2226" s="2" t="s">
        <v>6180</v>
      </c>
      <c r="J2226" s="3" t="str">
        <f>HYPERLINK("https://www.boe.es/gazeta/dias/1812/05/18/pdfs/GMD-1812-139.pdf#page=2","Abrir facsímil")</f>
        <v>Abrir facsímil</v>
      </c>
      <c r="K2226" s="3" t="s">
        <v>23</v>
      </c>
    </row>
    <row r="2227" spans="1:11" ht="42" customHeight="1">
      <c r="A2227" s="2" t="s">
        <v>6181</v>
      </c>
      <c r="B2227" s="2" t="s">
        <v>6182</v>
      </c>
      <c r="C2227" s="2" t="s">
        <v>17</v>
      </c>
      <c r="D2227" s="2" t="s">
        <v>18</v>
      </c>
      <c r="E2227" s="4">
        <v>-31899</v>
      </c>
      <c r="F2227" s="3" t="s">
        <v>1396</v>
      </c>
      <c r="G2227" s="3" t="s">
        <v>2313</v>
      </c>
      <c r="H2227" s="2" t="s">
        <v>21</v>
      </c>
      <c r="I2227" s="2" t="s">
        <v>6183</v>
      </c>
      <c r="J2227" s="3" t="str">
        <f>HYPERLINK("https://www.boe.es/gazeta/dias/1812/08/29/pdfs/GMR-1812-7.pdf#page=4","Abrir facsímil")</f>
        <v>Abrir facsímil</v>
      </c>
      <c r="K2227" s="3" t="s">
        <v>23</v>
      </c>
    </row>
    <row r="2228" spans="1:11" ht="42" customHeight="1">
      <c r="A2228" s="2" t="s">
        <v>6184</v>
      </c>
      <c r="B2228" s="2" t="s">
        <v>6185</v>
      </c>
      <c r="C2228" s="2" t="s">
        <v>49</v>
      </c>
      <c r="D2228" s="2" t="s">
        <v>27</v>
      </c>
      <c r="E2228" s="4">
        <v>-32075</v>
      </c>
      <c r="F2228" s="3" t="s">
        <v>301</v>
      </c>
      <c r="G2228" s="3" t="s">
        <v>20</v>
      </c>
      <c r="H2228" s="2" t="s">
        <v>21</v>
      </c>
      <c r="I2228" s="2" t="s">
        <v>6186</v>
      </c>
      <c r="J2228" s="3" t="str">
        <f>HYPERLINK("https://www.boe.es/gazeta/dias/1812/03/06/pdfs/GMD-1812-66.pdf#page=4","Abrir facsímil")</f>
        <v>Abrir facsímil</v>
      </c>
      <c r="K2228" s="3" t="s">
        <v>23</v>
      </c>
    </row>
    <row r="2229" spans="1:11" ht="42" customHeight="1">
      <c r="A2229" s="2" t="s">
        <v>6187</v>
      </c>
      <c r="B2229" s="2" t="s">
        <v>6188</v>
      </c>
      <c r="C2229" s="2" t="s">
        <v>186</v>
      </c>
      <c r="D2229" s="2" t="s">
        <v>27</v>
      </c>
      <c r="E2229" s="4">
        <v>-32060</v>
      </c>
      <c r="F2229" s="3" t="s">
        <v>399</v>
      </c>
      <c r="G2229" s="3" t="s">
        <v>136</v>
      </c>
      <c r="H2229" s="2" t="s">
        <v>21</v>
      </c>
      <c r="I2229" s="2" t="s">
        <v>6189</v>
      </c>
      <c r="J2229" s="3" t="str">
        <f>HYPERLINK("https://www.boe.es/gazeta/dias/1812/03/21/pdfs/GMD-1812-81.pdf#page=4","Abrir facsímil")</f>
        <v>Abrir facsímil</v>
      </c>
      <c r="K2229" s="3" t="s">
        <v>23</v>
      </c>
    </row>
    <row r="2230" spans="1:11" ht="42" customHeight="1">
      <c r="A2230" s="2" t="s">
        <v>6190</v>
      </c>
      <c r="B2230" s="2" t="s">
        <v>6191</v>
      </c>
      <c r="C2230" s="2" t="s">
        <v>17</v>
      </c>
      <c r="D2230" s="2" t="s">
        <v>27</v>
      </c>
      <c r="E2230" s="4">
        <v>-31896</v>
      </c>
      <c r="F2230" s="3" t="s">
        <v>3158</v>
      </c>
      <c r="G2230" s="3" t="s">
        <v>6192</v>
      </c>
      <c r="H2230" s="2" t="s">
        <v>21</v>
      </c>
      <c r="I2230" s="2" t="s">
        <v>6193</v>
      </c>
      <c r="J2230" s="3" t="str">
        <f>HYPERLINK("https://www.boe.es/gazeta/dias/1812/09/01/pdfs/GRE-1812-117.pdf#page=3","Abrir facsímil")</f>
        <v>Abrir facsímil</v>
      </c>
      <c r="K2230" s="3" t="s">
        <v>23</v>
      </c>
    </row>
    <row r="2231" spans="1:11" ht="42" customHeight="1">
      <c r="A2231" s="2" t="s">
        <v>6194</v>
      </c>
      <c r="B2231" s="2" t="s">
        <v>6195</v>
      </c>
      <c r="C2231" s="2" t="s">
        <v>17</v>
      </c>
      <c r="D2231" s="2" t="s">
        <v>18</v>
      </c>
      <c r="E2231" s="4">
        <v>-31777</v>
      </c>
      <c r="F2231" s="3" t="s">
        <v>1118</v>
      </c>
      <c r="G2231" s="3" t="s">
        <v>801</v>
      </c>
      <c r="H2231" s="2" t="s">
        <v>21</v>
      </c>
      <c r="I2231" s="2" t="s">
        <v>6196</v>
      </c>
      <c r="J2231" s="3" t="str">
        <f>HYPERLINK("https://www.boe.es/gazeta/dias/1812/12/29/pdfs/GRE-1812-171.pdf#page=4","Abrir facsímil")</f>
        <v>Abrir facsímil</v>
      </c>
      <c r="K2231" s="3" t="s">
        <v>23</v>
      </c>
    </row>
    <row r="2232" spans="1:11" ht="42" customHeight="1">
      <c r="A2232" s="2" t="s">
        <v>6197</v>
      </c>
      <c r="B2232" s="2" t="s">
        <v>6198</v>
      </c>
      <c r="C2232" s="2" t="s">
        <v>186</v>
      </c>
      <c r="D2232" s="2" t="s">
        <v>27</v>
      </c>
      <c r="E2232" s="4">
        <v>-31963</v>
      </c>
      <c r="F2232" s="3" t="s">
        <v>171</v>
      </c>
      <c r="G2232" s="3" t="s">
        <v>1653</v>
      </c>
      <c r="H2232" s="2" t="s">
        <v>21</v>
      </c>
      <c r="I2232" s="2" t="s">
        <v>6199</v>
      </c>
      <c r="J2232" s="3" t="str">
        <f>HYPERLINK("https://www.boe.es/gazeta/dias/1812/06/26/pdfs/GMD-1812-178.pdf#page=2","Abrir facsímil")</f>
        <v>Abrir facsímil</v>
      </c>
      <c r="K2232" s="3" t="s">
        <v>23</v>
      </c>
    </row>
    <row r="2233" spans="1:11" ht="42" customHeight="1">
      <c r="A2233" s="2" t="s">
        <v>6200</v>
      </c>
      <c r="B2233" s="2" t="s">
        <v>6201</v>
      </c>
      <c r="C2233" s="2" t="s">
        <v>115</v>
      </c>
      <c r="D2233" s="2" t="s">
        <v>27</v>
      </c>
      <c r="E2233" s="4">
        <v>-32068</v>
      </c>
      <c r="F2233" s="3" t="s">
        <v>2608</v>
      </c>
      <c r="G2233" s="3" t="s">
        <v>130</v>
      </c>
      <c r="H2233" s="2" t="s">
        <v>21</v>
      </c>
      <c r="I2233" s="2" t="s">
        <v>6202</v>
      </c>
      <c r="J2233" s="3" t="str">
        <f>HYPERLINK("https://www.boe.es/gazeta/dias/1812/03/13/pdfs/GMD-1812-73.pdf#page=4","Abrir facsímil")</f>
        <v>Abrir facsímil</v>
      </c>
      <c r="K2233" s="3" t="s">
        <v>23</v>
      </c>
    </row>
    <row r="2234" spans="1:11" ht="42" customHeight="1">
      <c r="A2234" s="2" t="s">
        <v>6203</v>
      </c>
      <c r="B2234" s="2" t="s">
        <v>6204</v>
      </c>
      <c r="C2234" s="2" t="s">
        <v>26</v>
      </c>
      <c r="D2234" s="2" t="s">
        <v>27</v>
      </c>
      <c r="E2234" s="4">
        <v>-32034</v>
      </c>
      <c r="F2234" s="3" t="s">
        <v>28</v>
      </c>
      <c r="G2234" s="3" t="s">
        <v>317</v>
      </c>
      <c r="H2234" s="2" t="s">
        <v>21</v>
      </c>
      <c r="I2234" s="2" t="s">
        <v>6205</v>
      </c>
      <c r="J2234" s="3" t="str">
        <f>HYPERLINK("https://www.boe.es/gazeta/dias/1812/04/16/pdfs/GMD-1812-107.pdf#page=6","Abrir facsímil")</f>
        <v>Abrir facsímil</v>
      </c>
      <c r="K2234" s="3" t="s">
        <v>23</v>
      </c>
    </row>
    <row r="2235" spans="1:11" ht="42" customHeight="1">
      <c r="A2235" s="2" t="s">
        <v>6206</v>
      </c>
      <c r="B2235" s="2" t="s">
        <v>6207</v>
      </c>
      <c r="C2235" s="2" t="s">
        <v>105</v>
      </c>
      <c r="D2235" s="2" t="s">
        <v>27</v>
      </c>
      <c r="E2235" s="4">
        <v>-32046</v>
      </c>
      <c r="F2235" s="3" t="s">
        <v>2612</v>
      </c>
      <c r="G2235" s="3" t="s">
        <v>1380</v>
      </c>
      <c r="H2235" s="2" t="s">
        <v>21</v>
      </c>
      <c r="I2235" s="2" t="s">
        <v>6208</v>
      </c>
      <c r="J2235" s="3" t="str">
        <f>HYPERLINK("https://www.boe.es/gazeta/dias/1812/04/04/pdfs/GMD-1812-95.pdf#page=2","Abrir facsímil")</f>
        <v>Abrir facsímil</v>
      </c>
      <c r="K2235" s="3" t="s">
        <v>23</v>
      </c>
    </row>
    <row r="2236" spans="1:11" ht="42" customHeight="1">
      <c r="A2236" s="2" t="s">
        <v>6209</v>
      </c>
      <c r="B2236" s="2" t="s">
        <v>6210</v>
      </c>
      <c r="C2236" s="2" t="s">
        <v>26</v>
      </c>
      <c r="D2236" s="2" t="s">
        <v>27</v>
      </c>
      <c r="E2236" s="4">
        <v>-31938</v>
      </c>
      <c r="F2236" s="3" t="s">
        <v>324</v>
      </c>
      <c r="G2236" s="3" t="s">
        <v>497</v>
      </c>
      <c r="H2236" s="2" t="s">
        <v>21</v>
      </c>
      <c r="I2236" s="2" t="s">
        <v>6211</v>
      </c>
      <c r="J2236" s="3" t="str">
        <f>HYPERLINK("https://www.boe.es/gazeta/dias/1812/07/21/pdfs/GMD-1812-203.pdf#page=3","Abrir facsímil")</f>
        <v>Abrir facsímil</v>
      </c>
      <c r="K2236" s="3" t="s">
        <v>23</v>
      </c>
    </row>
    <row r="2237" spans="1:11" ht="42" customHeight="1">
      <c r="A2237" s="2" t="s">
        <v>6212</v>
      </c>
      <c r="B2237" s="2" t="s">
        <v>6213</v>
      </c>
      <c r="C2237" s="2" t="s">
        <v>26</v>
      </c>
      <c r="D2237" s="2" t="s">
        <v>27</v>
      </c>
      <c r="E2237" s="4">
        <v>-31939</v>
      </c>
      <c r="F2237" s="3" t="s">
        <v>408</v>
      </c>
      <c r="G2237" s="3" t="s">
        <v>20</v>
      </c>
      <c r="H2237" s="2" t="s">
        <v>21</v>
      </c>
      <c r="I2237" s="2" t="s">
        <v>6214</v>
      </c>
      <c r="J2237" s="3" t="str">
        <f>HYPERLINK("https://www.boe.es/gazeta/dias/1812/07/20/pdfs/GMD-1812-202.pdf#page=4","Abrir facsímil")</f>
        <v>Abrir facsímil</v>
      </c>
      <c r="K2237" s="3" t="s">
        <v>23</v>
      </c>
    </row>
    <row r="2238" spans="1:11" ht="42" customHeight="1">
      <c r="A2238" s="2" t="s">
        <v>6215</v>
      </c>
      <c r="B2238" s="2" t="s">
        <v>6216</v>
      </c>
      <c r="C2238" s="2" t="s">
        <v>49</v>
      </c>
      <c r="D2238" s="2" t="s">
        <v>27</v>
      </c>
      <c r="E2238" s="4">
        <v>-32075</v>
      </c>
      <c r="F2238" s="3" t="s">
        <v>301</v>
      </c>
      <c r="G2238" s="3" t="s">
        <v>20</v>
      </c>
      <c r="H2238" s="2" t="s">
        <v>21</v>
      </c>
      <c r="I2238" s="2" t="s">
        <v>6217</v>
      </c>
      <c r="J2238" s="3" t="str">
        <f>HYPERLINK("https://www.boe.es/gazeta/dias/1812/03/06/pdfs/GMD-1812-66.pdf#page=4","Abrir facsímil")</f>
        <v>Abrir facsímil</v>
      </c>
      <c r="K2238" s="3" t="s">
        <v>23</v>
      </c>
    </row>
    <row r="2239" spans="1:11" ht="42" customHeight="1">
      <c r="A2239" s="2" t="s">
        <v>6218</v>
      </c>
      <c r="B2239" s="2" t="s">
        <v>6219</v>
      </c>
      <c r="C2239" s="2" t="s">
        <v>26</v>
      </c>
      <c r="D2239" s="2" t="s">
        <v>27</v>
      </c>
      <c r="E2239" s="4">
        <v>-32055</v>
      </c>
      <c r="F2239" s="3" t="s">
        <v>459</v>
      </c>
      <c r="G2239" s="3" t="s">
        <v>6220</v>
      </c>
      <c r="H2239" s="2" t="s">
        <v>21</v>
      </c>
      <c r="I2239" s="2" t="s">
        <v>6221</v>
      </c>
      <c r="J2239" s="3" t="str">
        <f>HYPERLINK("https://www.boe.es/gazeta/dias/1812/03/26/pdfs/GRE-1812-38.pdf#page=7","Abrir facsímil")</f>
        <v>Abrir facsímil</v>
      </c>
      <c r="K2239" s="3" t="s">
        <v>23</v>
      </c>
    </row>
    <row r="2240" spans="1:11" ht="42" customHeight="1">
      <c r="A2240" s="2" t="s">
        <v>6218</v>
      </c>
      <c r="B2240" s="2" t="s">
        <v>6219</v>
      </c>
      <c r="C2240" s="2" t="s">
        <v>26</v>
      </c>
      <c r="D2240" s="2" t="s">
        <v>27</v>
      </c>
      <c r="E2240" s="4">
        <v>-31976</v>
      </c>
      <c r="F2240" s="3" t="s">
        <v>54</v>
      </c>
      <c r="G2240" s="3" t="s">
        <v>55</v>
      </c>
      <c r="H2240" s="2" t="s">
        <v>21</v>
      </c>
      <c r="I2240" s="2" t="s">
        <v>6222</v>
      </c>
      <c r="J2240" s="3" t="str">
        <f>HYPERLINK("https://www.boe.es/gazeta/dias/1812/06/13/pdfs/GRE-1812-73.pdf#page=6","Abrir facsímil")</f>
        <v>Abrir facsímil</v>
      </c>
      <c r="K2240" s="3" t="s">
        <v>23</v>
      </c>
    </row>
    <row r="2241" spans="1:11" ht="42" customHeight="1">
      <c r="A2241" s="2" t="s">
        <v>6223</v>
      </c>
      <c r="B2241" s="2" t="s">
        <v>6224</v>
      </c>
      <c r="C2241" s="2" t="s">
        <v>26</v>
      </c>
      <c r="D2241" s="2" t="s">
        <v>275</v>
      </c>
      <c r="E2241" s="4">
        <v>-31964</v>
      </c>
      <c r="F2241" s="3" t="s">
        <v>305</v>
      </c>
      <c r="G2241" s="3" t="s">
        <v>58</v>
      </c>
      <c r="H2241" s="2" t="s">
        <v>21</v>
      </c>
      <c r="I2241" s="2" t="s">
        <v>6225</v>
      </c>
      <c r="J2241" s="3" t="str">
        <f>HYPERLINK("https://www.boe.es/gazeta/dias/1812/06/25/pdfs/GMD-1812-177.pdf#page=2","Abrir facsímil")</f>
        <v>Abrir facsímil</v>
      </c>
      <c r="K2241" s="3" t="s">
        <v>23</v>
      </c>
    </row>
    <row r="2242" spans="1:11" ht="42" customHeight="1">
      <c r="A2242" s="2" t="s">
        <v>6223</v>
      </c>
      <c r="B2242" s="2" t="s">
        <v>6224</v>
      </c>
      <c r="C2242" s="2" t="s">
        <v>26</v>
      </c>
      <c r="D2242" s="2" t="s">
        <v>27</v>
      </c>
      <c r="E2242" s="4">
        <v>-31938</v>
      </c>
      <c r="F2242" s="3" t="s">
        <v>324</v>
      </c>
      <c r="G2242" s="3" t="s">
        <v>237</v>
      </c>
      <c r="H2242" s="2" t="s">
        <v>21</v>
      </c>
      <c r="I2242" s="2" t="s">
        <v>6226</v>
      </c>
      <c r="J2242" s="3" t="str">
        <f>HYPERLINK("https://www.boe.es/gazeta/dias/1812/07/21/pdfs/GMD-1812-203.pdf#page=2","Abrir facsímil")</f>
        <v>Abrir facsímil</v>
      </c>
      <c r="K2242" s="3" t="s">
        <v>23</v>
      </c>
    </row>
    <row r="2243" spans="1:11" ht="42" customHeight="1">
      <c r="A2243" s="2" t="s">
        <v>6227</v>
      </c>
      <c r="B2243" s="2" t="s">
        <v>6228</v>
      </c>
      <c r="C2243" s="2" t="s">
        <v>26</v>
      </c>
      <c r="D2243" s="2" t="s">
        <v>27</v>
      </c>
      <c r="E2243" s="4">
        <v>-31938</v>
      </c>
      <c r="F2243" s="3" t="s">
        <v>324</v>
      </c>
      <c r="G2243" s="3" t="s">
        <v>497</v>
      </c>
      <c r="H2243" s="2" t="s">
        <v>21</v>
      </c>
      <c r="I2243" s="2" t="s">
        <v>6229</v>
      </c>
      <c r="J2243" s="3" t="str">
        <f>HYPERLINK("https://www.boe.es/gazeta/dias/1812/07/21/pdfs/GMD-1812-203.pdf#page=3","Abrir facsímil")</f>
        <v>Abrir facsímil</v>
      </c>
      <c r="K2243" s="3" t="s">
        <v>23</v>
      </c>
    </row>
    <row r="2244" spans="1:11" ht="42" customHeight="1">
      <c r="A2244" s="2" t="s">
        <v>6230</v>
      </c>
      <c r="B2244" s="2" t="s">
        <v>6231</v>
      </c>
      <c r="C2244" s="2" t="s">
        <v>26</v>
      </c>
      <c r="D2244" s="2" t="s">
        <v>27</v>
      </c>
      <c r="E2244" s="4">
        <v>-31938</v>
      </c>
      <c r="F2244" s="3" t="s">
        <v>324</v>
      </c>
      <c r="G2244" s="3" t="s">
        <v>237</v>
      </c>
      <c r="H2244" s="2" t="s">
        <v>21</v>
      </c>
      <c r="I2244" s="2" t="s">
        <v>6232</v>
      </c>
      <c r="J2244" s="3" t="str">
        <f>HYPERLINK("https://www.boe.es/gazeta/dias/1812/07/21/pdfs/GMD-1812-203.pdf#page=2","Abrir facsímil")</f>
        <v>Abrir facsímil</v>
      </c>
      <c r="K2244" s="3" t="s">
        <v>23</v>
      </c>
    </row>
    <row r="2245" spans="1:11" ht="42" customHeight="1">
      <c r="A2245" s="2" t="s">
        <v>6233</v>
      </c>
      <c r="B2245" s="2" t="s">
        <v>6234</v>
      </c>
      <c r="C2245" s="2" t="s">
        <v>26</v>
      </c>
      <c r="D2245" s="2" t="s">
        <v>27</v>
      </c>
      <c r="E2245" s="4">
        <v>-31821</v>
      </c>
      <c r="F2245" s="3" t="s">
        <v>1979</v>
      </c>
      <c r="G2245" s="3" t="s">
        <v>317</v>
      </c>
      <c r="H2245" s="2" t="s">
        <v>21</v>
      </c>
      <c r="I2245" s="2" t="s">
        <v>6235</v>
      </c>
      <c r="J2245" s="3" t="str">
        <f>HYPERLINK("https://www.boe.es/gazeta/dias/1812/11/15/pdfs/GMR-1812-34.pdf#page=6","Abrir facsímil")</f>
        <v>Abrir facsímil</v>
      </c>
      <c r="K2245" s="3" t="s">
        <v>23</v>
      </c>
    </row>
    <row r="2246" spans="1:11" ht="42" customHeight="1">
      <c r="A2246" s="2" t="s">
        <v>6236</v>
      </c>
      <c r="B2246" s="2" t="s">
        <v>6237</v>
      </c>
      <c r="C2246" s="2" t="s">
        <v>17</v>
      </c>
      <c r="D2246" s="2" t="s">
        <v>27</v>
      </c>
      <c r="E2246" s="4">
        <v>-31973</v>
      </c>
      <c r="F2246" s="3" t="s">
        <v>1735</v>
      </c>
      <c r="G2246" s="3" t="s">
        <v>3666</v>
      </c>
      <c r="H2246" s="2" t="s">
        <v>30</v>
      </c>
      <c r="I2246" s="2" t="s">
        <v>6238</v>
      </c>
      <c r="J2246" s="3" t="str">
        <f>HYPERLINK("https://www.boe.es/gazeta/dias/1812/06/16/pdfs/GRE-1812-74.pdf#page=2","Abrir facsímil")</f>
        <v>Abrir facsímil</v>
      </c>
      <c r="K2246" s="3" t="s">
        <v>32</v>
      </c>
    </row>
    <row r="2247" spans="1:11" ht="42" customHeight="1">
      <c r="A2247" s="2" t="s">
        <v>6239</v>
      </c>
      <c r="B2247" s="2" t="s">
        <v>6240</v>
      </c>
      <c r="C2247" s="2" t="s">
        <v>26</v>
      </c>
      <c r="D2247" s="2" t="s">
        <v>275</v>
      </c>
      <c r="E2247" s="4">
        <v>-32063</v>
      </c>
      <c r="F2247" s="3" t="s">
        <v>384</v>
      </c>
      <c r="G2247" s="3" t="s">
        <v>20</v>
      </c>
      <c r="H2247" s="2" t="s">
        <v>21</v>
      </c>
      <c r="I2247" s="2" t="s">
        <v>6241</v>
      </c>
      <c r="J2247" s="3" t="str">
        <f>HYPERLINK("https://www.boe.es/gazeta/dias/1812/03/18/pdfs/GMD-1812-78.pdf#page=4","Abrir facsímil")</f>
        <v>Abrir facsímil</v>
      </c>
      <c r="K2247" s="3" t="s">
        <v>23</v>
      </c>
    </row>
    <row r="2248" spans="1:11" ht="42" customHeight="1">
      <c r="A2248" s="2" t="s">
        <v>6242</v>
      </c>
      <c r="B2248" s="2" t="s">
        <v>6243</v>
      </c>
      <c r="C2248" s="2" t="s">
        <v>49</v>
      </c>
      <c r="D2248" s="2" t="s">
        <v>27</v>
      </c>
      <c r="E2248" s="4">
        <v>-32109</v>
      </c>
      <c r="F2248" s="3" t="s">
        <v>62</v>
      </c>
      <c r="G2248" s="3" t="s">
        <v>63</v>
      </c>
      <c r="H2248" s="2" t="s">
        <v>21</v>
      </c>
      <c r="I2248" s="2" t="s">
        <v>6244</v>
      </c>
      <c r="J2248" s="3" t="str">
        <f>HYPERLINK("https://www.boe.es/gazeta/dias/1812/02/01/pdfs/GRE-1812-14.pdf#page=10","Abrir facsímil")</f>
        <v>Abrir facsímil</v>
      </c>
      <c r="K2248" s="3" t="s">
        <v>23</v>
      </c>
    </row>
    <row r="2249" spans="1:11" ht="42" customHeight="1">
      <c r="A2249" s="2" t="s">
        <v>6245</v>
      </c>
      <c r="B2249" s="2" t="s">
        <v>6246</v>
      </c>
      <c r="C2249" s="2" t="s">
        <v>49</v>
      </c>
      <c r="D2249" s="2" t="s">
        <v>27</v>
      </c>
      <c r="E2249" s="4">
        <v>-31822</v>
      </c>
      <c r="F2249" s="3" t="s">
        <v>541</v>
      </c>
      <c r="G2249" s="3" t="s">
        <v>1459</v>
      </c>
      <c r="H2249" s="2" t="s">
        <v>21</v>
      </c>
      <c r="I2249" s="2" t="s">
        <v>6247</v>
      </c>
      <c r="J2249" s="3" t="str">
        <f>HYPERLINK("https://www.boe.es/gazeta/dias/1812/11/14/pdfs/GRE-1812-152.pdf#page=8","Abrir facsímil")</f>
        <v>Abrir facsímil</v>
      </c>
      <c r="K2249" s="3" t="s">
        <v>23</v>
      </c>
    </row>
    <row r="2250" spans="1:11" ht="42" customHeight="1">
      <c r="A2250" s="2" t="s">
        <v>6248</v>
      </c>
      <c r="B2250" s="2" t="s">
        <v>6249</v>
      </c>
      <c r="C2250" s="2" t="s">
        <v>49</v>
      </c>
      <c r="D2250" s="2" t="s">
        <v>27</v>
      </c>
      <c r="E2250" s="4">
        <v>-31966</v>
      </c>
      <c r="F2250" s="3" t="s">
        <v>3665</v>
      </c>
      <c r="G2250" s="3" t="s">
        <v>3666</v>
      </c>
      <c r="H2250" s="2" t="s">
        <v>21</v>
      </c>
      <c r="I2250" s="2" t="s">
        <v>6250</v>
      </c>
      <c r="J2250" s="3" t="str">
        <f>HYPERLINK("https://www.boe.es/gazeta/dias/1812/06/23/pdfs/GRE-1812-77.pdf#page=8","Abrir facsímil")</f>
        <v>Abrir facsímil</v>
      </c>
      <c r="K2250" s="3" t="s">
        <v>23</v>
      </c>
    </row>
    <row r="2251" spans="1:11" ht="42" customHeight="1">
      <c r="A2251" s="2" t="s">
        <v>6251</v>
      </c>
      <c r="B2251" s="2" t="s">
        <v>6252</v>
      </c>
      <c r="C2251" s="2" t="s">
        <v>105</v>
      </c>
      <c r="D2251" s="2" t="s">
        <v>27</v>
      </c>
      <c r="E2251" s="4">
        <v>-31861</v>
      </c>
      <c r="F2251" s="3" t="s">
        <v>216</v>
      </c>
      <c r="G2251" s="3" t="s">
        <v>6253</v>
      </c>
      <c r="H2251" s="2" t="s">
        <v>21</v>
      </c>
      <c r="I2251" s="2" t="s">
        <v>6254</v>
      </c>
      <c r="J2251" s="3" t="str">
        <f>HYPERLINK("https://www.boe.es/gazeta/dias/1812/10/06/pdfs/GRE-1812-135.pdf#page=5","Abrir facsímil")</f>
        <v>Abrir facsímil</v>
      </c>
      <c r="K2251" s="3" t="s">
        <v>23</v>
      </c>
    </row>
    <row r="2252" spans="1:11" ht="42" customHeight="1">
      <c r="A2252" s="2" t="s">
        <v>6255</v>
      </c>
      <c r="B2252" s="2" t="s">
        <v>6256</v>
      </c>
      <c r="C2252" s="2" t="s">
        <v>26</v>
      </c>
      <c r="D2252" s="2" t="s">
        <v>27</v>
      </c>
      <c r="E2252" s="4">
        <v>-31901</v>
      </c>
      <c r="F2252" s="3" t="s">
        <v>590</v>
      </c>
      <c r="G2252" s="3" t="s">
        <v>742</v>
      </c>
      <c r="H2252" s="2" t="s">
        <v>21</v>
      </c>
      <c r="I2252" s="2" t="s">
        <v>6257</v>
      </c>
      <c r="J2252" s="3" t="str">
        <f>HYPERLINK("https://www.boe.es/gazeta/dias/1812/08/27/pdfs/GMR-1812-6.pdf#page=5","Abrir facsímil")</f>
        <v>Abrir facsímil</v>
      </c>
      <c r="K2252" s="3" t="s">
        <v>23</v>
      </c>
    </row>
    <row r="2253" spans="1:11" ht="42" customHeight="1">
      <c r="A2253" s="2" t="s">
        <v>6258</v>
      </c>
      <c r="B2253" s="2" t="s">
        <v>6259</v>
      </c>
      <c r="C2253" s="2" t="s">
        <v>17</v>
      </c>
      <c r="D2253" s="2" t="s">
        <v>27</v>
      </c>
      <c r="E2253" s="4">
        <v>-31850</v>
      </c>
      <c r="F2253" s="3" t="s">
        <v>719</v>
      </c>
      <c r="G2253" s="3" t="s">
        <v>217</v>
      </c>
      <c r="H2253" s="2" t="s">
        <v>21</v>
      </c>
      <c r="I2253" s="2" t="s">
        <v>6260</v>
      </c>
      <c r="J2253" s="3" t="str">
        <f>HYPERLINK("https://www.boe.es/gazeta/dias/1812/10/17/pdfs/GMR-1812-28.pdf#page=5","Abrir facsímil")</f>
        <v>Abrir facsímil</v>
      </c>
      <c r="K2253" s="3" t="s">
        <v>23</v>
      </c>
    </row>
    <row r="2254" spans="1:11" ht="42" customHeight="1">
      <c r="A2254" s="2" t="s">
        <v>6261</v>
      </c>
      <c r="B2254" s="2" t="s">
        <v>6262</v>
      </c>
      <c r="C2254" s="2" t="s">
        <v>17</v>
      </c>
      <c r="D2254" s="2" t="s">
        <v>27</v>
      </c>
      <c r="E2254" s="4">
        <v>-31922</v>
      </c>
      <c r="F2254" s="3" t="s">
        <v>375</v>
      </c>
      <c r="G2254" s="3" t="s">
        <v>5327</v>
      </c>
      <c r="H2254" s="2" t="s">
        <v>21</v>
      </c>
      <c r="I2254" s="2" t="s">
        <v>6263</v>
      </c>
      <c r="J2254" s="3" t="str">
        <f>HYPERLINK("https://www.boe.es/gazeta/dias/1812/08/06/pdfs/GRE-1812-100.pdf#page=3","Abrir facsímil")</f>
        <v>Abrir facsímil</v>
      </c>
      <c r="K2254" s="3" t="s">
        <v>23</v>
      </c>
    </row>
    <row r="2255" spans="1:11" ht="42" customHeight="1">
      <c r="A2255" s="2" t="s">
        <v>6264</v>
      </c>
      <c r="B2255" s="2" t="s">
        <v>6265</v>
      </c>
      <c r="C2255" s="2" t="s">
        <v>67</v>
      </c>
      <c r="D2255" s="2" t="s">
        <v>27</v>
      </c>
      <c r="E2255" s="4">
        <v>-31964</v>
      </c>
      <c r="F2255" s="3" t="s">
        <v>305</v>
      </c>
      <c r="G2255" s="3" t="s">
        <v>306</v>
      </c>
      <c r="H2255" s="2" t="s">
        <v>21</v>
      </c>
      <c r="I2255" s="2" t="s">
        <v>6266</v>
      </c>
      <c r="J2255" s="3" t="str">
        <f>HYPERLINK("https://www.boe.es/gazeta/dias/1812/06/25/pdfs/GMD-1812-177.pdf#page=3","Abrir facsímil")</f>
        <v>Abrir facsímil</v>
      </c>
      <c r="K2255" s="3" t="s">
        <v>23</v>
      </c>
    </row>
    <row r="2256" spans="1:11" ht="42" customHeight="1">
      <c r="A2256" s="2" t="s">
        <v>6267</v>
      </c>
      <c r="B2256" s="2" t="s">
        <v>6268</v>
      </c>
      <c r="C2256" s="2" t="s">
        <v>26</v>
      </c>
      <c r="D2256" s="2" t="s">
        <v>27</v>
      </c>
      <c r="E2256" s="4">
        <v>-31938</v>
      </c>
      <c r="F2256" s="3" t="s">
        <v>324</v>
      </c>
      <c r="G2256" s="3" t="s">
        <v>237</v>
      </c>
      <c r="H2256" s="2" t="s">
        <v>21</v>
      </c>
      <c r="I2256" s="2" t="s">
        <v>6269</v>
      </c>
      <c r="J2256" s="3" t="str">
        <f>HYPERLINK("https://www.boe.es/gazeta/dias/1812/07/21/pdfs/GMD-1812-203.pdf#page=2","Abrir facsímil")</f>
        <v>Abrir facsímil</v>
      </c>
      <c r="K2256" s="3" t="s">
        <v>23</v>
      </c>
    </row>
    <row r="2257" spans="1:11" ht="42" customHeight="1">
      <c r="A2257" s="2" t="s">
        <v>6270</v>
      </c>
      <c r="B2257" s="2" t="s">
        <v>6271</v>
      </c>
      <c r="C2257" s="2" t="s">
        <v>105</v>
      </c>
      <c r="D2257" s="2" t="s">
        <v>27</v>
      </c>
      <c r="E2257" s="4">
        <v>-31843</v>
      </c>
      <c r="F2257" s="3" t="s">
        <v>3493</v>
      </c>
      <c r="G2257" s="3" t="s">
        <v>136</v>
      </c>
      <c r="H2257" s="2" t="s">
        <v>30</v>
      </c>
      <c r="I2257" s="2" t="s">
        <v>6272</v>
      </c>
      <c r="J2257" s="3" t="str">
        <f>HYPERLINK("https://www.boe.es/gazeta/dias/1812/10/24/pdfs/GMR-1812-31.pdf#page=4","Abrir facsímil")</f>
        <v>Abrir facsímil</v>
      </c>
      <c r="K2257" s="3" t="s">
        <v>32</v>
      </c>
    </row>
    <row r="2258" spans="1:11" ht="42" customHeight="1">
      <c r="A2258" s="2" t="s">
        <v>6273</v>
      </c>
      <c r="B2258" s="2" t="s">
        <v>6274</v>
      </c>
      <c r="C2258" s="2" t="s">
        <v>17</v>
      </c>
      <c r="D2258" s="2" t="s">
        <v>27</v>
      </c>
      <c r="E2258" s="4">
        <v>-32137</v>
      </c>
      <c r="F2258" s="3" t="s">
        <v>355</v>
      </c>
      <c r="G2258" s="3" t="s">
        <v>117</v>
      </c>
      <c r="H2258" s="2" t="s">
        <v>21</v>
      </c>
      <c r="I2258" s="2" t="s">
        <v>6275</v>
      </c>
      <c r="J2258" s="3" t="str">
        <f>HYPERLINK("https://www.boe.es/gazeta/dias/1812/01/04/pdfs/GEI-1812-2.pdf#page=8","Abrir facsímil")</f>
        <v>Abrir facsímil</v>
      </c>
      <c r="K2258" s="3" t="s">
        <v>23</v>
      </c>
    </row>
    <row r="2259" spans="1:11" ht="42" customHeight="1">
      <c r="A2259" s="2" t="s">
        <v>6276</v>
      </c>
      <c r="B2259" s="2" t="s">
        <v>6277</v>
      </c>
      <c r="C2259" s="2" t="s">
        <v>105</v>
      </c>
      <c r="D2259" s="2" t="s">
        <v>27</v>
      </c>
      <c r="E2259" s="4">
        <v>-31965</v>
      </c>
      <c r="F2259" s="3" t="s">
        <v>1180</v>
      </c>
      <c r="G2259" s="3" t="s">
        <v>777</v>
      </c>
      <c r="H2259" s="2" t="s">
        <v>21</v>
      </c>
      <c r="I2259" s="2" t="s">
        <v>6278</v>
      </c>
      <c r="J2259" s="3" t="str">
        <f>HYPERLINK("https://www.boe.es/gazeta/dias/1812/06/24/pdfs/GMD-1812-176.pdf#page=2","Abrir facsímil")</f>
        <v>Abrir facsímil</v>
      </c>
      <c r="K2259" s="3" t="s">
        <v>23</v>
      </c>
    </row>
    <row r="2260" spans="1:11" ht="42" customHeight="1">
      <c r="A2260" s="2" t="s">
        <v>6279</v>
      </c>
      <c r="B2260" s="2" t="s">
        <v>6280</v>
      </c>
      <c r="C2260" s="2" t="s">
        <v>17</v>
      </c>
      <c r="D2260" s="2" t="s">
        <v>18</v>
      </c>
      <c r="E2260" s="4">
        <v>-31789</v>
      </c>
      <c r="F2260" s="3" t="s">
        <v>350</v>
      </c>
      <c r="G2260" s="3" t="s">
        <v>3984</v>
      </c>
      <c r="H2260" s="2" t="s">
        <v>21</v>
      </c>
      <c r="I2260" s="2" t="s">
        <v>6281</v>
      </c>
      <c r="J2260" s="3" t="str">
        <f>HYPERLINK("https://www.boe.es/gazeta/dias/1812/12/17/pdfs/GRE-1812-166.pdf#page=5","Abrir facsímil")</f>
        <v>Abrir facsímil</v>
      </c>
      <c r="K2260" s="3" t="s">
        <v>23</v>
      </c>
    </row>
    <row r="2261" spans="1:11" ht="42" customHeight="1">
      <c r="A2261" s="2" t="s">
        <v>6282</v>
      </c>
      <c r="B2261" s="2" t="s">
        <v>6283</v>
      </c>
      <c r="C2261" s="2" t="s">
        <v>17</v>
      </c>
      <c r="D2261" s="2" t="s">
        <v>18</v>
      </c>
      <c r="E2261" s="4">
        <v>-31896</v>
      </c>
      <c r="F2261" s="3" t="s">
        <v>3158</v>
      </c>
      <c r="G2261" s="3" t="s">
        <v>6284</v>
      </c>
      <c r="H2261" s="2" t="s">
        <v>21</v>
      </c>
      <c r="I2261" s="2" t="s">
        <v>6285</v>
      </c>
      <c r="J2261" s="3" t="str">
        <f>HYPERLINK("https://www.boe.es/gazeta/dias/1812/09/01/pdfs/GRE-1812-117.pdf#page=4","Abrir facsímil")</f>
        <v>Abrir facsímil</v>
      </c>
      <c r="K2261" s="3" t="s">
        <v>23</v>
      </c>
    </row>
    <row r="2262" spans="1:11" ht="42" customHeight="1">
      <c r="A2262" s="2" t="s">
        <v>6286</v>
      </c>
      <c r="B2262" s="2" t="s">
        <v>6287</v>
      </c>
      <c r="C2262" s="2" t="s">
        <v>26</v>
      </c>
      <c r="D2262" s="2" t="s">
        <v>194</v>
      </c>
      <c r="E2262" s="4">
        <v>-31791</v>
      </c>
      <c r="F2262" s="3" t="s">
        <v>1668</v>
      </c>
      <c r="G2262" s="3" t="s">
        <v>1669</v>
      </c>
      <c r="H2262" s="2" t="s">
        <v>21</v>
      </c>
      <c r="I2262" s="2" t="s">
        <v>6288</v>
      </c>
      <c r="J2262" s="3" t="str">
        <f>HYPERLINK("https://www.boe.es/gazeta/dias/1812/12/15/pdfs/GMD-1812-238.pdf#page=3","Abrir facsímil")</f>
        <v>Abrir facsímil</v>
      </c>
      <c r="K2262" s="3" t="s">
        <v>23</v>
      </c>
    </row>
    <row r="2263" spans="1:11" ht="42" customHeight="1">
      <c r="A2263" s="2" t="s">
        <v>6289</v>
      </c>
      <c r="B2263" s="2" t="s">
        <v>6290</v>
      </c>
      <c r="C2263" s="2" t="s">
        <v>26</v>
      </c>
      <c r="D2263" s="2" t="s">
        <v>27</v>
      </c>
      <c r="E2263" s="4">
        <v>-32000</v>
      </c>
      <c r="F2263" s="3" t="s">
        <v>878</v>
      </c>
      <c r="G2263" s="3" t="s">
        <v>214</v>
      </c>
      <c r="H2263" s="2" t="s">
        <v>21</v>
      </c>
      <c r="I2263" s="2" t="s">
        <v>6291</v>
      </c>
      <c r="J2263" s="3" t="str">
        <f>HYPERLINK("https://www.boe.es/gazeta/dias/1812/05/20/pdfs/GMD-1812-141.pdf#page=2","Abrir facsímil")</f>
        <v>Abrir facsímil</v>
      </c>
      <c r="K2263" s="3" t="s">
        <v>23</v>
      </c>
    </row>
    <row r="2264" spans="1:11" ht="42" customHeight="1">
      <c r="A2264" s="2" t="s">
        <v>6292</v>
      </c>
      <c r="B2264" s="2" t="s">
        <v>6293</v>
      </c>
      <c r="C2264" s="2" t="s">
        <v>26</v>
      </c>
      <c r="D2264" s="2" t="s">
        <v>27</v>
      </c>
      <c r="E2264" s="4">
        <v>-31938</v>
      </c>
      <c r="F2264" s="3" t="s">
        <v>324</v>
      </c>
      <c r="G2264" s="3" t="s">
        <v>497</v>
      </c>
      <c r="H2264" s="2" t="s">
        <v>21</v>
      </c>
      <c r="I2264" s="2" t="s">
        <v>6294</v>
      </c>
      <c r="J2264" s="3" t="str">
        <f>HYPERLINK("https://www.boe.es/gazeta/dias/1812/07/21/pdfs/GMD-1812-203.pdf#page=3","Abrir facsímil")</f>
        <v>Abrir facsímil</v>
      </c>
      <c r="K2264" s="3" t="s">
        <v>23</v>
      </c>
    </row>
    <row r="2265" spans="1:11" ht="42" customHeight="1">
      <c r="A2265" s="2" t="s">
        <v>6295</v>
      </c>
      <c r="B2265" s="2" t="s">
        <v>6296</v>
      </c>
      <c r="C2265" s="2" t="s">
        <v>26</v>
      </c>
      <c r="D2265" s="2" t="s">
        <v>27</v>
      </c>
      <c r="E2265" s="4">
        <v>-31969</v>
      </c>
      <c r="F2265" s="3" t="s">
        <v>83</v>
      </c>
      <c r="G2265" s="3" t="s">
        <v>84</v>
      </c>
      <c r="H2265" s="2" t="s">
        <v>21</v>
      </c>
      <c r="I2265" s="2" t="s">
        <v>6297</v>
      </c>
      <c r="J2265" s="3" t="str">
        <f>HYPERLINK("https://www.boe.es/gazeta/dias/1812/06/20/pdfs/GRE-1812-76.pdf#page=8","Abrir facsímil")</f>
        <v>Abrir facsímil</v>
      </c>
      <c r="K2265" s="3" t="s">
        <v>23</v>
      </c>
    </row>
    <row r="2266" spans="1:11" ht="42" customHeight="1">
      <c r="A2266" s="2" t="s">
        <v>6298</v>
      </c>
      <c r="B2266" s="2" t="s">
        <v>6299</v>
      </c>
      <c r="C2266" s="2" t="s">
        <v>26</v>
      </c>
      <c r="D2266" s="2" t="s">
        <v>27</v>
      </c>
      <c r="E2266" s="4">
        <v>-31976</v>
      </c>
      <c r="F2266" s="3" t="s">
        <v>54</v>
      </c>
      <c r="G2266" s="3" t="s">
        <v>55</v>
      </c>
      <c r="H2266" s="2" t="s">
        <v>21</v>
      </c>
      <c r="I2266" s="2" t="s">
        <v>6300</v>
      </c>
      <c r="J2266" s="3" t="str">
        <f>HYPERLINK("https://www.boe.es/gazeta/dias/1812/06/13/pdfs/GRE-1812-73.pdf#page=6","Abrir facsímil")</f>
        <v>Abrir facsímil</v>
      </c>
      <c r="K2266" s="3" t="s">
        <v>23</v>
      </c>
    </row>
    <row r="2267" spans="1:11" ht="42" customHeight="1">
      <c r="A2267" s="2" t="s">
        <v>6301</v>
      </c>
      <c r="B2267" s="2" t="s">
        <v>6302</v>
      </c>
      <c r="C2267" s="2" t="s">
        <v>49</v>
      </c>
      <c r="D2267" s="2" t="s">
        <v>27</v>
      </c>
      <c r="E2267" s="4">
        <v>-32109</v>
      </c>
      <c r="F2267" s="3" t="s">
        <v>62</v>
      </c>
      <c r="G2267" s="3" t="s">
        <v>63</v>
      </c>
      <c r="H2267" s="2" t="s">
        <v>21</v>
      </c>
      <c r="I2267" s="2" t="s">
        <v>6303</v>
      </c>
      <c r="J2267" s="3" t="str">
        <f>HYPERLINK("https://www.boe.es/gazeta/dias/1812/02/01/pdfs/GRE-1812-14.pdf#page=10","Abrir facsímil")</f>
        <v>Abrir facsímil</v>
      </c>
      <c r="K2267" s="3" t="s">
        <v>23</v>
      </c>
    </row>
    <row r="2268" spans="1:11" ht="42" customHeight="1">
      <c r="A2268" s="2" t="s">
        <v>6304</v>
      </c>
      <c r="B2268" s="2" t="s">
        <v>6305</v>
      </c>
      <c r="C2268" s="2" t="s">
        <v>17</v>
      </c>
      <c r="D2268" s="2" t="s">
        <v>27</v>
      </c>
      <c r="E2268" s="4">
        <v>-32085</v>
      </c>
      <c r="F2268" s="3" t="s">
        <v>3321</v>
      </c>
      <c r="G2268" s="3" t="s">
        <v>217</v>
      </c>
      <c r="H2268" s="2" t="s">
        <v>21</v>
      </c>
      <c r="I2268" s="2" t="s">
        <v>6306</v>
      </c>
      <c r="J2268" s="3" t="str">
        <f>HYPERLINK("https://www.boe.es/gazeta/dias/1812/02/25/pdfs/GRE-1812-25.pdf#page=7","Abrir facsímil")</f>
        <v>Abrir facsímil</v>
      </c>
      <c r="K2268" s="3" t="s">
        <v>23</v>
      </c>
    </row>
    <row r="2269" spans="1:11" ht="42" customHeight="1">
      <c r="A2269" s="2" t="s">
        <v>6307</v>
      </c>
      <c r="B2269" s="2" t="s">
        <v>6308</v>
      </c>
      <c r="C2269" s="2" t="s">
        <v>26</v>
      </c>
      <c r="D2269" s="2" t="s">
        <v>27</v>
      </c>
      <c r="E2269" s="4">
        <v>-31896</v>
      </c>
      <c r="F2269" s="3" t="s">
        <v>3158</v>
      </c>
      <c r="G2269" s="3" t="s">
        <v>6309</v>
      </c>
      <c r="H2269" s="2" t="s">
        <v>21</v>
      </c>
      <c r="I2269" s="2" t="s">
        <v>6310</v>
      </c>
      <c r="J2269" s="3" t="str">
        <f>HYPERLINK("https://www.boe.es/gazeta/dias/1812/09/01/pdfs/GRE-1812-117.pdf#page=5","Abrir facsímil")</f>
        <v>Abrir facsímil</v>
      </c>
      <c r="K2269" s="3" t="s">
        <v>23</v>
      </c>
    </row>
    <row r="2270" spans="1:11" ht="42" customHeight="1">
      <c r="A2270" s="2" t="s">
        <v>6311</v>
      </c>
      <c r="B2270" s="2" t="s">
        <v>6312</v>
      </c>
      <c r="C2270" s="2" t="s">
        <v>49</v>
      </c>
      <c r="D2270" s="2" t="s">
        <v>18</v>
      </c>
      <c r="E2270" s="4">
        <v>-31822</v>
      </c>
      <c r="F2270" s="3" t="s">
        <v>541</v>
      </c>
      <c r="G2270" s="3" t="s">
        <v>1459</v>
      </c>
      <c r="H2270" s="2" t="s">
        <v>21</v>
      </c>
      <c r="I2270" s="2" t="s">
        <v>6313</v>
      </c>
      <c r="J2270" s="3" t="str">
        <f>HYPERLINK("https://www.boe.es/gazeta/dias/1812/11/14/pdfs/GRE-1812-152.pdf#page=8","Abrir facsímil")</f>
        <v>Abrir facsímil</v>
      </c>
      <c r="K2270" s="3" t="s">
        <v>23</v>
      </c>
    </row>
    <row r="2271" spans="1:11" ht="42" customHeight="1">
      <c r="A2271" s="2" t="s">
        <v>6314</v>
      </c>
      <c r="B2271" s="2" t="s">
        <v>6315</v>
      </c>
      <c r="C2271" s="2" t="s">
        <v>17</v>
      </c>
      <c r="D2271" s="2" t="s">
        <v>18</v>
      </c>
      <c r="E2271" s="4">
        <v>-31934</v>
      </c>
      <c r="F2271" s="3" t="s">
        <v>509</v>
      </c>
      <c r="G2271" s="3" t="s">
        <v>4482</v>
      </c>
      <c r="H2271" s="2" t="s">
        <v>21</v>
      </c>
      <c r="I2271" s="2" t="s">
        <v>6316</v>
      </c>
      <c r="J2271" s="3" t="str">
        <f>HYPERLINK("https://www.boe.es/gazeta/dias/1812/07/25/pdfs/GRE-1812-93.pdf#page=8","Abrir facsímil")</f>
        <v>Abrir facsímil</v>
      </c>
      <c r="K2271" s="3" t="s">
        <v>23</v>
      </c>
    </row>
    <row r="2272" spans="1:11" ht="42" customHeight="1">
      <c r="A2272" s="2" t="s">
        <v>6317</v>
      </c>
      <c r="B2272" s="2" t="s">
        <v>6318</v>
      </c>
      <c r="C2272" s="2" t="s">
        <v>17</v>
      </c>
      <c r="D2272" s="2" t="s">
        <v>194</v>
      </c>
      <c r="E2272" s="4">
        <v>-31838</v>
      </c>
      <c r="F2272" s="3" t="s">
        <v>1960</v>
      </c>
      <c r="G2272" s="3" t="s">
        <v>1961</v>
      </c>
      <c r="H2272" s="2" t="s">
        <v>21</v>
      </c>
      <c r="I2272" s="2" t="s">
        <v>6319</v>
      </c>
      <c r="J2272" s="3" t="str">
        <f>HYPERLINK("https://www.boe.es/gazeta/dias/1812/10/29/pdfs/GRE-1812-145.pdf#page=2","Abrir facsímil")</f>
        <v>Abrir facsímil</v>
      </c>
      <c r="K2272" s="3" t="s">
        <v>23</v>
      </c>
    </row>
    <row r="2273" spans="1:11" ht="42" customHeight="1">
      <c r="A2273" s="2" t="s">
        <v>6320</v>
      </c>
      <c r="B2273" s="2" t="s">
        <v>6321</v>
      </c>
      <c r="C2273" s="2" t="s">
        <v>17</v>
      </c>
      <c r="D2273" s="2" t="s">
        <v>18</v>
      </c>
      <c r="E2273" s="4">
        <v>-31978</v>
      </c>
      <c r="F2273" s="3" t="s">
        <v>1790</v>
      </c>
      <c r="G2273" s="3" t="s">
        <v>1791</v>
      </c>
      <c r="H2273" s="2" t="s">
        <v>21</v>
      </c>
      <c r="I2273" s="2" t="s">
        <v>6322</v>
      </c>
      <c r="J2273" s="3" t="str">
        <f>HYPERLINK("https://www.boe.es/gazeta/dias/1812/06/11/pdfs/GRE-1812-72.pdf#page=8","Abrir facsímil")</f>
        <v>Abrir facsímil</v>
      </c>
      <c r="K2273" s="3" t="s">
        <v>23</v>
      </c>
    </row>
    <row r="2274" spans="1:11" ht="42" customHeight="1">
      <c r="A2274" s="2" t="s">
        <v>6323</v>
      </c>
      <c r="B2274" s="2" t="s">
        <v>6324</v>
      </c>
      <c r="C2274" s="2" t="s">
        <v>26</v>
      </c>
      <c r="D2274" s="2" t="s">
        <v>27</v>
      </c>
      <c r="E2274" s="4">
        <v>-31915</v>
      </c>
      <c r="F2274" s="3" t="s">
        <v>1592</v>
      </c>
      <c r="G2274" s="3" t="s">
        <v>1593</v>
      </c>
      <c r="H2274" s="2" t="s">
        <v>21</v>
      </c>
      <c r="I2274" s="2" t="s">
        <v>6325</v>
      </c>
      <c r="J2274" s="3" t="str">
        <f>HYPERLINK("https://www.boe.es/gazeta/dias/1812/08/13/pdfs/GRE-1812-104.pdf#page=5","Abrir facsímil")</f>
        <v>Abrir facsímil</v>
      </c>
      <c r="K2274" s="3" t="s">
        <v>23</v>
      </c>
    </row>
    <row r="2275" spans="1:11" ht="42" customHeight="1">
      <c r="A2275" s="2" t="s">
        <v>6326</v>
      </c>
      <c r="B2275" s="2" t="s">
        <v>6327</v>
      </c>
      <c r="C2275" s="2" t="s">
        <v>49</v>
      </c>
      <c r="D2275" s="2" t="s">
        <v>27</v>
      </c>
      <c r="E2275" s="4">
        <v>-32085</v>
      </c>
      <c r="F2275" s="3" t="s">
        <v>3321</v>
      </c>
      <c r="G2275" s="3" t="s">
        <v>3409</v>
      </c>
      <c r="H2275" s="2" t="s">
        <v>21</v>
      </c>
      <c r="I2275" s="2" t="s">
        <v>6328</v>
      </c>
      <c r="J2275" s="3" t="str">
        <f>HYPERLINK("https://www.boe.es/gazeta/dias/1812/02/25/pdfs/GRE-1812-25.pdf#page=1","Abrir facsímil")</f>
        <v>Abrir facsímil</v>
      </c>
      <c r="K2275" s="3" t="s">
        <v>23</v>
      </c>
    </row>
    <row r="2276" spans="1:11" ht="42" customHeight="1">
      <c r="A2276" s="2" t="s">
        <v>6329</v>
      </c>
      <c r="B2276" s="2" t="s">
        <v>6330</v>
      </c>
      <c r="C2276" s="2" t="s">
        <v>49</v>
      </c>
      <c r="D2276" s="2" t="s">
        <v>18</v>
      </c>
      <c r="E2276" s="4">
        <v>-31847</v>
      </c>
      <c r="F2276" s="3" t="s">
        <v>219</v>
      </c>
      <c r="G2276" s="3" t="s">
        <v>2262</v>
      </c>
      <c r="H2276" s="2" t="s">
        <v>21</v>
      </c>
      <c r="I2276" s="2" t="s">
        <v>6331</v>
      </c>
      <c r="J2276" s="3" t="str">
        <f>HYPERLINK("https://www.boe.es/gazeta/dias/1812/10/20/pdfs/GRE-1812-141.pdf#page=5","Abrir facsímil")</f>
        <v>Abrir facsímil</v>
      </c>
      <c r="K2276" s="3" t="s">
        <v>23</v>
      </c>
    </row>
    <row r="2277" spans="1:11" ht="42" customHeight="1">
      <c r="A2277" s="2" t="s">
        <v>6332</v>
      </c>
      <c r="B2277" s="2" t="s">
        <v>6333</v>
      </c>
      <c r="C2277" s="2" t="s">
        <v>17</v>
      </c>
      <c r="D2277" s="2" t="s">
        <v>275</v>
      </c>
      <c r="E2277" s="4">
        <v>-31852</v>
      </c>
      <c r="F2277" s="3" t="s">
        <v>2145</v>
      </c>
      <c r="G2277" s="3" t="s">
        <v>2044</v>
      </c>
      <c r="H2277" s="2" t="s">
        <v>21</v>
      </c>
      <c r="I2277" s="2" t="s">
        <v>6334</v>
      </c>
      <c r="J2277" s="3" t="str">
        <f>HYPERLINK("https://www.boe.es/gazeta/dias/1812/10/15/pdfs/GRE-1812-139.pdf#page=6","Abrir facsímil")</f>
        <v>Abrir facsímil</v>
      </c>
      <c r="K2277" s="3" t="s">
        <v>23</v>
      </c>
    </row>
    <row r="2278" spans="1:11" ht="42" customHeight="1">
      <c r="A2278" s="2" t="s">
        <v>6335</v>
      </c>
      <c r="B2278" s="2" t="s">
        <v>6336</v>
      </c>
      <c r="C2278" s="2" t="s">
        <v>17</v>
      </c>
      <c r="D2278" s="2" t="s">
        <v>27</v>
      </c>
      <c r="E2278" s="4">
        <v>-31857</v>
      </c>
      <c r="F2278" s="3" t="s">
        <v>1000</v>
      </c>
      <c r="G2278" s="3" t="s">
        <v>317</v>
      </c>
      <c r="H2278" s="2" t="s">
        <v>21</v>
      </c>
      <c r="I2278" s="2" t="s">
        <v>6337</v>
      </c>
      <c r="J2278" s="3" t="str">
        <f>HYPERLINK("https://www.boe.es/gazeta/dias/1812/10/10/pdfs/GRE-1812-137.pdf#page=6","Abrir facsímil")</f>
        <v>Abrir facsímil</v>
      </c>
      <c r="K2278" s="3" t="s">
        <v>23</v>
      </c>
    </row>
    <row r="2279" spans="1:11" ht="42" customHeight="1">
      <c r="A2279" s="2" t="s">
        <v>6338</v>
      </c>
      <c r="B2279" s="2" t="s">
        <v>6339</v>
      </c>
      <c r="C2279" s="2" t="s">
        <v>105</v>
      </c>
      <c r="D2279" s="2" t="s">
        <v>27</v>
      </c>
      <c r="E2279" s="4">
        <v>-31915</v>
      </c>
      <c r="F2279" s="3" t="s">
        <v>1592</v>
      </c>
      <c r="G2279" s="3" t="s">
        <v>125</v>
      </c>
      <c r="H2279" s="2" t="s">
        <v>21</v>
      </c>
      <c r="I2279" s="2" t="s">
        <v>6340</v>
      </c>
      <c r="J2279" s="3" t="str">
        <f>HYPERLINK("https://www.boe.es/gazeta/dias/1812/08/13/pdfs/GRE-1812-104.pdf#page=6","Abrir facsímil")</f>
        <v>Abrir facsímil</v>
      </c>
      <c r="K2279" s="3" t="s">
        <v>23</v>
      </c>
    </row>
    <row r="2280" spans="1:11" ht="42" customHeight="1">
      <c r="A2280" s="2" t="s">
        <v>6341</v>
      </c>
      <c r="B2280" s="2" t="s">
        <v>6342</v>
      </c>
      <c r="C2280" s="2" t="s">
        <v>105</v>
      </c>
      <c r="D2280" s="2" t="s">
        <v>27</v>
      </c>
      <c r="E2280" s="4">
        <v>-31941</v>
      </c>
      <c r="F2280" s="3" t="s">
        <v>2048</v>
      </c>
      <c r="G2280" s="3" t="s">
        <v>6343</v>
      </c>
      <c r="H2280" s="2" t="s">
        <v>21</v>
      </c>
      <c r="I2280" s="2" t="s">
        <v>6344</v>
      </c>
      <c r="J2280" s="3" t="str">
        <f>HYPERLINK("https://www.boe.es/gazeta/dias/1812/07/18/pdfs/GRE-1812-90.pdf#page=7","Abrir facsímil")</f>
        <v>Abrir facsímil</v>
      </c>
      <c r="K2280" s="3" t="s">
        <v>23</v>
      </c>
    </row>
    <row r="2281" spans="1:11" ht="42" customHeight="1">
      <c r="A2281" s="2" t="s">
        <v>6345</v>
      </c>
      <c r="B2281" s="2" t="s">
        <v>6346</v>
      </c>
      <c r="C2281" s="2" t="s">
        <v>17</v>
      </c>
      <c r="D2281" s="2" t="s">
        <v>18</v>
      </c>
      <c r="E2281" s="4">
        <v>-32046</v>
      </c>
      <c r="F2281" s="3" t="s">
        <v>1013</v>
      </c>
      <c r="G2281" s="3" t="s">
        <v>2329</v>
      </c>
      <c r="H2281" s="2" t="s">
        <v>21</v>
      </c>
      <c r="I2281" s="2" t="s">
        <v>6347</v>
      </c>
      <c r="J2281" s="3" t="str">
        <f>HYPERLINK("https://www.boe.es/gazeta/dias/1812/04/04/pdfs/GRE-1812-42.pdf#page=5","Abrir facsímil")</f>
        <v>Abrir facsímil</v>
      </c>
      <c r="K2281" s="3" t="s">
        <v>23</v>
      </c>
    </row>
    <row r="2282" spans="1:11" ht="42" customHeight="1">
      <c r="A2282" s="2" t="s">
        <v>6348</v>
      </c>
      <c r="B2282" s="2" t="s">
        <v>6349</v>
      </c>
      <c r="C2282" s="2" t="s">
        <v>17</v>
      </c>
      <c r="D2282" s="2" t="s">
        <v>27</v>
      </c>
      <c r="E2282" s="4">
        <v>-32015</v>
      </c>
      <c r="F2282" s="3" t="s">
        <v>77</v>
      </c>
      <c r="G2282" s="3" t="s">
        <v>6350</v>
      </c>
      <c r="H2282" s="2" t="s">
        <v>21</v>
      </c>
      <c r="I2282" s="2" t="s">
        <v>6351</v>
      </c>
      <c r="J2282" s="3" t="str">
        <f>HYPERLINK("https://www.boe.es/gazeta/dias/1812/05/05/pdfs/GRE-1812-56.pdf#page=4","Abrir facsímil")</f>
        <v>Abrir facsímil</v>
      </c>
      <c r="K2282" s="3" t="s">
        <v>23</v>
      </c>
    </row>
    <row r="2283" spans="1:11" ht="42" customHeight="1">
      <c r="A2283" s="2" t="s">
        <v>6345</v>
      </c>
      <c r="B2283" s="2" t="s">
        <v>6346</v>
      </c>
      <c r="C2283" s="2" t="s">
        <v>17</v>
      </c>
      <c r="D2283" s="2" t="s">
        <v>194</v>
      </c>
      <c r="E2283" s="4">
        <v>-32011</v>
      </c>
      <c r="F2283" s="3" t="s">
        <v>1233</v>
      </c>
      <c r="G2283" s="3" t="s">
        <v>5406</v>
      </c>
      <c r="H2283" s="2" t="s">
        <v>21</v>
      </c>
      <c r="I2283" s="2" t="s">
        <v>6352</v>
      </c>
      <c r="J2283" s="3" t="str">
        <f>HYPERLINK("https://www.boe.es/gazeta/dias/1812/05/09/pdfs/GRE-1812-58.pdf#page=1","Abrir facsímil")</f>
        <v>Abrir facsímil</v>
      </c>
      <c r="K2283" s="3" t="s">
        <v>23</v>
      </c>
    </row>
    <row r="2284" spans="1:11" ht="42" customHeight="1">
      <c r="A2284" s="2" t="s">
        <v>6345</v>
      </c>
      <c r="B2284" s="2" t="s">
        <v>6346</v>
      </c>
      <c r="C2284" s="2" t="s">
        <v>17</v>
      </c>
      <c r="D2284" s="2" t="s">
        <v>27</v>
      </c>
      <c r="E2284" s="4">
        <v>-32006</v>
      </c>
      <c r="F2284" s="3" t="s">
        <v>190</v>
      </c>
      <c r="G2284" s="3" t="s">
        <v>6353</v>
      </c>
      <c r="H2284" s="2" t="s">
        <v>21</v>
      </c>
      <c r="I2284" s="2" t="s">
        <v>6354</v>
      </c>
      <c r="J2284" s="3" t="str">
        <f>HYPERLINK("https://www.boe.es/gazeta/dias/1812/05/14/pdfs/GRE-1812-60.pdf#page=5","Abrir facsímil")</f>
        <v>Abrir facsímil</v>
      </c>
      <c r="K2284" s="3" t="s">
        <v>23</v>
      </c>
    </row>
    <row r="2285" spans="1:11" ht="42" customHeight="1">
      <c r="A2285" s="2" t="s">
        <v>6355</v>
      </c>
      <c r="B2285" s="2" t="s">
        <v>6356</v>
      </c>
      <c r="C2285" s="2" t="s">
        <v>26</v>
      </c>
      <c r="D2285" s="2" t="s">
        <v>27</v>
      </c>
      <c r="E2285" s="4">
        <v>-31992</v>
      </c>
      <c r="F2285" s="3" t="s">
        <v>1292</v>
      </c>
      <c r="G2285" s="3" t="s">
        <v>4854</v>
      </c>
      <c r="H2285" s="2" t="s">
        <v>21</v>
      </c>
      <c r="I2285" s="2" t="s">
        <v>6357</v>
      </c>
      <c r="J2285" s="3" t="str">
        <f>HYPERLINK("https://www.boe.es/gazeta/dias/1812/05/28/pdfs/GRE-1812-66.pdf#page=8","Abrir facsímil")</f>
        <v>Abrir facsímil</v>
      </c>
      <c r="K2285" s="3" t="s">
        <v>23</v>
      </c>
    </row>
    <row r="2286" spans="1:11" ht="42" customHeight="1">
      <c r="A2286" s="2" t="s">
        <v>6355</v>
      </c>
      <c r="B2286" s="2" t="s">
        <v>6356</v>
      </c>
      <c r="C2286" s="2" t="s">
        <v>17</v>
      </c>
      <c r="D2286" s="2" t="s">
        <v>18</v>
      </c>
      <c r="E2286" s="4">
        <v>-31955</v>
      </c>
      <c r="F2286" s="3" t="s">
        <v>789</v>
      </c>
      <c r="G2286" s="3" t="s">
        <v>58</v>
      </c>
      <c r="H2286" s="2" t="s">
        <v>21</v>
      </c>
      <c r="I2286" s="2" t="s">
        <v>6358</v>
      </c>
      <c r="J2286" s="3" t="str">
        <f>HYPERLINK("https://www.boe.es/gazeta/dias/1812/07/04/pdfs/GRE-1812-82.pdf#page=3","Abrir facsímil")</f>
        <v>Abrir facsímil</v>
      </c>
      <c r="K2286" s="3" t="s">
        <v>23</v>
      </c>
    </row>
    <row r="2287" spans="1:11" ht="42" customHeight="1">
      <c r="A2287" s="2" t="s">
        <v>6345</v>
      </c>
      <c r="B2287" s="2" t="s">
        <v>6346</v>
      </c>
      <c r="C2287" s="2" t="s">
        <v>17</v>
      </c>
      <c r="D2287" s="2" t="s">
        <v>18</v>
      </c>
      <c r="E2287" s="4">
        <v>-31899</v>
      </c>
      <c r="F2287" s="3" t="s">
        <v>1396</v>
      </c>
      <c r="G2287" s="3" t="s">
        <v>2313</v>
      </c>
      <c r="H2287" s="2" t="s">
        <v>21</v>
      </c>
      <c r="I2287" s="2" t="s">
        <v>6359</v>
      </c>
      <c r="J2287" s="3" t="str">
        <f>HYPERLINK("https://www.boe.es/gazeta/dias/1812/08/29/pdfs/GMR-1812-7.pdf#page=4","Abrir facsímil")</f>
        <v>Abrir facsímil</v>
      </c>
      <c r="K2287" s="3" t="s">
        <v>23</v>
      </c>
    </row>
    <row r="2288" spans="1:11" ht="42" customHeight="1">
      <c r="A2288" s="2" t="s">
        <v>6345</v>
      </c>
      <c r="B2288" s="2" t="s">
        <v>6346</v>
      </c>
      <c r="C2288" s="2" t="s">
        <v>105</v>
      </c>
      <c r="D2288" s="2" t="s">
        <v>27</v>
      </c>
      <c r="E2288" s="4">
        <v>-31892</v>
      </c>
      <c r="F2288" s="3" t="s">
        <v>2760</v>
      </c>
      <c r="G2288" s="3" t="s">
        <v>1128</v>
      </c>
      <c r="H2288" s="2" t="s">
        <v>21</v>
      </c>
      <c r="I2288" s="2" t="s">
        <v>6360</v>
      </c>
      <c r="J2288" s="3" t="str">
        <f>HYPERLINK("https://www.boe.es/gazeta/dias/1812/09/05/pdfs/GRE-1812-120.pdf#page=7","Abrir facsímil")</f>
        <v>Abrir facsímil</v>
      </c>
      <c r="K2288" s="3" t="s">
        <v>23</v>
      </c>
    </row>
    <row r="2289" spans="1:11" ht="42" customHeight="1">
      <c r="A2289" s="2" t="s">
        <v>6345</v>
      </c>
      <c r="B2289" s="2" t="s">
        <v>6346</v>
      </c>
      <c r="C2289" s="2" t="s">
        <v>17</v>
      </c>
      <c r="D2289" s="2" t="s">
        <v>18</v>
      </c>
      <c r="E2289" s="4">
        <v>-31871</v>
      </c>
      <c r="F2289" s="3" t="s">
        <v>1399</v>
      </c>
      <c r="G2289" s="3" t="s">
        <v>2539</v>
      </c>
      <c r="H2289" s="2" t="s">
        <v>21</v>
      </c>
      <c r="I2289" s="2" t="s">
        <v>6361</v>
      </c>
      <c r="J2289" s="3" t="str">
        <f>HYPERLINK("https://www.boe.es/gazeta/dias/1812/09/26/pdfs/GMR-1812-19.pdf#page=6","Abrir facsímil")</f>
        <v>Abrir facsímil</v>
      </c>
      <c r="K2289" s="3" t="s">
        <v>23</v>
      </c>
    </row>
    <row r="2290" spans="1:11" ht="42" customHeight="1">
      <c r="A2290" s="2" t="s">
        <v>6345</v>
      </c>
      <c r="B2290" s="2" t="s">
        <v>6346</v>
      </c>
      <c r="C2290" s="2" t="s">
        <v>105</v>
      </c>
      <c r="D2290" s="2" t="s">
        <v>27</v>
      </c>
      <c r="E2290" s="4">
        <v>-31861</v>
      </c>
      <c r="F2290" s="3" t="s">
        <v>216</v>
      </c>
      <c r="G2290" s="3" t="s">
        <v>45</v>
      </c>
      <c r="H2290" s="2" t="s">
        <v>21</v>
      </c>
      <c r="I2290" s="2" t="s">
        <v>6362</v>
      </c>
      <c r="J2290" s="3" t="str">
        <f>HYPERLINK("https://www.boe.es/gazeta/dias/1812/10/06/pdfs/GRE-1812-135.pdf#page=4","Abrir facsímil")</f>
        <v>Abrir facsímil</v>
      </c>
      <c r="K2290" s="3" t="s">
        <v>23</v>
      </c>
    </row>
    <row r="2291" spans="1:11" ht="42" customHeight="1">
      <c r="A2291" s="2" t="s">
        <v>6345</v>
      </c>
      <c r="B2291" s="2" t="s">
        <v>6346</v>
      </c>
      <c r="C2291" s="2" t="s">
        <v>26</v>
      </c>
      <c r="D2291" s="2" t="s">
        <v>27</v>
      </c>
      <c r="E2291" s="4">
        <v>-31857</v>
      </c>
      <c r="F2291" s="3" t="s">
        <v>1000</v>
      </c>
      <c r="G2291" s="3" t="s">
        <v>4086</v>
      </c>
      <c r="H2291" s="2" t="s">
        <v>21</v>
      </c>
      <c r="I2291" s="2" t="s">
        <v>6363</v>
      </c>
      <c r="J2291" s="3" t="str">
        <f>HYPERLINK("https://www.boe.es/gazeta/dias/1812/10/10/pdfs/GRE-1812-137.pdf#page=5","Abrir facsímil")</f>
        <v>Abrir facsímil</v>
      </c>
      <c r="K2291" s="3" t="s">
        <v>23</v>
      </c>
    </row>
    <row r="2292" spans="1:11" ht="42" customHeight="1">
      <c r="A2292" s="2" t="s">
        <v>6345</v>
      </c>
      <c r="B2292" s="2" t="s">
        <v>6346</v>
      </c>
      <c r="C2292" s="2" t="s">
        <v>26</v>
      </c>
      <c r="D2292" s="2" t="s">
        <v>27</v>
      </c>
      <c r="E2292" s="4">
        <v>-31847</v>
      </c>
      <c r="F2292" s="3" t="s">
        <v>219</v>
      </c>
      <c r="G2292" s="3" t="s">
        <v>45</v>
      </c>
      <c r="H2292" s="2" t="s">
        <v>21</v>
      </c>
      <c r="I2292" s="2" t="s">
        <v>6364</v>
      </c>
      <c r="J2292" s="3" t="str">
        <f>HYPERLINK("https://www.boe.es/gazeta/dias/1812/10/20/pdfs/GRE-1812-141.pdf#page=6","Abrir facsímil")</f>
        <v>Abrir facsímil</v>
      </c>
      <c r="K2292" s="3" t="s">
        <v>23</v>
      </c>
    </row>
    <row r="2293" spans="1:11" ht="42" customHeight="1">
      <c r="A2293" s="2" t="s">
        <v>6365</v>
      </c>
      <c r="B2293" s="2" t="s">
        <v>6366</v>
      </c>
      <c r="C2293" s="2" t="s">
        <v>17</v>
      </c>
      <c r="D2293" s="2" t="s">
        <v>18</v>
      </c>
      <c r="E2293" s="4">
        <v>-32123</v>
      </c>
      <c r="F2293" s="3" t="s">
        <v>3501</v>
      </c>
      <c r="G2293" s="3" t="s">
        <v>2313</v>
      </c>
      <c r="H2293" s="2" t="s">
        <v>21</v>
      </c>
      <c r="I2293" s="2" t="s">
        <v>6367</v>
      </c>
      <c r="J2293" s="3" t="str">
        <f>HYPERLINK("https://www.boe.es/gazeta/dias/1812/01/18/pdfs/GEI-1812-8.pdf#page=5","Abrir facsímil")</f>
        <v>Abrir facsímil</v>
      </c>
      <c r="K2293" s="3" t="s">
        <v>23</v>
      </c>
    </row>
    <row r="2294" spans="1:11" ht="42" customHeight="1">
      <c r="A2294" s="2" t="s">
        <v>6368</v>
      </c>
      <c r="B2294" s="2" t="s">
        <v>6369</v>
      </c>
      <c r="C2294" s="2" t="s">
        <v>17</v>
      </c>
      <c r="D2294" s="2" t="s">
        <v>27</v>
      </c>
      <c r="E2294" s="4">
        <v>-31875</v>
      </c>
      <c r="F2294" s="3" t="s">
        <v>110</v>
      </c>
      <c r="G2294" s="3" t="s">
        <v>636</v>
      </c>
      <c r="H2294" s="2" t="s">
        <v>21</v>
      </c>
      <c r="I2294" s="2" t="s">
        <v>6370</v>
      </c>
      <c r="J2294" s="3" t="str">
        <f>HYPERLINK("https://www.boe.es/gazeta/dias/1812/09/22/pdfs/GRE-1812-128.pdf#page=7","Abrir facsímil")</f>
        <v>Abrir facsímil</v>
      </c>
      <c r="K2294" s="3" t="s">
        <v>23</v>
      </c>
    </row>
    <row r="2295" spans="1:11" ht="42" customHeight="1">
      <c r="A2295" s="2" t="s">
        <v>6371</v>
      </c>
      <c r="B2295" s="2" t="s">
        <v>6372</v>
      </c>
      <c r="C2295" s="2" t="s">
        <v>26</v>
      </c>
      <c r="D2295" s="2" t="s">
        <v>27</v>
      </c>
      <c r="E2295" s="4">
        <v>-31935</v>
      </c>
      <c r="F2295" s="3" t="s">
        <v>2678</v>
      </c>
      <c r="G2295" s="3" t="s">
        <v>404</v>
      </c>
      <c r="H2295" s="2" t="s">
        <v>21</v>
      </c>
      <c r="I2295" s="2" t="s">
        <v>6373</v>
      </c>
      <c r="J2295" s="3" t="str">
        <f>HYPERLINK("https://www.boe.es/gazeta/dias/1812/07/24/pdfs/GMD-1812-206.pdf#page=1","Abrir facsímil")</f>
        <v>Abrir facsímil</v>
      </c>
      <c r="K2295" s="3" t="s">
        <v>23</v>
      </c>
    </row>
    <row r="2296" spans="1:11" ht="42" customHeight="1">
      <c r="A2296" s="2" t="s">
        <v>6374</v>
      </c>
      <c r="B2296" s="2" t="s">
        <v>6375</v>
      </c>
      <c r="C2296" s="2" t="s">
        <v>26</v>
      </c>
      <c r="D2296" s="2" t="s">
        <v>27</v>
      </c>
      <c r="E2296" s="4">
        <v>-32100</v>
      </c>
      <c r="F2296" s="3" t="s">
        <v>492</v>
      </c>
      <c r="G2296" s="3" t="s">
        <v>493</v>
      </c>
      <c r="H2296" s="2" t="s">
        <v>21</v>
      </c>
      <c r="I2296" s="2" t="s">
        <v>6376</v>
      </c>
      <c r="J2296" s="3" t="str">
        <f>HYPERLINK("https://www.boe.es/gazeta/dias/1812/02/10/pdfs/GRE-1812-31.pdf#page=8","Abrir facsímil")</f>
        <v>Abrir facsímil</v>
      </c>
      <c r="K2296" s="3" t="s">
        <v>23</v>
      </c>
    </row>
    <row r="2297" spans="1:11" ht="42" customHeight="1">
      <c r="A2297" s="2" t="s">
        <v>6374</v>
      </c>
      <c r="B2297" s="2" t="s">
        <v>6375</v>
      </c>
      <c r="C2297" s="2" t="s">
        <v>26</v>
      </c>
      <c r="D2297" s="2" t="s">
        <v>27</v>
      </c>
      <c r="E2297" s="4">
        <v>-32071</v>
      </c>
      <c r="F2297" s="3" t="s">
        <v>492</v>
      </c>
      <c r="G2297" s="3" t="s">
        <v>493</v>
      </c>
      <c r="H2297" s="2" t="s">
        <v>21</v>
      </c>
      <c r="I2297" s="2" t="s">
        <v>6376</v>
      </c>
      <c r="J2297" s="3" t="str">
        <f>HYPERLINK("https://www.boe.es/gazeta/dias/1812/03/10/pdfs/GRE-1812-31.pdf#page=8","Abrir facsímil")</f>
        <v>Abrir facsímil</v>
      </c>
      <c r="K2297" s="3" t="s">
        <v>23</v>
      </c>
    </row>
    <row r="2298" spans="1:11" ht="42" customHeight="1">
      <c r="A2298" s="2" t="s">
        <v>6377</v>
      </c>
      <c r="B2298" s="2" t="s">
        <v>6378</v>
      </c>
      <c r="C2298" s="2" t="s">
        <v>17</v>
      </c>
      <c r="D2298" s="2" t="s">
        <v>27</v>
      </c>
      <c r="E2298" s="4">
        <v>-32055</v>
      </c>
      <c r="F2298" s="3" t="s">
        <v>459</v>
      </c>
      <c r="G2298" s="3" t="s">
        <v>20</v>
      </c>
      <c r="H2298" s="2" t="s">
        <v>21</v>
      </c>
      <c r="I2298" s="2" t="s">
        <v>6379</v>
      </c>
      <c r="J2298" s="3" t="str">
        <f>HYPERLINK("https://www.boe.es/gazeta/dias/1812/03/26/pdfs/GRE-1812-38.pdf#page=8","Abrir facsímil")</f>
        <v>Abrir facsímil</v>
      </c>
      <c r="K2298" s="3" t="s">
        <v>23</v>
      </c>
    </row>
    <row r="2299" spans="1:11" ht="42" customHeight="1">
      <c r="A2299" s="2" t="s">
        <v>6380</v>
      </c>
      <c r="B2299" s="2" t="s">
        <v>6381</v>
      </c>
      <c r="C2299" s="2" t="s">
        <v>26</v>
      </c>
      <c r="D2299" s="2" t="s">
        <v>27</v>
      </c>
      <c r="E2299" s="4">
        <v>-31940</v>
      </c>
      <c r="F2299" s="3" t="s">
        <v>187</v>
      </c>
      <c r="G2299" s="3" t="s">
        <v>404</v>
      </c>
      <c r="H2299" s="2" t="s">
        <v>21</v>
      </c>
      <c r="I2299" s="2" t="s">
        <v>6382</v>
      </c>
      <c r="J2299" s="3" t="str">
        <f>HYPERLINK("https://www.boe.es/gazeta/dias/1812/07/19/pdfs/GMD-1812-201.pdf#page=3","Abrir facsímil")</f>
        <v>Abrir facsímil</v>
      </c>
      <c r="K2299" s="3" t="s">
        <v>23</v>
      </c>
    </row>
    <row r="2300" spans="1:11" ht="42" customHeight="1">
      <c r="A2300" s="2" t="s">
        <v>6383</v>
      </c>
      <c r="B2300" s="2" t="s">
        <v>6384</v>
      </c>
      <c r="C2300" s="2" t="s">
        <v>17</v>
      </c>
      <c r="D2300" s="2" t="s">
        <v>27</v>
      </c>
      <c r="E2300" s="4">
        <v>-31910</v>
      </c>
      <c r="F2300" s="3" t="s">
        <v>72</v>
      </c>
      <c r="G2300" s="3" t="s">
        <v>6385</v>
      </c>
      <c r="H2300" s="2" t="s">
        <v>21</v>
      </c>
      <c r="I2300" s="2" t="s">
        <v>6386</v>
      </c>
      <c r="J2300" s="3" t="str">
        <f>HYPERLINK("https://www.boe.es/gazeta/dias/1812/08/18/pdfs/GRE-1812-106.pdf#page=5","Abrir facsímil")</f>
        <v>Abrir facsímil</v>
      </c>
      <c r="K2300" s="3" t="s">
        <v>23</v>
      </c>
    </row>
    <row r="2301" spans="1:11" ht="42" customHeight="1">
      <c r="A2301" s="2" t="s">
        <v>6387</v>
      </c>
      <c r="B2301" s="2" t="s">
        <v>6388</v>
      </c>
      <c r="C2301" s="2" t="s">
        <v>26</v>
      </c>
      <c r="D2301" s="2" t="s">
        <v>27</v>
      </c>
      <c r="E2301" s="4">
        <v>-31864</v>
      </c>
      <c r="F2301" s="3" t="s">
        <v>4258</v>
      </c>
      <c r="G2301" s="3" t="s">
        <v>6389</v>
      </c>
      <c r="H2301" s="2" t="s">
        <v>21</v>
      </c>
      <c r="I2301" s="2" t="s">
        <v>6390</v>
      </c>
      <c r="J2301" s="3" t="str">
        <f>HYPERLINK("https://www.boe.es/gazeta/dias/1812/10/03/pdfs/GMR-1812-22.pdf#page=8","Abrir facsímil")</f>
        <v>Abrir facsímil</v>
      </c>
      <c r="K2301" s="3" t="s">
        <v>23</v>
      </c>
    </row>
    <row r="2302" spans="1:11" ht="42" customHeight="1">
      <c r="A2302" s="2" t="s">
        <v>6391</v>
      </c>
      <c r="B2302" s="2" t="s">
        <v>6392</v>
      </c>
      <c r="C2302" s="2" t="s">
        <v>17</v>
      </c>
      <c r="D2302" s="2" t="s">
        <v>18</v>
      </c>
      <c r="E2302" s="4">
        <v>-32100</v>
      </c>
      <c r="F2302" s="3" t="s">
        <v>492</v>
      </c>
      <c r="G2302" s="3" t="s">
        <v>6393</v>
      </c>
      <c r="H2302" s="2" t="s">
        <v>21</v>
      </c>
      <c r="I2302" s="2" t="s">
        <v>6394</v>
      </c>
      <c r="J2302" s="3" t="str">
        <f>HYPERLINK("https://www.boe.es/gazeta/dias/1812/02/10/pdfs/GRE-1812-31.pdf#page=6","Abrir facsímil")</f>
        <v>Abrir facsímil</v>
      </c>
      <c r="K2302" s="3" t="s">
        <v>23</v>
      </c>
    </row>
    <row r="2303" spans="1:11" ht="42" customHeight="1">
      <c r="A2303" s="2" t="s">
        <v>6391</v>
      </c>
      <c r="B2303" s="2" t="s">
        <v>6392</v>
      </c>
      <c r="C2303" s="2" t="s">
        <v>17</v>
      </c>
      <c r="D2303" s="2" t="s">
        <v>18</v>
      </c>
      <c r="E2303" s="4">
        <v>-32071</v>
      </c>
      <c r="F2303" s="3" t="s">
        <v>492</v>
      </c>
      <c r="G2303" s="3" t="s">
        <v>6393</v>
      </c>
      <c r="H2303" s="2" t="s">
        <v>21</v>
      </c>
      <c r="I2303" s="2" t="s">
        <v>6394</v>
      </c>
      <c r="J2303" s="3" t="str">
        <f>HYPERLINK("https://www.boe.es/gazeta/dias/1812/03/10/pdfs/GRE-1812-31.pdf#page=6","Abrir facsímil")</f>
        <v>Abrir facsímil</v>
      </c>
      <c r="K2303" s="3" t="s">
        <v>23</v>
      </c>
    </row>
    <row r="2304" spans="1:11" ht="42" customHeight="1">
      <c r="A2304" s="2" t="s">
        <v>6395</v>
      </c>
      <c r="B2304" s="2" t="s">
        <v>6396</v>
      </c>
      <c r="C2304" s="2" t="s">
        <v>26</v>
      </c>
      <c r="D2304" s="2" t="s">
        <v>27</v>
      </c>
      <c r="E2304" s="4">
        <v>-32112</v>
      </c>
      <c r="F2304" s="3" t="s">
        <v>2794</v>
      </c>
      <c r="G2304" s="3" t="s">
        <v>58</v>
      </c>
      <c r="H2304" s="2" t="s">
        <v>21</v>
      </c>
      <c r="I2304" s="2" t="s">
        <v>6397</v>
      </c>
      <c r="J2304" s="3" t="str">
        <f>HYPERLINK("https://www.boe.es/gazeta/dias/1812/01/29/pdfs/GMD-1812-29.pdf#page=4","Abrir facsímil")</f>
        <v>Abrir facsímil</v>
      </c>
      <c r="K2304" s="3" t="s">
        <v>23</v>
      </c>
    </row>
    <row r="2305" spans="1:11" ht="42" customHeight="1">
      <c r="A2305" s="2" t="s">
        <v>6398</v>
      </c>
      <c r="B2305" s="2" t="s">
        <v>6399</v>
      </c>
      <c r="C2305" s="2" t="s">
        <v>17</v>
      </c>
      <c r="D2305" s="2" t="s">
        <v>27</v>
      </c>
      <c r="E2305" s="4">
        <v>-32029</v>
      </c>
      <c r="F2305" s="3" t="s">
        <v>176</v>
      </c>
      <c r="G2305" s="3" t="s">
        <v>1766</v>
      </c>
      <c r="H2305" s="2" t="s">
        <v>21</v>
      </c>
      <c r="I2305" s="2" t="s">
        <v>6400</v>
      </c>
      <c r="J2305" s="3" t="str">
        <f>HYPERLINK("https://www.boe.es/gazeta/dias/1812/04/21/pdfs/GRE-1812-50.pdf#page=4","Abrir facsímil")</f>
        <v>Abrir facsímil</v>
      </c>
      <c r="K2305" s="3" t="s">
        <v>23</v>
      </c>
    </row>
    <row r="2306" spans="1:11" ht="42" customHeight="1">
      <c r="A2306" s="2" t="s">
        <v>6401</v>
      </c>
      <c r="B2306" s="2" t="s">
        <v>6402</v>
      </c>
      <c r="C2306" s="2" t="s">
        <v>26</v>
      </c>
      <c r="D2306" s="2" t="s">
        <v>27</v>
      </c>
      <c r="E2306" s="4">
        <v>-31857</v>
      </c>
      <c r="F2306" s="3" t="s">
        <v>1000</v>
      </c>
      <c r="G2306" s="3" t="s">
        <v>136</v>
      </c>
      <c r="H2306" s="2" t="s">
        <v>21</v>
      </c>
      <c r="I2306" s="2" t="s">
        <v>6403</v>
      </c>
      <c r="J2306" s="3" t="str">
        <f>HYPERLINK("https://www.boe.es/gazeta/dias/1812/10/10/pdfs/GRE-1812-137.pdf#page=8","Abrir facsímil")</f>
        <v>Abrir facsímil</v>
      </c>
      <c r="K2306" s="3" t="s">
        <v>23</v>
      </c>
    </row>
    <row r="2307" spans="1:11" ht="42" customHeight="1">
      <c r="A2307" s="2" t="s">
        <v>6404</v>
      </c>
      <c r="B2307" s="2" t="s">
        <v>6405</v>
      </c>
      <c r="C2307" s="2" t="s">
        <v>17</v>
      </c>
      <c r="D2307" s="2" t="s">
        <v>18</v>
      </c>
      <c r="E2307" s="4">
        <v>-31866</v>
      </c>
      <c r="F2307" s="3" t="s">
        <v>2438</v>
      </c>
      <c r="G2307" s="3" t="s">
        <v>6406</v>
      </c>
      <c r="H2307" s="2" t="s">
        <v>21</v>
      </c>
      <c r="I2307" s="2" t="s">
        <v>6407</v>
      </c>
      <c r="J2307" s="3" t="str">
        <f>HYPERLINK("https://www.boe.es/gazeta/dias/1812/10/01/pdfs/GMR-1812-21.pdf#page=4","Abrir facsímil")</f>
        <v>Abrir facsímil</v>
      </c>
      <c r="K2307" s="3" t="s">
        <v>23</v>
      </c>
    </row>
    <row r="2308" spans="1:11" ht="42" customHeight="1">
      <c r="A2308" s="2" t="s">
        <v>6408</v>
      </c>
      <c r="B2308" s="2" t="s">
        <v>6409</v>
      </c>
      <c r="C2308" s="2" t="s">
        <v>17</v>
      </c>
      <c r="D2308" s="2" t="s">
        <v>18</v>
      </c>
      <c r="E2308" s="4">
        <v>-31810</v>
      </c>
      <c r="F2308" s="3" t="s">
        <v>2305</v>
      </c>
      <c r="G2308" s="3" t="s">
        <v>45</v>
      </c>
      <c r="H2308" s="2" t="s">
        <v>21</v>
      </c>
      <c r="I2308" s="2" t="s">
        <v>6410</v>
      </c>
      <c r="J2308" s="3" t="str">
        <f>HYPERLINK("https://www.boe.es/gazeta/dias/1812/11/26/pdfs/GRE-1812-157.pdf#page=6","Abrir facsímil")</f>
        <v>Abrir facsímil</v>
      </c>
      <c r="K2308" s="3" t="s">
        <v>23</v>
      </c>
    </row>
    <row r="2309" spans="1:11" ht="42" customHeight="1">
      <c r="A2309" s="2" t="s">
        <v>6411</v>
      </c>
      <c r="B2309" s="2" t="s">
        <v>6412</v>
      </c>
      <c r="C2309" s="2" t="s">
        <v>26</v>
      </c>
      <c r="D2309" s="2" t="s">
        <v>27</v>
      </c>
      <c r="E2309" s="4">
        <v>-31957</v>
      </c>
      <c r="F2309" s="3" t="s">
        <v>598</v>
      </c>
      <c r="G2309" s="3" t="s">
        <v>599</v>
      </c>
      <c r="H2309" s="2" t="s">
        <v>21</v>
      </c>
      <c r="I2309" s="2" t="s">
        <v>6413</v>
      </c>
      <c r="J2309" s="3" t="str">
        <f>HYPERLINK("https://www.boe.es/gazeta/dias/1812/07/02/pdfs/GMD-1812-184.pdf#page=2","Abrir facsímil")</f>
        <v>Abrir facsímil</v>
      </c>
      <c r="K2309" s="3" t="s">
        <v>23</v>
      </c>
    </row>
    <row r="2310" spans="1:11" ht="42" customHeight="1">
      <c r="A2310" s="2" t="s">
        <v>6414</v>
      </c>
      <c r="B2310" s="2" t="s">
        <v>6415</v>
      </c>
      <c r="C2310" s="2" t="s">
        <v>549</v>
      </c>
      <c r="D2310" s="2" t="s">
        <v>275</v>
      </c>
      <c r="E2310" s="4">
        <v>-31974</v>
      </c>
      <c r="F2310" s="3" t="s">
        <v>2986</v>
      </c>
      <c r="G2310" s="3" t="s">
        <v>130</v>
      </c>
      <c r="H2310" s="2" t="s">
        <v>21</v>
      </c>
      <c r="I2310" s="2" t="s">
        <v>6416</v>
      </c>
      <c r="J2310" s="3" t="str">
        <f>HYPERLINK("https://www.boe.es/gazeta/dias/1812/06/15/pdfs/GMD-1812-167.pdf#page=4","Abrir facsímil")</f>
        <v>Abrir facsímil</v>
      </c>
      <c r="K2310" s="3" t="s">
        <v>23</v>
      </c>
    </row>
    <row r="2311" spans="1:11" ht="42" customHeight="1">
      <c r="A2311" s="2" t="s">
        <v>6417</v>
      </c>
      <c r="B2311" s="2" t="s">
        <v>6418</v>
      </c>
      <c r="C2311" s="2" t="s">
        <v>67</v>
      </c>
      <c r="D2311" s="2" t="s">
        <v>27</v>
      </c>
      <c r="E2311" s="4">
        <v>-32000</v>
      </c>
      <c r="F2311" s="3" t="s">
        <v>878</v>
      </c>
      <c r="G2311" s="3" t="s">
        <v>214</v>
      </c>
      <c r="H2311" s="2" t="s">
        <v>21</v>
      </c>
      <c r="I2311" s="2" t="s">
        <v>6419</v>
      </c>
      <c r="J2311" s="3" t="str">
        <f>HYPERLINK("https://www.boe.es/gazeta/dias/1812/05/20/pdfs/GMD-1812-141.pdf#page=2","Abrir facsímil")</f>
        <v>Abrir facsímil</v>
      </c>
      <c r="K2311" s="3" t="s">
        <v>23</v>
      </c>
    </row>
    <row r="2312" spans="1:11" ht="42" customHeight="1">
      <c r="A2312" s="2" t="s">
        <v>6420</v>
      </c>
      <c r="B2312" s="2" t="s">
        <v>6421</v>
      </c>
      <c r="C2312" s="2" t="s">
        <v>186</v>
      </c>
      <c r="D2312" s="2" t="s">
        <v>27</v>
      </c>
      <c r="E2312" s="4">
        <v>-32002</v>
      </c>
      <c r="F2312" s="3" t="s">
        <v>619</v>
      </c>
      <c r="G2312" s="3" t="s">
        <v>20</v>
      </c>
      <c r="H2312" s="2" t="s">
        <v>21</v>
      </c>
      <c r="I2312" s="2" t="s">
        <v>6422</v>
      </c>
      <c r="J2312" s="3" t="str">
        <f>HYPERLINK("https://www.boe.es/gazeta/dias/1812/05/18/pdfs/GMD-1812-139.pdf#page=3","Abrir facsímil")</f>
        <v>Abrir facsímil</v>
      </c>
      <c r="K2312" s="3" t="s">
        <v>23</v>
      </c>
    </row>
    <row r="2313" spans="1:11" ht="42" customHeight="1">
      <c r="A2313" s="2" t="s">
        <v>6423</v>
      </c>
      <c r="B2313" s="2" t="s">
        <v>6424</v>
      </c>
      <c r="C2313" s="2" t="s">
        <v>17</v>
      </c>
      <c r="D2313" s="2" t="s">
        <v>18</v>
      </c>
      <c r="E2313" s="4">
        <v>-31985</v>
      </c>
      <c r="F2313" s="3" t="s">
        <v>1942</v>
      </c>
      <c r="G2313" s="3" t="s">
        <v>1698</v>
      </c>
      <c r="H2313" s="2" t="s">
        <v>21</v>
      </c>
      <c r="I2313" s="2" t="s">
        <v>6425</v>
      </c>
      <c r="J2313" s="3" t="str">
        <f>HYPERLINK("https://www.boe.es/gazeta/dias/1812/06/04/pdfs/GRE-1812-69.pdf#page=8","Abrir facsímil")</f>
        <v>Abrir facsímil</v>
      </c>
      <c r="K2313" s="3" t="s">
        <v>23</v>
      </c>
    </row>
    <row r="2314" spans="1:11" ht="42" customHeight="1">
      <c r="A2314" s="2" t="s">
        <v>6423</v>
      </c>
      <c r="B2314" s="2" t="s">
        <v>6424</v>
      </c>
      <c r="C2314" s="2" t="s">
        <v>26</v>
      </c>
      <c r="D2314" s="2" t="s">
        <v>27</v>
      </c>
      <c r="E2314" s="4">
        <v>-31808</v>
      </c>
      <c r="F2314" s="3" t="s">
        <v>416</v>
      </c>
      <c r="G2314" s="3" t="s">
        <v>6426</v>
      </c>
      <c r="H2314" s="2" t="s">
        <v>21</v>
      </c>
      <c r="I2314" s="2" t="s">
        <v>6427</v>
      </c>
      <c r="J2314" s="3" t="str">
        <f>HYPERLINK("https://www.boe.es/gazeta/dias/1812/11/28/pdfs/GRE-1812-158.pdf#page=6","Abrir facsímil")</f>
        <v>Abrir facsímil</v>
      </c>
      <c r="K2314" s="3" t="s">
        <v>23</v>
      </c>
    </row>
    <row r="2315" spans="1:11" ht="42" customHeight="1">
      <c r="A2315" s="2" t="s">
        <v>6428</v>
      </c>
      <c r="B2315" s="2" t="s">
        <v>6429</v>
      </c>
      <c r="C2315" s="2" t="s">
        <v>17</v>
      </c>
      <c r="D2315" s="2" t="s">
        <v>18</v>
      </c>
      <c r="E2315" s="4">
        <v>-31816</v>
      </c>
      <c r="F2315" s="3" t="s">
        <v>270</v>
      </c>
      <c r="G2315" s="3" t="s">
        <v>271</v>
      </c>
      <c r="H2315" s="2" t="s">
        <v>21</v>
      </c>
      <c r="I2315" s="2" t="s">
        <v>6430</v>
      </c>
      <c r="J2315" s="3" t="str">
        <f>HYPERLINK("https://www.boe.es/gazeta/dias/1812/11/20/pdfs/GMR-1812-36.pdf#page=6","Abrir facsímil")</f>
        <v>Abrir facsímil</v>
      </c>
      <c r="K2315" s="3" t="s">
        <v>23</v>
      </c>
    </row>
    <row r="2316" spans="1:11" ht="42" customHeight="1">
      <c r="A2316" s="2" t="s">
        <v>6431</v>
      </c>
      <c r="B2316" s="2" t="s">
        <v>6432</v>
      </c>
      <c r="C2316" s="2" t="s">
        <v>17</v>
      </c>
      <c r="D2316" s="2" t="s">
        <v>18</v>
      </c>
      <c r="E2316" s="4">
        <v>-31833</v>
      </c>
      <c r="F2316" s="3" t="s">
        <v>267</v>
      </c>
      <c r="G2316" s="3" t="s">
        <v>268</v>
      </c>
      <c r="H2316" s="2" t="s">
        <v>30</v>
      </c>
      <c r="I2316" s="2" t="s">
        <v>6433</v>
      </c>
      <c r="J2316" s="3" t="str">
        <f>HYPERLINK("https://www.boe.es/gazeta/dias/1812/11/03/pdfs/GRE-1812-147.pdf#page=8","Abrir facsímil")</f>
        <v>Abrir facsímil</v>
      </c>
      <c r="K2316" s="3" t="s">
        <v>32</v>
      </c>
    </row>
    <row r="2317" spans="1:11" ht="42" customHeight="1">
      <c r="A2317" s="2" t="s">
        <v>6434</v>
      </c>
      <c r="B2317" s="2" t="s">
        <v>6435</v>
      </c>
      <c r="C2317" s="2" t="s">
        <v>49</v>
      </c>
      <c r="D2317" s="2" t="s">
        <v>18</v>
      </c>
      <c r="E2317" s="4">
        <v>-31843</v>
      </c>
      <c r="F2317" s="3" t="s">
        <v>6436</v>
      </c>
      <c r="G2317" s="3" t="s">
        <v>6437</v>
      </c>
      <c r="H2317" s="2" t="s">
        <v>21</v>
      </c>
      <c r="I2317" s="2" t="s">
        <v>6438</v>
      </c>
      <c r="J2317" s="3" t="str">
        <f>HYPERLINK("https://www.boe.es/gazeta/dias/1812/10/24/pdfs/GRE-1812-143.pdf#page=7","Abrir facsímil")</f>
        <v>Abrir facsímil</v>
      </c>
      <c r="K2317" s="3" t="s">
        <v>23</v>
      </c>
    </row>
    <row r="2318" spans="1:11" ht="42" customHeight="1">
      <c r="A2318" s="2" t="s">
        <v>6434</v>
      </c>
      <c r="B2318" s="2" t="s">
        <v>6435</v>
      </c>
      <c r="C2318" s="2" t="s">
        <v>49</v>
      </c>
      <c r="D2318" s="2" t="s">
        <v>18</v>
      </c>
      <c r="E2318" s="4">
        <v>-31843</v>
      </c>
      <c r="F2318" s="3" t="s">
        <v>6436</v>
      </c>
      <c r="G2318" s="3" t="s">
        <v>6439</v>
      </c>
      <c r="H2318" s="2" t="s">
        <v>21</v>
      </c>
      <c r="I2318" s="2" t="s">
        <v>6440</v>
      </c>
      <c r="J2318" s="3" t="str">
        <f>HYPERLINK("https://www.boe.es/gazeta/dias/1812/10/24/pdfs/GRE-1812-143.pdf#page=8","Abrir facsímil")</f>
        <v>Abrir facsímil</v>
      </c>
      <c r="K2318" s="3" t="s">
        <v>23</v>
      </c>
    </row>
    <row r="2319" spans="1:11" ht="42" customHeight="1">
      <c r="A2319" s="2" t="s">
        <v>6434</v>
      </c>
      <c r="B2319" s="2" t="s">
        <v>6435</v>
      </c>
      <c r="C2319" s="2" t="s">
        <v>17</v>
      </c>
      <c r="D2319" s="2" t="s">
        <v>18</v>
      </c>
      <c r="E2319" s="4">
        <v>-31810</v>
      </c>
      <c r="F2319" s="3" t="s">
        <v>2305</v>
      </c>
      <c r="G2319" s="3" t="s">
        <v>2262</v>
      </c>
      <c r="H2319" s="2" t="s">
        <v>21</v>
      </c>
      <c r="I2319" s="2" t="s">
        <v>6441</v>
      </c>
      <c r="J2319" s="3" t="str">
        <f>HYPERLINK("https://www.boe.es/gazeta/dias/1812/11/26/pdfs/GRE-1812-157.pdf#page=5","Abrir facsímil")</f>
        <v>Abrir facsímil</v>
      </c>
      <c r="K2319" s="3" t="s">
        <v>23</v>
      </c>
    </row>
    <row r="2320" spans="1:11" ht="42" customHeight="1">
      <c r="A2320" s="2" t="s">
        <v>6434</v>
      </c>
      <c r="B2320" s="2" t="s">
        <v>6435</v>
      </c>
      <c r="C2320" s="2" t="s">
        <v>17</v>
      </c>
      <c r="D2320" s="2" t="s">
        <v>18</v>
      </c>
      <c r="E2320" s="4">
        <v>-31810</v>
      </c>
      <c r="F2320" s="3" t="s">
        <v>2305</v>
      </c>
      <c r="G2320" s="3" t="s">
        <v>45</v>
      </c>
      <c r="H2320" s="2" t="s">
        <v>21</v>
      </c>
      <c r="I2320" s="2" t="s">
        <v>6442</v>
      </c>
      <c r="J2320" s="3" t="str">
        <f>HYPERLINK("https://www.boe.es/gazeta/dias/1812/11/26/pdfs/GRE-1812-157.pdf#page=6","Abrir facsímil")</f>
        <v>Abrir facsímil</v>
      </c>
      <c r="K2320" s="3" t="s">
        <v>23</v>
      </c>
    </row>
    <row r="2321" spans="1:11" ht="42" customHeight="1">
      <c r="A2321" s="2" t="s">
        <v>6434</v>
      </c>
      <c r="B2321" s="2" t="s">
        <v>6435</v>
      </c>
      <c r="C2321" s="2" t="s">
        <v>49</v>
      </c>
      <c r="D2321" s="2" t="s">
        <v>18</v>
      </c>
      <c r="E2321" s="4">
        <v>-31808</v>
      </c>
      <c r="F2321" s="3" t="s">
        <v>416</v>
      </c>
      <c r="G2321" s="3" t="s">
        <v>6443</v>
      </c>
      <c r="H2321" s="2" t="s">
        <v>21</v>
      </c>
      <c r="I2321" s="2" t="s">
        <v>6444</v>
      </c>
      <c r="J2321" s="3" t="str">
        <f>HYPERLINK("https://www.boe.es/gazeta/dias/1812/11/28/pdfs/GRE-1812-158.pdf#page=5","Abrir facsímil")</f>
        <v>Abrir facsímil</v>
      </c>
      <c r="K2321" s="3" t="s">
        <v>23</v>
      </c>
    </row>
    <row r="2322" spans="1:11" ht="42" customHeight="1">
      <c r="A2322" s="2" t="s">
        <v>6434</v>
      </c>
      <c r="B2322" s="2" t="s">
        <v>6435</v>
      </c>
      <c r="C2322" s="2" t="s">
        <v>49</v>
      </c>
      <c r="D2322" s="2" t="s">
        <v>18</v>
      </c>
      <c r="E2322" s="4">
        <v>-31808</v>
      </c>
      <c r="F2322" s="3" t="s">
        <v>416</v>
      </c>
      <c r="G2322" s="3" t="s">
        <v>6426</v>
      </c>
      <c r="H2322" s="2" t="s">
        <v>21</v>
      </c>
      <c r="I2322" s="2" t="s">
        <v>6445</v>
      </c>
      <c r="J2322" s="3" t="str">
        <f>HYPERLINK("https://www.boe.es/gazeta/dias/1812/11/28/pdfs/GRE-1812-158.pdf#page=6","Abrir facsímil")</f>
        <v>Abrir facsímil</v>
      </c>
      <c r="K2322" s="3" t="s">
        <v>23</v>
      </c>
    </row>
    <row r="2323" spans="1:11" ht="42" customHeight="1">
      <c r="A2323" s="2" t="s">
        <v>6434</v>
      </c>
      <c r="B2323" s="2" t="s">
        <v>6435</v>
      </c>
      <c r="C2323" s="2" t="s">
        <v>49</v>
      </c>
      <c r="D2323" s="2" t="s">
        <v>18</v>
      </c>
      <c r="E2323" s="4">
        <v>-31805</v>
      </c>
      <c r="F2323" s="3" t="s">
        <v>4346</v>
      </c>
      <c r="G2323" s="3" t="s">
        <v>1923</v>
      </c>
      <c r="H2323" s="2" t="s">
        <v>21</v>
      </c>
      <c r="I2323" s="2" t="s">
        <v>6446</v>
      </c>
      <c r="J2323" s="3" t="str">
        <f>HYPERLINK("https://www.boe.es/gazeta/dias/1812/12/01/pdfs/GRE-1812-159.pdf#page=6","Abrir facsímil")</f>
        <v>Abrir facsímil</v>
      </c>
      <c r="K2323" s="3" t="s">
        <v>23</v>
      </c>
    </row>
    <row r="2324" spans="1:11" ht="42" customHeight="1">
      <c r="A2324" s="2" t="s">
        <v>6434</v>
      </c>
      <c r="B2324" s="2" t="s">
        <v>6435</v>
      </c>
      <c r="C2324" s="2" t="s">
        <v>49</v>
      </c>
      <c r="D2324" s="2" t="s">
        <v>18</v>
      </c>
      <c r="E2324" s="4">
        <v>-31805</v>
      </c>
      <c r="F2324" s="3" t="s">
        <v>4346</v>
      </c>
      <c r="G2324" s="3" t="s">
        <v>125</v>
      </c>
      <c r="H2324" s="2" t="s">
        <v>21</v>
      </c>
      <c r="I2324" s="2" t="s">
        <v>6447</v>
      </c>
      <c r="J2324" s="3" t="str">
        <f>HYPERLINK("https://www.boe.es/gazeta/dias/1812/12/01/pdfs/GRE-1812-159.pdf#page=7","Abrir facsímil")</f>
        <v>Abrir facsímil</v>
      </c>
      <c r="K2324" s="3" t="s">
        <v>23</v>
      </c>
    </row>
    <row r="2325" spans="1:11" ht="42" customHeight="1">
      <c r="A2325" s="2" t="s">
        <v>6448</v>
      </c>
      <c r="B2325" s="2" t="s">
        <v>6449</v>
      </c>
      <c r="C2325" s="2" t="s">
        <v>49</v>
      </c>
      <c r="D2325" s="2" t="s">
        <v>18</v>
      </c>
      <c r="E2325" s="4">
        <v>-31810</v>
      </c>
      <c r="F2325" s="3" t="s">
        <v>2305</v>
      </c>
      <c r="G2325" s="3" t="s">
        <v>6450</v>
      </c>
      <c r="H2325" s="2" t="s">
        <v>21</v>
      </c>
      <c r="I2325" s="2" t="s">
        <v>6451</v>
      </c>
      <c r="J2325" s="3" t="str">
        <f>HYPERLINK("https://www.boe.es/gazeta/dias/1812/11/26/pdfs/GRE-1812-157.pdf#page=7","Abrir facsímil")</f>
        <v>Abrir facsímil</v>
      </c>
      <c r="K2325" s="3" t="s">
        <v>23</v>
      </c>
    </row>
    <row r="2326" spans="1:11" ht="42" customHeight="1">
      <c r="A2326" s="2" t="s">
        <v>6452</v>
      </c>
      <c r="B2326" s="2" t="s">
        <v>6453</v>
      </c>
      <c r="C2326" s="2" t="s">
        <v>49</v>
      </c>
      <c r="D2326" s="2" t="s">
        <v>27</v>
      </c>
      <c r="E2326" s="4">
        <v>-32073</v>
      </c>
      <c r="F2326" s="3" t="s">
        <v>4960</v>
      </c>
      <c r="G2326" s="3" t="s">
        <v>857</v>
      </c>
      <c r="H2326" s="2" t="s">
        <v>21</v>
      </c>
      <c r="I2326" s="2" t="s">
        <v>6454</v>
      </c>
      <c r="J2326" s="3" t="str">
        <f>HYPERLINK("https://www.boe.es/gazeta/dias/1812/03/08/pdfs/GMD-1812-68.pdf#page=4","Abrir facsímil")</f>
        <v>Abrir facsímil</v>
      </c>
      <c r="K2326" s="3" t="s">
        <v>23</v>
      </c>
    </row>
    <row r="2327" spans="1:11" ht="42" customHeight="1">
      <c r="A2327" s="2" t="s">
        <v>6455</v>
      </c>
      <c r="B2327" s="2" t="s">
        <v>6456</v>
      </c>
      <c r="C2327" s="2" t="s">
        <v>26</v>
      </c>
      <c r="D2327" s="2" t="s">
        <v>27</v>
      </c>
      <c r="E2327" s="4">
        <v>-31945</v>
      </c>
      <c r="F2327" s="3" t="s">
        <v>1485</v>
      </c>
      <c r="G2327" s="3" t="s">
        <v>1486</v>
      </c>
      <c r="H2327" s="2" t="s">
        <v>21</v>
      </c>
      <c r="I2327" s="2" t="s">
        <v>6457</v>
      </c>
      <c r="J2327" s="3" t="str">
        <f>HYPERLINK("https://www.boe.es/gazeta/dias/1812/07/14/pdfs/GRE-1812-88.pdf#page=1","Abrir facsímil")</f>
        <v>Abrir facsímil</v>
      </c>
      <c r="K2327" s="3" t="s">
        <v>23</v>
      </c>
    </row>
    <row r="2328" spans="1:11" ht="42" customHeight="1">
      <c r="A2328" s="2" t="s">
        <v>6458</v>
      </c>
      <c r="B2328" s="2" t="s">
        <v>6459</v>
      </c>
      <c r="C2328" s="2" t="s">
        <v>26</v>
      </c>
      <c r="D2328" s="2" t="s">
        <v>27</v>
      </c>
      <c r="E2328" s="4">
        <v>-32088</v>
      </c>
      <c r="F2328" s="3" t="s">
        <v>250</v>
      </c>
      <c r="G2328" s="3" t="s">
        <v>1919</v>
      </c>
      <c r="H2328" s="2" t="s">
        <v>21</v>
      </c>
      <c r="I2328" s="2" t="s">
        <v>6460</v>
      </c>
      <c r="J2328" s="3" t="str">
        <f>HYPERLINK("https://www.boe.es/gazeta/dias/1812/02/22/pdfs/GRE-1812-23.pdf#page=7","Abrir facsímil")</f>
        <v>Abrir facsímil</v>
      </c>
      <c r="K2328" s="3" t="s">
        <v>23</v>
      </c>
    </row>
    <row r="2329" spans="1:11" ht="42" customHeight="1">
      <c r="A2329" s="2" t="s">
        <v>6461</v>
      </c>
      <c r="B2329" s="2" t="s">
        <v>6462</v>
      </c>
      <c r="C2329" s="2" t="s">
        <v>26</v>
      </c>
      <c r="D2329" s="2" t="s">
        <v>27</v>
      </c>
      <c r="E2329" s="4">
        <v>-31824</v>
      </c>
      <c r="F2329" s="3" t="s">
        <v>3123</v>
      </c>
      <c r="G2329" s="3" t="s">
        <v>857</v>
      </c>
      <c r="H2329" s="2" t="s">
        <v>21</v>
      </c>
      <c r="I2329" s="2" t="s">
        <v>6463</v>
      </c>
      <c r="J2329" s="3" t="str">
        <f>HYPERLINK("https://www.boe.es/gazeta/dias/1812/11/12/pdfs/GRE-1812-151.pdf#page=8","Abrir facsímil")</f>
        <v>Abrir facsímil</v>
      </c>
      <c r="K2329" s="3" t="s">
        <v>23</v>
      </c>
    </row>
    <row r="2330" spans="1:11" ht="42" customHeight="1">
      <c r="A2330" s="2" t="s">
        <v>6464</v>
      </c>
      <c r="B2330" s="2" t="s">
        <v>6465</v>
      </c>
      <c r="C2330" s="2" t="s">
        <v>115</v>
      </c>
      <c r="D2330" s="2" t="s">
        <v>27</v>
      </c>
      <c r="E2330" s="4">
        <v>-32111</v>
      </c>
      <c r="F2330" s="3" t="s">
        <v>553</v>
      </c>
      <c r="G2330" s="3" t="s">
        <v>196</v>
      </c>
      <c r="H2330" s="2" t="s">
        <v>21</v>
      </c>
      <c r="I2330" s="2" t="s">
        <v>6466</v>
      </c>
      <c r="J2330" s="3" t="str">
        <f>HYPERLINK("https://www.boe.es/gazeta/dias/1812/01/30/pdfs/GRE-1812-13.pdf#page=1","Abrir facsímil")</f>
        <v>Abrir facsímil</v>
      </c>
      <c r="K2330" s="3" t="s">
        <v>23</v>
      </c>
    </row>
    <row r="2331" spans="1:11" ht="42" customHeight="1">
      <c r="A2331" s="2" t="s">
        <v>6467</v>
      </c>
      <c r="B2331" s="2" t="s">
        <v>6468</v>
      </c>
      <c r="C2331" s="2" t="s">
        <v>115</v>
      </c>
      <c r="D2331" s="2" t="s">
        <v>27</v>
      </c>
      <c r="E2331" s="4">
        <v>-32140</v>
      </c>
      <c r="F2331" s="3" t="s">
        <v>822</v>
      </c>
      <c r="G2331" s="3" t="s">
        <v>106</v>
      </c>
      <c r="H2331" s="2" t="s">
        <v>21</v>
      </c>
      <c r="I2331" s="2" t="s">
        <v>6469</v>
      </c>
      <c r="J2331" s="3" t="str">
        <f>HYPERLINK("https://www.boe.es/gazeta/dias/1812/01/01/pdfs/GMD-1812-1.pdf#page=4","Abrir facsímil")</f>
        <v>Abrir facsímil</v>
      </c>
      <c r="K2331" s="3" t="s">
        <v>23</v>
      </c>
    </row>
    <row r="2332" spans="1:11" ht="42" customHeight="1">
      <c r="A2332" s="2" t="s">
        <v>6470</v>
      </c>
      <c r="B2332" s="2" t="s">
        <v>6471</v>
      </c>
      <c r="C2332" s="2" t="s">
        <v>26</v>
      </c>
      <c r="D2332" s="2" t="s">
        <v>27</v>
      </c>
      <c r="E2332" s="4">
        <v>-31833</v>
      </c>
      <c r="F2332" s="3" t="s">
        <v>267</v>
      </c>
      <c r="G2332" s="3" t="s">
        <v>268</v>
      </c>
      <c r="H2332" s="2" t="s">
        <v>21</v>
      </c>
      <c r="I2332" s="2" t="s">
        <v>6472</v>
      </c>
      <c r="J2332" s="3" t="str">
        <f>HYPERLINK("https://www.boe.es/gazeta/dias/1812/11/03/pdfs/GRE-1812-147.pdf#page=8","Abrir facsímil")</f>
        <v>Abrir facsímil</v>
      </c>
      <c r="K2332" s="3" t="s">
        <v>23</v>
      </c>
    </row>
    <row r="2333" spans="1:11" ht="42" customHeight="1">
      <c r="A2333" s="2" t="s">
        <v>6470</v>
      </c>
      <c r="B2333" s="2" t="s">
        <v>6471</v>
      </c>
      <c r="C2333" s="2" t="s">
        <v>26</v>
      </c>
      <c r="D2333" s="2" t="s">
        <v>27</v>
      </c>
      <c r="E2333" s="4">
        <v>-31816</v>
      </c>
      <c r="F2333" s="3" t="s">
        <v>270</v>
      </c>
      <c r="G2333" s="3" t="s">
        <v>271</v>
      </c>
      <c r="H2333" s="2" t="s">
        <v>21</v>
      </c>
      <c r="I2333" s="2" t="s">
        <v>6473</v>
      </c>
      <c r="J2333" s="3" t="str">
        <f>HYPERLINK("https://www.boe.es/gazeta/dias/1812/11/20/pdfs/GMR-1812-36.pdf#page=6","Abrir facsímil")</f>
        <v>Abrir facsímil</v>
      </c>
      <c r="K2333" s="3" t="s">
        <v>23</v>
      </c>
    </row>
    <row r="2334" spans="1:11" ht="42" customHeight="1">
      <c r="A2334" s="2" t="s">
        <v>6474</v>
      </c>
      <c r="B2334" s="2" t="s">
        <v>6475</v>
      </c>
      <c r="C2334" s="2" t="s">
        <v>49</v>
      </c>
      <c r="D2334" s="2" t="s">
        <v>18</v>
      </c>
      <c r="E2334" s="4">
        <v>-32053</v>
      </c>
      <c r="F2334" s="3" t="s">
        <v>910</v>
      </c>
      <c r="G2334" s="3" t="s">
        <v>911</v>
      </c>
      <c r="H2334" s="2" t="s">
        <v>21</v>
      </c>
      <c r="I2334" s="2" t="s">
        <v>6476</v>
      </c>
      <c r="J2334" s="3" t="str">
        <f>HYPERLINK("https://www.boe.es/gazeta/dias/1812/03/28/pdfs/GRE-1812-39.pdf#page=8","Abrir facsímil")</f>
        <v>Abrir facsímil</v>
      </c>
      <c r="K2334" s="3" t="s">
        <v>23</v>
      </c>
    </row>
    <row r="2335" spans="1:11" ht="42" customHeight="1">
      <c r="A2335" s="2" t="s">
        <v>6477</v>
      </c>
      <c r="B2335" s="2" t="s">
        <v>6478</v>
      </c>
      <c r="C2335" s="2" t="s">
        <v>26</v>
      </c>
      <c r="D2335" s="2" t="s">
        <v>27</v>
      </c>
      <c r="E2335" s="4">
        <v>-32043</v>
      </c>
      <c r="F2335" s="3" t="s">
        <v>4582</v>
      </c>
      <c r="G2335" s="3" t="s">
        <v>836</v>
      </c>
      <c r="H2335" s="2" t="s">
        <v>21</v>
      </c>
      <c r="I2335" s="2" t="s">
        <v>6479</v>
      </c>
      <c r="J2335" s="3" t="str">
        <f>HYPERLINK("https://www.boe.es/gazeta/dias/1812/04/07/pdfs/GRE-1812-43.pdf#page=1","Abrir facsímil")</f>
        <v>Abrir facsímil</v>
      </c>
      <c r="K2335" s="3" t="s">
        <v>23</v>
      </c>
    </row>
    <row r="2336" spans="1:11" ht="42" customHeight="1">
      <c r="A2336" s="2" t="s">
        <v>6480</v>
      </c>
      <c r="B2336" s="2" t="s">
        <v>6481</v>
      </c>
      <c r="C2336" s="2" t="s">
        <v>26</v>
      </c>
      <c r="D2336" s="2" t="s">
        <v>27</v>
      </c>
      <c r="E2336" s="4">
        <v>-31990</v>
      </c>
      <c r="F2336" s="3" t="s">
        <v>5078</v>
      </c>
      <c r="G2336" s="3" t="s">
        <v>6482</v>
      </c>
      <c r="H2336" s="2" t="s">
        <v>21</v>
      </c>
      <c r="I2336" s="2" t="s">
        <v>6483</v>
      </c>
      <c r="J2336" s="3" t="str">
        <f>HYPERLINK("https://www.boe.es/gazeta/dias/1812/05/30/pdfs/GRE-1812-67.pdf#page=1","Abrir facsímil")</f>
        <v>Abrir facsímil</v>
      </c>
      <c r="K2336" s="3" t="s">
        <v>23</v>
      </c>
    </row>
    <row r="2337" spans="1:11" ht="42" customHeight="1">
      <c r="A2337" s="2" t="s">
        <v>6480</v>
      </c>
      <c r="B2337" s="2" t="s">
        <v>6481</v>
      </c>
      <c r="C2337" s="2" t="s">
        <v>26</v>
      </c>
      <c r="D2337" s="2" t="s">
        <v>27</v>
      </c>
      <c r="E2337" s="4">
        <v>-31985</v>
      </c>
      <c r="F2337" s="3" t="s">
        <v>1942</v>
      </c>
      <c r="G2337" s="3" t="s">
        <v>4865</v>
      </c>
      <c r="H2337" s="2" t="s">
        <v>21</v>
      </c>
      <c r="I2337" s="2" t="s">
        <v>6484</v>
      </c>
      <c r="J2337" s="3" t="str">
        <f>HYPERLINK("https://www.boe.es/gazeta/dias/1812/06/04/pdfs/GRE-1812-69.pdf#page=1","Abrir facsímil")</f>
        <v>Abrir facsímil</v>
      </c>
      <c r="K2337" s="3" t="s">
        <v>23</v>
      </c>
    </row>
    <row r="2338" spans="1:11" ht="42" customHeight="1">
      <c r="A2338" s="2" t="s">
        <v>6485</v>
      </c>
      <c r="B2338" s="2" t="s">
        <v>6486</v>
      </c>
      <c r="C2338" s="2" t="s">
        <v>26</v>
      </c>
      <c r="D2338" s="2" t="s">
        <v>27</v>
      </c>
      <c r="E2338" s="4">
        <v>-32066</v>
      </c>
      <c r="F2338" s="3" t="s">
        <v>291</v>
      </c>
      <c r="G2338" s="3" t="s">
        <v>125</v>
      </c>
      <c r="H2338" s="2" t="s">
        <v>21</v>
      </c>
      <c r="I2338" s="2" t="s">
        <v>6487</v>
      </c>
      <c r="J2338" s="3" t="str">
        <f>HYPERLINK("https://www.boe.es/gazeta/dias/1812/03/15/pdfs/GMD-1812-75.pdf#page=4","Abrir facsímil")</f>
        <v>Abrir facsímil</v>
      </c>
      <c r="K2338" s="3" t="s">
        <v>23</v>
      </c>
    </row>
    <row r="2339" spans="1:11" ht="42" customHeight="1">
      <c r="A2339" s="2" t="s">
        <v>6488</v>
      </c>
      <c r="B2339" s="2" t="s">
        <v>6489</v>
      </c>
      <c r="C2339" s="2" t="s">
        <v>26</v>
      </c>
      <c r="D2339" s="2" t="s">
        <v>27</v>
      </c>
      <c r="E2339" s="4">
        <v>-31934</v>
      </c>
      <c r="F2339" s="3" t="s">
        <v>6490</v>
      </c>
      <c r="G2339" s="3" t="s">
        <v>233</v>
      </c>
      <c r="H2339" s="2" t="s">
        <v>30</v>
      </c>
      <c r="I2339" s="2" t="s">
        <v>6491</v>
      </c>
      <c r="J2339" s="3" t="str">
        <f>HYPERLINK("https://www.boe.es/gazeta/dias/1812/07/25/pdfs/GMD-1812-207.pdf#page=2","Abrir facsímil")</f>
        <v>Abrir facsímil</v>
      </c>
      <c r="K2339" s="3" t="s">
        <v>32</v>
      </c>
    </row>
    <row r="2340" spans="1:11" ht="42" customHeight="1">
      <c r="A2340" s="2" t="s">
        <v>6492</v>
      </c>
      <c r="B2340" s="2" t="s">
        <v>6493</v>
      </c>
      <c r="C2340" s="2" t="s">
        <v>26</v>
      </c>
      <c r="D2340" s="2" t="s">
        <v>27</v>
      </c>
      <c r="E2340" s="4">
        <v>-31938</v>
      </c>
      <c r="F2340" s="3" t="s">
        <v>324</v>
      </c>
      <c r="G2340" s="3" t="s">
        <v>497</v>
      </c>
      <c r="H2340" s="2" t="s">
        <v>21</v>
      </c>
      <c r="I2340" s="2" t="s">
        <v>6494</v>
      </c>
      <c r="J2340" s="3" t="str">
        <f>HYPERLINK("https://www.boe.es/gazeta/dias/1812/07/21/pdfs/GMD-1812-203.pdf#page=3","Abrir facsímil")</f>
        <v>Abrir facsímil</v>
      </c>
      <c r="K2340" s="3" t="s">
        <v>23</v>
      </c>
    </row>
    <row r="2341" spans="1:11" ht="42" customHeight="1">
      <c r="A2341" s="2" t="s">
        <v>6495</v>
      </c>
      <c r="B2341" s="2" t="s">
        <v>6496</v>
      </c>
      <c r="C2341" s="2" t="s">
        <v>26</v>
      </c>
      <c r="D2341" s="2" t="s">
        <v>27</v>
      </c>
      <c r="E2341" s="4">
        <v>-31938</v>
      </c>
      <c r="F2341" s="3" t="s">
        <v>324</v>
      </c>
      <c r="G2341" s="3" t="s">
        <v>237</v>
      </c>
      <c r="H2341" s="2" t="s">
        <v>21</v>
      </c>
      <c r="I2341" s="2" t="s">
        <v>6497</v>
      </c>
      <c r="J2341" s="3" t="str">
        <f>HYPERLINK("https://www.boe.es/gazeta/dias/1812/07/21/pdfs/GMD-1812-203.pdf#page=2","Abrir facsímil")</f>
        <v>Abrir facsímil</v>
      </c>
      <c r="K2341" s="3" t="s">
        <v>23</v>
      </c>
    </row>
    <row r="2342" spans="1:11" ht="42" customHeight="1">
      <c r="A2342" s="2" t="s">
        <v>6498</v>
      </c>
      <c r="B2342" s="2" t="s">
        <v>6499</v>
      </c>
      <c r="C2342" s="2" t="s">
        <v>549</v>
      </c>
      <c r="D2342" s="2" t="s">
        <v>27</v>
      </c>
      <c r="E2342" s="4">
        <v>-32109</v>
      </c>
      <c r="F2342" s="3" t="s">
        <v>62</v>
      </c>
      <c r="G2342" s="3" t="s">
        <v>106</v>
      </c>
      <c r="H2342" s="2" t="s">
        <v>21</v>
      </c>
      <c r="I2342" s="2" t="s">
        <v>6500</v>
      </c>
      <c r="J2342" s="3" t="str">
        <f>HYPERLINK("https://www.boe.es/gazeta/dias/1812/02/01/pdfs/GRE-1812-14.pdf#page=11","Abrir facsímil")</f>
        <v>Abrir facsímil</v>
      </c>
      <c r="K2342" s="3" t="s">
        <v>23</v>
      </c>
    </row>
    <row r="2343" spans="1:11" ht="42" customHeight="1">
      <c r="A2343" s="2" t="s">
        <v>6501</v>
      </c>
      <c r="B2343" s="2" t="s">
        <v>6502</v>
      </c>
      <c r="C2343" s="2" t="s">
        <v>26</v>
      </c>
      <c r="D2343" s="2" t="s">
        <v>27</v>
      </c>
      <c r="E2343" s="4">
        <v>-31963</v>
      </c>
      <c r="F2343" s="3" t="s">
        <v>171</v>
      </c>
      <c r="G2343" s="3" t="s">
        <v>172</v>
      </c>
      <c r="H2343" s="2" t="s">
        <v>21</v>
      </c>
      <c r="I2343" s="2" t="s">
        <v>6503</v>
      </c>
      <c r="J2343" s="3" t="str">
        <f>HYPERLINK("https://www.boe.es/gazeta/dias/1812/06/26/pdfs/GMD-1812-178.pdf#page=3","Abrir facsímil")</f>
        <v>Abrir facsímil</v>
      </c>
      <c r="K2343" s="3" t="s">
        <v>23</v>
      </c>
    </row>
    <row r="2344" spans="1:11" ht="42" customHeight="1">
      <c r="A2344" s="2" t="s">
        <v>6504</v>
      </c>
      <c r="B2344" s="2" t="s">
        <v>6505</v>
      </c>
      <c r="C2344" s="2" t="s">
        <v>26</v>
      </c>
      <c r="D2344" s="2" t="s">
        <v>27</v>
      </c>
      <c r="E2344" s="4">
        <v>-32000</v>
      </c>
      <c r="F2344" s="3" t="s">
        <v>878</v>
      </c>
      <c r="G2344" s="3" t="s">
        <v>214</v>
      </c>
      <c r="H2344" s="2" t="s">
        <v>21</v>
      </c>
      <c r="I2344" s="2" t="s">
        <v>6506</v>
      </c>
      <c r="J2344" s="3" t="str">
        <f>HYPERLINK("https://www.boe.es/gazeta/dias/1812/05/20/pdfs/GMD-1812-141.pdf#page=2","Abrir facsímil")</f>
        <v>Abrir facsímil</v>
      </c>
      <c r="K2344" s="3" t="s">
        <v>23</v>
      </c>
    </row>
    <row r="2345" spans="1:11" ht="42" customHeight="1">
      <c r="A2345" s="2" t="s">
        <v>6507</v>
      </c>
      <c r="B2345" s="2" t="s">
        <v>6508</v>
      </c>
      <c r="C2345" s="2" t="s">
        <v>26</v>
      </c>
      <c r="D2345" s="2" t="s">
        <v>275</v>
      </c>
      <c r="E2345" s="4">
        <v>-31843</v>
      </c>
      <c r="F2345" s="3" t="s">
        <v>3493</v>
      </c>
      <c r="G2345" s="3" t="s">
        <v>3494</v>
      </c>
      <c r="H2345" s="2" t="s">
        <v>21</v>
      </c>
      <c r="I2345" s="2" t="s">
        <v>6509</v>
      </c>
      <c r="J2345" s="3" t="str">
        <f>HYPERLINK("https://www.boe.es/gazeta/dias/1812/10/24/pdfs/GMR-1812-31.pdf#page=8","Abrir facsímil")</f>
        <v>Abrir facsímil</v>
      </c>
      <c r="K2345" s="3" t="s">
        <v>23</v>
      </c>
    </row>
    <row r="2346" spans="1:11" ht="42" customHeight="1">
      <c r="A2346" s="2" t="s">
        <v>6510</v>
      </c>
      <c r="B2346" s="2" t="s">
        <v>6511</v>
      </c>
      <c r="C2346" s="2" t="s">
        <v>186</v>
      </c>
      <c r="D2346" s="2" t="s">
        <v>275</v>
      </c>
      <c r="E2346" s="4">
        <v>-32020</v>
      </c>
      <c r="F2346" s="3" t="s">
        <v>1860</v>
      </c>
      <c r="G2346" s="3" t="s">
        <v>36</v>
      </c>
      <c r="H2346" s="2" t="s">
        <v>21</v>
      </c>
      <c r="I2346" s="2" t="s">
        <v>6512</v>
      </c>
      <c r="J2346" s="3" t="str">
        <f>HYPERLINK("https://www.boe.es/gazeta/dias/1812/04/30/pdfs/GMD-1812-121.pdf#page=3","Abrir facsímil")</f>
        <v>Abrir facsímil</v>
      </c>
      <c r="K2346" s="3" t="s">
        <v>23</v>
      </c>
    </row>
    <row r="2347" spans="1:11" ht="42" customHeight="1">
      <c r="A2347" s="2" t="s">
        <v>6513</v>
      </c>
      <c r="B2347" s="2" t="s">
        <v>6514</v>
      </c>
      <c r="C2347" s="2" t="s">
        <v>26</v>
      </c>
      <c r="D2347" s="2" t="s">
        <v>27</v>
      </c>
      <c r="E2347" s="4">
        <v>-32109</v>
      </c>
      <c r="F2347" s="3" t="s">
        <v>62</v>
      </c>
      <c r="G2347" s="3" t="s">
        <v>472</v>
      </c>
      <c r="H2347" s="2" t="s">
        <v>30</v>
      </c>
      <c r="I2347" s="2" t="s">
        <v>6515</v>
      </c>
      <c r="J2347" s="3" t="str">
        <f>HYPERLINK("https://www.boe.es/gazeta/dias/1812/02/01/pdfs/GRE-1812-14.pdf#page=12","Abrir facsímil")</f>
        <v>Abrir facsímil</v>
      </c>
      <c r="K2347" s="3" t="s">
        <v>32</v>
      </c>
    </row>
    <row r="2348" spans="1:11" ht="42" customHeight="1">
      <c r="A2348" s="2" t="s">
        <v>6516</v>
      </c>
      <c r="B2348" s="2" t="s">
        <v>6517</v>
      </c>
      <c r="C2348" s="2" t="s">
        <v>105</v>
      </c>
      <c r="D2348" s="2" t="s">
        <v>275</v>
      </c>
      <c r="E2348" s="4">
        <v>-31934</v>
      </c>
      <c r="F2348" s="3" t="s">
        <v>509</v>
      </c>
      <c r="G2348" s="3" t="s">
        <v>4482</v>
      </c>
      <c r="H2348" s="2" t="s">
        <v>30</v>
      </c>
      <c r="I2348" s="2" t="s">
        <v>6518</v>
      </c>
      <c r="J2348" s="3" t="str">
        <f>HYPERLINK("https://www.boe.es/gazeta/dias/1812/07/25/pdfs/GRE-1812-93.pdf#page=8","Abrir facsímil")</f>
        <v>Abrir facsímil</v>
      </c>
      <c r="K2348" s="3" t="s">
        <v>32</v>
      </c>
    </row>
    <row r="2349" spans="1:11" ht="42" customHeight="1">
      <c r="A2349" s="2" t="s">
        <v>6519</v>
      </c>
      <c r="B2349" s="2" t="s">
        <v>6520</v>
      </c>
      <c r="C2349" s="2" t="s">
        <v>105</v>
      </c>
      <c r="D2349" s="2" t="s">
        <v>27</v>
      </c>
      <c r="E2349" s="4">
        <v>-31965</v>
      </c>
      <c r="F2349" s="3" t="s">
        <v>1180</v>
      </c>
      <c r="G2349" s="3" t="s">
        <v>777</v>
      </c>
      <c r="H2349" s="2" t="s">
        <v>21</v>
      </c>
      <c r="I2349" s="2" t="s">
        <v>6521</v>
      </c>
      <c r="J2349" s="3" t="str">
        <f>HYPERLINK("https://www.boe.es/gazeta/dias/1812/06/24/pdfs/GMD-1812-176.pdf#page=2","Abrir facsímil")</f>
        <v>Abrir facsímil</v>
      </c>
      <c r="K2349" s="3" t="s">
        <v>23</v>
      </c>
    </row>
    <row r="2350" spans="1:11" ht="42" customHeight="1">
      <c r="A2350" s="2" t="s">
        <v>6522</v>
      </c>
      <c r="B2350" s="2" t="s">
        <v>6523</v>
      </c>
      <c r="C2350" s="2" t="s">
        <v>17</v>
      </c>
      <c r="D2350" s="2" t="s">
        <v>27</v>
      </c>
      <c r="E2350" s="4">
        <v>-31784</v>
      </c>
      <c r="F2350" s="3" t="s">
        <v>6524</v>
      </c>
      <c r="G2350" s="3" t="s">
        <v>706</v>
      </c>
      <c r="H2350" s="2" t="s">
        <v>21</v>
      </c>
      <c r="I2350" s="2" t="s">
        <v>6525</v>
      </c>
      <c r="J2350" s="3" t="str">
        <f>HYPERLINK("https://www.boe.es/gazeta/dias/1812/12/22/pdfs/GRE-1812-168.pdf#page=3","Abrir facsímil")</f>
        <v>Abrir facsímil</v>
      </c>
      <c r="K2350" s="3" t="s">
        <v>23</v>
      </c>
    </row>
    <row r="2351" spans="1:11" ht="42" customHeight="1">
      <c r="A2351" s="2" t="s">
        <v>6526</v>
      </c>
      <c r="B2351" s="2" t="s">
        <v>6527</v>
      </c>
      <c r="C2351" s="2" t="s">
        <v>17</v>
      </c>
      <c r="D2351" s="2" t="s">
        <v>194</v>
      </c>
      <c r="E2351" s="4">
        <v>-31812</v>
      </c>
      <c r="F2351" s="3" t="s">
        <v>6528</v>
      </c>
      <c r="G2351" s="3" t="s">
        <v>6529</v>
      </c>
      <c r="H2351" s="2" t="s">
        <v>21</v>
      </c>
      <c r="I2351" s="2" t="s">
        <v>6530</v>
      </c>
      <c r="J2351" s="3" t="str">
        <f>HYPERLINK("https://www.boe.es/gazeta/dias/1812/11/24/pdfs/GRE-1812-156.pdf#page=2","Abrir facsímil")</f>
        <v>Abrir facsímil</v>
      </c>
      <c r="K2351" s="3" t="s">
        <v>23</v>
      </c>
    </row>
    <row r="2352" spans="1:11" ht="42" customHeight="1">
      <c r="A2352" s="2" t="s">
        <v>6531</v>
      </c>
      <c r="B2352" s="2" t="s">
        <v>6532</v>
      </c>
      <c r="C2352" s="2" t="s">
        <v>17</v>
      </c>
      <c r="D2352" s="2" t="s">
        <v>27</v>
      </c>
      <c r="E2352" s="4">
        <v>-31787</v>
      </c>
      <c r="F2352" s="3" t="s">
        <v>1560</v>
      </c>
      <c r="G2352" s="3" t="s">
        <v>6533</v>
      </c>
      <c r="H2352" s="2" t="s">
        <v>21</v>
      </c>
      <c r="I2352" s="2" t="s">
        <v>6534</v>
      </c>
      <c r="J2352" s="3" t="str">
        <f>HYPERLINK("https://www.boe.es/gazeta/dias/1812/12/19/pdfs/GRE-1812-167.pdf#page=4","Abrir facsímil")</f>
        <v>Abrir facsímil</v>
      </c>
      <c r="K2352" s="3" t="s">
        <v>23</v>
      </c>
    </row>
    <row r="2353" spans="1:11" ht="42" customHeight="1">
      <c r="A2353" s="2" t="s">
        <v>6535</v>
      </c>
      <c r="B2353" s="2" t="s">
        <v>6536</v>
      </c>
      <c r="C2353" s="2" t="s">
        <v>26</v>
      </c>
      <c r="D2353" s="2" t="s">
        <v>27</v>
      </c>
      <c r="E2353" s="4">
        <v>-32034</v>
      </c>
      <c r="F2353" s="3" t="s">
        <v>28</v>
      </c>
      <c r="G2353" s="3" t="s">
        <v>29</v>
      </c>
      <c r="H2353" s="2" t="s">
        <v>21</v>
      </c>
      <c r="I2353" s="2" t="s">
        <v>6537</v>
      </c>
      <c r="J2353" s="3" t="str">
        <f>HYPERLINK("https://www.boe.es/gazeta/dias/1812/04/16/pdfs/GMD-1812-107.pdf#page=8","Abrir facsímil")</f>
        <v>Abrir facsímil</v>
      </c>
      <c r="K2353" s="3" t="s">
        <v>23</v>
      </c>
    </row>
    <row r="2354" spans="1:11" ht="42" customHeight="1">
      <c r="A2354" s="2" t="s">
        <v>6538</v>
      </c>
      <c r="B2354" s="2" t="s">
        <v>6539</v>
      </c>
      <c r="C2354" s="2" t="s">
        <v>49</v>
      </c>
      <c r="D2354" s="2" t="s">
        <v>27</v>
      </c>
      <c r="E2354" s="4">
        <v>-32118</v>
      </c>
      <c r="F2354" s="3" t="s">
        <v>964</v>
      </c>
      <c r="G2354" s="3" t="s">
        <v>836</v>
      </c>
      <c r="H2354" s="2" t="s">
        <v>30</v>
      </c>
      <c r="I2354" s="2" t="s">
        <v>6540</v>
      </c>
      <c r="J2354" s="3" t="str">
        <f>HYPERLINK("https://www.boe.es/gazeta/dias/1812/01/23/pdfs/GEI-H-1812-10.pdf#page=2","Abrir facsímil")</f>
        <v>Abrir facsímil</v>
      </c>
      <c r="K2354" s="3" t="s">
        <v>32</v>
      </c>
    </row>
    <row r="2355" spans="1:11" ht="42" customHeight="1">
      <c r="A2355" s="2" t="s">
        <v>6541</v>
      </c>
      <c r="B2355" s="2" t="s">
        <v>6542</v>
      </c>
      <c r="C2355" s="2" t="s">
        <v>26</v>
      </c>
      <c r="D2355" s="2" t="s">
        <v>27</v>
      </c>
      <c r="E2355" s="4">
        <v>-31859</v>
      </c>
      <c r="F2355" s="3" t="s">
        <v>158</v>
      </c>
      <c r="G2355" s="3" t="s">
        <v>1297</v>
      </c>
      <c r="H2355" s="2" t="s">
        <v>21</v>
      </c>
      <c r="I2355" s="2" t="s">
        <v>6543</v>
      </c>
      <c r="J2355" s="3" t="str">
        <f>HYPERLINK("https://www.boe.es/gazeta/dias/1812/10/08/pdfs/GMR-1812-24.pdf#page=8","Abrir facsímil")</f>
        <v>Abrir facsímil</v>
      </c>
      <c r="K2355" s="3" t="s">
        <v>23</v>
      </c>
    </row>
    <row r="2356" spans="1:11" ht="42" customHeight="1">
      <c r="A2356" s="2" t="s">
        <v>6541</v>
      </c>
      <c r="B2356" s="2" t="s">
        <v>6542</v>
      </c>
      <c r="C2356" s="2" t="s">
        <v>26</v>
      </c>
      <c r="D2356" s="2" t="s">
        <v>27</v>
      </c>
      <c r="E2356" s="4">
        <v>-31859</v>
      </c>
      <c r="F2356" s="3" t="s">
        <v>158</v>
      </c>
      <c r="G2356" s="3" t="s">
        <v>159</v>
      </c>
      <c r="H2356" s="2" t="s">
        <v>21</v>
      </c>
      <c r="I2356" s="2" t="s">
        <v>6544</v>
      </c>
      <c r="J2356" s="3" t="str">
        <f>HYPERLINK("https://www.boe.es/gazeta/dias/1812/10/08/pdfs/GMR-1812-24.pdf#page=9","Abrir facsímil")</f>
        <v>Abrir facsímil</v>
      </c>
      <c r="K2356" s="3" t="s">
        <v>23</v>
      </c>
    </row>
    <row r="2357" spans="1:11" ht="42" customHeight="1">
      <c r="A2357" s="2" t="s">
        <v>6545</v>
      </c>
      <c r="B2357" s="2" t="s">
        <v>6546</v>
      </c>
      <c r="C2357" s="2" t="s">
        <v>26</v>
      </c>
      <c r="D2357" s="2" t="s">
        <v>27</v>
      </c>
      <c r="E2357" s="4">
        <v>-31903</v>
      </c>
      <c r="F2357" s="3" t="s">
        <v>2720</v>
      </c>
      <c r="G2357" s="3" t="s">
        <v>794</v>
      </c>
      <c r="H2357" s="2" t="s">
        <v>21</v>
      </c>
      <c r="I2357" s="2" t="s">
        <v>6547</v>
      </c>
      <c r="J2357" s="3" t="str">
        <f>HYPERLINK("https://www.boe.es/gazeta/dias/1812/08/25/pdfs/GRE-1812-110.pdf#page=7","Abrir facsímil")</f>
        <v>Abrir facsímil</v>
      </c>
      <c r="K2357" s="3" t="s">
        <v>23</v>
      </c>
    </row>
    <row r="2358" spans="1:11" ht="42" customHeight="1">
      <c r="A2358" s="2" t="s">
        <v>6548</v>
      </c>
      <c r="B2358" s="2" t="s">
        <v>6549</v>
      </c>
      <c r="C2358" s="2" t="s">
        <v>26</v>
      </c>
      <c r="D2358" s="2" t="s">
        <v>27</v>
      </c>
      <c r="E2358" s="4">
        <v>-32019</v>
      </c>
      <c r="F2358" s="3" t="s">
        <v>476</v>
      </c>
      <c r="G2358" s="3" t="s">
        <v>404</v>
      </c>
      <c r="H2358" s="2" t="s">
        <v>21</v>
      </c>
      <c r="I2358" s="2" t="s">
        <v>6550</v>
      </c>
      <c r="J2358" s="3" t="str">
        <f>HYPERLINK("https://www.boe.es/gazeta/dias/1812/05/01/pdfs/GMD-1812-122.pdf#page=3","Abrir facsímil")</f>
        <v>Abrir facsímil</v>
      </c>
      <c r="K2358" s="3" t="s">
        <v>23</v>
      </c>
    </row>
    <row r="2359" spans="1:11" ht="42" customHeight="1">
      <c r="A2359" s="2" t="s">
        <v>6551</v>
      </c>
      <c r="B2359" s="2" t="s">
        <v>6552</v>
      </c>
      <c r="C2359" s="2" t="s">
        <v>17</v>
      </c>
      <c r="D2359" s="2" t="s">
        <v>18</v>
      </c>
      <c r="E2359" s="4">
        <v>-32062</v>
      </c>
      <c r="F2359" s="3" t="s">
        <v>280</v>
      </c>
      <c r="G2359" s="3" t="s">
        <v>20</v>
      </c>
      <c r="H2359" s="2" t="s">
        <v>21</v>
      </c>
      <c r="I2359" s="2" t="s">
        <v>6553</v>
      </c>
      <c r="J2359" s="3" t="str">
        <f>HYPERLINK("https://www.boe.es/gazeta/dias/1812/03/19/pdfs/GMD-1812-79.pdf#page=4","Abrir facsímil")</f>
        <v>Abrir facsímil</v>
      </c>
      <c r="K2359" s="3" t="s">
        <v>23</v>
      </c>
    </row>
    <row r="2360" spans="1:11" ht="42" customHeight="1">
      <c r="A2360" s="2" t="s">
        <v>6554</v>
      </c>
      <c r="B2360" s="2" t="s">
        <v>6555</v>
      </c>
      <c r="C2360" s="2" t="s">
        <v>105</v>
      </c>
      <c r="D2360" s="2" t="s">
        <v>275</v>
      </c>
      <c r="E2360" s="4">
        <v>-31852</v>
      </c>
      <c r="F2360" s="3" t="s">
        <v>2145</v>
      </c>
      <c r="G2360" s="3" t="s">
        <v>6556</v>
      </c>
      <c r="H2360" s="2" t="s">
        <v>21</v>
      </c>
      <c r="I2360" s="2" t="s">
        <v>6557</v>
      </c>
      <c r="J2360" s="3" t="str">
        <f>HYPERLINK("https://www.boe.es/gazeta/dias/1812/10/15/pdfs/GRE-1812-139.pdf#page=8","Abrir facsímil")</f>
        <v>Abrir facsímil</v>
      </c>
      <c r="K2360" s="3" t="s">
        <v>23</v>
      </c>
    </row>
    <row r="2361" spans="1:11" ht="42" customHeight="1">
      <c r="A2361" s="2" t="s">
        <v>6558</v>
      </c>
      <c r="B2361" s="2" t="s">
        <v>6559</v>
      </c>
      <c r="C2361" s="2" t="s">
        <v>49</v>
      </c>
      <c r="D2361" s="2" t="s">
        <v>27</v>
      </c>
      <c r="E2361" s="4">
        <v>-32109</v>
      </c>
      <c r="F2361" s="3" t="s">
        <v>62</v>
      </c>
      <c r="G2361" s="3" t="s">
        <v>63</v>
      </c>
      <c r="H2361" s="2" t="s">
        <v>21</v>
      </c>
      <c r="I2361" s="2" t="s">
        <v>6560</v>
      </c>
      <c r="J2361" s="3" t="str">
        <f>HYPERLINK("https://www.boe.es/gazeta/dias/1812/02/01/pdfs/GRE-1812-14.pdf#page=10","Abrir facsímil")</f>
        <v>Abrir facsímil</v>
      </c>
      <c r="K2361" s="3" t="s">
        <v>23</v>
      </c>
    </row>
    <row r="2362" spans="1:11" ht="42" customHeight="1">
      <c r="A2362" s="2" t="s">
        <v>6561</v>
      </c>
      <c r="B2362" s="2" t="s">
        <v>6562</v>
      </c>
      <c r="C2362" s="2" t="s">
        <v>26</v>
      </c>
      <c r="D2362" s="2" t="s">
        <v>275</v>
      </c>
      <c r="E2362" s="4">
        <v>-31964</v>
      </c>
      <c r="F2362" s="3" t="s">
        <v>305</v>
      </c>
      <c r="G2362" s="3" t="s">
        <v>58</v>
      </c>
      <c r="H2362" s="2" t="s">
        <v>21</v>
      </c>
      <c r="I2362" s="2" t="s">
        <v>6563</v>
      </c>
      <c r="J2362" s="3" t="str">
        <f>HYPERLINK("https://www.boe.es/gazeta/dias/1812/06/25/pdfs/GMD-1812-177.pdf#page=2","Abrir facsímil")</f>
        <v>Abrir facsímil</v>
      </c>
      <c r="K2362" s="3" t="s">
        <v>23</v>
      </c>
    </row>
    <row r="2363" spans="1:11" ht="42" customHeight="1">
      <c r="A2363" s="2" t="s">
        <v>6564</v>
      </c>
      <c r="B2363" s="2" t="s">
        <v>6565</v>
      </c>
      <c r="C2363" s="2" t="s">
        <v>67</v>
      </c>
      <c r="D2363" s="2" t="s">
        <v>27</v>
      </c>
      <c r="E2363" s="4">
        <v>-31885</v>
      </c>
      <c r="F2363" s="3" t="s">
        <v>750</v>
      </c>
      <c r="G2363" s="3" t="s">
        <v>5613</v>
      </c>
      <c r="H2363" s="2" t="s">
        <v>21</v>
      </c>
      <c r="I2363" s="2" t="s">
        <v>6566</v>
      </c>
      <c r="J2363" s="3" t="str">
        <f>HYPERLINK("https://www.boe.es/gazeta/dias/1812/09/12/pdfs/GMR-1812-13.pdf#page=6","Abrir facsímil")</f>
        <v>Abrir facsímil</v>
      </c>
      <c r="K2363" s="3" t="s">
        <v>23</v>
      </c>
    </row>
    <row r="2364" spans="1:11" ht="42" customHeight="1">
      <c r="A2364" s="2" t="s">
        <v>6567</v>
      </c>
      <c r="B2364" s="2" t="s">
        <v>6568</v>
      </c>
      <c r="C2364" s="2" t="s">
        <v>26</v>
      </c>
      <c r="D2364" s="2" t="s">
        <v>27</v>
      </c>
      <c r="E2364" s="4">
        <v>-31939</v>
      </c>
      <c r="F2364" s="3" t="s">
        <v>408</v>
      </c>
      <c r="G2364" s="3" t="s">
        <v>20</v>
      </c>
      <c r="H2364" s="2" t="s">
        <v>21</v>
      </c>
      <c r="I2364" s="2" t="s">
        <v>6569</v>
      </c>
      <c r="J2364" s="3" t="str">
        <f>HYPERLINK("https://www.boe.es/gazeta/dias/1812/07/20/pdfs/GMD-1812-202.pdf#page=4","Abrir facsímil")</f>
        <v>Abrir facsímil</v>
      </c>
      <c r="K2364" s="3" t="s">
        <v>23</v>
      </c>
    </row>
    <row r="2365" spans="1:11" ht="42" customHeight="1">
      <c r="A2365" s="2" t="s">
        <v>6570</v>
      </c>
      <c r="B2365" s="2" t="s">
        <v>6571</v>
      </c>
      <c r="C2365" s="2" t="s">
        <v>26</v>
      </c>
      <c r="D2365" s="2" t="s">
        <v>27</v>
      </c>
      <c r="E2365" s="4">
        <v>-31938</v>
      </c>
      <c r="F2365" s="3" t="s">
        <v>324</v>
      </c>
      <c r="G2365" s="3" t="s">
        <v>497</v>
      </c>
      <c r="H2365" s="2" t="s">
        <v>21</v>
      </c>
      <c r="I2365" s="2" t="s">
        <v>6572</v>
      </c>
      <c r="J2365" s="3" t="str">
        <f>HYPERLINK("https://www.boe.es/gazeta/dias/1812/07/21/pdfs/GMD-1812-203.pdf#page=3","Abrir facsímil")</f>
        <v>Abrir facsímil</v>
      </c>
      <c r="K2365" s="3" t="s">
        <v>23</v>
      </c>
    </row>
    <row r="2366" spans="1:11" ht="42" customHeight="1">
      <c r="A2366" s="2" t="s">
        <v>6573</v>
      </c>
      <c r="B2366" s="2" t="s">
        <v>6574</v>
      </c>
      <c r="C2366" s="2" t="s">
        <v>115</v>
      </c>
      <c r="D2366" s="2" t="s">
        <v>27</v>
      </c>
      <c r="E2366" s="4">
        <v>-32066</v>
      </c>
      <c r="F2366" s="3" t="s">
        <v>291</v>
      </c>
      <c r="G2366" s="3" t="s">
        <v>125</v>
      </c>
      <c r="H2366" s="2" t="s">
        <v>21</v>
      </c>
      <c r="I2366" s="2" t="s">
        <v>6575</v>
      </c>
      <c r="J2366" s="3" t="str">
        <f>HYPERLINK("https://www.boe.es/gazeta/dias/1812/03/15/pdfs/GMD-1812-75.pdf#page=4","Abrir facsímil")</f>
        <v>Abrir facsímil</v>
      </c>
      <c r="K2366" s="3" t="s">
        <v>23</v>
      </c>
    </row>
    <row r="2367" spans="1:11" ht="42" customHeight="1">
      <c r="A2367" s="2" t="s">
        <v>6576</v>
      </c>
      <c r="B2367" s="2" t="s">
        <v>6577</v>
      </c>
      <c r="C2367" s="2" t="s">
        <v>26</v>
      </c>
      <c r="D2367" s="2" t="s">
        <v>27</v>
      </c>
      <c r="E2367" s="4">
        <v>-32000</v>
      </c>
      <c r="F2367" s="3" t="s">
        <v>878</v>
      </c>
      <c r="G2367" s="3" t="s">
        <v>214</v>
      </c>
      <c r="H2367" s="2" t="s">
        <v>21</v>
      </c>
      <c r="I2367" s="2" t="s">
        <v>6578</v>
      </c>
      <c r="J2367" s="3" t="str">
        <f>HYPERLINK("https://www.boe.es/gazeta/dias/1812/05/20/pdfs/GMD-1812-141.pdf#page=2","Abrir facsímil")</f>
        <v>Abrir facsímil</v>
      </c>
      <c r="K2367" s="3" t="s">
        <v>23</v>
      </c>
    </row>
    <row r="2368" spans="1:11" ht="42" customHeight="1">
      <c r="A2368" s="2" t="s">
        <v>6579</v>
      </c>
      <c r="B2368" s="2" t="s">
        <v>6580</v>
      </c>
      <c r="C2368" s="2" t="s">
        <v>26</v>
      </c>
      <c r="D2368" s="2" t="s">
        <v>275</v>
      </c>
      <c r="E2368" s="4">
        <v>-31965</v>
      </c>
      <c r="F2368" s="3" t="s">
        <v>1180</v>
      </c>
      <c r="G2368" s="3" t="s">
        <v>777</v>
      </c>
      <c r="H2368" s="2" t="s">
        <v>21</v>
      </c>
      <c r="I2368" s="2" t="s">
        <v>6581</v>
      </c>
      <c r="J2368" s="3" t="str">
        <f>HYPERLINK("https://www.boe.es/gazeta/dias/1812/06/24/pdfs/GMD-1812-176.pdf#page=2","Abrir facsímil")</f>
        <v>Abrir facsímil</v>
      </c>
      <c r="K2368" s="3" t="s">
        <v>23</v>
      </c>
    </row>
    <row r="2369" spans="1:11" ht="42" customHeight="1">
      <c r="A2369" s="2" t="s">
        <v>6582</v>
      </c>
      <c r="B2369" s="2" t="s">
        <v>6583</v>
      </c>
      <c r="C2369" s="2" t="s">
        <v>26</v>
      </c>
      <c r="D2369" s="2" t="s">
        <v>27</v>
      </c>
      <c r="E2369" s="4">
        <v>-31938</v>
      </c>
      <c r="F2369" s="3" t="s">
        <v>324</v>
      </c>
      <c r="G2369" s="3" t="s">
        <v>497</v>
      </c>
      <c r="H2369" s="2" t="s">
        <v>21</v>
      </c>
      <c r="I2369" s="2" t="s">
        <v>6584</v>
      </c>
      <c r="J2369" s="3" t="str">
        <f>HYPERLINK("https://www.boe.es/gazeta/dias/1812/07/21/pdfs/GMD-1812-203.pdf#page=3","Abrir facsímil")</f>
        <v>Abrir facsímil</v>
      </c>
      <c r="K2369" s="3" t="s">
        <v>23</v>
      </c>
    </row>
    <row r="2370" spans="1:11" ht="42" customHeight="1">
      <c r="A2370" s="2" t="s">
        <v>6585</v>
      </c>
      <c r="B2370" s="2" t="s">
        <v>6586</v>
      </c>
      <c r="C2370" s="2" t="s">
        <v>26</v>
      </c>
      <c r="D2370" s="2" t="s">
        <v>27</v>
      </c>
      <c r="E2370" s="4">
        <v>-31939</v>
      </c>
      <c r="F2370" s="3" t="s">
        <v>408</v>
      </c>
      <c r="G2370" s="3" t="s">
        <v>20</v>
      </c>
      <c r="H2370" s="2" t="s">
        <v>21</v>
      </c>
      <c r="I2370" s="2" t="s">
        <v>6587</v>
      </c>
      <c r="J2370" s="3" t="str">
        <f>HYPERLINK("https://www.boe.es/gazeta/dias/1812/07/20/pdfs/GMD-1812-202.pdf#page=4","Abrir facsímil")</f>
        <v>Abrir facsímil</v>
      </c>
      <c r="K2370" s="3" t="s">
        <v>23</v>
      </c>
    </row>
    <row r="2371" spans="1:11" ht="42" customHeight="1">
      <c r="A2371" s="2" t="s">
        <v>6588</v>
      </c>
      <c r="B2371" s="2" t="s">
        <v>6589</v>
      </c>
      <c r="C2371" s="2" t="s">
        <v>26</v>
      </c>
      <c r="D2371" s="2" t="s">
        <v>275</v>
      </c>
      <c r="E2371" s="4">
        <v>-31965</v>
      </c>
      <c r="F2371" s="3" t="s">
        <v>1180</v>
      </c>
      <c r="G2371" s="3" t="s">
        <v>777</v>
      </c>
      <c r="H2371" s="2" t="s">
        <v>21</v>
      </c>
      <c r="I2371" s="2" t="s">
        <v>6590</v>
      </c>
      <c r="J2371" s="3" t="str">
        <f>HYPERLINK("https://www.boe.es/gazeta/dias/1812/06/24/pdfs/GMD-1812-176.pdf#page=2","Abrir facsímil")</f>
        <v>Abrir facsímil</v>
      </c>
      <c r="K2371" s="3" t="s">
        <v>23</v>
      </c>
    </row>
    <row r="2372" spans="1:11" ht="42" customHeight="1">
      <c r="A2372" s="2" t="s">
        <v>6591</v>
      </c>
      <c r="B2372" s="2" t="s">
        <v>6592</v>
      </c>
      <c r="C2372" s="2" t="s">
        <v>26</v>
      </c>
      <c r="D2372" s="2" t="s">
        <v>27</v>
      </c>
      <c r="E2372" s="4">
        <v>-32034</v>
      </c>
      <c r="F2372" s="3" t="s">
        <v>1008</v>
      </c>
      <c r="G2372" s="3" t="s">
        <v>1009</v>
      </c>
      <c r="H2372" s="2" t="s">
        <v>21</v>
      </c>
      <c r="I2372" s="2" t="s">
        <v>6593</v>
      </c>
      <c r="J2372" s="3" t="str">
        <f>HYPERLINK("https://www.boe.es/gazeta/dias/1812/04/16/pdfs/GRE-1812-48.pdf#page=8","Abrir facsímil")</f>
        <v>Abrir facsímil</v>
      </c>
      <c r="K2372" s="3" t="s">
        <v>23</v>
      </c>
    </row>
    <row r="2373" spans="1:11" ht="42" customHeight="1">
      <c r="A2373" s="2" t="s">
        <v>6594</v>
      </c>
      <c r="B2373" s="2" t="s">
        <v>6595</v>
      </c>
      <c r="C2373" s="2" t="s">
        <v>82</v>
      </c>
      <c r="D2373" s="2" t="s">
        <v>27</v>
      </c>
      <c r="E2373" s="4">
        <v>-32088</v>
      </c>
      <c r="F2373" s="3" t="s">
        <v>1217</v>
      </c>
      <c r="G2373" s="3" t="s">
        <v>1218</v>
      </c>
      <c r="H2373" s="2" t="s">
        <v>21</v>
      </c>
      <c r="I2373" s="2" t="s">
        <v>6596</v>
      </c>
      <c r="J2373" s="3" t="str">
        <f>HYPERLINK("https://www.boe.es/gazeta/dias/1812/02/22/pdfs/GMD-1812-53.pdf#page=4","Abrir facsímil")</f>
        <v>Abrir facsímil</v>
      </c>
      <c r="K2373" s="3" t="s">
        <v>23</v>
      </c>
    </row>
    <row r="2374" spans="1:11" ht="42" customHeight="1">
      <c r="A2374" s="2" t="s">
        <v>6597</v>
      </c>
      <c r="B2374" s="2" t="s">
        <v>6598</v>
      </c>
      <c r="C2374" s="2" t="s">
        <v>26</v>
      </c>
      <c r="D2374" s="2" t="s">
        <v>27</v>
      </c>
      <c r="E2374" s="4">
        <v>-32132</v>
      </c>
      <c r="F2374" s="3" t="s">
        <v>484</v>
      </c>
      <c r="G2374" s="3" t="s">
        <v>485</v>
      </c>
      <c r="H2374" s="2" t="s">
        <v>21</v>
      </c>
      <c r="I2374" s="2" t="s">
        <v>6599</v>
      </c>
      <c r="J2374" s="3" t="str">
        <f>HYPERLINK("https://www.boe.es/gazeta/dias/1812/01/09/pdfs/GEI-1812-4.pdf#page=8","Abrir facsímil")</f>
        <v>Abrir facsímil</v>
      </c>
      <c r="K2374" s="3" t="s">
        <v>23</v>
      </c>
    </row>
    <row r="2375" spans="1:11" ht="42" customHeight="1">
      <c r="A2375" s="2" t="s">
        <v>6600</v>
      </c>
      <c r="B2375" s="2" t="s">
        <v>6601</v>
      </c>
      <c r="C2375" s="2" t="s">
        <v>17</v>
      </c>
      <c r="D2375" s="2" t="s">
        <v>18</v>
      </c>
      <c r="E2375" s="4">
        <v>-31959</v>
      </c>
      <c r="F2375" s="3" t="s">
        <v>1035</v>
      </c>
      <c r="G2375" s="3" t="s">
        <v>514</v>
      </c>
      <c r="H2375" s="2" t="s">
        <v>30</v>
      </c>
      <c r="I2375" s="2" t="s">
        <v>6602</v>
      </c>
      <c r="J2375" s="3" t="str">
        <f>HYPERLINK("https://www.boe.es/gazeta/dias/1812/06/30/pdfs/GRE-1812-80.pdf#page=8","Abrir facsímil")</f>
        <v>Abrir facsímil</v>
      </c>
      <c r="K2375" s="3" t="s">
        <v>32</v>
      </c>
    </row>
    <row r="2376" spans="1:11" ht="42" customHeight="1">
      <c r="A2376" s="2" t="s">
        <v>6600</v>
      </c>
      <c r="B2376" s="2" t="s">
        <v>6601</v>
      </c>
      <c r="C2376" s="2" t="s">
        <v>26</v>
      </c>
      <c r="D2376" s="2" t="s">
        <v>27</v>
      </c>
      <c r="E2376" s="4">
        <v>-31938</v>
      </c>
      <c r="F2376" s="3" t="s">
        <v>324</v>
      </c>
      <c r="G2376" s="3" t="s">
        <v>404</v>
      </c>
      <c r="H2376" s="2" t="s">
        <v>30</v>
      </c>
      <c r="I2376" s="2" t="s">
        <v>6603</v>
      </c>
      <c r="J2376" s="3" t="str">
        <f>HYPERLINK("https://www.boe.es/gazeta/dias/1812/07/21/pdfs/GMD-1812-203.pdf#page=4","Abrir facsímil")</f>
        <v>Abrir facsímil</v>
      </c>
      <c r="K2376" s="3" t="s">
        <v>32</v>
      </c>
    </row>
    <row r="2377" spans="1:11" ht="42" customHeight="1">
      <c r="A2377" s="2" t="s">
        <v>6604</v>
      </c>
      <c r="B2377" s="2" t="s">
        <v>6605</v>
      </c>
      <c r="C2377" s="2" t="s">
        <v>26</v>
      </c>
      <c r="D2377" s="2" t="s">
        <v>27</v>
      </c>
      <c r="E2377" s="4">
        <v>-32083</v>
      </c>
      <c r="F2377" s="3" t="s">
        <v>1496</v>
      </c>
      <c r="G2377" s="3" t="s">
        <v>237</v>
      </c>
      <c r="H2377" s="2" t="s">
        <v>30</v>
      </c>
      <c r="I2377" s="2" t="s">
        <v>6606</v>
      </c>
      <c r="J2377" s="3" t="str">
        <f>HYPERLINK("https://www.boe.es/gazeta/dias/1812/02/27/pdfs/GRE-1812-26.pdf#page=3","Abrir facsímil")</f>
        <v>Abrir facsímil</v>
      </c>
      <c r="K2377" s="3" t="s">
        <v>32</v>
      </c>
    </row>
    <row r="2378" spans="1:11" ht="42" customHeight="1">
      <c r="A2378" s="2" t="s">
        <v>6607</v>
      </c>
      <c r="B2378" s="2" t="s">
        <v>6608</v>
      </c>
      <c r="C2378" s="2" t="s">
        <v>26</v>
      </c>
      <c r="D2378" s="2" t="s">
        <v>27</v>
      </c>
      <c r="E2378" s="4">
        <v>-31980</v>
      </c>
      <c r="F2378" s="3" t="s">
        <v>40</v>
      </c>
      <c r="G2378" s="3" t="s">
        <v>41</v>
      </c>
      <c r="H2378" s="2" t="s">
        <v>30</v>
      </c>
      <c r="I2378" s="2" t="s">
        <v>6609</v>
      </c>
      <c r="J2378" s="3" t="str">
        <f>HYPERLINK("https://www.boe.es/gazeta/dias/1812/06/09/pdfs/GRE-1812-71.pdf#page=6","Abrir facsímil")</f>
        <v>Abrir facsímil</v>
      </c>
      <c r="K2378" s="3" t="s">
        <v>32</v>
      </c>
    </row>
    <row r="2379" spans="1:11" ht="42" customHeight="1">
      <c r="A2379" s="2" t="s">
        <v>6610</v>
      </c>
      <c r="B2379" s="2" t="s">
        <v>6611</v>
      </c>
      <c r="C2379" s="2" t="s">
        <v>26</v>
      </c>
      <c r="D2379" s="2" t="s">
        <v>27</v>
      </c>
      <c r="E2379" s="4">
        <v>-31940</v>
      </c>
      <c r="F2379" s="3" t="s">
        <v>187</v>
      </c>
      <c r="G2379" s="3" t="s">
        <v>404</v>
      </c>
      <c r="H2379" s="2" t="s">
        <v>30</v>
      </c>
      <c r="I2379" s="2" t="s">
        <v>6612</v>
      </c>
      <c r="J2379" s="3" t="str">
        <f>HYPERLINK("https://www.boe.es/gazeta/dias/1812/07/19/pdfs/GMD-1812-201.pdf#page=3","Abrir facsímil")</f>
        <v>Abrir facsímil</v>
      </c>
      <c r="K2379" s="3" t="s">
        <v>32</v>
      </c>
    </row>
    <row r="2380" spans="1:11" ht="42" customHeight="1">
      <c r="A2380" s="2" t="s">
        <v>6613</v>
      </c>
      <c r="B2380" s="2" t="s">
        <v>6614</v>
      </c>
      <c r="C2380" s="2" t="s">
        <v>17</v>
      </c>
      <c r="D2380" s="2" t="s">
        <v>27</v>
      </c>
      <c r="E2380" s="4">
        <v>-31892</v>
      </c>
      <c r="F2380" s="3" t="s">
        <v>2760</v>
      </c>
      <c r="G2380" s="3" t="s">
        <v>130</v>
      </c>
      <c r="H2380" s="2" t="s">
        <v>21</v>
      </c>
      <c r="I2380" s="2" t="s">
        <v>6615</v>
      </c>
      <c r="J2380" s="3" t="str">
        <f>HYPERLINK("https://www.boe.es/gazeta/dias/1812/09/05/pdfs/GRE-1812-120.pdf#page=4","Abrir facsímil")</f>
        <v>Abrir facsímil</v>
      </c>
      <c r="K2380" s="3" t="s">
        <v>23</v>
      </c>
    </row>
    <row r="2381" spans="1:11" ht="42" customHeight="1">
      <c r="A2381" s="2" t="s">
        <v>6616</v>
      </c>
      <c r="B2381" s="2" t="s">
        <v>6617</v>
      </c>
      <c r="C2381" s="2" t="s">
        <v>17</v>
      </c>
      <c r="D2381" s="2" t="s">
        <v>18</v>
      </c>
      <c r="E2381" s="4">
        <v>-31915</v>
      </c>
      <c r="F2381" s="3" t="s">
        <v>1592</v>
      </c>
      <c r="G2381" s="3" t="s">
        <v>130</v>
      </c>
      <c r="H2381" s="2" t="s">
        <v>21</v>
      </c>
      <c r="I2381" s="2" t="s">
        <v>6618</v>
      </c>
      <c r="J2381" s="3" t="str">
        <f>HYPERLINK("https://www.boe.es/gazeta/dias/1812/08/13/pdfs/GRE-1812-104.pdf#page=4","Abrir facsímil")</f>
        <v>Abrir facsímil</v>
      </c>
      <c r="K2381" s="3" t="s">
        <v>23</v>
      </c>
    </row>
    <row r="2382" spans="1:11" ht="42" customHeight="1">
      <c r="A2382" s="2" t="s">
        <v>6616</v>
      </c>
      <c r="B2382" s="2" t="s">
        <v>6617</v>
      </c>
      <c r="C2382" s="2" t="s">
        <v>17</v>
      </c>
      <c r="D2382" s="2" t="s">
        <v>18</v>
      </c>
      <c r="E2382" s="4">
        <v>-31798</v>
      </c>
      <c r="F2382" s="3" t="s">
        <v>2194</v>
      </c>
      <c r="G2382" s="3" t="s">
        <v>6619</v>
      </c>
      <c r="H2382" s="2" t="s">
        <v>21</v>
      </c>
      <c r="I2382" s="2" t="s">
        <v>6620</v>
      </c>
      <c r="J2382" s="3" t="str">
        <f>HYPERLINK("https://www.boe.es/gazeta/dias/1812/12/08/pdfs/GRE-1812-162.pdf#page=3","Abrir facsímil")</f>
        <v>Abrir facsímil</v>
      </c>
      <c r="K2382" s="3" t="s">
        <v>23</v>
      </c>
    </row>
    <row r="2383" spans="1:11" ht="42" customHeight="1">
      <c r="A2383" s="2" t="s">
        <v>6621</v>
      </c>
      <c r="B2383" s="2" t="s">
        <v>6622</v>
      </c>
      <c r="C2383" s="2" t="s">
        <v>26</v>
      </c>
      <c r="D2383" s="2" t="s">
        <v>27</v>
      </c>
      <c r="E2383" s="4">
        <v>-31963</v>
      </c>
      <c r="F2383" s="3" t="s">
        <v>171</v>
      </c>
      <c r="G2383" s="3" t="s">
        <v>172</v>
      </c>
      <c r="H2383" s="2" t="s">
        <v>21</v>
      </c>
      <c r="I2383" s="2" t="s">
        <v>6623</v>
      </c>
      <c r="J2383" s="3" t="str">
        <f>HYPERLINK("https://www.boe.es/gazeta/dias/1812/06/26/pdfs/GMD-1812-178.pdf#page=3","Abrir facsímil")</f>
        <v>Abrir facsímil</v>
      </c>
      <c r="K2383" s="3" t="s">
        <v>23</v>
      </c>
    </row>
    <row r="2384" spans="1:11" ht="42" customHeight="1">
      <c r="A2384" s="2" t="s">
        <v>6624</v>
      </c>
      <c r="B2384" s="2" t="s">
        <v>6625</v>
      </c>
      <c r="C2384" s="2" t="s">
        <v>26</v>
      </c>
      <c r="D2384" s="2" t="s">
        <v>27</v>
      </c>
      <c r="E2384" s="4">
        <v>-31922</v>
      </c>
      <c r="F2384" s="3" t="s">
        <v>622</v>
      </c>
      <c r="G2384" s="3" t="s">
        <v>623</v>
      </c>
      <c r="H2384" s="2" t="s">
        <v>21</v>
      </c>
      <c r="I2384" s="2" t="s">
        <v>6626</v>
      </c>
      <c r="J2384" s="3" t="str">
        <f>HYPERLINK("https://www.boe.es/gazeta/dias/1812/08/06/pdfs/GMD-1812-219.pdf#page=1","Abrir facsímil")</f>
        <v>Abrir facsímil</v>
      </c>
      <c r="K2384" s="3" t="s">
        <v>23</v>
      </c>
    </row>
    <row r="2385" spans="1:11" ht="42" customHeight="1">
      <c r="A2385" s="2" t="s">
        <v>6627</v>
      </c>
      <c r="B2385" s="2" t="s">
        <v>6628</v>
      </c>
      <c r="C2385" s="2" t="s">
        <v>17</v>
      </c>
      <c r="D2385" s="2" t="s">
        <v>27</v>
      </c>
      <c r="E2385" s="4">
        <v>-31917</v>
      </c>
      <c r="F2385" s="3" t="s">
        <v>946</v>
      </c>
      <c r="G2385" s="3" t="s">
        <v>947</v>
      </c>
      <c r="H2385" s="2" t="s">
        <v>21</v>
      </c>
      <c r="I2385" s="2" t="s">
        <v>6629</v>
      </c>
      <c r="J2385" s="3" t="str">
        <f>HYPERLINK("https://www.boe.es/gazeta/dias/1812/08/11/pdfs/GRE-1812-103.pdf#page=8","Abrir facsímil")</f>
        <v>Abrir facsímil</v>
      </c>
      <c r="K2385" s="3" t="s">
        <v>23</v>
      </c>
    </row>
    <row r="2386" spans="1:11" ht="42" customHeight="1">
      <c r="A2386" s="2" t="s">
        <v>6630</v>
      </c>
      <c r="B2386" s="2" t="s">
        <v>6631</v>
      </c>
      <c r="C2386" s="2" t="s">
        <v>26</v>
      </c>
      <c r="D2386" s="2" t="s">
        <v>27</v>
      </c>
      <c r="E2386" s="4">
        <v>-31785</v>
      </c>
      <c r="F2386" s="3" t="s">
        <v>6632</v>
      </c>
      <c r="G2386" s="3" t="s">
        <v>6633</v>
      </c>
      <c r="H2386" s="2" t="s">
        <v>21</v>
      </c>
      <c r="I2386" s="2" t="s">
        <v>6634</v>
      </c>
      <c r="J2386" s="3" t="str">
        <f>HYPERLINK("https://www.boe.es/gazeta/dias/1812/12/21/pdfs/GMD-1812-244.pdf#page=4","Abrir facsímil")</f>
        <v>Abrir facsímil</v>
      </c>
      <c r="K2386" s="3" t="s">
        <v>23</v>
      </c>
    </row>
    <row r="2387" spans="1:11" ht="42" customHeight="1">
      <c r="A2387" s="2" t="s">
        <v>6635</v>
      </c>
      <c r="B2387" s="2" t="s">
        <v>6636</v>
      </c>
      <c r="C2387" s="2" t="s">
        <v>105</v>
      </c>
      <c r="D2387" s="2" t="s">
        <v>27</v>
      </c>
      <c r="E2387" s="4">
        <v>-32018</v>
      </c>
      <c r="F2387" s="3" t="s">
        <v>365</v>
      </c>
      <c r="G2387" s="3" t="s">
        <v>392</v>
      </c>
      <c r="H2387" s="2" t="s">
        <v>21</v>
      </c>
      <c r="I2387" s="2" t="s">
        <v>6637</v>
      </c>
      <c r="J2387" s="3" t="str">
        <f>HYPERLINK("https://www.boe.es/gazeta/dias/1812/05/02/pdfs/GRE-1812-55.pdf#page=2","Abrir facsímil")</f>
        <v>Abrir facsímil</v>
      </c>
      <c r="K2387" s="3" t="s">
        <v>23</v>
      </c>
    </row>
    <row r="2388" spans="1:11" ht="42" customHeight="1">
      <c r="A2388" s="2" t="s">
        <v>6638</v>
      </c>
      <c r="B2388" s="2" t="s">
        <v>6639</v>
      </c>
      <c r="C2388" s="2" t="s">
        <v>17</v>
      </c>
      <c r="D2388" s="2" t="s">
        <v>18</v>
      </c>
      <c r="E2388" s="4">
        <v>-32101</v>
      </c>
      <c r="F2388" s="3" t="s">
        <v>228</v>
      </c>
      <c r="G2388" s="3" t="s">
        <v>58</v>
      </c>
      <c r="H2388" s="2" t="s">
        <v>21</v>
      </c>
      <c r="I2388" s="2" t="s">
        <v>6640</v>
      </c>
      <c r="J2388" s="3" t="str">
        <f>HYPERLINK("https://www.boe.es/gazeta/dias/1812/02/09/pdfs/GMD-1812-40.pdf#page=4","Abrir facsímil")</f>
        <v>Abrir facsímil</v>
      </c>
      <c r="K2388" s="3" t="s">
        <v>23</v>
      </c>
    </row>
    <row r="2389" spans="1:11" ht="42" customHeight="1">
      <c r="A2389" s="2" t="s">
        <v>6641</v>
      </c>
      <c r="B2389" s="2" t="s">
        <v>6642</v>
      </c>
      <c r="C2389" s="2" t="s">
        <v>82</v>
      </c>
      <c r="D2389" s="2" t="s">
        <v>27</v>
      </c>
      <c r="E2389" s="4">
        <v>-31936</v>
      </c>
      <c r="F2389" s="3" t="s">
        <v>603</v>
      </c>
      <c r="G2389" s="3" t="s">
        <v>2410</v>
      </c>
      <c r="H2389" s="2" t="s">
        <v>21</v>
      </c>
      <c r="I2389" s="2" t="s">
        <v>6643</v>
      </c>
      <c r="J2389" s="3" t="str">
        <f>HYPERLINK("https://www.boe.es/gazeta/dias/1812/07/23/pdfs/GMD-1812-205.pdf#page=4","Abrir facsímil")</f>
        <v>Abrir facsímil</v>
      </c>
      <c r="K2389" s="3" t="s">
        <v>23</v>
      </c>
    </row>
    <row r="2390" spans="1:11" ht="42" customHeight="1">
      <c r="A2390" s="2" t="s">
        <v>6644</v>
      </c>
      <c r="B2390" s="2" t="s">
        <v>6645</v>
      </c>
      <c r="C2390" s="2" t="s">
        <v>26</v>
      </c>
      <c r="D2390" s="2" t="s">
        <v>27</v>
      </c>
      <c r="E2390" s="4">
        <v>-31983</v>
      </c>
      <c r="F2390" s="3" t="s">
        <v>809</v>
      </c>
      <c r="G2390" s="3" t="s">
        <v>6646</v>
      </c>
      <c r="H2390" s="2" t="s">
        <v>21</v>
      </c>
      <c r="I2390" s="2" t="s">
        <v>6647</v>
      </c>
      <c r="J2390" s="3" t="str">
        <f>HYPERLINK("https://www.boe.es/gazeta/dias/1812/06/06/pdfs/GRE-1812-70.pdf#page=2","Abrir facsímil")</f>
        <v>Abrir facsímil</v>
      </c>
      <c r="K2390" s="3" t="s">
        <v>23</v>
      </c>
    </row>
    <row r="2391" spans="1:11" ht="42" customHeight="1">
      <c r="A2391" s="2" t="s">
        <v>6648</v>
      </c>
      <c r="B2391" s="2" t="s">
        <v>6649</v>
      </c>
      <c r="C2391" s="2" t="s">
        <v>26</v>
      </c>
      <c r="D2391" s="2" t="s">
        <v>27</v>
      </c>
      <c r="E2391" s="4">
        <v>-31937</v>
      </c>
      <c r="F2391" s="3" t="s">
        <v>1198</v>
      </c>
      <c r="G2391" s="3" t="s">
        <v>140</v>
      </c>
      <c r="H2391" s="2" t="s">
        <v>21</v>
      </c>
      <c r="I2391" s="2" t="s">
        <v>6650</v>
      </c>
      <c r="J2391" s="3" t="str">
        <f>HYPERLINK("https://www.boe.es/gazeta/dias/1812/07/22/pdfs/GMD-1812-204.pdf#page=2","Abrir facsímil")</f>
        <v>Abrir facsímil</v>
      </c>
      <c r="K2391" s="3" t="s">
        <v>23</v>
      </c>
    </row>
    <row r="2392" spans="1:11" ht="42" customHeight="1">
      <c r="A2392" s="2" t="s">
        <v>6648</v>
      </c>
      <c r="B2392" s="2" t="s">
        <v>6649</v>
      </c>
      <c r="C2392" s="2" t="s">
        <v>17</v>
      </c>
      <c r="D2392" s="2" t="s">
        <v>27</v>
      </c>
      <c r="E2392" s="4">
        <v>-31822</v>
      </c>
      <c r="F2392" s="3" t="s">
        <v>541</v>
      </c>
      <c r="G2392" s="3" t="s">
        <v>542</v>
      </c>
      <c r="H2392" s="2" t="s">
        <v>21</v>
      </c>
      <c r="I2392" s="2" t="s">
        <v>6651</v>
      </c>
      <c r="J2392" s="3" t="str">
        <f>HYPERLINK("https://www.boe.es/gazeta/dias/1812/11/14/pdfs/GRE-1812-152.pdf#page=7","Abrir facsímil")</f>
        <v>Abrir facsímil</v>
      </c>
      <c r="K2392" s="3" t="s">
        <v>23</v>
      </c>
    </row>
    <row r="2393" spans="1:11" ht="42" customHeight="1">
      <c r="A2393" s="2" t="s">
        <v>6652</v>
      </c>
      <c r="B2393" s="2" t="s">
        <v>6653</v>
      </c>
      <c r="C2393" s="2" t="s">
        <v>17</v>
      </c>
      <c r="D2393" s="2" t="s">
        <v>27</v>
      </c>
      <c r="E2393" s="4">
        <v>-31990</v>
      </c>
      <c r="F2393" s="3" t="s">
        <v>5078</v>
      </c>
      <c r="G2393" s="3" t="s">
        <v>739</v>
      </c>
      <c r="H2393" s="2" t="s">
        <v>21</v>
      </c>
      <c r="I2393" s="2" t="s">
        <v>6654</v>
      </c>
      <c r="J2393" s="3" t="str">
        <f>HYPERLINK("https://www.boe.es/gazeta/dias/1812/05/30/pdfs/GRE-1812-67.pdf#page=2","Abrir facsímil")</f>
        <v>Abrir facsímil</v>
      </c>
      <c r="K2393" s="3" t="s">
        <v>23</v>
      </c>
    </row>
    <row r="2394" spans="1:11" ht="42" customHeight="1">
      <c r="A2394" s="2" t="s">
        <v>6655</v>
      </c>
      <c r="B2394" s="2" t="s">
        <v>6656</v>
      </c>
      <c r="C2394" s="2" t="s">
        <v>17</v>
      </c>
      <c r="D2394" s="2" t="s">
        <v>18</v>
      </c>
      <c r="E2394" s="4">
        <v>-31782</v>
      </c>
      <c r="F2394" s="3" t="s">
        <v>4408</v>
      </c>
      <c r="G2394" s="3" t="s">
        <v>4409</v>
      </c>
      <c r="H2394" s="2" t="s">
        <v>21</v>
      </c>
      <c r="I2394" s="2" t="s">
        <v>6657</v>
      </c>
      <c r="J2394" s="3" t="str">
        <f>HYPERLINK("https://www.boe.es/gazeta/dias/1812/12/24/pdfs/GMD-1812-247.pdf#page=4","Abrir facsímil")</f>
        <v>Abrir facsímil</v>
      </c>
      <c r="K2394" s="3" t="s">
        <v>23</v>
      </c>
    </row>
    <row r="2395" spans="1:11" ht="42" customHeight="1">
      <c r="A2395" s="2" t="s">
        <v>6658</v>
      </c>
      <c r="B2395" s="2" t="s">
        <v>6659</v>
      </c>
      <c r="C2395" s="2" t="s">
        <v>105</v>
      </c>
      <c r="D2395" s="2" t="s">
        <v>27</v>
      </c>
      <c r="E2395" s="4">
        <v>-31819</v>
      </c>
      <c r="F2395" s="3" t="s">
        <v>1770</v>
      </c>
      <c r="G2395" s="3" t="s">
        <v>6660</v>
      </c>
      <c r="H2395" s="2" t="s">
        <v>21</v>
      </c>
      <c r="I2395" s="2" t="s">
        <v>6661</v>
      </c>
      <c r="J2395" s="3" t="str">
        <f>HYPERLINK("https://www.boe.es/gazeta/dias/1812/11/17/pdfs/GRE-1812-153.pdf#page=8","Abrir facsímil")</f>
        <v>Abrir facsímil</v>
      </c>
      <c r="K2395" s="3" t="s">
        <v>23</v>
      </c>
    </row>
    <row r="2396" spans="1:11" ht="42" customHeight="1">
      <c r="A2396" s="2" t="s">
        <v>6662</v>
      </c>
      <c r="B2396" s="2" t="s">
        <v>6663</v>
      </c>
      <c r="C2396" s="2" t="s">
        <v>26</v>
      </c>
      <c r="D2396" s="2" t="s">
        <v>27</v>
      </c>
      <c r="E2396" s="4">
        <v>-32118</v>
      </c>
      <c r="F2396" s="3" t="s">
        <v>964</v>
      </c>
      <c r="G2396" s="3" t="s">
        <v>965</v>
      </c>
      <c r="H2396" s="2" t="s">
        <v>21</v>
      </c>
      <c r="I2396" s="2" t="s">
        <v>6664</v>
      </c>
      <c r="J2396" s="3" t="str">
        <f>HYPERLINK("https://www.boe.es/gazeta/dias/1812/01/23/pdfs/GEI-H-1812-10.pdf#page=4","Abrir facsímil")</f>
        <v>Abrir facsímil</v>
      </c>
      <c r="K2396" s="3" t="s">
        <v>23</v>
      </c>
    </row>
    <row r="2397" spans="1:11" ht="42" customHeight="1">
      <c r="A2397" s="2" t="s">
        <v>6665</v>
      </c>
      <c r="B2397" s="2" t="s">
        <v>6666</v>
      </c>
      <c r="C2397" s="2" t="s">
        <v>26</v>
      </c>
      <c r="D2397" s="2" t="s">
        <v>27</v>
      </c>
      <c r="E2397" s="4">
        <v>-32071</v>
      </c>
      <c r="F2397" s="3" t="s">
        <v>3601</v>
      </c>
      <c r="G2397" s="3" t="s">
        <v>2708</v>
      </c>
      <c r="H2397" s="2" t="s">
        <v>21</v>
      </c>
      <c r="I2397" s="2" t="s">
        <v>6667</v>
      </c>
      <c r="J2397" s="3" t="str">
        <f>HYPERLINK("https://www.boe.es/gazeta/dias/1812/03/10/pdfs/GMD-1812-70.pdf#page=4","Abrir facsímil")</f>
        <v>Abrir facsímil</v>
      </c>
      <c r="K2397" s="3" t="s">
        <v>23</v>
      </c>
    </row>
    <row r="2398" spans="1:11" ht="42" customHeight="1">
      <c r="A2398" s="2" t="s">
        <v>6668</v>
      </c>
      <c r="B2398" s="2" t="s">
        <v>6669</v>
      </c>
      <c r="C2398" s="2" t="s">
        <v>26</v>
      </c>
      <c r="D2398" s="2" t="s">
        <v>27</v>
      </c>
      <c r="E2398" s="4">
        <v>-32034</v>
      </c>
      <c r="F2398" s="3" t="s">
        <v>28</v>
      </c>
      <c r="G2398" s="3" t="s">
        <v>45</v>
      </c>
      <c r="H2398" s="2" t="s">
        <v>21</v>
      </c>
      <c r="I2398" s="2" t="s">
        <v>6670</v>
      </c>
      <c r="J2398" s="3" t="str">
        <f>HYPERLINK("https://www.boe.es/gazeta/dias/1812/04/16/pdfs/GMD-1812-107.pdf#page=5","Abrir facsímil")</f>
        <v>Abrir facsímil</v>
      </c>
      <c r="K2398" s="3" t="s">
        <v>23</v>
      </c>
    </row>
    <row r="2399" spans="1:11" ht="42" customHeight="1">
      <c r="A2399" s="2" t="s">
        <v>6671</v>
      </c>
      <c r="B2399" s="2" t="s">
        <v>6672</v>
      </c>
      <c r="C2399" s="2" t="s">
        <v>26</v>
      </c>
      <c r="D2399" s="2" t="s">
        <v>27</v>
      </c>
      <c r="E2399" s="4">
        <v>-31938</v>
      </c>
      <c r="F2399" s="3" t="s">
        <v>324</v>
      </c>
      <c r="G2399" s="3" t="s">
        <v>497</v>
      </c>
      <c r="H2399" s="2" t="s">
        <v>21</v>
      </c>
      <c r="I2399" s="2" t="s">
        <v>6673</v>
      </c>
      <c r="J2399" s="3" t="str">
        <f>HYPERLINK("https://www.boe.es/gazeta/dias/1812/07/21/pdfs/GMD-1812-203.pdf#page=3","Abrir facsímil")</f>
        <v>Abrir facsímil</v>
      </c>
      <c r="K2399" s="3" t="s">
        <v>23</v>
      </c>
    </row>
    <row r="2400" spans="1:11" ht="42" customHeight="1">
      <c r="A2400" s="2" t="s">
        <v>6674</v>
      </c>
      <c r="B2400" s="2" t="s">
        <v>6675</v>
      </c>
      <c r="C2400" s="2" t="s">
        <v>49</v>
      </c>
      <c r="D2400" s="2" t="s">
        <v>27</v>
      </c>
      <c r="E2400" s="4">
        <v>-31966</v>
      </c>
      <c r="F2400" s="3" t="s">
        <v>3665</v>
      </c>
      <c r="G2400" s="3" t="s">
        <v>3666</v>
      </c>
      <c r="H2400" s="2" t="s">
        <v>21</v>
      </c>
      <c r="I2400" s="2" t="s">
        <v>6676</v>
      </c>
      <c r="J2400" s="3" t="str">
        <f>HYPERLINK("https://www.boe.es/gazeta/dias/1812/06/23/pdfs/GRE-1812-77.pdf#page=8","Abrir facsímil")</f>
        <v>Abrir facsímil</v>
      </c>
      <c r="K2400" s="3" t="s">
        <v>23</v>
      </c>
    </row>
    <row r="2401" spans="1:11" ht="42" customHeight="1">
      <c r="A2401" s="2" t="s">
        <v>6677</v>
      </c>
      <c r="B2401" s="2" t="s">
        <v>6678</v>
      </c>
      <c r="C2401" s="2" t="s">
        <v>186</v>
      </c>
      <c r="D2401" s="2" t="s">
        <v>275</v>
      </c>
      <c r="E2401" s="4">
        <v>-32081</v>
      </c>
      <c r="F2401" s="3" t="s">
        <v>232</v>
      </c>
      <c r="G2401" s="3" t="s">
        <v>233</v>
      </c>
      <c r="H2401" s="2" t="s">
        <v>21</v>
      </c>
      <c r="I2401" s="2" t="s">
        <v>6679</v>
      </c>
      <c r="J2401" s="3" t="str">
        <f>HYPERLINK("https://www.boe.es/gazeta/dias/1812/02/29/pdfs/GRE-1812-27.pdf#page=8","Abrir facsímil")</f>
        <v>Abrir facsímil</v>
      </c>
      <c r="K2401" s="3" t="s">
        <v>23</v>
      </c>
    </row>
    <row r="2402" spans="1:11" ht="42" customHeight="1">
      <c r="A2402" s="2" t="s">
        <v>6680</v>
      </c>
      <c r="B2402" s="2" t="s">
        <v>6681</v>
      </c>
      <c r="C2402" s="2" t="s">
        <v>186</v>
      </c>
      <c r="D2402" s="2" t="s">
        <v>27</v>
      </c>
      <c r="E2402" s="4">
        <v>-32130</v>
      </c>
      <c r="F2402" s="3" t="s">
        <v>927</v>
      </c>
      <c r="G2402" s="3" t="s">
        <v>130</v>
      </c>
      <c r="H2402" s="2" t="s">
        <v>21</v>
      </c>
      <c r="I2402" s="2" t="s">
        <v>6682</v>
      </c>
      <c r="J2402" s="3" t="str">
        <f>HYPERLINK("https://www.boe.es/gazeta/dias/1812/01/11/pdfs/GMD-1812-11.pdf#page=4","Abrir facsímil")</f>
        <v>Abrir facsímil</v>
      </c>
      <c r="K2402" s="3" t="s">
        <v>23</v>
      </c>
    </row>
    <row r="2403" spans="1:11" ht="42" customHeight="1">
      <c r="A2403" s="2" t="s">
        <v>6683</v>
      </c>
      <c r="B2403" s="2" t="s">
        <v>6684</v>
      </c>
      <c r="C2403" s="2" t="s">
        <v>17</v>
      </c>
      <c r="D2403" s="2" t="s">
        <v>18</v>
      </c>
      <c r="E2403" s="4">
        <v>-31775</v>
      </c>
      <c r="F2403" s="3" t="s">
        <v>660</v>
      </c>
      <c r="G2403" s="3" t="s">
        <v>2138</v>
      </c>
      <c r="H2403" s="2" t="s">
        <v>21</v>
      </c>
      <c r="I2403" s="2" t="s">
        <v>6685</v>
      </c>
      <c r="J2403" s="3" t="str">
        <f>HYPERLINK("https://www.boe.es/gazeta/dias/1812/12/31/pdfs/GRE-1812-172.pdf#page=8","Abrir facsímil")</f>
        <v>Abrir facsímil</v>
      </c>
      <c r="K2403" s="3" t="s">
        <v>23</v>
      </c>
    </row>
    <row r="2404" spans="1:11" ht="42" customHeight="1">
      <c r="A2404" s="2" t="s">
        <v>6686</v>
      </c>
      <c r="B2404" s="2" t="s">
        <v>6687</v>
      </c>
      <c r="C2404" s="2" t="s">
        <v>17</v>
      </c>
      <c r="D2404" s="2" t="s">
        <v>18</v>
      </c>
      <c r="E2404" s="4">
        <v>-31931</v>
      </c>
      <c r="F2404" s="3" t="s">
        <v>4174</v>
      </c>
      <c r="G2404" s="3" t="s">
        <v>6688</v>
      </c>
      <c r="H2404" s="2" t="s">
        <v>21</v>
      </c>
      <c r="I2404" s="2" t="s">
        <v>6689</v>
      </c>
      <c r="J2404" s="3" t="str">
        <f>HYPERLINK("https://www.boe.es/gazeta/dias/1812/07/28/pdfs/GRE-1812-94.pdf#page=6","Abrir facsímil")</f>
        <v>Abrir facsímil</v>
      </c>
      <c r="K2404" s="3" t="s">
        <v>23</v>
      </c>
    </row>
    <row r="2405" spans="1:11" ht="42" customHeight="1">
      <c r="A2405" s="2" t="s">
        <v>6690</v>
      </c>
      <c r="B2405" s="2" t="s">
        <v>6691</v>
      </c>
      <c r="C2405" s="2" t="s">
        <v>49</v>
      </c>
      <c r="D2405" s="2" t="s">
        <v>275</v>
      </c>
      <c r="E2405" s="4">
        <v>-31857</v>
      </c>
      <c r="F2405" s="3" t="s">
        <v>1000</v>
      </c>
      <c r="G2405" s="3" t="s">
        <v>6692</v>
      </c>
      <c r="H2405" s="2" t="s">
        <v>21</v>
      </c>
      <c r="I2405" s="2" t="s">
        <v>6693</v>
      </c>
      <c r="J2405" s="3" t="str">
        <f>HYPERLINK("https://www.boe.es/gazeta/dias/1812/10/10/pdfs/GRE-1812-137.pdf#page=4","Abrir facsímil")</f>
        <v>Abrir facsímil</v>
      </c>
      <c r="K2405" s="3" t="s">
        <v>23</v>
      </c>
    </row>
    <row r="2406" spans="1:11" ht="42" customHeight="1">
      <c r="A2406" s="2" t="s">
        <v>6694</v>
      </c>
      <c r="B2406" s="2" t="s">
        <v>6695</v>
      </c>
      <c r="C2406" s="2" t="s">
        <v>17</v>
      </c>
      <c r="D2406" s="2" t="s">
        <v>18</v>
      </c>
      <c r="E2406" s="4">
        <v>-31955</v>
      </c>
      <c r="F2406" s="3" t="s">
        <v>789</v>
      </c>
      <c r="G2406" s="3" t="s">
        <v>6696</v>
      </c>
      <c r="H2406" s="2" t="s">
        <v>21</v>
      </c>
      <c r="I2406" s="2" t="s">
        <v>6697</v>
      </c>
      <c r="J2406" s="3" t="str">
        <f>HYPERLINK("https://www.boe.es/gazeta/dias/1812/07/04/pdfs/GRE-1812-82.pdf#page=2","Abrir facsímil")</f>
        <v>Abrir facsímil</v>
      </c>
      <c r="K2406" s="3" t="s">
        <v>23</v>
      </c>
    </row>
    <row r="2407" spans="1:11" ht="42" customHeight="1">
      <c r="A2407" s="2" t="s">
        <v>6698</v>
      </c>
      <c r="B2407" s="2" t="s">
        <v>6699</v>
      </c>
      <c r="C2407" s="2" t="s">
        <v>49</v>
      </c>
      <c r="D2407" s="2" t="s">
        <v>27</v>
      </c>
      <c r="E2407" s="4">
        <v>-32139</v>
      </c>
      <c r="F2407" s="3" t="s">
        <v>288</v>
      </c>
      <c r="G2407" s="3" t="s">
        <v>130</v>
      </c>
      <c r="H2407" s="2" t="s">
        <v>21</v>
      </c>
      <c r="I2407" s="2" t="s">
        <v>6700</v>
      </c>
      <c r="J2407" s="3" t="str">
        <f>HYPERLINK("https://www.boe.es/gazeta/dias/1812/01/02/pdfs/GMD-1812-2.pdf#page=4","Abrir facsímil")</f>
        <v>Abrir facsímil</v>
      </c>
      <c r="K2407" s="3" t="s">
        <v>23</v>
      </c>
    </row>
    <row r="2408" spans="1:11" ht="42" customHeight="1">
      <c r="A2408" s="2" t="s">
        <v>6701</v>
      </c>
      <c r="B2408" s="2" t="s">
        <v>6702</v>
      </c>
      <c r="C2408" s="2" t="s">
        <v>17</v>
      </c>
      <c r="D2408" s="2" t="s">
        <v>27</v>
      </c>
      <c r="E2408" s="4">
        <v>-31990</v>
      </c>
      <c r="F2408" s="3" t="s">
        <v>629</v>
      </c>
      <c r="G2408" s="3" t="s">
        <v>58</v>
      </c>
      <c r="H2408" s="2" t="s">
        <v>21</v>
      </c>
      <c r="I2408" s="2" t="s">
        <v>6703</v>
      </c>
      <c r="J2408" s="3" t="str">
        <f>HYPERLINK("https://www.boe.es/gazeta/dias/1812/05/30/pdfs/GMD-1812-151.pdf#page=2","Abrir facsímil")</f>
        <v>Abrir facsímil</v>
      </c>
      <c r="K2408" s="3" t="s">
        <v>23</v>
      </c>
    </row>
    <row r="2409" spans="1:11" ht="42" customHeight="1">
      <c r="A2409" s="2" t="s">
        <v>6704</v>
      </c>
      <c r="B2409" s="2" t="s">
        <v>6705</v>
      </c>
      <c r="C2409" s="2" t="s">
        <v>26</v>
      </c>
      <c r="D2409" s="2" t="s">
        <v>27</v>
      </c>
      <c r="E2409" s="4">
        <v>-32055</v>
      </c>
      <c r="F2409" s="3" t="s">
        <v>1271</v>
      </c>
      <c r="G2409" s="3" t="s">
        <v>130</v>
      </c>
      <c r="H2409" s="2" t="s">
        <v>21</v>
      </c>
      <c r="I2409" s="2" t="s">
        <v>6706</v>
      </c>
      <c r="J2409" s="3" t="str">
        <f>HYPERLINK("https://www.boe.es/gazeta/dias/1812/03/26/pdfs/GMD-1812-86.pdf#page=4","Abrir facsímil")</f>
        <v>Abrir facsímil</v>
      </c>
      <c r="K2409" s="3" t="s">
        <v>23</v>
      </c>
    </row>
    <row r="2410" spans="1:11" ht="42" customHeight="1">
      <c r="A2410" s="2" t="s">
        <v>6707</v>
      </c>
      <c r="B2410" s="2" t="s">
        <v>6708</v>
      </c>
      <c r="C2410" s="2" t="s">
        <v>26</v>
      </c>
      <c r="D2410" s="2" t="s">
        <v>27</v>
      </c>
      <c r="E2410" s="4">
        <v>-31938</v>
      </c>
      <c r="F2410" s="3" t="s">
        <v>324</v>
      </c>
      <c r="G2410" s="3" t="s">
        <v>237</v>
      </c>
      <c r="H2410" s="2" t="s">
        <v>21</v>
      </c>
      <c r="I2410" s="2" t="s">
        <v>6709</v>
      </c>
      <c r="J2410" s="3" t="str">
        <f>HYPERLINK("https://www.boe.es/gazeta/dias/1812/07/21/pdfs/GMD-1812-203.pdf#page=2","Abrir facsímil")</f>
        <v>Abrir facsímil</v>
      </c>
      <c r="K2410" s="3" t="s">
        <v>23</v>
      </c>
    </row>
    <row r="2411" spans="1:11" ht="42" customHeight="1">
      <c r="A2411" s="2" t="s">
        <v>6710</v>
      </c>
      <c r="B2411" s="2" t="s">
        <v>6711</v>
      </c>
      <c r="C2411" s="2" t="s">
        <v>49</v>
      </c>
      <c r="D2411" s="2" t="s">
        <v>27</v>
      </c>
      <c r="E2411" s="4">
        <v>-32075</v>
      </c>
      <c r="F2411" s="3" t="s">
        <v>301</v>
      </c>
      <c r="G2411" s="3" t="s">
        <v>20</v>
      </c>
      <c r="H2411" s="2" t="s">
        <v>21</v>
      </c>
      <c r="I2411" s="2" t="s">
        <v>6712</v>
      </c>
      <c r="J2411" s="3" t="str">
        <f>HYPERLINK("https://www.boe.es/gazeta/dias/1812/03/06/pdfs/GMD-1812-66.pdf#page=4","Abrir facsímil")</f>
        <v>Abrir facsímil</v>
      </c>
      <c r="K2411" s="3" t="s">
        <v>23</v>
      </c>
    </row>
    <row r="2412" spans="1:11" ht="42" customHeight="1">
      <c r="A2412" s="2" t="s">
        <v>6713</v>
      </c>
      <c r="B2412" s="2" t="s">
        <v>6714</v>
      </c>
      <c r="C2412" s="2" t="s">
        <v>17</v>
      </c>
      <c r="D2412" s="2" t="s">
        <v>27</v>
      </c>
      <c r="E2412" s="4">
        <v>-32039</v>
      </c>
      <c r="F2412" s="3" t="s">
        <v>1910</v>
      </c>
      <c r="G2412" s="3" t="s">
        <v>1911</v>
      </c>
      <c r="H2412" s="2" t="s">
        <v>21</v>
      </c>
      <c r="I2412" s="2" t="s">
        <v>6715</v>
      </c>
      <c r="J2412" s="3" t="str">
        <f>HYPERLINK("https://www.boe.es/gazeta/dias/1812/04/11/pdfs/GRE-1812-46.pdf#page=7","Abrir facsímil")</f>
        <v>Abrir facsímil</v>
      </c>
      <c r="K2412" s="3" t="s">
        <v>23</v>
      </c>
    </row>
    <row r="2413" spans="1:11" ht="42" customHeight="1">
      <c r="A2413" s="2" t="s">
        <v>6716</v>
      </c>
      <c r="B2413" s="2" t="s">
        <v>6717</v>
      </c>
      <c r="C2413" s="2" t="s">
        <v>26</v>
      </c>
      <c r="D2413" s="2" t="s">
        <v>27</v>
      </c>
      <c r="E2413" s="4">
        <v>-31980</v>
      </c>
      <c r="F2413" s="3" t="s">
        <v>40</v>
      </c>
      <c r="G2413" s="3" t="s">
        <v>41</v>
      </c>
      <c r="H2413" s="2" t="s">
        <v>30</v>
      </c>
      <c r="I2413" s="2" t="s">
        <v>6718</v>
      </c>
      <c r="J2413" s="3" t="str">
        <f>HYPERLINK("https://www.boe.es/gazeta/dias/1812/06/09/pdfs/GRE-1812-71.pdf#page=6","Abrir facsímil")</f>
        <v>Abrir facsímil</v>
      </c>
      <c r="K2413" s="3" t="s">
        <v>32</v>
      </c>
    </row>
    <row r="2414" spans="1:11" ht="42" customHeight="1">
      <c r="A2414" s="2" t="s">
        <v>6719</v>
      </c>
      <c r="B2414" s="2" t="s">
        <v>6720</v>
      </c>
      <c r="C2414" s="2" t="s">
        <v>17</v>
      </c>
      <c r="D2414" s="2" t="s">
        <v>27</v>
      </c>
      <c r="E2414" s="4">
        <v>-31988</v>
      </c>
      <c r="F2414" s="3" t="s">
        <v>1094</v>
      </c>
      <c r="G2414" s="3" t="s">
        <v>1095</v>
      </c>
      <c r="H2414" s="2" t="s">
        <v>21</v>
      </c>
      <c r="I2414" s="2" t="s">
        <v>6721</v>
      </c>
      <c r="J2414" s="3" t="str">
        <f>HYPERLINK("https://www.boe.es/gazeta/dias/1812/06/01/pdfs/GMD-1812-153.pdf#page=2","Abrir facsímil")</f>
        <v>Abrir facsímil</v>
      </c>
      <c r="K2414" s="3" t="s">
        <v>23</v>
      </c>
    </row>
    <row r="2415" spans="1:11" ht="42" customHeight="1">
      <c r="A2415" s="2" t="s">
        <v>6722</v>
      </c>
      <c r="B2415" s="2" t="s">
        <v>6723</v>
      </c>
      <c r="C2415" s="2" t="s">
        <v>26</v>
      </c>
      <c r="D2415" s="2" t="s">
        <v>27</v>
      </c>
      <c r="E2415" s="4">
        <v>-31964</v>
      </c>
      <c r="F2415" s="3" t="s">
        <v>305</v>
      </c>
      <c r="G2415" s="3" t="s">
        <v>306</v>
      </c>
      <c r="H2415" s="2" t="s">
        <v>21</v>
      </c>
      <c r="I2415" s="2" t="s">
        <v>6724</v>
      </c>
      <c r="J2415" s="3" t="str">
        <f>HYPERLINK("https://www.boe.es/gazeta/dias/1812/06/25/pdfs/GMD-1812-177.pdf#page=3","Abrir facsímil")</f>
        <v>Abrir facsímil</v>
      </c>
      <c r="K2415" s="3" t="s">
        <v>23</v>
      </c>
    </row>
    <row r="2416" spans="1:11" ht="42" customHeight="1">
      <c r="A2416" s="2" t="s">
        <v>6725</v>
      </c>
      <c r="B2416" s="2" t="s">
        <v>6726</v>
      </c>
      <c r="C2416" s="2" t="s">
        <v>17</v>
      </c>
      <c r="D2416" s="2" t="s">
        <v>18</v>
      </c>
      <c r="E2416" s="4">
        <v>-31822</v>
      </c>
      <c r="F2416" s="3" t="s">
        <v>541</v>
      </c>
      <c r="G2416" s="3" t="s">
        <v>1459</v>
      </c>
      <c r="H2416" s="2" t="s">
        <v>21</v>
      </c>
      <c r="I2416" s="2" t="s">
        <v>6727</v>
      </c>
      <c r="J2416" s="3" t="str">
        <f>HYPERLINK("https://www.boe.es/gazeta/dias/1812/11/14/pdfs/GRE-1812-152.pdf#page=8","Abrir facsímil")</f>
        <v>Abrir facsímil</v>
      </c>
      <c r="K2416" s="3" t="s">
        <v>23</v>
      </c>
    </row>
    <row r="2417" spans="1:11" ht="42" customHeight="1">
      <c r="A2417" s="2" t="s">
        <v>6728</v>
      </c>
      <c r="B2417" s="2" t="s">
        <v>6729</v>
      </c>
      <c r="C2417" s="2" t="s">
        <v>17</v>
      </c>
      <c r="D2417" s="2" t="s">
        <v>18</v>
      </c>
      <c r="E2417" s="4">
        <v>-31822</v>
      </c>
      <c r="F2417" s="3" t="s">
        <v>541</v>
      </c>
      <c r="G2417" s="3" t="s">
        <v>1459</v>
      </c>
      <c r="H2417" s="2" t="s">
        <v>21</v>
      </c>
      <c r="I2417" s="2" t="s">
        <v>6730</v>
      </c>
      <c r="J2417" s="3" t="str">
        <f>HYPERLINK("https://www.boe.es/gazeta/dias/1812/11/14/pdfs/GRE-1812-152.pdf#page=8","Abrir facsímil")</f>
        <v>Abrir facsímil</v>
      </c>
      <c r="K2417" s="3" t="s">
        <v>23</v>
      </c>
    </row>
    <row r="2418" spans="1:11" ht="42" customHeight="1">
      <c r="A2418" s="2" t="s">
        <v>6731</v>
      </c>
      <c r="B2418" s="2" t="s">
        <v>6732</v>
      </c>
      <c r="C2418" s="2" t="s">
        <v>26</v>
      </c>
      <c r="D2418" s="2" t="s">
        <v>27</v>
      </c>
      <c r="E2418" s="4">
        <v>-31940</v>
      </c>
      <c r="F2418" s="3" t="s">
        <v>187</v>
      </c>
      <c r="G2418" s="3" t="s">
        <v>404</v>
      </c>
      <c r="H2418" s="2" t="s">
        <v>21</v>
      </c>
      <c r="I2418" s="2" t="s">
        <v>6733</v>
      </c>
      <c r="J2418" s="3" t="str">
        <f>HYPERLINK("https://www.boe.es/gazeta/dias/1812/07/19/pdfs/GMD-1812-201.pdf#page=4","Abrir facsímil")</f>
        <v>Abrir facsímil</v>
      </c>
      <c r="K2418" s="3" t="s">
        <v>23</v>
      </c>
    </row>
    <row r="2419" spans="1:11" ht="42" customHeight="1">
      <c r="A2419" s="2" t="s">
        <v>6734</v>
      </c>
      <c r="B2419" s="2" t="s">
        <v>6735</v>
      </c>
      <c r="C2419" s="2" t="s">
        <v>26</v>
      </c>
      <c r="D2419" s="2" t="s">
        <v>27</v>
      </c>
      <c r="E2419" s="4">
        <v>-31963</v>
      </c>
      <c r="F2419" s="3" t="s">
        <v>171</v>
      </c>
      <c r="G2419" s="3" t="s">
        <v>172</v>
      </c>
      <c r="H2419" s="2" t="s">
        <v>21</v>
      </c>
      <c r="I2419" s="2" t="s">
        <v>6736</v>
      </c>
      <c r="J2419" s="3" t="str">
        <f>HYPERLINK("https://www.boe.es/gazeta/dias/1812/06/26/pdfs/GMD-1812-178.pdf#page=3","Abrir facsímil")</f>
        <v>Abrir facsímil</v>
      </c>
      <c r="K2419" s="3" t="s">
        <v>23</v>
      </c>
    </row>
    <row r="2420" spans="1:11" ht="42" customHeight="1">
      <c r="A2420" s="2" t="s">
        <v>6737</v>
      </c>
      <c r="B2420" s="2" t="s">
        <v>6738</v>
      </c>
      <c r="C2420" s="2" t="s">
        <v>17</v>
      </c>
      <c r="D2420" s="2" t="s">
        <v>27</v>
      </c>
      <c r="E2420" s="4">
        <v>-31878</v>
      </c>
      <c r="F2420" s="3" t="s">
        <v>1831</v>
      </c>
      <c r="G2420" s="3" t="s">
        <v>172</v>
      </c>
      <c r="H2420" s="2" t="s">
        <v>21</v>
      </c>
      <c r="I2420" s="2" t="s">
        <v>6739</v>
      </c>
      <c r="J2420" s="3" t="str">
        <f>HYPERLINK("https://www.boe.es/gazeta/dias/1812/09/19/pdfs/GMR-1812-16.pdf#page=1","Abrir facsímil")</f>
        <v>Abrir facsímil</v>
      </c>
      <c r="K2420" s="3" t="s">
        <v>23</v>
      </c>
    </row>
    <row r="2421" spans="1:11" ht="42" customHeight="1">
      <c r="A2421" s="2" t="s">
        <v>6740</v>
      </c>
      <c r="B2421" s="2" t="s">
        <v>6741</v>
      </c>
      <c r="C2421" s="2" t="s">
        <v>549</v>
      </c>
      <c r="D2421" s="2" t="s">
        <v>194</v>
      </c>
      <c r="E2421" s="4">
        <v>-31933</v>
      </c>
      <c r="F2421" s="3" t="s">
        <v>1946</v>
      </c>
      <c r="G2421" s="3" t="s">
        <v>6742</v>
      </c>
      <c r="H2421" s="2" t="s">
        <v>21</v>
      </c>
      <c r="I2421" s="2" t="s">
        <v>6743</v>
      </c>
      <c r="J2421" s="3" t="str">
        <f>HYPERLINK("https://www.boe.es/gazeta/dias/1812/07/26/pdfs/GMD-1812-208.pdf#page=4","Abrir facsímil")</f>
        <v>Abrir facsímil</v>
      </c>
      <c r="K2421" s="3" t="s">
        <v>23</v>
      </c>
    </row>
    <row r="2422" spans="1:11" ht="42" customHeight="1">
      <c r="A2422" s="2" t="s">
        <v>6744</v>
      </c>
      <c r="B2422" s="2" t="s">
        <v>6745</v>
      </c>
      <c r="C2422" s="2" t="s">
        <v>17</v>
      </c>
      <c r="D2422" s="2" t="s">
        <v>27</v>
      </c>
      <c r="E2422" s="4">
        <v>-32111</v>
      </c>
      <c r="F2422" s="3" t="s">
        <v>951</v>
      </c>
      <c r="G2422" s="3" t="s">
        <v>45</v>
      </c>
      <c r="H2422" s="2" t="s">
        <v>21</v>
      </c>
      <c r="I2422" s="2" t="s">
        <v>6746</v>
      </c>
      <c r="J2422" s="3" t="str">
        <f>HYPERLINK("https://www.boe.es/gazeta/dias/1812/01/30/pdfs/GMD-1812-30.pdf#page=4","Abrir facsímil")</f>
        <v>Abrir facsímil</v>
      </c>
      <c r="K2422" s="3" t="s">
        <v>23</v>
      </c>
    </row>
    <row r="2423" spans="1:11" ht="42" customHeight="1">
      <c r="A2423" s="2" t="s">
        <v>6747</v>
      </c>
      <c r="B2423" s="2" t="s">
        <v>6748</v>
      </c>
      <c r="C2423" s="2" t="s">
        <v>17</v>
      </c>
      <c r="D2423" s="2" t="s">
        <v>18</v>
      </c>
      <c r="E2423" s="4">
        <v>-32025</v>
      </c>
      <c r="F2423" s="3" t="s">
        <v>2323</v>
      </c>
      <c r="G2423" s="3" t="s">
        <v>45</v>
      </c>
      <c r="H2423" s="2" t="s">
        <v>21</v>
      </c>
      <c r="I2423" s="2" t="s">
        <v>6749</v>
      </c>
      <c r="J2423" s="3" t="str">
        <f>HYPERLINK("https://www.boe.es/gazeta/dias/1812/04/25/pdfs/GRE-1812-52.pdf#page=6","Abrir facsímil")</f>
        <v>Abrir facsímil</v>
      </c>
      <c r="K2423" s="3" t="s">
        <v>23</v>
      </c>
    </row>
    <row r="2424" spans="1:11" ht="42" customHeight="1">
      <c r="A2424" s="2" t="s">
        <v>6750</v>
      </c>
      <c r="B2424" s="2" t="s">
        <v>6751</v>
      </c>
      <c r="C2424" s="2" t="s">
        <v>26</v>
      </c>
      <c r="D2424" s="2" t="s">
        <v>27</v>
      </c>
      <c r="E2424" s="4">
        <v>-32044</v>
      </c>
      <c r="F2424" s="3" t="s">
        <v>1031</v>
      </c>
      <c r="G2424" s="3" t="s">
        <v>20</v>
      </c>
      <c r="H2424" s="2" t="s">
        <v>21</v>
      </c>
      <c r="I2424" s="2" t="s">
        <v>6752</v>
      </c>
      <c r="J2424" s="3" t="str">
        <f>HYPERLINK("https://www.boe.es/gazeta/dias/1812/04/06/pdfs/GMD-1812-97.pdf#page=3","Abrir facsímil")</f>
        <v>Abrir facsímil</v>
      </c>
      <c r="K2424" s="3" t="s">
        <v>23</v>
      </c>
    </row>
    <row r="2425" spans="1:11" ht="42" customHeight="1">
      <c r="A2425" s="2" t="s">
        <v>6753</v>
      </c>
      <c r="B2425" s="2" t="s">
        <v>6754</v>
      </c>
      <c r="C2425" s="2" t="s">
        <v>17</v>
      </c>
      <c r="D2425" s="2" t="s">
        <v>27</v>
      </c>
      <c r="E2425" s="4">
        <v>-32111</v>
      </c>
      <c r="F2425" s="3" t="s">
        <v>951</v>
      </c>
      <c r="G2425" s="3" t="s">
        <v>45</v>
      </c>
      <c r="H2425" s="2" t="s">
        <v>21</v>
      </c>
      <c r="I2425" s="2" t="s">
        <v>6755</v>
      </c>
      <c r="J2425" s="3" t="str">
        <f>HYPERLINK("https://www.boe.es/gazeta/dias/1812/01/30/pdfs/GMD-1812-30.pdf#page=4","Abrir facsímil")</f>
        <v>Abrir facsímil</v>
      </c>
      <c r="K2425" s="3" t="s">
        <v>23</v>
      </c>
    </row>
    <row r="2426" spans="1:11" ht="42" customHeight="1">
      <c r="A2426" s="2" t="s">
        <v>6756</v>
      </c>
      <c r="B2426" s="2" t="s">
        <v>6757</v>
      </c>
      <c r="C2426" s="2" t="s">
        <v>26</v>
      </c>
      <c r="D2426" s="2" t="s">
        <v>27</v>
      </c>
      <c r="E2426" s="4">
        <v>-31938</v>
      </c>
      <c r="F2426" s="3" t="s">
        <v>324</v>
      </c>
      <c r="G2426" s="3" t="s">
        <v>497</v>
      </c>
      <c r="H2426" s="2" t="s">
        <v>21</v>
      </c>
      <c r="I2426" s="2" t="s">
        <v>6758</v>
      </c>
      <c r="J2426" s="3" t="str">
        <f>HYPERLINK("https://www.boe.es/gazeta/dias/1812/07/21/pdfs/GMD-1812-203.pdf#page=3","Abrir facsímil")</f>
        <v>Abrir facsímil</v>
      </c>
      <c r="K2426" s="3" t="s">
        <v>23</v>
      </c>
    </row>
    <row r="2427" spans="1:11" ht="42" customHeight="1">
      <c r="A2427" s="2" t="s">
        <v>6759</v>
      </c>
      <c r="B2427" s="2" t="s">
        <v>6760</v>
      </c>
      <c r="C2427" s="2" t="s">
        <v>49</v>
      </c>
      <c r="D2427" s="2" t="s">
        <v>27</v>
      </c>
      <c r="E2427" s="4">
        <v>-32075</v>
      </c>
      <c r="F2427" s="3" t="s">
        <v>301</v>
      </c>
      <c r="G2427" s="3" t="s">
        <v>20</v>
      </c>
      <c r="H2427" s="2" t="s">
        <v>21</v>
      </c>
      <c r="I2427" s="2" t="s">
        <v>6761</v>
      </c>
      <c r="J2427" s="3" t="str">
        <f>HYPERLINK("https://www.boe.es/gazeta/dias/1812/03/06/pdfs/GMD-1812-66.pdf#page=4","Abrir facsímil")</f>
        <v>Abrir facsímil</v>
      </c>
      <c r="K2427" s="3" t="s">
        <v>23</v>
      </c>
    </row>
    <row r="2428" spans="1:11" ht="42" customHeight="1">
      <c r="A2428" s="2" t="s">
        <v>6762</v>
      </c>
      <c r="B2428" s="2" t="s">
        <v>6763</v>
      </c>
      <c r="C2428" s="2" t="s">
        <v>26</v>
      </c>
      <c r="D2428" s="2" t="s">
        <v>27</v>
      </c>
      <c r="E2428" s="4">
        <v>-32034</v>
      </c>
      <c r="F2428" s="3" t="s">
        <v>28</v>
      </c>
      <c r="G2428" s="3" t="s">
        <v>29</v>
      </c>
      <c r="H2428" s="2" t="s">
        <v>21</v>
      </c>
      <c r="I2428" s="2" t="s">
        <v>6764</v>
      </c>
      <c r="J2428" s="3" t="str">
        <f>HYPERLINK("https://www.boe.es/gazeta/dias/1812/04/16/pdfs/GMD-1812-107.pdf#page=8","Abrir facsímil")</f>
        <v>Abrir facsímil</v>
      </c>
      <c r="K2428" s="3" t="s">
        <v>23</v>
      </c>
    </row>
    <row r="2429" spans="1:11" ht="42" customHeight="1">
      <c r="A2429" s="2" t="s">
        <v>6765</v>
      </c>
      <c r="B2429" s="2" t="s">
        <v>6766</v>
      </c>
      <c r="C2429" s="2" t="s">
        <v>26</v>
      </c>
      <c r="D2429" s="2" t="s">
        <v>27</v>
      </c>
      <c r="E2429" s="4">
        <v>-31985</v>
      </c>
      <c r="F2429" s="3" t="s">
        <v>2770</v>
      </c>
      <c r="G2429" s="3" t="s">
        <v>172</v>
      </c>
      <c r="H2429" s="2" t="s">
        <v>21</v>
      </c>
      <c r="I2429" s="2" t="s">
        <v>6767</v>
      </c>
      <c r="J2429" s="3" t="str">
        <f>HYPERLINK("https://www.boe.es/gazeta/dias/1812/06/04/pdfs/GMD-1812-156.pdf#page=4","Abrir facsímil")</f>
        <v>Abrir facsímil</v>
      </c>
      <c r="K2429" s="3" t="s">
        <v>23</v>
      </c>
    </row>
    <row r="2430" spans="1:11" ht="42" customHeight="1">
      <c r="A2430" s="2" t="s">
        <v>6768</v>
      </c>
      <c r="B2430" s="2" t="s">
        <v>6769</v>
      </c>
      <c r="C2430" s="2" t="s">
        <v>67</v>
      </c>
      <c r="D2430" s="2" t="s">
        <v>27</v>
      </c>
      <c r="E2430" s="4">
        <v>-31885</v>
      </c>
      <c r="F2430" s="3" t="s">
        <v>750</v>
      </c>
      <c r="G2430" s="3" t="s">
        <v>5613</v>
      </c>
      <c r="H2430" s="2" t="s">
        <v>21</v>
      </c>
      <c r="I2430" s="2" t="s">
        <v>6770</v>
      </c>
      <c r="J2430" s="3" t="str">
        <f>HYPERLINK("https://www.boe.es/gazeta/dias/1812/09/12/pdfs/GMR-1812-13.pdf#page=6","Abrir facsímil")</f>
        <v>Abrir facsímil</v>
      </c>
      <c r="K2430" s="3" t="s">
        <v>23</v>
      </c>
    </row>
    <row r="2431" spans="1:11" ht="42" customHeight="1">
      <c r="A2431" s="2" t="s">
        <v>6771</v>
      </c>
      <c r="B2431" s="2" t="s">
        <v>6772</v>
      </c>
      <c r="C2431" s="2" t="s">
        <v>17</v>
      </c>
      <c r="D2431" s="2" t="s">
        <v>18</v>
      </c>
      <c r="E2431" s="4">
        <v>-31983</v>
      </c>
      <c r="F2431" s="3" t="s">
        <v>809</v>
      </c>
      <c r="G2431" s="3" t="s">
        <v>6773</v>
      </c>
      <c r="H2431" s="2" t="s">
        <v>30</v>
      </c>
      <c r="I2431" s="2" t="s">
        <v>6774</v>
      </c>
      <c r="J2431" s="3" t="str">
        <f>HYPERLINK("https://www.boe.es/gazeta/dias/1812/06/06/pdfs/GRE-1812-70.pdf#page=5","Abrir facsímil")</f>
        <v>Abrir facsímil</v>
      </c>
      <c r="K2431" s="3" t="s">
        <v>32</v>
      </c>
    </row>
    <row r="2432" spans="1:11" ht="42" customHeight="1">
      <c r="A2432" s="2" t="s">
        <v>6775</v>
      </c>
      <c r="B2432" s="2" t="s">
        <v>6776</v>
      </c>
      <c r="C2432" s="2" t="s">
        <v>26</v>
      </c>
      <c r="D2432" s="2" t="s">
        <v>27</v>
      </c>
      <c r="E2432" s="4">
        <v>-32034</v>
      </c>
      <c r="F2432" s="3" t="s">
        <v>28</v>
      </c>
      <c r="G2432" s="3" t="s">
        <v>20</v>
      </c>
      <c r="H2432" s="2" t="s">
        <v>21</v>
      </c>
      <c r="I2432" s="2" t="s">
        <v>6777</v>
      </c>
      <c r="J2432" s="3" t="str">
        <f>HYPERLINK("https://www.boe.es/gazeta/dias/1812/04/16/pdfs/GMD-1812-107.pdf#page=3","Abrir facsímil")</f>
        <v>Abrir facsímil</v>
      </c>
      <c r="K2432" s="3" t="s">
        <v>23</v>
      </c>
    </row>
    <row r="2433" spans="1:11" ht="42" customHeight="1">
      <c r="A2433" s="2" t="s">
        <v>6778</v>
      </c>
      <c r="B2433" s="2" t="s">
        <v>6779</v>
      </c>
      <c r="C2433" s="2" t="s">
        <v>186</v>
      </c>
      <c r="D2433" s="2" t="s">
        <v>27</v>
      </c>
      <c r="E2433" s="4">
        <v>-32011</v>
      </c>
      <c r="F2433" s="3" t="s">
        <v>1656</v>
      </c>
      <c r="G2433" s="3" t="s">
        <v>777</v>
      </c>
      <c r="H2433" s="2" t="s">
        <v>21</v>
      </c>
      <c r="I2433" s="2" t="s">
        <v>6780</v>
      </c>
      <c r="J2433" s="3" t="str">
        <f>HYPERLINK("https://www.boe.es/gazeta/dias/1812/05/09/pdfs/GMD-1812-130.pdf#page=2","Abrir facsímil")</f>
        <v>Abrir facsímil</v>
      </c>
      <c r="K2433" s="3" t="s">
        <v>23</v>
      </c>
    </row>
    <row r="2434" spans="1:11" ht="42" customHeight="1">
      <c r="A2434" s="2" t="s">
        <v>6781</v>
      </c>
      <c r="B2434" s="2" t="s">
        <v>6782</v>
      </c>
      <c r="C2434" s="2" t="s">
        <v>26</v>
      </c>
      <c r="D2434" s="2" t="s">
        <v>27</v>
      </c>
      <c r="E2434" s="4">
        <v>-32034</v>
      </c>
      <c r="F2434" s="3" t="s">
        <v>28</v>
      </c>
      <c r="G2434" s="3" t="s">
        <v>45</v>
      </c>
      <c r="H2434" s="2" t="s">
        <v>21</v>
      </c>
      <c r="I2434" s="2" t="s">
        <v>6783</v>
      </c>
      <c r="J2434" s="3" t="str">
        <f>HYPERLINK("https://www.boe.es/gazeta/dias/1812/04/16/pdfs/GMD-1812-107.pdf#page=5","Abrir facsímil")</f>
        <v>Abrir facsímil</v>
      </c>
      <c r="K2434" s="3" t="s">
        <v>23</v>
      </c>
    </row>
    <row r="2435" spans="1:11" ht="42" customHeight="1">
      <c r="A2435" s="2" t="s">
        <v>6784</v>
      </c>
      <c r="B2435" s="2" t="s">
        <v>6785</v>
      </c>
      <c r="C2435" s="2" t="s">
        <v>17</v>
      </c>
      <c r="D2435" s="2" t="s">
        <v>18</v>
      </c>
      <c r="E2435" s="4">
        <v>-31934</v>
      </c>
      <c r="F2435" s="3" t="s">
        <v>509</v>
      </c>
      <c r="G2435" s="3" t="s">
        <v>4482</v>
      </c>
      <c r="H2435" s="2" t="s">
        <v>21</v>
      </c>
      <c r="I2435" s="2" t="s">
        <v>6786</v>
      </c>
      <c r="J2435" s="3" t="str">
        <f>HYPERLINK("https://www.boe.es/gazeta/dias/1812/07/25/pdfs/GRE-1812-93.pdf#page=8","Abrir facsímil")</f>
        <v>Abrir facsímil</v>
      </c>
      <c r="K2435" s="3" t="s">
        <v>23</v>
      </c>
    </row>
    <row r="2436" spans="1:11" ht="42" customHeight="1">
      <c r="A2436" s="2" t="s">
        <v>6787</v>
      </c>
      <c r="B2436" s="2" t="s">
        <v>6788</v>
      </c>
      <c r="C2436" s="2" t="s">
        <v>17</v>
      </c>
      <c r="D2436" s="2" t="s">
        <v>18</v>
      </c>
      <c r="E2436" s="4">
        <v>-32118</v>
      </c>
      <c r="F2436" s="3" t="s">
        <v>1420</v>
      </c>
      <c r="G2436" s="3" t="s">
        <v>2433</v>
      </c>
      <c r="H2436" s="2" t="s">
        <v>21</v>
      </c>
      <c r="I2436" s="2" t="s">
        <v>6789</v>
      </c>
      <c r="J2436" s="3" t="str">
        <f>HYPERLINK("https://www.boe.es/gazeta/dias/1812/01/23/pdfs/GEI-1812-10.pdf#page=2","Abrir facsímil")</f>
        <v>Abrir facsímil</v>
      </c>
      <c r="K2436" s="3" t="s">
        <v>23</v>
      </c>
    </row>
    <row r="2437" spans="1:11" ht="42" customHeight="1">
      <c r="A2437" s="2" t="s">
        <v>6790</v>
      </c>
      <c r="B2437" s="2" t="s">
        <v>6791</v>
      </c>
      <c r="C2437" s="2" t="s">
        <v>26</v>
      </c>
      <c r="D2437" s="2" t="s">
        <v>27</v>
      </c>
      <c r="E2437" s="4">
        <v>-31940</v>
      </c>
      <c r="F2437" s="3" t="s">
        <v>187</v>
      </c>
      <c r="G2437" s="3" t="s">
        <v>45</v>
      </c>
      <c r="H2437" s="2" t="s">
        <v>21</v>
      </c>
      <c r="I2437" s="2" t="s">
        <v>6792</v>
      </c>
      <c r="J2437" s="3" t="str">
        <f>HYPERLINK("https://www.boe.es/gazeta/dias/1812/07/19/pdfs/GMD-1812-201.pdf#page=2","Abrir facsímil")</f>
        <v>Abrir facsímil</v>
      </c>
      <c r="K2437" s="3" t="s">
        <v>23</v>
      </c>
    </row>
    <row r="2438" spans="1:11" ht="42" customHeight="1">
      <c r="A2438" s="2" t="s">
        <v>6793</v>
      </c>
      <c r="B2438" s="2" t="s">
        <v>6794</v>
      </c>
      <c r="C2438" s="2" t="s">
        <v>26</v>
      </c>
      <c r="D2438" s="2" t="s">
        <v>27</v>
      </c>
      <c r="E2438" s="4">
        <v>-31901</v>
      </c>
      <c r="F2438" s="3" t="s">
        <v>2199</v>
      </c>
      <c r="G2438" s="3" t="s">
        <v>2200</v>
      </c>
      <c r="H2438" s="2" t="s">
        <v>21</v>
      </c>
      <c r="I2438" s="2" t="s">
        <v>6795</v>
      </c>
      <c r="J2438" s="3" t="str">
        <f>HYPERLINK("https://www.boe.es/gazeta/dias/1812/08/27/pdfs/GRE-1812-111.pdf#page=8","Abrir facsímil")</f>
        <v>Abrir facsímil</v>
      </c>
      <c r="K2438" s="3" t="s">
        <v>23</v>
      </c>
    </row>
    <row r="2439" spans="1:11" ht="42" customHeight="1">
      <c r="A2439" s="2" t="s">
        <v>6796</v>
      </c>
      <c r="B2439" s="2" t="s">
        <v>6797</v>
      </c>
      <c r="C2439" s="2" t="s">
        <v>26</v>
      </c>
      <c r="D2439" s="2" t="s">
        <v>27</v>
      </c>
      <c r="E2439" s="4">
        <v>-31882</v>
      </c>
      <c r="F2439" s="3" t="s">
        <v>1200</v>
      </c>
      <c r="G2439" s="3" t="s">
        <v>6798</v>
      </c>
      <c r="H2439" s="2" t="s">
        <v>21</v>
      </c>
      <c r="I2439" s="2" t="s">
        <v>6799</v>
      </c>
      <c r="J2439" s="3" t="str">
        <f>HYPERLINK("https://www.boe.es/gazeta/dias/1812/09/15/pdfs/GRE-1812-125.pdf#page=7","Abrir facsímil")</f>
        <v>Abrir facsímil</v>
      </c>
      <c r="K2439" s="3" t="s">
        <v>23</v>
      </c>
    </row>
    <row r="2440" spans="1:11" ht="42" customHeight="1">
      <c r="A2440" s="2" t="s">
        <v>6800</v>
      </c>
      <c r="B2440" s="2" t="s">
        <v>6801</v>
      </c>
      <c r="C2440" s="2" t="s">
        <v>26</v>
      </c>
      <c r="D2440" s="2" t="s">
        <v>27</v>
      </c>
      <c r="E2440" s="4">
        <v>-31922</v>
      </c>
      <c r="F2440" s="3" t="s">
        <v>622</v>
      </c>
      <c r="G2440" s="3" t="s">
        <v>623</v>
      </c>
      <c r="H2440" s="2" t="s">
        <v>21</v>
      </c>
      <c r="I2440" s="2" t="s">
        <v>6802</v>
      </c>
      <c r="J2440" s="3" t="str">
        <f>HYPERLINK("https://www.boe.es/gazeta/dias/1812/08/06/pdfs/GMD-1812-219.pdf#page=1","Abrir facsímil")</f>
        <v>Abrir facsímil</v>
      </c>
      <c r="K2440" s="3" t="s">
        <v>23</v>
      </c>
    </row>
    <row r="2441" spans="1:11" ht="42" customHeight="1">
      <c r="A2441" s="2" t="s">
        <v>6803</v>
      </c>
      <c r="B2441" s="2" t="s">
        <v>6804</v>
      </c>
      <c r="C2441" s="2" t="s">
        <v>26</v>
      </c>
      <c r="D2441" s="2" t="s">
        <v>27</v>
      </c>
      <c r="E2441" s="4">
        <v>-32055</v>
      </c>
      <c r="F2441" s="3" t="s">
        <v>1271</v>
      </c>
      <c r="G2441" s="3" t="s">
        <v>130</v>
      </c>
      <c r="H2441" s="2" t="s">
        <v>21</v>
      </c>
      <c r="I2441" s="2" t="s">
        <v>6805</v>
      </c>
      <c r="J2441" s="3" t="str">
        <f>HYPERLINK("https://www.boe.es/gazeta/dias/1812/03/26/pdfs/GMD-1812-86.pdf#page=4","Abrir facsímil")</f>
        <v>Abrir facsímil</v>
      </c>
      <c r="K2441" s="3" t="s">
        <v>23</v>
      </c>
    </row>
    <row r="2442" spans="1:11" ht="42" customHeight="1">
      <c r="A2442" s="2" t="s">
        <v>6806</v>
      </c>
      <c r="B2442" s="2" t="s">
        <v>6807</v>
      </c>
      <c r="C2442" s="2" t="s">
        <v>186</v>
      </c>
      <c r="D2442" s="2" t="s">
        <v>275</v>
      </c>
      <c r="E2442" s="4">
        <v>-31889</v>
      </c>
      <c r="F2442" s="3" t="s">
        <v>424</v>
      </c>
      <c r="G2442" s="3" t="s">
        <v>6808</v>
      </c>
      <c r="H2442" s="2" t="s">
        <v>21</v>
      </c>
      <c r="I2442" s="2" t="s">
        <v>6809</v>
      </c>
      <c r="J2442" s="3" t="str">
        <f>HYPERLINK("https://www.boe.es/gazeta/dias/1812/09/08/pdfs/GRE-1812-121.pdf#page=7","Abrir facsímil")</f>
        <v>Abrir facsímil</v>
      </c>
      <c r="K2442" s="3" t="s">
        <v>23</v>
      </c>
    </row>
    <row r="2443" spans="1:11" ht="42" customHeight="1">
      <c r="A2443" s="2" t="s">
        <v>6810</v>
      </c>
      <c r="B2443" s="2" t="s">
        <v>6811</v>
      </c>
      <c r="C2443" s="2" t="s">
        <v>26</v>
      </c>
      <c r="D2443" s="2" t="s">
        <v>27</v>
      </c>
      <c r="E2443" s="4">
        <v>-31878</v>
      </c>
      <c r="F2443" s="3" t="s">
        <v>1831</v>
      </c>
      <c r="G2443" s="3" t="s">
        <v>45</v>
      </c>
      <c r="H2443" s="2" t="s">
        <v>21</v>
      </c>
      <c r="I2443" s="2" t="s">
        <v>6812</v>
      </c>
      <c r="J2443" s="3" t="str">
        <f>HYPERLINK("https://www.boe.es/gazeta/dias/1812/09/19/pdfs/GMR-1812-16.pdf#page=6","Abrir facsímil")</f>
        <v>Abrir facsímil</v>
      </c>
      <c r="K2443" s="3" t="s">
        <v>23</v>
      </c>
    </row>
    <row r="2444" spans="1:11" ht="42" customHeight="1">
      <c r="A2444" s="2" t="s">
        <v>6813</v>
      </c>
      <c r="B2444" s="2" t="s">
        <v>6814</v>
      </c>
      <c r="C2444" s="2" t="s">
        <v>26</v>
      </c>
      <c r="D2444" s="2" t="s">
        <v>27</v>
      </c>
      <c r="E2444" s="4">
        <v>-31939</v>
      </c>
      <c r="F2444" s="3" t="s">
        <v>408</v>
      </c>
      <c r="G2444" s="3" t="s">
        <v>20</v>
      </c>
      <c r="H2444" s="2" t="s">
        <v>21</v>
      </c>
      <c r="I2444" s="2" t="s">
        <v>6815</v>
      </c>
      <c r="J2444" s="3" t="str">
        <f>HYPERLINK("https://www.boe.es/gazeta/dias/1812/07/20/pdfs/GMD-1812-202.pdf#page=4","Abrir facsímil")</f>
        <v>Abrir facsímil</v>
      </c>
      <c r="K2444" s="3" t="s">
        <v>23</v>
      </c>
    </row>
    <row r="2445" spans="1:11" ht="42" customHeight="1">
      <c r="A2445" s="2" t="s">
        <v>6816</v>
      </c>
      <c r="B2445" s="2" t="s">
        <v>6817</v>
      </c>
      <c r="C2445" s="2" t="s">
        <v>49</v>
      </c>
      <c r="D2445" s="2" t="s">
        <v>27</v>
      </c>
      <c r="E2445" s="4">
        <v>-32013</v>
      </c>
      <c r="F2445" s="3" t="s">
        <v>849</v>
      </c>
      <c r="G2445" s="3" t="s">
        <v>6818</v>
      </c>
      <c r="H2445" s="2" t="s">
        <v>30</v>
      </c>
      <c r="I2445" s="2" t="s">
        <v>6819</v>
      </c>
      <c r="J2445" s="3" t="str">
        <f>HYPERLINK("https://www.boe.es/gazeta/dias/1812/05/07/pdfs/GRE-1812-57.pdf#page=8","Abrir facsímil")</f>
        <v>Abrir facsímil</v>
      </c>
      <c r="K2445" s="3" t="s">
        <v>32</v>
      </c>
    </row>
    <row r="2446" spans="1:11" ht="42" customHeight="1">
      <c r="A2446" s="2" t="s">
        <v>6820</v>
      </c>
      <c r="B2446" s="2" t="s">
        <v>6821</v>
      </c>
      <c r="C2446" s="2" t="s">
        <v>26</v>
      </c>
      <c r="D2446" s="2" t="s">
        <v>27</v>
      </c>
      <c r="E2446" s="4">
        <v>-32000</v>
      </c>
      <c r="F2446" s="3" t="s">
        <v>878</v>
      </c>
      <c r="G2446" s="3" t="s">
        <v>214</v>
      </c>
      <c r="H2446" s="2" t="s">
        <v>21</v>
      </c>
      <c r="I2446" s="2" t="s">
        <v>6822</v>
      </c>
      <c r="J2446" s="3" t="str">
        <f>HYPERLINK("https://www.boe.es/gazeta/dias/1812/05/20/pdfs/GMD-1812-141.pdf#page=2","Abrir facsímil")</f>
        <v>Abrir facsímil</v>
      </c>
      <c r="K2446" s="3" t="s">
        <v>23</v>
      </c>
    </row>
    <row r="2447" spans="1:11" ht="42" customHeight="1">
      <c r="A2447" s="2" t="s">
        <v>6823</v>
      </c>
      <c r="B2447" s="2" t="s">
        <v>6824</v>
      </c>
      <c r="C2447" s="2" t="s">
        <v>26</v>
      </c>
      <c r="D2447" s="2" t="s">
        <v>27</v>
      </c>
      <c r="E2447" s="4">
        <v>-31940</v>
      </c>
      <c r="F2447" s="3" t="s">
        <v>187</v>
      </c>
      <c r="G2447" s="3" t="s">
        <v>404</v>
      </c>
      <c r="H2447" s="2" t="s">
        <v>21</v>
      </c>
      <c r="I2447" s="2" t="s">
        <v>6825</v>
      </c>
      <c r="J2447" s="3" t="str">
        <f>HYPERLINK("https://www.boe.es/gazeta/dias/1812/07/19/pdfs/GMD-1812-201.pdf#page=3","Abrir facsímil")</f>
        <v>Abrir facsímil</v>
      </c>
      <c r="K2447" s="3" t="s">
        <v>23</v>
      </c>
    </row>
    <row r="2448" spans="1:11" ht="42" customHeight="1">
      <c r="A2448" s="2" t="s">
        <v>6826</v>
      </c>
      <c r="B2448" s="2" t="s">
        <v>6827</v>
      </c>
      <c r="C2448" s="2" t="s">
        <v>26</v>
      </c>
      <c r="D2448" s="2" t="s">
        <v>27</v>
      </c>
      <c r="E2448" s="4">
        <v>-31963</v>
      </c>
      <c r="F2448" s="3" t="s">
        <v>171</v>
      </c>
      <c r="G2448" s="3" t="s">
        <v>1653</v>
      </c>
      <c r="H2448" s="2" t="s">
        <v>21</v>
      </c>
      <c r="I2448" s="2" t="s">
        <v>6828</v>
      </c>
      <c r="J2448" s="3" t="str">
        <f>HYPERLINK("https://www.boe.es/gazeta/dias/1812/06/26/pdfs/GMD-1812-178.pdf#page=2","Abrir facsímil")</f>
        <v>Abrir facsímil</v>
      </c>
      <c r="K2448" s="3" t="s">
        <v>23</v>
      </c>
    </row>
    <row r="2449" spans="1:11" ht="42" customHeight="1">
      <c r="A2449" s="2" t="s">
        <v>6829</v>
      </c>
      <c r="B2449" s="2" t="s">
        <v>6830</v>
      </c>
      <c r="C2449" s="2" t="s">
        <v>105</v>
      </c>
      <c r="D2449" s="2" t="s">
        <v>27</v>
      </c>
      <c r="E2449" s="4">
        <v>-32013</v>
      </c>
      <c r="F2449" s="3" t="s">
        <v>849</v>
      </c>
      <c r="G2449" s="3" t="s">
        <v>6831</v>
      </c>
      <c r="H2449" s="2" t="s">
        <v>21</v>
      </c>
      <c r="I2449" s="2" t="s">
        <v>6832</v>
      </c>
      <c r="J2449" s="3" t="str">
        <f>HYPERLINK("https://www.boe.es/gazeta/dias/1812/05/07/pdfs/GRE-1812-57.pdf#page=3","Abrir facsímil")</f>
        <v>Abrir facsímil</v>
      </c>
      <c r="K2449" s="3" t="s">
        <v>23</v>
      </c>
    </row>
    <row r="2450" spans="1:11" ht="42" customHeight="1">
      <c r="A2450" s="2" t="s">
        <v>6833</v>
      </c>
      <c r="B2450" s="2" t="s">
        <v>6834</v>
      </c>
      <c r="C2450" s="2" t="s">
        <v>26</v>
      </c>
      <c r="D2450" s="2" t="s">
        <v>27</v>
      </c>
      <c r="E2450" s="4">
        <v>-32139</v>
      </c>
      <c r="F2450" s="3" t="s">
        <v>518</v>
      </c>
      <c r="G2450" s="3" t="s">
        <v>125</v>
      </c>
      <c r="H2450" s="2" t="s">
        <v>21</v>
      </c>
      <c r="I2450" s="2" t="s">
        <v>6835</v>
      </c>
      <c r="J2450" s="3" t="str">
        <f>HYPERLINK("https://www.boe.es/gazeta/dias/1812/01/02/pdfs/GEI-1812-1.pdf#page=8","Abrir facsímil")</f>
        <v>Abrir facsímil</v>
      </c>
      <c r="K2450" s="3" t="s">
        <v>23</v>
      </c>
    </row>
    <row r="2451" spans="1:11" ht="42" customHeight="1">
      <c r="A2451" s="2" t="s">
        <v>6836</v>
      </c>
      <c r="B2451" s="2" t="s">
        <v>6837</v>
      </c>
      <c r="C2451" s="2" t="s">
        <v>26</v>
      </c>
      <c r="D2451" s="2" t="s">
        <v>27</v>
      </c>
      <c r="E2451" s="4">
        <v>-32050</v>
      </c>
      <c r="F2451" s="3" t="s">
        <v>864</v>
      </c>
      <c r="G2451" s="3" t="s">
        <v>29</v>
      </c>
      <c r="H2451" s="2" t="s">
        <v>21</v>
      </c>
      <c r="I2451" s="2" t="s">
        <v>6838</v>
      </c>
      <c r="J2451" s="3" t="str">
        <f>HYPERLINK("https://www.boe.es/gazeta/dias/1812/03/31/pdfs/GRE-1812-40.pdf#page=8","Abrir facsímil")</f>
        <v>Abrir facsímil</v>
      </c>
      <c r="K2451" s="3" t="s">
        <v>23</v>
      </c>
    </row>
    <row r="2452" spans="1:11" ht="42" customHeight="1">
      <c r="A2452" s="2" t="s">
        <v>6839</v>
      </c>
      <c r="B2452" s="2" t="s">
        <v>6840</v>
      </c>
      <c r="C2452" s="2" t="s">
        <v>26</v>
      </c>
      <c r="D2452" s="2" t="s">
        <v>27</v>
      </c>
      <c r="E2452" s="4">
        <v>-31940</v>
      </c>
      <c r="F2452" s="3" t="s">
        <v>187</v>
      </c>
      <c r="G2452" s="3" t="s">
        <v>404</v>
      </c>
      <c r="H2452" s="2" t="s">
        <v>30</v>
      </c>
      <c r="I2452" s="2" t="s">
        <v>6841</v>
      </c>
      <c r="J2452" s="3" t="str">
        <f>HYPERLINK("https://www.boe.es/gazeta/dias/1812/07/19/pdfs/GMD-1812-201.pdf#page=3","Abrir facsímil")</f>
        <v>Abrir facsímil</v>
      </c>
      <c r="K2452" s="3" t="s">
        <v>32</v>
      </c>
    </row>
    <row r="2453" spans="1:11" ht="42" customHeight="1">
      <c r="A2453" s="2" t="s">
        <v>6842</v>
      </c>
      <c r="B2453" s="2" t="s">
        <v>6843</v>
      </c>
      <c r="C2453" s="2" t="s">
        <v>49</v>
      </c>
      <c r="D2453" s="2" t="s">
        <v>27</v>
      </c>
      <c r="E2453" s="4">
        <v>-32109</v>
      </c>
      <c r="F2453" s="3" t="s">
        <v>62</v>
      </c>
      <c r="G2453" s="3" t="s">
        <v>63</v>
      </c>
      <c r="H2453" s="2" t="s">
        <v>30</v>
      </c>
      <c r="I2453" s="2" t="s">
        <v>6844</v>
      </c>
      <c r="J2453" s="3" t="str">
        <f>HYPERLINK("https://www.boe.es/gazeta/dias/1812/02/01/pdfs/GRE-1812-14.pdf#page=10","Abrir facsímil")</f>
        <v>Abrir facsímil</v>
      </c>
      <c r="K2453" s="3" t="s">
        <v>32</v>
      </c>
    </row>
    <row r="2454" spans="1:11" ht="42" customHeight="1">
      <c r="A2454" s="2" t="s">
        <v>6845</v>
      </c>
      <c r="B2454" s="2" t="s">
        <v>6846</v>
      </c>
      <c r="C2454" s="2" t="s">
        <v>26</v>
      </c>
      <c r="D2454" s="2" t="s">
        <v>27</v>
      </c>
      <c r="E2454" s="4">
        <v>-32055</v>
      </c>
      <c r="F2454" s="3" t="s">
        <v>1271</v>
      </c>
      <c r="G2454" s="3" t="s">
        <v>130</v>
      </c>
      <c r="H2454" s="2" t="s">
        <v>30</v>
      </c>
      <c r="I2454" s="2" t="s">
        <v>6847</v>
      </c>
      <c r="J2454" s="3" t="str">
        <f>HYPERLINK("https://www.boe.es/gazeta/dias/1812/03/26/pdfs/GMD-1812-86.pdf#page=4","Abrir facsímil")</f>
        <v>Abrir facsímil</v>
      </c>
      <c r="K2454" s="3" t="s">
        <v>32</v>
      </c>
    </row>
    <row r="2455" spans="1:11" ht="42" customHeight="1">
      <c r="A2455" s="2" t="s">
        <v>6848</v>
      </c>
      <c r="B2455" s="2" t="s">
        <v>6849</v>
      </c>
      <c r="C2455" s="2" t="s">
        <v>17</v>
      </c>
      <c r="D2455" s="2" t="s">
        <v>27</v>
      </c>
      <c r="E2455" s="4">
        <v>-32060</v>
      </c>
      <c r="F2455" s="3" t="s">
        <v>399</v>
      </c>
      <c r="G2455" s="3" t="s">
        <v>136</v>
      </c>
      <c r="H2455" s="2" t="s">
        <v>30</v>
      </c>
      <c r="I2455" s="2" t="s">
        <v>6850</v>
      </c>
      <c r="J2455" s="3" t="str">
        <f>HYPERLINK("https://www.boe.es/gazeta/dias/1812/03/21/pdfs/GMD-1812-81.pdf#page=4","Abrir facsímil")</f>
        <v>Abrir facsímil</v>
      </c>
      <c r="K2455" s="3" t="s">
        <v>32</v>
      </c>
    </row>
    <row r="2456" spans="1:11" ht="42" customHeight="1">
      <c r="A2456" s="2" t="s">
        <v>6848</v>
      </c>
      <c r="B2456" s="2" t="s">
        <v>6849</v>
      </c>
      <c r="C2456" s="2" t="s">
        <v>26</v>
      </c>
      <c r="D2456" s="2" t="s">
        <v>27</v>
      </c>
      <c r="E2456" s="4">
        <v>-32034</v>
      </c>
      <c r="F2456" s="3" t="s">
        <v>28</v>
      </c>
      <c r="G2456" s="3" t="s">
        <v>45</v>
      </c>
      <c r="H2456" s="2" t="s">
        <v>30</v>
      </c>
      <c r="I2456" s="2" t="s">
        <v>6851</v>
      </c>
      <c r="J2456" s="3" t="str">
        <f>HYPERLINK("https://www.boe.es/gazeta/dias/1812/04/16/pdfs/GMD-1812-107.pdf#page=5","Abrir facsímil")</f>
        <v>Abrir facsímil</v>
      </c>
      <c r="K2456" s="3" t="s">
        <v>32</v>
      </c>
    </row>
    <row r="2457" spans="1:11" ht="42" customHeight="1">
      <c r="A2457" s="2" t="s">
        <v>6852</v>
      </c>
      <c r="B2457" s="2" t="s">
        <v>6853</v>
      </c>
      <c r="C2457" s="2" t="s">
        <v>17</v>
      </c>
      <c r="D2457" s="2" t="s">
        <v>18</v>
      </c>
      <c r="E2457" s="4">
        <v>-31901</v>
      </c>
      <c r="F2457" s="3" t="s">
        <v>590</v>
      </c>
      <c r="G2457" s="3" t="s">
        <v>674</v>
      </c>
      <c r="H2457" s="2" t="s">
        <v>30</v>
      </c>
      <c r="I2457" s="2" t="s">
        <v>6854</v>
      </c>
      <c r="J2457" s="3" t="str">
        <f>HYPERLINK("https://www.boe.es/gazeta/dias/1812/08/27/pdfs/GMR-1812-6.pdf#page=6","Abrir facsímil")</f>
        <v>Abrir facsímil</v>
      </c>
      <c r="K2457" s="3" t="s">
        <v>32</v>
      </c>
    </row>
    <row r="2458" spans="1:11" ht="42" customHeight="1">
      <c r="A2458" s="2" t="s">
        <v>6855</v>
      </c>
      <c r="B2458" s="2" t="s">
        <v>6856</v>
      </c>
      <c r="C2458" s="2" t="s">
        <v>26</v>
      </c>
      <c r="D2458" s="2" t="s">
        <v>27</v>
      </c>
      <c r="E2458" s="4">
        <v>-31965</v>
      </c>
      <c r="F2458" s="3" t="s">
        <v>1180</v>
      </c>
      <c r="G2458" s="3" t="s">
        <v>777</v>
      </c>
      <c r="H2458" s="2" t="s">
        <v>30</v>
      </c>
      <c r="I2458" s="2" t="s">
        <v>6857</v>
      </c>
      <c r="J2458" s="3" t="str">
        <f>HYPERLINK("https://www.boe.es/gazeta/dias/1812/06/24/pdfs/GMD-1812-176.pdf#page=2","Abrir facsímil")</f>
        <v>Abrir facsímil</v>
      </c>
      <c r="K2458" s="3" t="s">
        <v>32</v>
      </c>
    </row>
    <row r="2459" spans="1:11" ht="42" customHeight="1">
      <c r="A2459" s="2" t="s">
        <v>6858</v>
      </c>
      <c r="B2459" s="2" t="s">
        <v>6859</v>
      </c>
      <c r="C2459" s="2" t="s">
        <v>105</v>
      </c>
      <c r="D2459" s="2" t="s">
        <v>27</v>
      </c>
      <c r="E2459" s="4">
        <v>-31936</v>
      </c>
      <c r="F2459" s="3" t="s">
        <v>614</v>
      </c>
      <c r="G2459" s="3" t="s">
        <v>6860</v>
      </c>
      <c r="H2459" s="2" t="s">
        <v>21</v>
      </c>
      <c r="I2459" s="2" t="s">
        <v>6861</v>
      </c>
      <c r="J2459" s="3" t="str">
        <f>HYPERLINK("https://www.boe.es/gazeta/dias/1812/07/23/pdfs/GRE-1812-92.pdf#page=4","Abrir facsímil")</f>
        <v>Abrir facsímil</v>
      </c>
      <c r="K2459" s="3" t="s">
        <v>23</v>
      </c>
    </row>
    <row r="2460" spans="1:11" ht="42" customHeight="1">
      <c r="A2460" s="2" t="s">
        <v>6862</v>
      </c>
      <c r="B2460" s="2" t="s">
        <v>6863</v>
      </c>
      <c r="C2460" s="2" t="s">
        <v>186</v>
      </c>
      <c r="D2460" s="2" t="s">
        <v>27</v>
      </c>
      <c r="E2460" s="4">
        <v>-32069</v>
      </c>
      <c r="F2460" s="3" t="s">
        <v>569</v>
      </c>
      <c r="G2460" s="3" t="s">
        <v>182</v>
      </c>
      <c r="H2460" s="2" t="s">
        <v>21</v>
      </c>
      <c r="I2460" s="2" t="s">
        <v>6864</v>
      </c>
      <c r="J2460" s="3" t="str">
        <f>HYPERLINK("https://www.boe.es/gazeta/dias/1812/03/12/pdfs/GMD-1812-72.pdf#page=4","Abrir facsímil")</f>
        <v>Abrir facsímil</v>
      </c>
      <c r="K2460" s="3" t="s">
        <v>23</v>
      </c>
    </row>
    <row r="2461" spans="1:11" ht="42" customHeight="1">
      <c r="A2461" s="2" t="s">
        <v>6865</v>
      </c>
      <c r="B2461" s="2" t="s">
        <v>6866</v>
      </c>
      <c r="C2461" s="2" t="s">
        <v>67</v>
      </c>
      <c r="D2461" s="2" t="s">
        <v>27</v>
      </c>
      <c r="E2461" s="4">
        <v>-32057</v>
      </c>
      <c r="F2461" s="3" t="s">
        <v>225</v>
      </c>
      <c r="G2461" s="3" t="s">
        <v>1076</v>
      </c>
      <c r="H2461" s="2" t="s">
        <v>21</v>
      </c>
      <c r="I2461" s="2" t="s">
        <v>6867</v>
      </c>
      <c r="J2461" s="3" t="str">
        <f>HYPERLINK("https://www.boe.es/gazeta/dias/1812/03/24/pdfs/GMD-1812-84.pdf#page=4","Abrir facsímil")</f>
        <v>Abrir facsímil</v>
      </c>
      <c r="K2461" s="3" t="s">
        <v>23</v>
      </c>
    </row>
    <row r="2462" spans="1:11" ht="42" customHeight="1">
      <c r="A2462" s="2" t="s">
        <v>6868</v>
      </c>
      <c r="B2462" s="2" t="s">
        <v>6869</v>
      </c>
      <c r="C2462" s="2" t="s">
        <v>67</v>
      </c>
      <c r="D2462" s="2" t="s">
        <v>27</v>
      </c>
      <c r="E2462" s="4">
        <v>-31948</v>
      </c>
      <c r="F2462" s="3" t="s">
        <v>6870</v>
      </c>
      <c r="G2462" s="3" t="s">
        <v>172</v>
      </c>
      <c r="H2462" s="2" t="s">
        <v>21</v>
      </c>
      <c r="I2462" s="2" t="s">
        <v>6871</v>
      </c>
      <c r="J2462" s="3" t="str">
        <f>HYPERLINK("https://www.boe.es/gazeta/dias/1812/07/11/pdfs/GMD-1812-193.pdf#page=4","Abrir facsímil")</f>
        <v>Abrir facsímil</v>
      </c>
      <c r="K2462" s="3" t="s">
        <v>23</v>
      </c>
    </row>
    <row r="2463" spans="1:11" ht="42" customHeight="1">
      <c r="A2463" s="2" t="s">
        <v>6868</v>
      </c>
      <c r="B2463" s="2" t="s">
        <v>6869</v>
      </c>
      <c r="C2463" s="2" t="s">
        <v>26</v>
      </c>
      <c r="D2463" s="2" t="s">
        <v>27</v>
      </c>
      <c r="E2463" s="4">
        <v>-31942</v>
      </c>
      <c r="F2463" s="3" t="s">
        <v>3065</v>
      </c>
      <c r="G2463" s="3" t="s">
        <v>20</v>
      </c>
      <c r="H2463" s="2" t="s">
        <v>21</v>
      </c>
      <c r="I2463" s="2" t="s">
        <v>6872</v>
      </c>
      <c r="J2463" s="3" t="str">
        <f>HYPERLINK("https://www.boe.es/gazeta/dias/1812/07/17/pdfs/GMD-1812-199.pdf#page=4","Abrir facsímil")</f>
        <v>Abrir facsímil</v>
      </c>
      <c r="K2463" s="3" t="s">
        <v>23</v>
      </c>
    </row>
    <row r="2464" spans="1:11" ht="42" customHeight="1">
      <c r="A2464" s="2" t="s">
        <v>6873</v>
      </c>
      <c r="B2464" s="2" t="s">
        <v>6874</v>
      </c>
      <c r="C2464" s="2" t="s">
        <v>17</v>
      </c>
      <c r="D2464" s="2" t="s">
        <v>27</v>
      </c>
      <c r="E2464" s="4">
        <v>-32034</v>
      </c>
      <c r="F2464" s="3" t="s">
        <v>28</v>
      </c>
      <c r="G2464" s="3" t="s">
        <v>20</v>
      </c>
      <c r="H2464" s="2" t="s">
        <v>21</v>
      </c>
      <c r="I2464" s="2" t="s">
        <v>6875</v>
      </c>
      <c r="J2464" s="3" t="str">
        <f>HYPERLINK("https://www.boe.es/gazeta/dias/1812/04/16/pdfs/GMD-1812-107.pdf#page=3","Abrir facsímil")</f>
        <v>Abrir facsímil</v>
      </c>
      <c r="K2464" s="3" t="s">
        <v>23</v>
      </c>
    </row>
    <row r="2465" spans="1:11" ht="42" customHeight="1">
      <c r="A2465" s="2" t="s">
        <v>6876</v>
      </c>
      <c r="B2465" s="2" t="s">
        <v>6877</v>
      </c>
      <c r="C2465" s="2" t="s">
        <v>26</v>
      </c>
      <c r="D2465" s="2" t="s">
        <v>194</v>
      </c>
      <c r="E2465" s="4">
        <v>-32068</v>
      </c>
      <c r="F2465" s="3" t="s">
        <v>2608</v>
      </c>
      <c r="G2465" s="3" t="s">
        <v>130</v>
      </c>
      <c r="H2465" s="2" t="s">
        <v>21</v>
      </c>
      <c r="I2465" s="2" t="s">
        <v>6878</v>
      </c>
      <c r="J2465" s="3" t="str">
        <f>HYPERLINK("https://www.boe.es/gazeta/dias/1812/03/13/pdfs/GMD-1812-73.pdf#page=4","Abrir facsímil")</f>
        <v>Abrir facsímil</v>
      </c>
      <c r="K2465" s="3" t="s">
        <v>23</v>
      </c>
    </row>
    <row r="2466" spans="1:11" ht="42" customHeight="1">
      <c r="A2466" s="2" t="s">
        <v>6879</v>
      </c>
      <c r="B2466" s="2" t="s">
        <v>6880</v>
      </c>
      <c r="C2466" s="2" t="s">
        <v>105</v>
      </c>
      <c r="D2466" s="2" t="s">
        <v>27</v>
      </c>
      <c r="E2466" s="4">
        <v>-31997</v>
      </c>
      <c r="F2466" s="3" t="s">
        <v>6881</v>
      </c>
      <c r="G2466" s="3" t="s">
        <v>6882</v>
      </c>
      <c r="H2466" s="2" t="s">
        <v>21</v>
      </c>
      <c r="I2466" s="2" t="s">
        <v>6883</v>
      </c>
      <c r="J2466" s="3" t="str">
        <f>HYPERLINK("https://www.boe.es/gazeta/dias/1812/05/23/pdfs/GRE-1812-64.pdf#page=4","Abrir facsímil")</f>
        <v>Abrir facsímil</v>
      </c>
      <c r="K2466" s="3" t="s">
        <v>23</v>
      </c>
    </row>
    <row r="2467" spans="1:11" ht="42" customHeight="1">
      <c r="A2467" s="2" t="s">
        <v>6884</v>
      </c>
      <c r="B2467" s="2" t="s">
        <v>6885</v>
      </c>
      <c r="C2467" s="2" t="s">
        <v>186</v>
      </c>
      <c r="D2467" s="2" t="s">
        <v>27</v>
      </c>
      <c r="E2467" s="4">
        <v>-32004</v>
      </c>
      <c r="F2467" s="3" t="s">
        <v>5305</v>
      </c>
      <c r="G2467" s="3" t="s">
        <v>140</v>
      </c>
      <c r="H2467" s="2" t="s">
        <v>21</v>
      </c>
      <c r="I2467" s="2" t="s">
        <v>6886</v>
      </c>
      <c r="J2467" s="3" t="str">
        <f>HYPERLINK("https://www.boe.es/gazeta/dias/1812/05/16/pdfs/GMD-1812-137.pdf#page=2","Abrir facsímil")</f>
        <v>Abrir facsímil</v>
      </c>
      <c r="K2467" s="3" t="s">
        <v>23</v>
      </c>
    </row>
    <row r="2468" spans="1:11" ht="42" customHeight="1">
      <c r="A2468" s="2" t="s">
        <v>6887</v>
      </c>
      <c r="B2468" s="2" t="s">
        <v>6888</v>
      </c>
      <c r="C2468" s="2" t="s">
        <v>115</v>
      </c>
      <c r="D2468" s="2" t="s">
        <v>27</v>
      </c>
      <c r="E2468" s="4">
        <v>-31963</v>
      </c>
      <c r="F2468" s="3" t="s">
        <v>171</v>
      </c>
      <c r="G2468" s="3" t="s">
        <v>172</v>
      </c>
      <c r="H2468" s="2" t="s">
        <v>21</v>
      </c>
      <c r="I2468" s="2" t="s">
        <v>6889</v>
      </c>
      <c r="J2468" s="3" t="str">
        <f>HYPERLINK("https://www.boe.es/gazeta/dias/1812/06/26/pdfs/GMD-1812-178.pdf#page=3","Abrir facsímil")</f>
        <v>Abrir facsímil</v>
      </c>
      <c r="K2468" s="3" t="s">
        <v>23</v>
      </c>
    </row>
    <row r="2469" spans="1:11" ht="42" customHeight="1">
      <c r="A2469" s="2" t="s">
        <v>6890</v>
      </c>
      <c r="B2469" s="2" t="s">
        <v>6891</v>
      </c>
      <c r="C2469" s="2" t="s">
        <v>67</v>
      </c>
      <c r="D2469" s="2" t="s">
        <v>27</v>
      </c>
      <c r="E2469" s="4">
        <v>-32076</v>
      </c>
      <c r="F2469" s="3" t="s">
        <v>1610</v>
      </c>
      <c r="G2469" s="3" t="s">
        <v>36</v>
      </c>
      <c r="H2469" s="2" t="s">
        <v>21</v>
      </c>
      <c r="I2469" s="2" t="s">
        <v>6892</v>
      </c>
      <c r="J2469" s="3" t="str">
        <f>HYPERLINK("https://www.boe.es/gazeta/dias/1812/03/05/pdfs/GMD-1812-65.pdf#page=3","Abrir facsímil")</f>
        <v>Abrir facsímil</v>
      </c>
      <c r="K2469" s="3" t="s">
        <v>23</v>
      </c>
    </row>
    <row r="2470" spans="1:11" ht="42" customHeight="1">
      <c r="A2470" s="2" t="s">
        <v>6893</v>
      </c>
      <c r="B2470" s="2" t="s">
        <v>6894</v>
      </c>
      <c r="C2470" s="2" t="s">
        <v>26</v>
      </c>
      <c r="D2470" s="2" t="s">
        <v>27</v>
      </c>
      <c r="E2470" s="4">
        <v>-32005</v>
      </c>
      <c r="F2470" s="3" t="s">
        <v>2696</v>
      </c>
      <c r="G2470" s="3" t="s">
        <v>1293</v>
      </c>
      <c r="H2470" s="2" t="s">
        <v>21</v>
      </c>
      <c r="I2470" s="2" t="s">
        <v>6895</v>
      </c>
      <c r="J2470" s="3" t="str">
        <f>HYPERLINK("https://www.boe.es/gazeta/dias/1812/05/15/pdfs/GMD-1812-136.pdf#page=1","Abrir facsímil")</f>
        <v>Abrir facsímil</v>
      </c>
      <c r="K2470" s="3" t="s">
        <v>23</v>
      </c>
    </row>
    <row r="2471" spans="1:11" ht="42" customHeight="1">
      <c r="A2471" s="2" t="s">
        <v>6896</v>
      </c>
      <c r="B2471" s="2" t="s">
        <v>6897</v>
      </c>
      <c r="C2471" s="2" t="s">
        <v>49</v>
      </c>
      <c r="D2471" s="2" t="s">
        <v>27</v>
      </c>
      <c r="E2471" s="4">
        <v>-31857</v>
      </c>
      <c r="F2471" s="3" t="s">
        <v>1000</v>
      </c>
      <c r="G2471" s="3" t="s">
        <v>1001</v>
      </c>
      <c r="H2471" s="2" t="s">
        <v>21</v>
      </c>
      <c r="I2471" s="2" t="s">
        <v>6898</v>
      </c>
      <c r="J2471" s="3" t="str">
        <f>HYPERLINK("https://www.boe.es/gazeta/dias/1812/10/10/pdfs/GRE-1812-137.pdf#page=7","Abrir facsímil")</f>
        <v>Abrir facsímil</v>
      </c>
      <c r="K2471" s="3" t="s">
        <v>23</v>
      </c>
    </row>
    <row r="2472" spans="1:11" ht="42" customHeight="1">
      <c r="A2472" s="2" t="s">
        <v>6899</v>
      </c>
      <c r="B2472" s="2" t="s">
        <v>6900</v>
      </c>
      <c r="C2472" s="2" t="s">
        <v>26</v>
      </c>
      <c r="D2472" s="2" t="s">
        <v>275</v>
      </c>
      <c r="E2472" s="4">
        <v>-31850</v>
      </c>
      <c r="F2472" s="3" t="s">
        <v>719</v>
      </c>
      <c r="G2472" s="3" t="s">
        <v>777</v>
      </c>
      <c r="H2472" s="2" t="s">
        <v>21</v>
      </c>
      <c r="I2472" s="2" t="s">
        <v>6901</v>
      </c>
      <c r="J2472" s="3" t="str">
        <f>HYPERLINK("https://www.boe.es/gazeta/dias/1812/10/17/pdfs/GMR-1812-28.pdf#page=3","Abrir facsímil")</f>
        <v>Abrir facsímil</v>
      </c>
      <c r="K2472" s="3" t="s">
        <v>23</v>
      </c>
    </row>
    <row r="2473" spans="1:11" ht="42" customHeight="1">
      <c r="A2473" s="2" t="s">
        <v>6902</v>
      </c>
      <c r="B2473" s="2" t="s">
        <v>6903</v>
      </c>
      <c r="C2473" s="2" t="s">
        <v>105</v>
      </c>
      <c r="D2473" s="2" t="s">
        <v>27</v>
      </c>
      <c r="E2473" s="4">
        <v>-31965</v>
      </c>
      <c r="F2473" s="3" t="s">
        <v>1180</v>
      </c>
      <c r="G2473" s="3" t="s">
        <v>777</v>
      </c>
      <c r="H2473" s="2" t="s">
        <v>21</v>
      </c>
      <c r="I2473" s="2" t="s">
        <v>6904</v>
      </c>
      <c r="J2473" s="3" t="str">
        <f>HYPERLINK("https://www.boe.es/gazeta/dias/1812/06/24/pdfs/GMD-1812-176.pdf#page=2","Abrir facsímil")</f>
        <v>Abrir facsímil</v>
      </c>
      <c r="K2473" s="3" t="s">
        <v>23</v>
      </c>
    </row>
    <row r="2474" spans="1:11" ht="42" customHeight="1">
      <c r="A2474" s="2" t="s">
        <v>6905</v>
      </c>
      <c r="B2474" s="2" t="s">
        <v>6906</v>
      </c>
      <c r="C2474" s="2" t="s">
        <v>26</v>
      </c>
      <c r="D2474" s="2" t="s">
        <v>27</v>
      </c>
      <c r="E2474" s="4">
        <v>-32000</v>
      </c>
      <c r="F2474" s="3" t="s">
        <v>878</v>
      </c>
      <c r="G2474" s="3" t="s">
        <v>214</v>
      </c>
      <c r="H2474" s="2" t="s">
        <v>21</v>
      </c>
      <c r="I2474" s="2" t="s">
        <v>6907</v>
      </c>
      <c r="J2474" s="3" t="str">
        <f>HYPERLINK("https://www.boe.es/gazeta/dias/1812/05/20/pdfs/GMD-1812-141.pdf#page=2","Abrir facsímil")</f>
        <v>Abrir facsímil</v>
      </c>
      <c r="K2474" s="3" t="s">
        <v>23</v>
      </c>
    </row>
    <row r="2475" spans="1:11" ht="42" customHeight="1">
      <c r="A2475" s="2" t="s">
        <v>6908</v>
      </c>
      <c r="B2475" s="2" t="s">
        <v>6909</v>
      </c>
      <c r="C2475" s="2" t="s">
        <v>26</v>
      </c>
      <c r="D2475" s="2" t="s">
        <v>27</v>
      </c>
      <c r="E2475" s="4">
        <v>-32034</v>
      </c>
      <c r="F2475" s="3" t="s">
        <v>28</v>
      </c>
      <c r="G2475" s="3" t="s">
        <v>130</v>
      </c>
      <c r="H2475" s="2" t="s">
        <v>21</v>
      </c>
      <c r="I2475" s="2" t="s">
        <v>6910</v>
      </c>
      <c r="J2475" s="3" t="str">
        <f>HYPERLINK("https://www.boe.es/gazeta/dias/1812/04/16/pdfs/GMD-1812-107.pdf#page=4","Abrir facsímil")</f>
        <v>Abrir facsímil</v>
      </c>
      <c r="K2475" s="3" t="s">
        <v>23</v>
      </c>
    </row>
    <row r="2476" spans="1:11" ht="42" customHeight="1">
      <c r="A2476" s="2" t="s">
        <v>6911</v>
      </c>
      <c r="B2476" s="2" t="s">
        <v>6912</v>
      </c>
      <c r="C2476" s="2" t="s">
        <v>26</v>
      </c>
      <c r="D2476" s="2" t="s">
        <v>27</v>
      </c>
      <c r="E2476" s="4">
        <v>-31988</v>
      </c>
      <c r="F2476" s="3" t="s">
        <v>1094</v>
      </c>
      <c r="G2476" s="3" t="s">
        <v>36</v>
      </c>
      <c r="H2476" s="2" t="s">
        <v>21</v>
      </c>
      <c r="I2476" s="2" t="s">
        <v>6913</v>
      </c>
      <c r="J2476" s="3" t="str">
        <f>HYPERLINK("https://www.boe.es/gazeta/dias/1812/06/01/pdfs/GMD-1812-153.pdf#page=3","Abrir facsímil")</f>
        <v>Abrir facsímil</v>
      </c>
      <c r="K2476" s="3" t="s">
        <v>23</v>
      </c>
    </row>
    <row r="2477" spans="1:11" ht="42" customHeight="1">
      <c r="A2477" s="2" t="s">
        <v>6914</v>
      </c>
      <c r="B2477" s="2" t="s">
        <v>6915</v>
      </c>
      <c r="C2477" s="2" t="s">
        <v>26</v>
      </c>
      <c r="D2477" s="2" t="s">
        <v>27</v>
      </c>
      <c r="E2477" s="4">
        <v>-31988</v>
      </c>
      <c r="F2477" s="3" t="s">
        <v>1094</v>
      </c>
      <c r="G2477" s="3" t="s">
        <v>36</v>
      </c>
      <c r="H2477" s="2" t="s">
        <v>21</v>
      </c>
      <c r="I2477" s="2" t="s">
        <v>6916</v>
      </c>
      <c r="J2477" s="3" t="str">
        <f>HYPERLINK("https://www.boe.es/gazeta/dias/1812/06/01/pdfs/GMD-1812-153.pdf#page=3","Abrir facsímil")</f>
        <v>Abrir facsímil</v>
      </c>
      <c r="K2477" s="3" t="s">
        <v>23</v>
      </c>
    </row>
    <row r="2478" spans="1:11" ht="42" customHeight="1">
      <c r="A2478" s="2" t="s">
        <v>6917</v>
      </c>
      <c r="B2478" s="2" t="s">
        <v>6918</v>
      </c>
      <c r="C2478" s="2" t="s">
        <v>67</v>
      </c>
      <c r="D2478" s="2" t="s">
        <v>27</v>
      </c>
      <c r="E2478" s="4">
        <v>-32033</v>
      </c>
      <c r="F2478" s="3" t="s">
        <v>771</v>
      </c>
      <c r="G2478" s="3" t="s">
        <v>130</v>
      </c>
      <c r="H2478" s="2" t="s">
        <v>21</v>
      </c>
      <c r="I2478" s="2" t="s">
        <v>6919</v>
      </c>
      <c r="J2478" s="3" t="str">
        <f>HYPERLINK("https://www.boe.es/gazeta/dias/1812/04/17/pdfs/GMD-1812-108.pdf#page=4","Abrir facsímil")</f>
        <v>Abrir facsímil</v>
      </c>
      <c r="K2478" s="3" t="s">
        <v>23</v>
      </c>
    </row>
    <row r="2479" spans="1:11" ht="42" customHeight="1">
      <c r="A2479" s="2" t="s">
        <v>6920</v>
      </c>
      <c r="B2479" s="2" t="s">
        <v>6921</v>
      </c>
      <c r="C2479" s="2" t="s">
        <v>26</v>
      </c>
      <c r="D2479" s="2" t="s">
        <v>27</v>
      </c>
      <c r="E2479" s="4">
        <v>-32034</v>
      </c>
      <c r="F2479" s="3" t="s">
        <v>28</v>
      </c>
      <c r="G2479" s="3" t="s">
        <v>29</v>
      </c>
      <c r="H2479" s="2" t="s">
        <v>21</v>
      </c>
      <c r="I2479" s="2" t="s">
        <v>6922</v>
      </c>
      <c r="J2479" s="3" t="str">
        <f>HYPERLINK("https://www.boe.es/gazeta/dias/1812/04/16/pdfs/GMD-1812-107.pdf#page=8","Abrir facsímil")</f>
        <v>Abrir facsímil</v>
      </c>
      <c r="K2479" s="3" t="s">
        <v>23</v>
      </c>
    </row>
    <row r="2480" spans="1:11" ht="42" customHeight="1">
      <c r="A2480" s="2" t="s">
        <v>6923</v>
      </c>
      <c r="B2480" s="2" t="s">
        <v>6924</v>
      </c>
      <c r="C2480" s="2" t="s">
        <v>26</v>
      </c>
      <c r="D2480" s="2" t="s">
        <v>194</v>
      </c>
      <c r="E2480" s="4">
        <v>-31933</v>
      </c>
      <c r="F2480" s="3" t="s">
        <v>1946</v>
      </c>
      <c r="G2480" s="3" t="s">
        <v>6742</v>
      </c>
      <c r="H2480" s="2" t="s">
        <v>21</v>
      </c>
      <c r="I2480" s="2" t="s">
        <v>6925</v>
      </c>
      <c r="J2480" s="3" t="str">
        <f>HYPERLINK("https://www.boe.es/gazeta/dias/1812/07/26/pdfs/GMD-1812-208.pdf#page=4","Abrir facsímil")</f>
        <v>Abrir facsímil</v>
      </c>
      <c r="K2480" s="3" t="s">
        <v>23</v>
      </c>
    </row>
    <row r="2481" spans="1:11" ht="42" customHeight="1">
      <c r="A2481" s="2" t="s">
        <v>6926</v>
      </c>
      <c r="B2481" s="2" t="s">
        <v>6927</v>
      </c>
      <c r="C2481" s="2" t="s">
        <v>26</v>
      </c>
      <c r="D2481" s="2" t="s">
        <v>27</v>
      </c>
      <c r="E2481" s="4">
        <v>-32034</v>
      </c>
      <c r="F2481" s="3" t="s">
        <v>28</v>
      </c>
      <c r="G2481" s="3" t="s">
        <v>794</v>
      </c>
      <c r="H2481" s="2" t="s">
        <v>21</v>
      </c>
      <c r="I2481" s="2" t="s">
        <v>6928</v>
      </c>
      <c r="J2481" s="3" t="str">
        <f>HYPERLINK("https://www.boe.es/gazeta/dias/1812/04/16/pdfs/GMD-1812-107.pdf#page=7","Abrir facsímil")</f>
        <v>Abrir facsímil</v>
      </c>
      <c r="K2481" s="3" t="s">
        <v>23</v>
      </c>
    </row>
    <row r="2482" spans="1:11" ht="42" customHeight="1">
      <c r="A2482" s="2" t="s">
        <v>6929</v>
      </c>
      <c r="B2482" s="2" t="s">
        <v>6930</v>
      </c>
      <c r="C2482" s="2" t="s">
        <v>115</v>
      </c>
      <c r="D2482" s="2" t="s">
        <v>27</v>
      </c>
      <c r="E2482" s="4">
        <v>-32006</v>
      </c>
      <c r="F2482" s="3" t="s">
        <v>1153</v>
      </c>
      <c r="G2482" s="3" t="s">
        <v>1154</v>
      </c>
      <c r="H2482" s="2" t="s">
        <v>21</v>
      </c>
      <c r="I2482" s="2" t="s">
        <v>6931</v>
      </c>
      <c r="J2482" s="3" t="str">
        <f>HYPERLINK("https://www.boe.es/gazeta/dias/1812/05/14/pdfs/GMD-1812-135.pdf#page=3","Abrir facsímil")</f>
        <v>Abrir facsímil</v>
      </c>
      <c r="K2482" s="3" t="s">
        <v>23</v>
      </c>
    </row>
    <row r="2483" spans="1:11" ht="42" customHeight="1">
      <c r="A2483" s="2" t="s">
        <v>6932</v>
      </c>
      <c r="B2483" s="2" t="s">
        <v>6933</v>
      </c>
      <c r="C2483" s="2" t="s">
        <v>26</v>
      </c>
      <c r="D2483" s="2" t="s">
        <v>27</v>
      </c>
      <c r="E2483" s="4">
        <v>-31940</v>
      </c>
      <c r="F2483" s="3" t="s">
        <v>187</v>
      </c>
      <c r="G2483" s="3" t="s">
        <v>739</v>
      </c>
      <c r="H2483" s="2" t="s">
        <v>21</v>
      </c>
      <c r="I2483" s="2" t="s">
        <v>6934</v>
      </c>
      <c r="J2483" s="3" t="str">
        <f>HYPERLINK("https://www.boe.es/gazeta/dias/1812/07/19/pdfs/GMD-1812-201.pdf#page=1","Abrir facsímil")</f>
        <v>Abrir facsímil</v>
      </c>
      <c r="K2483" s="3" t="s">
        <v>23</v>
      </c>
    </row>
    <row r="2484" spans="1:11" ht="42" customHeight="1">
      <c r="A2484" s="2" t="s">
        <v>6935</v>
      </c>
      <c r="B2484" s="2" t="s">
        <v>6936</v>
      </c>
      <c r="C2484" s="2" t="s">
        <v>26</v>
      </c>
      <c r="D2484" s="2" t="s">
        <v>27</v>
      </c>
      <c r="E2484" s="4">
        <v>-32104</v>
      </c>
      <c r="F2484" s="3" t="s">
        <v>753</v>
      </c>
      <c r="G2484" s="3" t="s">
        <v>130</v>
      </c>
      <c r="H2484" s="2" t="s">
        <v>21</v>
      </c>
      <c r="I2484" s="2" t="s">
        <v>6937</v>
      </c>
      <c r="J2484" s="3" t="str">
        <f>HYPERLINK("https://www.boe.es/gazeta/dias/1812/02/06/pdfs/GMD-1812-37.pdf#page=4","Abrir facsímil")</f>
        <v>Abrir facsímil</v>
      </c>
      <c r="K2484" s="3" t="s">
        <v>23</v>
      </c>
    </row>
    <row r="2485" spans="1:11" ht="42" customHeight="1">
      <c r="A2485" s="2" t="s">
        <v>6938</v>
      </c>
      <c r="B2485" s="2" t="s">
        <v>6939</v>
      </c>
      <c r="C2485" s="2" t="s">
        <v>105</v>
      </c>
      <c r="D2485" s="2" t="s">
        <v>27</v>
      </c>
      <c r="E2485" s="4">
        <v>-32048</v>
      </c>
      <c r="F2485" s="3" t="s">
        <v>3938</v>
      </c>
      <c r="G2485" s="3" t="s">
        <v>2871</v>
      </c>
      <c r="H2485" s="2" t="s">
        <v>21</v>
      </c>
      <c r="I2485" s="2" t="s">
        <v>6940</v>
      </c>
      <c r="J2485" s="3" t="str">
        <f>HYPERLINK("https://www.boe.es/gazeta/dias/1812/04/02/pdfs/GMD-1812-93.pdf#page=1","Abrir facsímil")</f>
        <v>Abrir facsímil</v>
      </c>
      <c r="K2485" s="3" t="s">
        <v>23</v>
      </c>
    </row>
    <row r="2486" spans="1:11" ht="42" customHeight="1">
      <c r="A2486" s="2" t="s">
        <v>6941</v>
      </c>
      <c r="B2486" s="2" t="s">
        <v>6942</v>
      </c>
      <c r="C2486" s="2" t="s">
        <v>17</v>
      </c>
      <c r="D2486" s="2" t="s">
        <v>194</v>
      </c>
      <c r="E2486" s="4">
        <v>-31969</v>
      </c>
      <c r="F2486" s="3" t="s">
        <v>83</v>
      </c>
      <c r="G2486" s="3" t="s">
        <v>6943</v>
      </c>
      <c r="H2486" s="2" t="s">
        <v>21</v>
      </c>
      <c r="I2486" s="2" t="s">
        <v>6944</v>
      </c>
      <c r="J2486" s="3" t="str">
        <f>HYPERLINK("https://www.boe.es/gazeta/dias/1812/06/20/pdfs/GRE-1812-76.pdf#page=2","Abrir facsímil")</f>
        <v>Abrir facsímil</v>
      </c>
      <c r="K2486" s="3" t="s">
        <v>23</v>
      </c>
    </row>
    <row r="2487" spans="1:11" ht="42" customHeight="1">
      <c r="A2487" s="2" t="s">
        <v>6945</v>
      </c>
      <c r="B2487" s="2" t="s">
        <v>6946</v>
      </c>
      <c r="C2487" s="2" t="s">
        <v>105</v>
      </c>
      <c r="D2487" s="2" t="s">
        <v>27</v>
      </c>
      <c r="E2487" s="4">
        <v>-32046</v>
      </c>
      <c r="F2487" s="3" t="s">
        <v>2612</v>
      </c>
      <c r="G2487" s="3" t="s">
        <v>1380</v>
      </c>
      <c r="H2487" s="2" t="s">
        <v>21</v>
      </c>
      <c r="I2487" s="2" t="s">
        <v>6947</v>
      </c>
      <c r="J2487" s="3" t="str">
        <f>HYPERLINK("https://www.boe.es/gazeta/dias/1812/04/04/pdfs/GMD-1812-95.pdf#page=2","Abrir facsímil")</f>
        <v>Abrir facsímil</v>
      </c>
      <c r="K2487" s="3" t="s">
        <v>23</v>
      </c>
    </row>
    <row r="2488" spans="1:11" ht="42" customHeight="1">
      <c r="A2488" s="2" t="s">
        <v>6948</v>
      </c>
      <c r="B2488" s="2" t="s">
        <v>6949</v>
      </c>
      <c r="C2488" s="2" t="s">
        <v>17</v>
      </c>
      <c r="D2488" s="2" t="s">
        <v>27</v>
      </c>
      <c r="E2488" s="4">
        <v>-32042</v>
      </c>
      <c r="F2488" s="3" t="s">
        <v>6950</v>
      </c>
      <c r="G2488" s="3" t="s">
        <v>20</v>
      </c>
      <c r="H2488" s="2" t="s">
        <v>21</v>
      </c>
      <c r="I2488" s="2" t="s">
        <v>6951</v>
      </c>
      <c r="J2488" s="3" t="str">
        <f>HYPERLINK("https://www.boe.es/gazeta/dias/1812/04/08/pdfs/GMD-1812-99.pdf#page=4","Abrir facsímil")</f>
        <v>Abrir facsímil</v>
      </c>
      <c r="K2488" s="3" t="s">
        <v>23</v>
      </c>
    </row>
    <row r="2489" spans="1:11" ht="42" customHeight="1">
      <c r="A2489" s="2" t="s">
        <v>6952</v>
      </c>
      <c r="B2489" s="2" t="s">
        <v>6953</v>
      </c>
      <c r="C2489" s="2" t="s">
        <v>49</v>
      </c>
      <c r="D2489" s="2" t="s">
        <v>18</v>
      </c>
      <c r="E2489" s="4">
        <v>-31969</v>
      </c>
      <c r="F2489" s="3" t="s">
        <v>5481</v>
      </c>
      <c r="G2489" s="3" t="s">
        <v>994</v>
      </c>
      <c r="H2489" s="2" t="s">
        <v>21</v>
      </c>
      <c r="I2489" s="2" t="s">
        <v>6954</v>
      </c>
      <c r="J2489" s="3" t="str">
        <f>HYPERLINK("https://www.boe.es/gazeta/dias/1812/06/20/pdfs/GMD-1812-172.pdf#page=2","Abrir facsímil")</f>
        <v>Abrir facsímil</v>
      </c>
      <c r="K2489" s="3" t="s">
        <v>23</v>
      </c>
    </row>
    <row r="2490" spans="1:11" ht="42" customHeight="1">
      <c r="A2490" s="2" t="s">
        <v>6955</v>
      </c>
      <c r="B2490" s="2" t="s">
        <v>6956</v>
      </c>
      <c r="C2490" s="2" t="s">
        <v>49</v>
      </c>
      <c r="D2490" s="2" t="s">
        <v>27</v>
      </c>
      <c r="E2490" s="4">
        <v>-31850</v>
      </c>
      <c r="F2490" s="3" t="s">
        <v>719</v>
      </c>
      <c r="G2490" s="3" t="s">
        <v>217</v>
      </c>
      <c r="H2490" s="2" t="s">
        <v>21</v>
      </c>
      <c r="I2490" s="2" t="s">
        <v>6957</v>
      </c>
      <c r="J2490" s="3" t="str">
        <f>HYPERLINK("https://www.boe.es/gazeta/dias/1812/10/17/pdfs/GMR-1812-28.pdf#page=5","Abrir facsímil")</f>
        <v>Abrir facsímil</v>
      </c>
      <c r="K2490" s="3" t="s">
        <v>23</v>
      </c>
    </row>
    <row r="2491" spans="1:11" ht="42" customHeight="1">
      <c r="A2491" s="2" t="s">
        <v>6958</v>
      </c>
      <c r="B2491" s="2" t="s">
        <v>6959</v>
      </c>
      <c r="C2491" s="2" t="s">
        <v>17</v>
      </c>
      <c r="D2491" s="2" t="s">
        <v>27</v>
      </c>
      <c r="E2491" s="4">
        <v>-31896</v>
      </c>
      <c r="F2491" s="3" t="s">
        <v>1808</v>
      </c>
      <c r="G2491" s="3" t="s">
        <v>58</v>
      </c>
      <c r="H2491" s="2" t="s">
        <v>21</v>
      </c>
      <c r="I2491" s="2" t="s">
        <v>6960</v>
      </c>
      <c r="J2491" s="3" t="str">
        <f>HYPERLINK("https://www.boe.es/gazeta/dias/1812/09/01/pdfs/GMR-1812-8.pdf#page=3","Abrir facsímil")</f>
        <v>Abrir facsímil</v>
      </c>
      <c r="K2491" s="3" t="s">
        <v>23</v>
      </c>
    </row>
    <row r="2492" spans="1:11" ht="42" customHeight="1">
      <c r="A2492" s="2" t="s">
        <v>6961</v>
      </c>
      <c r="B2492" s="2" t="s">
        <v>6962</v>
      </c>
      <c r="C2492" s="2" t="s">
        <v>26</v>
      </c>
      <c r="D2492" s="2" t="s">
        <v>27</v>
      </c>
      <c r="E2492" s="4">
        <v>-31838</v>
      </c>
      <c r="F2492" s="3" t="s">
        <v>1960</v>
      </c>
      <c r="G2492" s="3" t="s">
        <v>196</v>
      </c>
      <c r="H2492" s="2" t="s">
        <v>21</v>
      </c>
      <c r="I2492" s="2" t="s">
        <v>6963</v>
      </c>
      <c r="J2492" s="3" t="str">
        <f>HYPERLINK("https://www.boe.es/gazeta/dias/1812/10/29/pdfs/GRE-1812-145.pdf#page=8","Abrir facsímil")</f>
        <v>Abrir facsímil</v>
      </c>
      <c r="K2492" s="3" t="s">
        <v>23</v>
      </c>
    </row>
    <row r="2493" spans="1:11" ht="42" customHeight="1">
      <c r="A2493" s="2" t="s">
        <v>6964</v>
      </c>
      <c r="B2493" s="2" t="s">
        <v>6965</v>
      </c>
      <c r="C2493" s="2" t="s">
        <v>17</v>
      </c>
      <c r="D2493" s="2" t="s">
        <v>18</v>
      </c>
      <c r="E2493" s="4">
        <v>-32033</v>
      </c>
      <c r="F2493" s="3" t="s">
        <v>771</v>
      </c>
      <c r="G2493" s="3" t="s">
        <v>130</v>
      </c>
      <c r="H2493" s="2" t="s">
        <v>21</v>
      </c>
      <c r="I2493" s="2" t="s">
        <v>6966</v>
      </c>
      <c r="J2493" s="3" t="str">
        <f>HYPERLINK("https://www.boe.es/gazeta/dias/1812/04/17/pdfs/GMD-1812-108.pdf#page=4","Abrir facsímil")</f>
        <v>Abrir facsímil</v>
      </c>
      <c r="K2493" s="3" t="s">
        <v>23</v>
      </c>
    </row>
    <row r="2494" spans="1:11" ht="42" customHeight="1">
      <c r="A2494" s="2" t="s">
        <v>6967</v>
      </c>
      <c r="B2494" s="2" t="s">
        <v>6968</v>
      </c>
      <c r="C2494" s="2" t="s">
        <v>17</v>
      </c>
      <c r="D2494" s="2" t="s">
        <v>18</v>
      </c>
      <c r="E2494" s="4">
        <v>-31822</v>
      </c>
      <c r="F2494" s="3" t="s">
        <v>541</v>
      </c>
      <c r="G2494" s="3" t="s">
        <v>1459</v>
      </c>
      <c r="H2494" s="2" t="s">
        <v>21</v>
      </c>
      <c r="I2494" s="2" t="s">
        <v>6969</v>
      </c>
      <c r="J2494" s="3" t="str">
        <f>HYPERLINK("https://www.boe.es/gazeta/dias/1812/11/14/pdfs/GRE-1812-152.pdf#page=8","Abrir facsímil")</f>
        <v>Abrir facsímil</v>
      </c>
      <c r="K2494" s="3" t="s">
        <v>23</v>
      </c>
    </row>
    <row r="2495" spans="1:11" ht="42" customHeight="1">
      <c r="A2495" s="2" t="s">
        <v>6970</v>
      </c>
      <c r="B2495" s="2" t="s">
        <v>6971</v>
      </c>
      <c r="C2495" s="2" t="s">
        <v>17</v>
      </c>
      <c r="D2495" s="2" t="s">
        <v>18</v>
      </c>
      <c r="E2495" s="4">
        <v>-31817</v>
      </c>
      <c r="F2495" s="3" t="s">
        <v>454</v>
      </c>
      <c r="G2495" s="3" t="s">
        <v>455</v>
      </c>
      <c r="H2495" s="2" t="s">
        <v>30</v>
      </c>
      <c r="I2495" s="2" t="s">
        <v>6972</v>
      </c>
      <c r="J2495" s="3" t="str">
        <f>HYPERLINK("https://www.boe.es/gazeta/dias/1812/11/19/pdfs/GRE-1812-154.pdf#page=2","Abrir facsímil")</f>
        <v>Abrir facsímil</v>
      </c>
      <c r="K2495" s="3" t="s">
        <v>32</v>
      </c>
    </row>
    <row r="2496" spans="1:11" ht="42" customHeight="1">
      <c r="A2496" s="2" t="s">
        <v>6973</v>
      </c>
      <c r="B2496" s="2" t="s">
        <v>6974</v>
      </c>
      <c r="C2496" s="2" t="s">
        <v>17</v>
      </c>
      <c r="D2496" s="2" t="s">
        <v>27</v>
      </c>
      <c r="E2496" s="4">
        <v>-31791</v>
      </c>
      <c r="F2496" s="3" t="s">
        <v>905</v>
      </c>
      <c r="G2496" s="3" t="s">
        <v>514</v>
      </c>
      <c r="H2496" s="2" t="s">
        <v>21</v>
      </c>
      <c r="I2496" s="2" t="s">
        <v>6975</v>
      </c>
      <c r="J2496" s="3" t="str">
        <f>HYPERLINK("https://www.boe.es/gazeta/dias/1812/12/15/pdfs/GRE-1812-165.pdf#page=2","Abrir facsímil")</f>
        <v>Abrir facsímil</v>
      </c>
      <c r="K2496" s="3" t="s">
        <v>23</v>
      </c>
    </row>
    <row r="2497" spans="1:11" ht="42" customHeight="1">
      <c r="A2497" s="2" t="s">
        <v>6976</v>
      </c>
      <c r="B2497" s="2" t="s">
        <v>6977</v>
      </c>
      <c r="C2497" s="2" t="s">
        <v>26</v>
      </c>
      <c r="D2497" s="2" t="s">
        <v>275</v>
      </c>
      <c r="E2497" s="4">
        <v>-31922</v>
      </c>
      <c r="F2497" s="3" t="s">
        <v>375</v>
      </c>
      <c r="G2497" s="3" t="s">
        <v>6978</v>
      </c>
      <c r="H2497" s="2" t="s">
        <v>21</v>
      </c>
      <c r="I2497" s="2" t="s">
        <v>6979</v>
      </c>
      <c r="J2497" s="3" t="str">
        <f>HYPERLINK("https://www.boe.es/gazeta/dias/1812/08/06/pdfs/GRE-1812-100.pdf#page=6","Abrir facsímil")</f>
        <v>Abrir facsímil</v>
      </c>
      <c r="K2497" s="3" t="s">
        <v>23</v>
      </c>
    </row>
    <row r="2498" spans="1:11" ht="42" customHeight="1">
      <c r="A2498" s="2" t="s">
        <v>6980</v>
      </c>
      <c r="B2498" s="2" t="s">
        <v>6981</v>
      </c>
      <c r="C2498" s="2" t="s">
        <v>105</v>
      </c>
      <c r="D2498" s="2" t="s">
        <v>27</v>
      </c>
      <c r="E2498" s="4">
        <v>-32013</v>
      </c>
      <c r="F2498" s="3" t="s">
        <v>849</v>
      </c>
      <c r="G2498" s="3" t="s">
        <v>6982</v>
      </c>
      <c r="H2498" s="2" t="s">
        <v>21</v>
      </c>
      <c r="I2498" s="2" t="s">
        <v>6983</v>
      </c>
      <c r="J2498" s="3" t="str">
        <f>HYPERLINK("https://www.boe.es/gazeta/dias/1812/05/07/pdfs/GRE-1812-57.pdf#page=5","Abrir facsímil")</f>
        <v>Abrir facsímil</v>
      </c>
      <c r="K2498" s="3" t="s">
        <v>23</v>
      </c>
    </row>
    <row r="2499" spans="1:11" ht="42" customHeight="1">
      <c r="A2499" s="2" t="s">
        <v>6984</v>
      </c>
      <c r="B2499" s="2" t="s">
        <v>6985</v>
      </c>
      <c r="C2499" s="2" t="s">
        <v>105</v>
      </c>
      <c r="D2499" s="2" t="s">
        <v>275</v>
      </c>
      <c r="E2499" s="4">
        <v>-31948</v>
      </c>
      <c r="F2499" s="3" t="s">
        <v>431</v>
      </c>
      <c r="G2499" s="3" t="s">
        <v>6986</v>
      </c>
      <c r="H2499" s="2" t="s">
        <v>21</v>
      </c>
      <c r="I2499" s="2" t="s">
        <v>6987</v>
      </c>
      <c r="J2499" s="3" t="str">
        <f>HYPERLINK("https://www.boe.es/gazeta/dias/1812/07/11/pdfs/GRE-1812-86.pdf#page=8","Abrir facsímil")</f>
        <v>Abrir facsímil</v>
      </c>
      <c r="K2499" s="3" t="s">
        <v>23</v>
      </c>
    </row>
    <row r="2500" spans="1:11" ht="42" customHeight="1">
      <c r="A2500" s="2" t="s">
        <v>6984</v>
      </c>
      <c r="B2500" s="2" t="s">
        <v>6985</v>
      </c>
      <c r="C2500" s="2" t="s">
        <v>67</v>
      </c>
      <c r="D2500" s="2" t="s">
        <v>275</v>
      </c>
      <c r="E2500" s="4">
        <v>-31899</v>
      </c>
      <c r="F2500" s="3" t="s">
        <v>1396</v>
      </c>
      <c r="G2500" s="3" t="s">
        <v>237</v>
      </c>
      <c r="H2500" s="2" t="s">
        <v>21</v>
      </c>
      <c r="I2500" s="2" t="s">
        <v>6988</v>
      </c>
      <c r="J2500" s="3" t="str">
        <f>HYPERLINK("https://www.boe.es/gazeta/dias/1812/08/29/pdfs/GMR-1812-7.pdf#page=6","Abrir facsímil")</f>
        <v>Abrir facsímil</v>
      </c>
      <c r="K2500" s="3" t="s">
        <v>23</v>
      </c>
    </row>
    <row r="2501" spans="1:11" ht="42" customHeight="1">
      <c r="A2501" s="2" t="s">
        <v>6989</v>
      </c>
      <c r="B2501" s="2" t="s">
        <v>6990</v>
      </c>
      <c r="C2501" s="2" t="s">
        <v>49</v>
      </c>
      <c r="D2501" s="2" t="s">
        <v>194</v>
      </c>
      <c r="E2501" s="4">
        <v>-32068</v>
      </c>
      <c r="F2501" s="3" t="s">
        <v>2608</v>
      </c>
      <c r="G2501" s="3" t="s">
        <v>130</v>
      </c>
      <c r="H2501" s="2" t="s">
        <v>21</v>
      </c>
      <c r="I2501" s="2" t="s">
        <v>6991</v>
      </c>
      <c r="J2501" s="3" t="str">
        <f>HYPERLINK("https://www.boe.es/gazeta/dias/1812/03/13/pdfs/GMD-1812-73.pdf#page=4","Abrir facsímil")</f>
        <v>Abrir facsímil</v>
      </c>
      <c r="K2501" s="3" t="s">
        <v>23</v>
      </c>
    </row>
    <row r="2502" spans="1:11" ht="42" customHeight="1">
      <c r="A2502" s="2" t="s">
        <v>6992</v>
      </c>
      <c r="B2502" s="2" t="s">
        <v>6993</v>
      </c>
      <c r="C2502" s="2" t="s">
        <v>26</v>
      </c>
      <c r="D2502" s="2" t="s">
        <v>27</v>
      </c>
      <c r="E2502" s="4">
        <v>-32084</v>
      </c>
      <c r="F2502" s="3" t="s">
        <v>6994</v>
      </c>
      <c r="G2502" s="3" t="s">
        <v>688</v>
      </c>
      <c r="H2502" s="2" t="s">
        <v>21</v>
      </c>
      <c r="I2502" s="2" t="s">
        <v>6995</v>
      </c>
      <c r="J2502" s="3" t="str">
        <f>HYPERLINK("https://www.boe.es/gazeta/dias/1812/02/26/pdfs/GMD-1812-57.pdf#page=4","Abrir facsímil")</f>
        <v>Abrir facsímil</v>
      </c>
      <c r="K2502" s="3" t="s">
        <v>23</v>
      </c>
    </row>
    <row r="2503" spans="1:11" ht="42" customHeight="1">
      <c r="A2503" s="2" t="s">
        <v>6996</v>
      </c>
      <c r="B2503" s="2" t="s">
        <v>6997</v>
      </c>
      <c r="C2503" s="2" t="s">
        <v>26</v>
      </c>
      <c r="D2503" s="2" t="s">
        <v>275</v>
      </c>
      <c r="E2503" s="4">
        <v>-31964</v>
      </c>
      <c r="F2503" s="3" t="s">
        <v>305</v>
      </c>
      <c r="G2503" s="3" t="s">
        <v>58</v>
      </c>
      <c r="H2503" s="2" t="s">
        <v>21</v>
      </c>
      <c r="I2503" s="2" t="s">
        <v>6998</v>
      </c>
      <c r="J2503" s="3" t="str">
        <f>HYPERLINK("https://www.boe.es/gazeta/dias/1812/06/25/pdfs/GMD-1812-177.pdf#page=2","Abrir facsímil")</f>
        <v>Abrir facsímil</v>
      </c>
      <c r="K2503" s="3" t="s">
        <v>23</v>
      </c>
    </row>
    <row r="2504" spans="1:11" ht="42" customHeight="1">
      <c r="A2504" s="2" t="s">
        <v>6999</v>
      </c>
      <c r="B2504" s="2" t="s">
        <v>7000</v>
      </c>
      <c r="C2504" s="2" t="s">
        <v>67</v>
      </c>
      <c r="D2504" s="2" t="s">
        <v>27</v>
      </c>
      <c r="E2504" s="4">
        <v>-32031</v>
      </c>
      <c r="F2504" s="3" t="s">
        <v>1343</v>
      </c>
      <c r="G2504" s="3" t="s">
        <v>514</v>
      </c>
      <c r="H2504" s="2" t="s">
        <v>21</v>
      </c>
      <c r="I2504" s="2" t="s">
        <v>7001</v>
      </c>
      <c r="J2504" s="3" t="str">
        <f>HYPERLINK("https://www.boe.es/gazeta/dias/1812/04/19/pdfs/GMD-1812-110.pdf#page=4","Abrir facsímil")</f>
        <v>Abrir facsímil</v>
      </c>
      <c r="K2504" s="3" t="s">
        <v>23</v>
      </c>
    </row>
    <row r="2505" spans="1:11" ht="42" customHeight="1">
      <c r="A2505" s="2" t="s">
        <v>7002</v>
      </c>
      <c r="B2505" s="2" t="s">
        <v>7003</v>
      </c>
      <c r="C2505" s="2" t="s">
        <v>26</v>
      </c>
      <c r="D2505" s="2" t="s">
        <v>573</v>
      </c>
      <c r="E2505" s="4">
        <v>-31900</v>
      </c>
      <c r="F2505" s="3" t="s">
        <v>276</v>
      </c>
      <c r="G2505" s="3" t="s">
        <v>277</v>
      </c>
      <c r="H2505" s="2" t="s">
        <v>21</v>
      </c>
      <c r="I2505" s="2" t="s">
        <v>7004</v>
      </c>
      <c r="J2505" s="3" t="str">
        <f>HYPERLINK("https://www.boe.es/gazeta/dias/1812/08/28/pdfs/GRE-1812-113E.pdf#page=8","Abrir facsímil")</f>
        <v>Abrir facsímil</v>
      </c>
      <c r="K2505" s="3" t="s">
        <v>23</v>
      </c>
    </row>
    <row r="2506" spans="1:11" ht="42" customHeight="1">
      <c r="A2506" s="2" t="s">
        <v>7005</v>
      </c>
      <c r="B2506" s="2" t="s">
        <v>7006</v>
      </c>
      <c r="C2506" s="2" t="s">
        <v>105</v>
      </c>
      <c r="D2506" s="2" t="s">
        <v>275</v>
      </c>
      <c r="E2506" s="4">
        <v>-32011</v>
      </c>
      <c r="F2506" s="3" t="s">
        <v>1656</v>
      </c>
      <c r="G2506" s="3" t="s">
        <v>777</v>
      </c>
      <c r="H2506" s="2" t="s">
        <v>21</v>
      </c>
      <c r="I2506" s="2" t="s">
        <v>7007</v>
      </c>
      <c r="J2506" s="3" t="str">
        <f>HYPERLINK("https://www.boe.es/gazeta/dias/1812/05/09/pdfs/GMD-1812-130.pdf#page=2","Abrir facsímil")</f>
        <v>Abrir facsímil</v>
      </c>
      <c r="K2506" s="3" t="s">
        <v>23</v>
      </c>
    </row>
    <row r="2507" spans="1:11" ht="42" customHeight="1">
      <c r="A2507" s="2" t="s">
        <v>7008</v>
      </c>
      <c r="B2507" s="2" t="s">
        <v>7009</v>
      </c>
      <c r="C2507" s="2" t="s">
        <v>17</v>
      </c>
      <c r="D2507" s="2" t="s">
        <v>27</v>
      </c>
      <c r="E2507" s="4">
        <v>-32118</v>
      </c>
      <c r="F2507" s="3" t="s">
        <v>1420</v>
      </c>
      <c r="G2507" s="3" t="s">
        <v>336</v>
      </c>
      <c r="H2507" s="2" t="s">
        <v>30</v>
      </c>
      <c r="I2507" s="2" t="s">
        <v>7010</v>
      </c>
      <c r="J2507" s="3" t="str">
        <f>HYPERLINK("https://www.boe.es/gazeta/dias/1812/01/23/pdfs/GEI-1812-10.pdf#page=1","Abrir facsímil")</f>
        <v>Abrir facsímil</v>
      </c>
      <c r="K2507" s="3" t="s">
        <v>32</v>
      </c>
    </row>
    <row r="2508" spans="1:11" ht="42" customHeight="1">
      <c r="A2508" s="2" t="s">
        <v>7011</v>
      </c>
      <c r="B2508" s="2" t="s">
        <v>7012</v>
      </c>
      <c r="C2508" s="2" t="s">
        <v>67</v>
      </c>
      <c r="D2508" s="2" t="s">
        <v>27</v>
      </c>
      <c r="E2508" s="4">
        <v>-31991</v>
      </c>
      <c r="F2508" s="3" t="s">
        <v>663</v>
      </c>
      <c r="G2508" s="3" t="s">
        <v>404</v>
      </c>
      <c r="H2508" s="2" t="s">
        <v>21</v>
      </c>
      <c r="I2508" s="2" t="s">
        <v>7013</v>
      </c>
      <c r="J2508" s="3" t="str">
        <f>HYPERLINK("https://www.boe.es/gazeta/dias/1812/05/29/pdfs/GMD-1812-150.pdf#page=4","Abrir facsímil")</f>
        <v>Abrir facsímil</v>
      </c>
      <c r="K2508" s="3" t="s">
        <v>23</v>
      </c>
    </row>
    <row r="2509" spans="1:11" ht="42" customHeight="1">
      <c r="A2509" s="2" t="s">
        <v>7014</v>
      </c>
      <c r="B2509" s="2" t="s">
        <v>7015</v>
      </c>
      <c r="C2509" s="2" t="s">
        <v>82</v>
      </c>
      <c r="D2509" s="2" t="s">
        <v>27</v>
      </c>
      <c r="E2509" s="4">
        <v>-32125</v>
      </c>
      <c r="F2509" s="3" t="s">
        <v>7016</v>
      </c>
      <c r="G2509" s="3" t="s">
        <v>36</v>
      </c>
      <c r="H2509" s="2" t="s">
        <v>21</v>
      </c>
      <c r="I2509" s="2" t="s">
        <v>7017</v>
      </c>
      <c r="J2509" s="3" t="str">
        <f>HYPERLINK("https://www.boe.es/gazeta/dias/1812/01/16/pdfs/GMD-1812-16.pdf#page=3","Abrir facsímil")</f>
        <v>Abrir facsímil</v>
      </c>
      <c r="K2509" s="3" t="s">
        <v>23</v>
      </c>
    </row>
    <row r="2510" spans="1:11" ht="42" customHeight="1">
      <c r="A2510" s="2" t="s">
        <v>7018</v>
      </c>
      <c r="B2510" s="2" t="s">
        <v>7019</v>
      </c>
      <c r="C2510" s="2" t="s">
        <v>26</v>
      </c>
      <c r="D2510" s="2" t="s">
        <v>27</v>
      </c>
      <c r="E2510" s="4">
        <v>-31857</v>
      </c>
      <c r="F2510" s="3" t="s">
        <v>1000</v>
      </c>
      <c r="G2510" s="3" t="s">
        <v>1001</v>
      </c>
      <c r="H2510" s="2" t="s">
        <v>21</v>
      </c>
      <c r="I2510" s="2" t="s">
        <v>7020</v>
      </c>
      <c r="J2510" s="3" t="str">
        <f>HYPERLINK("https://www.boe.es/gazeta/dias/1812/10/10/pdfs/GRE-1812-137.pdf#page=7","Abrir facsímil")</f>
        <v>Abrir facsímil</v>
      </c>
      <c r="K2510" s="3" t="s">
        <v>23</v>
      </c>
    </row>
    <row r="2511" spans="1:11" ht="42" customHeight="1">
      <c r="A2511" s="2" t="s">
        <v>7021</v>
      </c>
      <c r="B2511" s="2" t="s">
        <v>7022</v>
      </c>
      <c r="C2511" s="2" t="s">
        <v>17</v>
      </c>
      <c r="D2511" s="2" t="s">
        <v>18</v>
      </c>
      <c r="E2511" s="4">
        <v>-32050</v>
      </c>
      <c r="F2511" s="3" t="s">
        <v>864</v>
      </c>
      <c r="G2511" s="3" t="s">
        <v>29</v>
      </c>
      <c r="H2511" s="2" t="s">
        <v>21</v>
      </c>
      <c r="I2511" s="2" t="s">
        <v>7023</v>
      </c>
      <c r="J2511" s="3" t="str">
        <f>HYPERLINK("https://www.boe.es/gazeta/dias/1812/03/31/pdfs/GRE-1812-40.pdf#page=8","Abrir facsímil")</f>
        <v>Abrir facsímil</v>
      </c>
      <c r="K2511" s="3" t="s">
        <v>23</v>
      </c>
    </row>
    <row r="2512" spans="1:11" ht="42" customHeight="1">
      <c r="A2512" s="2" t="s">
        <v>7024</v>
      </c>
      <c r="B2512" s="2" t="s">
        <v>7025</v>
      </c>
      <c r="C2512" s="2" t="s">
        <v>26</v>
      </c>
      <c r="D2512" s="2" t="s">
        <v>27</v>
      </c>
      <c r="E2512" s="4">
        <v>-32000</v>
      </c>
      <c r="F2512" s="3" t="s">
        <v>878</v>
      </c>
      <c r="G2512" s="3" t="s">
        <v>214</v>
      </c>
      <c r="H2512" s="2" t="s">
        <v>21</v>
      </c>
      <c r="I2512" s="2" t="s">
        <v>7026</v>
      </c>
      <c r="J2512" s="3" t="str">
        <f>HYPERLINK("https://www.boe.es/gazeta/dias/1812/05/20/pdfs/GMD-1812-141.pdf#page=2","Abrir facsímil")</f>
        <v>Abrir facsímil</v>
      </c>
      <c r="K2512" s="3" t="s">
        <v>23</v>
      </c>
    </row>
    <row r="2513" spans="1:11" ht="42" customHeight="1">
      <c r="A2513" s="2" t="s">
        <v>7027</v>
      </c>
      <c r="B2513" s="2" t="s">
        <v>7028</v>
      </c>
      <c r="C2513" s="2" t="s">
        <v>26</v>
      </c>
      <c r="D2513" s="2" t="s">
        <v>27</v>
      </c>
      <c r="E2513" s="4">
        <v>-32137</v>
      </c>
      <c r="F2513" s="3" t="s">
        <v>355</v>
      </c>
      <c r="G2513" s="3" t="s">
        <v>117</v>
      </c>
      <c r="H2513" s="2" t="s">
        <v>21</v>
      </c>
      <c r="I2513" s="2" t="s">
        <v>7029</v>
      </c>
      <c r="J2513" s="3" t="str">
        <f>HYPERLINK("https://www.boe.es/gazeta/dias/1812/01/04/pdfs/GEI-1812-2.pdf#page=8","Abrir facsímil")</f>
        <v>Abrir facsímil</v>
      </c>
      <c r="K2513" s="3" t="s">
        <v>23</v>
      </c>
    </row>
    <row r="2514" spans="1:11" ht="42" customHeight="1">
      <c r="A2514" s="2" t="s">
        <v>7030</v>
      </c>
      <c r="B2514" s="2" t="s">
        <v>7031</v>
      </c>
      <c r="C2514" s="2" t="s">
        <v>26</v>
      </c>
      <c r="D2514" s="2" t="s">
        <v>27</v>
      </c>
      <c r="E2514" s="4">
        <v>-31838</v>
      </c>
      <c r="F2514" s="3" t="s">
        <v>1452</v>
      </c>
      <c r="G2514" s="3" t="s">
        <v>29</v>
      </c>
      <c r="H2514" s="2" t="s">
        <v>21</v>
      </c>
      <c r="I2514" s="2" t="s">
        <v>7032</v>
      </c>
      <c r="J2514" s="3" t="str">
        <f>HYPERLINK("https://www.boe.es/gazeta/dias/1812/10/29/pdfs/GMR-1812-33.pdf#page=8","Abrir facsímil")</f>
        <v>Abrir facsímil</v>
      </c>
      <c r="K2514" s="3" t="s">
        <v>23</v>
      </c>
    </row>
    <row r="2515" spans="1:11" ht="42" customHeight="1">
      <c r="A2515" s="2" t="s">
        <v>7033</v>
      </c>
      <c r="B2515" s="2" t="s">
        <v>7034</v>
      </c>
      <c r="C2515" s="2" t="s">
        <v>105</v>
      </c>
      <c r="D2515" s="2" t="s">
        <v>27</v>
      </c>
      <c r="E2515" s="4">
        <v>-32114</v>
      </c>
      <c r="F2515" s="3" t="s">
        <v>480</v>
      </c>
      <c r="G2515" s="3" t="s">
        <v>481</v>
      </c>
      <c r="H2515" s="2" t="s">
        <v>21</v>
      </c>
      <c r="I2515" s="2" t="s">
        <v>7035</v>
      </c>
      <c r="J2515" s="3" t="str">
        <f>HYPERLINK("https://www.boe.es/gazeta/dias/1812/01/27/pdfs/GMD-1812-27.pdf#page=4","Abrir facsímil")</f>
        <v>Abrir facsímil</v>
      </c>
      <c r="K2515" s="3" t="s">
        <v>23</v>
      </c>
    </row>
    <row r="2516" spans="1:11" ht="42" customHeight="1">
      <c r="A2516" s="2" t="s">
        <v>7036</v>
      </c>
      <c r="B2516" s="2" t="s">
        <v>7037</v>
      </c>
      <c r="C2516" s="2" t="s">
        <v>17</v>
      </c>
      <c r="D2516" s="2" t="s">
        <v>275</v>
      </c>
      <c r="E2516" s="4">
        <v>-31864</v>
      </c>
      <c r="F2516" s="3" t="s">
        <v>4258</v>
      </c>
      <c r="G2516" s="3" t="s">
        <v>4321</v>
      </c>
      <c r="H2516" s="2" t="s">
        <v>21</v>
      </c>
      <c r="I2516" s="2" t="s">
        <v>7038</v>
      </c>
      <c r="J2516" s="3" t="str">
        <f>HYPERLINK("https://www.boe.es/gazeta/dias/1812/10/03/pdfs/GMR-1812-22.pdf#page=5","Abrir facsímil")</f>
        <v>Abrir facsímil</v>
      </c>
      <c r="K2516" s="3" t="s">
        <v>23</v>
      </c>
    </row>
    <row r="2517" spans="1:11" ht="42" customHeight="1">
      <c r="A2517" s="2" t="s">
        <v>7039</v>
      </c>
      <c r="B2517" s="2" t="s">
        <v>7040</v>
      </c>
      <c r="C2517" s="2" t="s">
        <v>105</v>
      </c>
      <c r="D2517" s="2" t="s">
        <v>27</v>
      </c>
      <c r="E2517" s="4">
        <v>-31938</v>
      </c>
      <c r="F2517" s="3" t="s">
        <v>324</v>
      </c>
      <c r="G2517" s="3" t="s">
        <v>237</v>
      </c>
      <c r="H2517" s="2" t="s">
        <v>21</v>
      </c>
      <c r="I2517" s="2" t="s">
        <v>7041</v>
      </c>
      <c r="J2517" s="3" t="str">
        <f>HYPERLINK("https://www.boe.es/gazeta/dias/1812/07/21/pdfs/GMD-1812-203.pdf#page=2","Abrir facsímil")</f>
        <v>Abrir facsímil</v>
      </c>
      <c r="K2517" s="3" t="s">
        <v>23</v>
      </c>
    </row>
    <row r="2518" spans="1:11" ht="42" customHeight="1">
      <c r="A2518" s="2" t="s">
        <v>7042</v>
      </c>
      <c r="B2518" s="2" t="s">
        <v>7043</v>
      </c>
      <c r="C2518" s="2" t="s">
        <v>26</v>
      </c>
      <c r="D2518" s="2" t="s">
        <v>27</v>
      </c>
      <c r="E2518" s="4">
        <v>-32034</v>
      </c>
      <c r="F2518" s="3" t="s">
        <v>28</v>
      </c>
      <c r="G2518" s="3" t="s">
        <v>20</v>
      </c>
      <c r="H2518" s="2" t="s">
        <v>21</v>
      </c>
      <c r="I2518" s="2" t="s">
        <v>7044</v>
      </c>
      <c r="J2518" s="3" t="str">
        <f>HYPERLINK("https://www.boe.es/gazeta/dias/1812/04/16/pdfs/GMD-1812-107.pdf#page=3","Abrir facsímil")</f>
        <v>Abrir facsímil</v>
      </c>
      <c r="K2518" s="3" t="s">
        <v>23</v>
      </c>
    </row>
    <row r="2519" spans="1:11" ht="42" customHeight="1">
      <c r="A2519" s="2" t="s">
        <v>7045</v>
      </c>
      <c r="B2519" s="2" t="s">
        <v>7046</v>
      </c>
      <c r="C2519" s="2" t="s">
        <v>17</v>
      </c>
      <c r="D2519" s="2" t="s">
        <v>18</v>
      </c>
      <c r="E2519" s="4">
        <v>-32125</v>
      </c>
      <c r="F2519" s="3" t="s">
        <v>964</v>
      </c>
      <c r="G2519" s="3" t="s">
        <v>1842</v>
      </c>
      <c r="H2519" s="2" t="s">
        <v>21</v>
      </c>
      <c r="I2519" s="2" t="s">
        <v>7047</v>
      </c>
      <c r="J2519" s="3" t="str">
        <f>HYPERLINK("https://www.boe.es/gazeta/dias/1812/01/16/pdfs/GEI-H-1812-7.pdf#page=4","Abrir facsímil")</f>
        <v>Abrir facsímil</v>
      </c>
      <c r="K2519" s="3" t="s">
        <v>23</v>
      </c>
    </row>
    <row r="2520" spans="1:11" ht="42" customHeight="1">
      <c r="A2520" s="2" t="s">
        <v>7048</v>
      </c>
      <c r="B2520" s="2" t="s">
        <v>7049</v>
      </c>
      <c r="C2520" s="2" t="s">
        <v>17</v>
      </c>
      <c r="D2520" s="2" t="s">
        <v>18</v>
      </c>
      <c r="E2520" s="4">
        <v>-31878</v>
      </c>
      <c r="F2520" s="3" t="s">
        <v>1831</v>
      </c>
      <c r="G2520" s="3" t="s">
        <v>172</v>
      </c>
      <c r="H2520" s="2" t="s">
        <v>21</v>
      </c>
      <c r="I2520" s="2" t="s">
        <v>7050</v>
      </c>
      <c r="J2520" s="3" t="str">
        <f>HYPERLINK("https://www.boe.es/gazeta/dias/1812/09/19/pdfs/GMR-1812-16.pdf#page=1","Abrir facsímil")</f>
        <v>Abrir facsímil</v>
      </c>
      <c r="K2520" s="3" t="s">
        <v>23</v>
      </c>
    </row>
    <row r="2521" spans="1:11" ht="42" customHeight="1">
      <c r="A2521" s="2" t="s">
        <v>7051</v>
      </c>
      <c r="B2521" s="2" t="s">
        <v>7052</v>
      </c>
      <c r="C2521" s="2" t="s">
        <v>17</v>
      </c>
      <c r="D2521" s="2" t="s">
        <v>18</v>
      </c>
      <c r="E2521" s="4">
        <v>-32109</v>
      </c>
      <c r="F2521" s="3" t="s">
        <v>62</v>
      </c>
      <c r="G2521" s="3" t="s">
        <v>2624</v>
      </c>
      <c r="H2521" s="2" t="s">
        <v>21</v>
      </c>
      <c r="I2521" s="2" t="s">
        <v>7053</v>
      </c>
      <c r="J2521" s="3" t="str">
        <f>HYPERLINK("https://www.boe.es/gazeta/dias/1812/02/01/pdfs/GRE-1812-14.pdf#page=7","Abrir facsímil")</f>
        <v>Abrir facsímil</v>
      </c>
      <c r="K2521" s="3" t="s">
        <v>23</v>
      </c>
    </row>
    <row r="2522" spans="1:11" ht="42" customHeight="1">
      <c r="A2522" s="2" t="s">
        <v>7054</v>
      </c>
      <c r="B2522" s="2" t="s">
        <v>7055</v>
      </c>
      <c r="C2522" s="2" t="s">
        <v>17</v>
      </c>
      <c r="D2522" s="2" t="s">
        <v>27</v>
      </c>
      <c r="E2522" s="4">
        <v>-31922</v>
      </c>
      <c r="F2522" s="3" t="s">
        <v>375</v>
      </c>
      <c r="G2522" s="3" t="s">
        <v>986</v>
      </c>
      <c r="H2522" s="2" t="s">
        <v>21</v>
      </c>
      <c r="I2522" s="2" t="s">
        <v>7056</v>
      </c>
      <c r="J2522" s="3" t="str">
        <f>HYPERLINK("https://www.boe.es/gazeta/dias/1812/08/06/pdfs/GRE-1812-100.pdf#page=8","Abrir facsímil")</f>
        <v>Abrir facsímil</v>
      </c>
      <c r="K2522" s="3" t="s">
        <v>23</v>
      </c>
    </row>
    <row r="2523" spans="1:11" ht="42" customHeight="1">
      <c r="A2523" s="2" t="s">
        <v>7057</v>
      </c>
      <c r="B2523" s="2" t="s">
        <v>7058</v>
      </c>
      <c r="C2523" s="2" t="s">
        <v>26</v>
      </c>
      <c r="D2523" s="2" t="s">
        <v>27</v>
      </c>
      <c r="E2523" s="4">
        <v>-32034</v>
      </c>
      <c r="F2523" s="3" t="s">
        <v>1008</v>
      </c>
      <c r="G2523" s="3" t="s">
        <v>1009</v>
      </c>
      <c r="H2523" s="2" t="s">
        <v>21</v>
      </c>
      <c r="I2523" s="2" t="s">
        <v>7059</v>
      </c>
      <c r="J2523" s="3" t="str">
        <f>HYPERLINK("https://www.boe.es/gazeta/dias/1812/04/16/pdfs/GRE-1812-48.pdf#page=8","Abrir facsímil")</f>
        <v>Abrir facsímil</v>
      </c>
      <c r="K2523" s="3" t="s">
        <v>23</v>
      </c>
    </row>
    <row r="2524" spans="1:11" ht="42" customHeight="1">
      <c r="A2524" s="2" t="s">
        <v>7060</v>
      </c>
      <c r="B2524" s="2" t="s">
        <v>7061</v>
      </c>
      <c r="C2524" s="2" t="s">
        <v>49</v>
      </c>
      <c r="D2524" s="2" t="s">
        <v>27</v>
      </c>
      <c r="E2524" s="4">
        <v>-31966</v>
      </c>
      <c r="F2524" s="3" t="s">
        <v>3665</v>
      </c>
      <c r="G2524" s="3" t="s">
        <v>3666</v>
      </c>
      <c r="H2524" s="2" t="s">
        <v>21</v>
      </c>
      <c r="I2524" s="2" t="s">
        <v>7062</v>
      </c>
      <c r="J2524" s="3" t="str">
        <f>HYPERLINK("https://www.boe.es/gazeta/dias/1812/06/23/pdfs/GRE-1812-77.pdf#page=8","Abrir facsímil")</f>
        <v>Abrir facsímil</v>
      </c>
      <c r="K2524" s="3" t="s">
        <v>23</v>
      </c>
    </row>
    <row r="2525" spans="1:11" ht="42" customHeight="1">
      <c r="A2525" s="2" t="s">
        <v>7063</v>
      </c>
      <c r="B2525" s="2" t="s">
        <v>7064</v>
      </c>
      <c r="C2525" s="2" t="s">
        <v>26</v>
      </c>
      <c r="D2525" s="2" t="s">
        <v>27</v>
      </c>
      <c r="E2525" s="4">
        <v>-32132</v>
      </c>
      <c r="F2525" s="3" t="s">
        <v>484</v>
      </c>
      <c r="G2525" s="3" t="s">
        <v>485</v>
      </c>
      <c r="H2525" s="2" t="s">
        <v>21</v>
      </c>
      <c r="I2525" s="2" t="s">
        <v>7065</v>
      </c>
      <c r="J2525" s="3" t="str">
        <f>HYPERLINK("https://www.boe.es/gazeta/dias/1812/01/09/pdfs/GEI-1812-4.pdf#page=8","Abrir facsímil")</f>
        <v>Abrir facsímil</v>
      </c>
      <c r="K2525" s="3" t="s">
        <v>23</v>
      </c>
    </row>
    <row r="2526" spans="1:11" ht="42" customHeight="1">
      <c r="A2526" s="2" t="s">
        <v>7066</v>
      </c>
      <c r="B2526" s="2" t="s">
        <v>7067</v>
      </c>
      <c r="C2526" s="2" t="s">
        <v>17</v>
      </c>
      <c r="D2526" s="2" t="s">
        <v>27</v>
      </c>
      <c r="E2526" s="4">
        <v>-32055</v>
      </c>
      <c r="F2526" s="3" t="s">
        <v>459</v>
      </c>
      <c r="G2526" s="3" t="s">
        <v>777</v>
      </c>
      <c r="H2526" s="2" t="s">
        <v>21</v>
      </c>
      <c r="I2526" s="2" t="s">
        <v>7068</v>
      </c>
      <c r="J2526" s="3" t="str">
        <f>HYPERLINK("https://www.boe.es/gazeta/dias/1812/03/26/pdfs/GRE-1812-38.pdf#page=6","Abrir facsímil")</f>
        <v>Abrir facsímil</v>
      </c>
      <c r="K2526" s="3" t="s">
        <v>23</v>
      </c>
    </row>
    <row r="2527" spans="1:11" ht="42" customHeight="1">
      <c r="A2527" s="2" t="s">
        <v>7069</v>
      </c>
      <c r="B2527" s="2" t="s">
        <v>7070</v>
      </c>
      <c r="C2527" s="2" t="s">
        <v>26</v>
      </c>
      <c r="D2527" s="2" t="s">
        <v>27</v>
      </c>
      <c r="E2527" s="4">
        <v>-32044</v>
      </c>
      <c r="F2527" s="3" t="s">
        <v>1031</v>
      </c>
      <c r="G2527" s="3" t="s">
        <v>1873</v>
      </c>
      <c r="H2527" s="2" t="s">
        <v>21</v>
      </c>
      <c r="I2527" s="2" t="s">
        <v>7071</v>
      </c>
      <c r="J2527" s="3" t="str">
        <f>HYPERLINK("https://www.boe.es/gazeta/dias/1812/04/06/pdfs/GMD-1812-97.pdf#page=4","Abrir facsímil")</f>
        <v>Abrir facsímil</v>
      </c>
      <c r="K2527" s="3" t="s">
        <v>23</v>
      </c>
    </row>
    <row r="2528" spans="1:11" ht="42" customHeight="1">
      <c r="A2528" s="2" t="s">
        <v>7072</v>
      </c>
      <c r="B2528" s="2" t="s">
        <v>7073</v>
      </c>
      <c r="C2528" s="2" t="s">
        <v>26</v>
      </c>
      <c r="D2528" s="2" t="s">
        <v>27</v>
      </c>
      <c r="E2528" s="4">
        <v>-31938</v>
      </c>
      <c r="F2528" s="3" t="s">
        <v>324</v>
      </c>
      <c r="G2528" s="3" t="s">
        <v>404</v>
      </c>
      <c r="H2528" s="2" t="s">
        <v>21</v>
      </c>
      <c r="I2528" s="2" t="s">
        <v>7074</v>
      </c>
      <c r="J2528" s="3" t="str">
        <f>HYPERLINK("https://www.boe.es/gazeta/dias/1812/07/21/pdfs/GMD-1812-203.pdf#page=4","Abrir facsímil")</f>
        <v>Abrir facsímil</v>
      </c>
      <c r="K2528" s="3" t="s">
        <v>23</v>
      </c>
    </row>
    <row r="2529" spans="1:11" ht="42" customHeight="1">
      <c r="A2529" s="2" t="s">
        <v>7075</v>
      </c>
      <c r="B2529" s="2" t="s">
        <v>7076</v>
      </c>
      <c r="C2529" s="2" t="s">
        <v>26</v>
      </c>
      <c r="D2529" s="2" t="s">
        <v>27</v>
      </c>
      <c r="E2529" s="4">
        <v>-31939</v>
      </c>
      <c r="F2529" s="3" t="s">
        <v>408</v>
      </c>
      <c r="G2529" s="3" t="s">
        <v>20</v>
      </c>
      <c r="H2529" s="2" t="s">
        <v>21</v>
      </c>
      <c r="I2529" s="2" t="s">
        <v>7077</v>
      </c>
      <c r="J2529" s="3" t="str">
        <f>HYPERLINK("https://www.boe.es/gazeta/dias/1812/07/20/pdfs/GMD-1812-202.pdf#page=4","Abrir facsímil")</f>
        <v>Abrir facsímil</v>
      </c>
      <c r="K2529" s="3" t="s">
        <v>23</v>
      </c>
    </row>
    <row r="2530" spans="1:11" ht="42" customHeight="1">
      <c r="A2530" s="2" t="s">
        <v>7078</v>
      </c>
      <c r="B2530" s="2" t="s">
        <v>7079</v>
      </c>
      <c r="C2530" s="2" t="s">
        <v>26</v>
      </c>
      <c r="D2530" s="2" t="s">
        <v>27</v>
      </c>
      <c r="E2530" s="4">
        <v>-32000</v>
      </c>
      <c r="F2530" s="3" t="s">
        <v>878</v>
      </c>
      <c r="G2530" s="3" t="s">
        <v>214</v>
      </c>
      <c r="H2530" s="2" t="s">
        <v>21</v>
      </c>
      <c r="I2530" s="2" t="s">
        <v>7080</v>
      </c>
      <c r="J2530" s="3" t="str">
        <f>HYPERLINK("https://www.boe.es/gazeta/dias/1812/05/20/pdfs/GMD-1812-141.pdf#page=2","Abrir facsímil")</f>
        <v>Abrir facsímil</v>
      </c>
      <c r="K2530" s="3" t="s">
        <v>23</v>
      </c>
    </row>
    <row r="2531" spans="1:11" ht="42" customHeight="1">
      <c r="A2531" s="2" t="s">
        <v>7081</v>
      </c>
      <c r="B2531" s="2" t="s">
        <v>7082</v>
      </c>
      <c r="C2531" s="2" t="s">
        <v>17</v>
      </c>
      <c r="D2531" s="2" t="s">
        <v>27</v>
      </c>
      <c r="E2531" s="4">
        <v>-31812</v>
      </c>
      <c r="F2531" s="3" t="s">
        <v>1533</v>
      </c>
      <c r="G2531" s="3" t="s">
        <v>4188</v>
      </c>
      <c r="H2531" s="2" t="s">
        <v>21</v>
      </c>
      <c r="I2531" s="2" t="s">
        <v>7083</v>
      </c>
      <c r="J2531" s="3" t="str">
        <f>HYPERLINK("https://www.boe.es/gazeta/dias/1812/11/24/pdfs/GMR-1812-37.pdf#page=3","Abrir facsímil")</f>
        <v>Abrir facsímil</v>
      </c>
      <c r="K2531" s="3" t="s">
        <v>23</v>
      </c>
    </row>
    <row r="2532" spans="1:11" ht="42" customHeight="1">
      <c r="A2532" s="2" t="s">
        <v>7084</v>
      </c>
      <c r="B2532" s="2" t="s">
        <v>7085</v>
      </c>
      <c r="C2532" s="2" t="s">
        <v>26</v>
      </c>
      <c r="D2532" s="2" t="s">
        <v>27</v>
      </c>
      <c r="E2532" s="4">
        <v>-32000</v>
      </c>
      <c r="F2532" s="3" t="s">
        <v>878</v>
      </c>
      <c r="G2532" s="3" t="s">
        <v>214</v>
      </c>
      <c r="H2532" s="2" t="s">
        <v>21</v>
      </c>
      <c r="I2532" s="2" t="s">
        <v>7086</v>
      </c>
      <c r="J2532" s="3" t="str">
        <f>HYPERLINK("https://www.boe.es/gazeta/dias/1812/05/20/pdfs/GMD-1812-141.pdf#page=2","Abrir facsímil")</f>
        <v>Abrir facsímil</v>
      </c>
      <c r="K2532" s="3" t="s">
        <v>23</v>
      </c>
    </row>
    <row r="2533" spans="1:11" ht="42" customHeight="1">
      <c r="A2533" s="2" t="s">
        <v>7087</v>
      </c>
      <c r="B2533" s="2" t="s">
        <v>7088</v>
      </c>
      <c r="C2533" s="2" t="s">
        <v>17</v>
      </c>
      <c r="D2533" s="2" t="s">
        <v>27</v>
      </c>
      <c r="E2533" s="4">
        <v>-32075</v>
      </c>
      <c r="F2533" s="3" t="s">
        <v>301</v>
      </c>
      <c r="G2533" s="3" t="s">
        <v>20</v>
      </c>
      <c r="H2533" s="2" t="s">
        <v>21</v>
      </c>
      <c r="I2533" s="2" t="s">
        <v>7089</v>
      </c>
      <c r="J2533" s="3" t="str">
        <f>HYPERLINK("https://www.boe.es/gazeta/dias/1812/03/06/pdfs/GMD-1812-66.pdf#page=4","Abrir facsímil")</f>
        <v>Abrir facsímil</v>
      </c>
      <c r="K2533" s="3" t="s">
        <v>23</v>
      </c>
    </row>
    <row r="2534" spans="1:11" ht="42" customHeight="1">
      <c r="A2534" s="2" t="s">
        <v>7090</v>
      </c>
      <c r="B2534" s="2" t="s">
        <v>7091</v>
      </c>
      <c r="C2534" s="2" t="s">
        <v>17</v>
      </c>
      <c r="D2534" s="2" t="s">
        <v>18</v>
      </c>
      <c r="E2534" s="4">
        <v>-31992</v>
      </c>
      <c r="F2534" s="3" t="s">
        <v>1292</v>
      </c>
      <c r="G2534" s="3" t="s">
        <v>1424</v>
      </c>
      <c r="H2534" s="2" t="s">
        <v>21</v>
      </c>
      <c r="I2534" s="2" t="s">
        <v>7092</v>
      </c>
      <c r="J2534" s="3" t="str">
        <f>HYPERLINK("https://www.boe.es/gazeta/dias/1812/05/28/pdfs/GRE-1812-66.pdf#page=5","Abrir facsímil")</f>
        <v>Abrir facsímil</v>
      </c>
      <c r="K2534" s="3" t="s">
        <v>23</v>
      </c>
    </row>
    <row r="2535" spans="1:11" ht="42" customHeight="1">
      <c r="A2535" s="2" t="s">
        <v>7093</v>
      </c>
      <c r="B2535" s="2" t="s">
        <v>7094</v>
      </c>
      <c r="C2535" s="2" t="s">
        <v>26</v>
      </c>
      <c r="D2535" s="2" t="s">
        <v>27</v>
      </c>
      <c r="E2535" s="4">
        <v>-32095</v>
      </c>
      <c r="F2535" s="3" t="s">
        <v>181</v>
      </c>
      <c r="G2535" s="3" t="s">
        <v>777</v>
      </c>
      <c r="H2535" s="2" t="s">
        <v>21</v>
      </c>
      <c r="I2535" s="2" t="s">
        <v>7095</v>
      </c>
      <c r="J2535" s="3" t="str">
        <f>HYPERLINK("https://www.boe.es/gazeta/dias/1812/02/15/pdfs/GMD-1812-47.pdf#page=3","Abrir facsímil")</f>
        <v>Abrir facsímil</v>
      </c>
      <c r="K2535" s="3" t="s">
        <v>23</v>
      </c>
    </row>
    <row r="2536" spans="1:11" ht="42" customHeight="1">
      <c r="A2536" s="2" t="s">
        <v>7093</v>
      </c>
      <c r="B2536" s="2" t="s">
        <v>7094</v>
      </c>
      <c r="C2536" s="2" t="s">
        <v>26</v>
      </c>
      <c r="D2536" s="2" t="s">
        <v>27</v>
      </c>
      <c r="E2536" s="4">
        <v>-32094</v>
      </c>
      <c r="F2536" s="3" t="s">
        <v>181</v>
      </c>
      <c r="G2536" s="3" t="s">
        <v>777</v>
      </c>
      <c r="H2536" s="2" t="s">
        <v>21</v>
      </c>
      <c r="I2536" s="2" t="s">
        <v>7095</v>
      </c>
      <c r="J2536" s="3" t="str">
        <f>HYPERLINK("https://www.boe.es/gazeta/dias/1812/02/16/pdfs/GMD-1812-47.pdf#page=3","Abrir facsímil")</f>
        <v>Abrir facsímil</v>
      </c>
      <c r="K2536" s="3" t="s">
        <v>23</v>
      </c>
    </row>
    <row r="2537" spans="1:11" ht="42" customHeight="1">
      <c r="A2537" s="2" t="s">
        <v>7096</v>
      </c>
      <c r="B2537" s="2" t="s">
        <v>7097</v>
      </c>
      <c r="C2537" s="2" t="s">
        <v>17</v>
      </c>
      <c r="D2537" s="2" t="s">
        <v>194</v>
      </c>
      <c r="E2537" s="4">
        <v>-31845</v>
      </c>
      <c r="F2537" s="3" t="s">
        <v>723</v>
      </c>
      <c r="G2537" s="3" t="s">
        <v>2169</v>
      </c>
      <c r="H2537" s="2" t="s">
        <v>21</v>
      </c>
      <c r="I2537" s="2" t="s">
        <v>7098</v>
      </c>
      <c r="J2537" s="3" t="str">
        <f>HYPERLINK("https://www.boe.es/gazeta/dias/1812/10/22/pdfs/GMR-1812-30.pdf#page=1","Abrir facsímil")</f>
        <v>Abrir facsímil</v>
      </c>
      <c r="K2537" s="3" t="s">
        <v>23</v>
      </c>
    </row>
    <row r="2538" spans="1:11" ht="42" customHeight="1">
      <c r="A2538" s="2" t="s">
        <v>7099</v>
      </c>
      <c r="B2538" s="2" t="s">
        <v>7100</v>
      </c>
      <c r="C2538" s="2" t="s">
        <v>17</v>
      </c>
      <c r="D2538" s="2" t="s">
        <v>18</v>
      </c>
      <c r="E2538" s="4">
        <v>-31792</v>
      </c>
      <c r="F2538" s="3" t="s">
        <v>744</v>
      </c>
      <c r="G2538" s="3" t="s">
        <v>45</v>
      </c>
      <c r="H2538" s="2" t="s">
        <v>21</v>
      </c>
      <c r="I2538" s="2" t="s">
        <v>7101</v>
      </c>
      <c r="J2538" s="3" t="str">
        <f>HYPERLINK("https://www.boe.es/gazeta/dias/1812/12/14/pdfs/GMD-1812-237.pdf#page=3","Abrir facsímil")</f>
        <v>Abrir facsímil</v>
      </c>
      <c r="K2538" s="3" t="s">
        <v>23</v>
      </c>
    </row>
    <row r="2539" spans="1:11" ht="42" customHeight="1">
      <c r="A2539" s="2" t="s">
        <v>7102</v>
      </c>
      <c r="B2539" s="2" t="s">
        <v>7103</v>
      </c>
      <c r="C2539" s="2" t="s">
        <v>17</v>
      </c>
      <c r="D2539" s="2" t="s">
        <v>194</v>
      </c>
      <c r="E2539" s="4">
        <v>-31955</v>
      </c>
      <c r="F2539" s="3" t="s">
        <v>1195</v>
      </c>
      <c r="G2539" s="3" t="s">
        <v>2584</v>
      </c>
      <c r="H2539" s="2" t="s">
        <v>21</v>
      </c>
      <c r="I2539" s="2" t="s">
        <v>7104</v>
      </c>
      <c r="J2539" s="3" t="str">
        <f>HYPERLINK("https://www.boe.es/gazeta/dias/1812/07/04/pdfs/GMD-1812-186.pdf#page=1","Abrir facsímil")</f>
        <v>Abrir facsímil</v>
      </c>
      <c r="K2539" s="3" t="s">
        <v>23</v>
      </c>
    </row>
    <row r="2540" spans="1:11" ht="42" customHeight="1">
      <c r="A2540" s="2" t="s">
        <v>7102</v>
      </c>
      <c r="B2540" s="2" t="s">
        <v>7103</v>
      </c>
      <c r="C2540" s="2" t="s">
        <v>17</v>
      </c>
      <c r="D2540" s="2" t="s">
        <v>18</v>
      </c>
      <c r="E2540" s="4">
        <v>-31927</v>
      </c>
      <c r="F2540" s="3" t="s">
        <v>1160</v>
      </c>
      <c r="G2540" s="3" t="s">
        <v>404</v>
      </c>
      <c r="H2540" s="2" t="s">
        <v>21</v>
      </c>
      <c r="I2540" s="2" t="s">
        <v>7105</v>
      </c>
      <c r="J2540" s="3" t="str">
        <f>HYPERLINK("https://www.boe.es/gazeta/dias/1812/08/01/pdfs/GRE-1812-97.pdf#page=2","Abrir facsímil")</f>
        <v>Abrir facsímil</v>
      </c>
      <c r="K2540" s="3" t="s">
        <v>23</v>
      </c>
    </row>
    <row r="2541" spans="1:11" ht="42" customHeight="1">
      <c r="A2541" s="2" t="s">
        <v>7102</v>
      </c>
      <c r="B2541" s="2" t="s">
        <v>7103</v>
      </c>
      <c r="C2541" s="2" t="s">
        <v>49</v>
      </c>
      <c r="D2541" s="2" t="s">
        <v>18</v>
      </c>
      <c r="E2541" s="4">
        <v>-31896</v>
      </c>
      <c r="F2541" s="3" t="s">
        <v>1808</v>
      </c>
      <c r="G2541" s="3" t="s">
        <v>58</v>
      </c>
      <c r="H2541" s="2" t="s">
        <v>21</v>
      </c>
      <c r="I2541" s="2" t="s">
        <v>7106</v>
      </c>
      <c r="J2541" s="3" t="str">
        <f>HYPERLINK("https://www.boe.es/gazeta/dias/1812/09/01/pdfs/GMR-1812-8.pdf#page=3","Abrir facsímil")</f>
        <v>Abrir facsímil</v>
      </c>
      <c r="K2541" s="3" t="s">
        <v>23</v>
      </c>
    </row>
    <row r="2542" spans="1:11" ht="42" customHeight="1">
      <c r="A2542" s="2" t="s">
        <v>7102</v>
      </c>
      <c r="B2542" s="2" t="s">
        <v>7103</v>
      </c>
      <c r="C2542" s="2" t="s">
        <v>17</v>
      </c>
      <c r="D2542" s="2" t="s">
        <v>27</v>
      </c>
      <c r="E2542" s="4">
        <v>-31866</v>
      </c>
      <c r="F2542" s="3" t="s">
        <v>2438</v>
      </c>
      <c r="G2542" s="3" t="s">
        <v>125</v>
      </c>
      <c r="H2542" s="2" t="s">
        <v>21</v>
      </c>
      <c r="I2542" s="2" t="s">
        <v>7107</v>
      </c>
      <c r="J2542" s="3" t="str">
        <f>HYPERLINK("https://www.boe.es/gazeta/dias/1812/10/01/pdfs/GMR-1812-21.pdf#page=3","Abrir facsímil")</f>
        <v>Abrir facsímil</v>
      </c>
      <c r="K2542" s="3" t="s">
        <v>23</v>
      </c>
    </row>
    <row r="2543" spans="1:11" ht="42" customHeight="1">
      <c r="A2543" s="2" t="s">
        <v>7102</v>
      </c>
      <c r="B2543" s="2" t="s">
        <v>7103</v>
      </c>
      <c r="C2543" s="2" t="s">
        <v>17</v>
      </c>
      <c r="D2543" s="2" t="s">
        <v>27</v>
      </c>
      <c r="E2543" s="4">
        <v>-31861</v>
      </c>
      <c r="F2543" s="3" t="s">
        <v>1080</v>
      </c>
      <c r="G2543" s="3" t="s">
        <v>125</v>
      </c>
      <c r="H2543" s="2" t="s">
        <v>21</v>
      </c>
      <c r="I2543" s="2" t="s">
        <v>7108</v>
      </c>
      <c r="J2543" s="3" t="str">
        <f>HYPERLINK("https://www.boe.es/gazeta/dias/1812/10/06/pdfs/GMR-1812-23.pdf#page=3","Abrir facsímil")</f>
        <v>Abrir facsímil</v>
      </c>
      <c r="K2543" s="3" t="s">
        <v>23</v>
      </c>
    </row>
    <row r="2544" spans="1:11" ht="42" customHeight="1">
      <c r="A2544" s="2" t="s">
        <v>7102</v>
      </c>
      <c r="B2544" s="2" t="s">
        <v>7103</v>
      </c>
      <c r="C2544" s="2" t="s">
        <v>17</v>
      </c>
      <c r="D2544" s="2" t="s">
        <v>194</v>
      </c>
      <c r="E2544" s="4">
        <v>-31861</v>
      </c>
      <c r="F2544" s="3" t="s">
        <v>1080</v>
      </c>
      <c r="G2544" s="3" t="s">
        <v>2403</v>
      </c>
      <c r="H2544" s="2" t="s">
        <v>21</v>
      </c>
      <c r="I2544" s="2" t="s">
        <v>7109</v>
      </c>
      <c r="J2544" s="3" t="str">
        <f>HYPERLINK("https://www.boe.es/gazeta/dias/1812/10/06/pdfs/GMR-1812-23.pdf#page=14","Abrir facsímil")</f>
        <v>Abrir facsímil</v>
      </c>
      <c r="K2544" s="3" t="s">
        <v>23</v>
      </c>
    </row>
    <row r="2545" spans="1:11" ht="42" customHeight="1">
      <c r="A2545" s="2" t="s">
        <v>7102</v>
      </c>
      <c r="B2545" s="2" t="s">
        <v>7103</v>
      </c>
      <c r="C2545" s="2" t="s">
        <v>49</v>
      </c>
      <c r="D2545" s="2" t="s">
        <v>18</v>
      </c>
      <c r="E2545" s="4">
        <v>-31847</v>
      </c>
      <c r="F2545" s="3" t="s">
        <v>4133</v>
      </c>
      <c r="G2545" s="3" t="s">
        <v>7110</v>
      </c>
      <c r="H2545" s="2" t="s">
        <v>21</v>
      </c>
      <c r="I2545" s="2" t="s">
        <v>7111</v>
      </c>
      <c r="J2545" s="3" t="str">
        <f>HYPERLINK("https://www.boe.es/gazeta/dias/1812/10/20/pdfs/GMR-1812-29.pdf#page=1","Abrir facsímil")</f>
        <v>Abrir facsímil</v>
      </c>
      <c r="K2545" s="3" t="s">
        <v>23</v>
      </c>
    </row>
    <row r="2546" spans="1:11" ht="42" customHeight="1">
      <c r="A2546" s="2" t="s">
        <v>7102</v>
      </c>
      <c r="B2546" s="2" t="s">
        <v>7103</v>
      </c>
      <c r="C2546" s="2" t="s">
        <v>17</v>
      </c>
      <c r="D2546" s="2" t="s">
        <v>18</v>
      </c>
      <c r="E2546" s="4">
        <v>-31840</v>
      </c>
      <c r="F2546" s="3" t="s">
        <v>7112</v>
      </c>
      <c r="G2546" s="3" t="s">
        <v>125</v>
      </c>
      <c r="H2546" s="2" t="s">
        <v>21</v>
      </c>
      <c r="I2546" s="2" t="s">
        <v>7113</v>
      </c>
      <c r="J2546" s="3" t="str">
        <f>HYPERLINK("https://www.boe.es/gazeta/dias/1812/10/27/pdfs/GRE-1812-144.pdf#page=3","Abrir facsímil")</f>
        <v>Abrir facsímil</v>
      </c>
      <c r="K2546" s="3" t="s">
        <v>23</v>
      </c>
    </row>
    <row r="2547" spans="1:11" ht="42" customHeight="1">
      <c r="A2547" s="2" t="s">
        <v>7102</v>
      </c>
      <c r="B2547" s="2" t="s">
        <v>7103</v>
      </c>
      <c r="C2547" s="2" t="s">
        <v>17</v>
      </c>
      <c r="D2547" s="2" t="s">
        <v>18</v>
      </c>
      <c r="E2547" s="4">
        <v>-31800</v>
      </c>
      <c r="F2547" s="3" t="s">
        <v>593</v>
      </c>
      <c r="G2547" s="3" t="s">
        <v>4662</v>
      </c>
      <c r="H2547" s="2" t="s">
        <v>21</v>
      </c>
      <c r="I2547" s="2" t="s">
        <v>7114</v>
      </c>
      <c r="J2547" s="3" t="str">
        <f>HYPERLINK("https://www.boe.es/gazeta/dias/1812/12/06/pdfs/GMD-1812-229.pdf#page=1","Abrir facsímil")</f>
        <v>Abrir facsímil</v>
      </c>
      <c r="K2547" s="3" t="s">
        <v>23</v>
      </c>
    </row>
    <row r="2548" spans="1:11" ht="42" customHeight="1">
      <c r="A2548" s="2" t="s">
        <v>7115</v>
      </c>
      <c r="B2548" s="2" t="s">
        <v>7116</v>
      </c>
      <c r="C2548" s="2" t="s">
        <v>26</v>
      </c>
      <c r="D2548" s="2" t="s">
        <v>134</v>
      </c>
      <c r="E2548" s="4">
        <v>-31955</v>
      </c>
      <c r="F2548" s="3" t="s">
        <v>135</v>
      </c>
      <c r="G2548" s="3" t="s">
        <v>514</v>
      </c>
      <c r="H2548" s="2" t="s">
        <v>21</v>
      </c>
      <c r="I2548" s="2" t="s">
        <v>7117</v>
      </c>
      <c r="J2548" s="3" t="str">
        <f>HYPERLINK("https://www.boe.es/gazeta/dias/1812/07/04/pdfs/GRE-F-1812-82.pdf#page=7","Abrir facsímil")</f>
        <v>Abrir facsímil</v>
      </c>
      <c r="K2548" s="3" t="s">
        <v>23</v>
      </c>
    </row>
    <row r="2549" spans="1:11" ht="42" customHeight="1">
      <c r="A2549" s="2" t="s">
        <v>7118</v>
      </c>
      <c r="B2549" s="2" t="s">
        <v>7119</v>
      </c>
      <c r="C2549" s="2" t="s">
        <v>26</v>
      </c>
      <c r="D2549" s="2" t="s">
        <v>27</v>
      </c>
      <c r="E2549" s="4">
        <v>-32034</v>
      </c>
      <c r="F2549" s="3" t="s">
        <v>28</v>
      </c>
      <c r="G2549" s="3" t="s">
        <v>45</v>
      </c>
      <c r="H2549" s="2" t="s">
        <v>21</v>
      </c>
      <c r="I2549" s="2" t="s">
        <v>7120</v>
      </c>
      <c r="J2549" s="3" t="str">
        <f>HYPERLINK("https://www.boe.es/gazeta/dias/1812/04/16/pdfs/GMD-1812-107.pdf#page=5","Abrir facsímil")</f>
        <v>Abrir facsímil</v>
      </c>
      <c r="K2549" s="3" t="s">
        <v>23</v>
      </c>
    </row>
    <row r="2550" spans="1:11" ht="42" customHeight="1">
      <c r="A2550" s="2" t="s">
        <v>7121</v>
      </c>
      <c r="B2550" s="2" t="s">
        <v>7122</v>
      </c>
      <c r="C2550" s="2" t="s">
        <v>17</v>
      </c>
      <c r="D2550" s="2" t="s">
        <v>275</v>
      </c>
      <c r="E2550" s="4">
        <v>-31955</v>
      </c>
      <c r="F2550" s="3" t="s">
        <v>135</v>
      </c>
      <c r="G2550" s="3" t="s">
        <v>58</v>
      </c>
      <c r="H2550" s="2" t="s">
        <v>21</v>
      </c>
      <c r="I2550" s="2" t="s">
        <v>7123</v>
      </c>
      <c r="J2550" s="3" t="str">
        <f>HYPERLINK("https://www.boe.es/gazeta/dias/1812/07/04/pdfs/GRE-F-1812-82.pdf#page=6","Abrir facsímil")</f>
        <v>Abrir facsímil</v>
      </c>
      <c r="K2550" s="3" t="s">
        <v>23</v>
      </c>
    </row>
    <row r="2551" spans="1:11" ht="42" customHeight="1">
      <c r="A2551" s="2" t="s">
        <v>7124</v>
      </c>
      <c r="B2551" s="2" t="s">
        <v>7125</v>
      </c>
      <c r="C2551" s="2" t="s">
        <v>26</v>
      </c>
      <c r="D2551" s="2" t="s">
        <v>27</v>
      </c>
      <c r="E2551" s="4">
        <v>-32118</v>
      </c>
      <c r="F2551" s="3" t="s">
        <v>1420</v>
      </c>
      <c r="G2551" s="3" t="s">
        <v>217</v>
      </c>
      <c r="H2551" s="2" t="s">
        <v>21</v>
      </c>
      <c r="I2551" s="2" t="s">
        <v>7126</v>
      </c>
      <c r="J2551" s="3" t="str">
        <f>HYPERLINK("https://www.boe.es/gazeta/dias/1812/01/23/pdfs/GEI-1812-10.pdf#page=5","Abrir facsímil")</f>
        <v>Abrir facsímil</v>
      </c>
      <c r="K2551" s="3" t="s">
        <v>23</v>
      </c>
    </row>
    <row r="2552" spans="1:11" ht="42" customHeight="1">
      <c r="A2552" s="2" t="s">
        <v>7124</v>
      </c>
      <c r="B2552" s="2" t="s">
        <v>7125</v>
      </c>
      <c r="C2552" s="2" t="s">
        <v>67</v>
      </c>
      <c r="D2552" s="2" t="s">
        <v>27</v>
      </c>
      <c r="E2552" s="4">
        <v>-32066</v>
      </c>
      <c r="F2552" s="3" t="s">
        <v>291</v>
      </c>
      <c r="G2552" s="3" t="s">
        <v>125</v>
      </c>
      <c r="H2552" s="2" t="s">
        <v>21</v>
      </c>
      <c r="I2552" s="2" t="s">
        <v>7127</v>
      </c>
      <c r="J2552" s="3" t="str">
        <f>HYPERLINK("https://www.boe.es/gazeta/dias/1812/03/15/pdfs/GMD-1812-75.pdf#page=4","Abrir facsímil")</f>
        <v>Abrir facsímil</v>
      </c>
      <c r="K2552" s="3" t="s">
        <v>23</v>
      </c>
    </row>
    <row r="2553" spans="1:11" ht="42" customHeight="1">
      <c r="A2553" s="2" t="s">
        <v>7128</v>
      </c>
      <c r="B2553" s="2" t="s">
        <v>7129</v>
      </c>
      <c r="C2553" s="2" t="s">
        <v>26</v>
      </c>
      <c r="D2553" s="2" t="s">
        <v>27</v>
      </c>
      <c r="E2553" s="4">
        <v>-31850</v>
      </c>
      <c r="F2553" s="3" t="s">
        <v>2178</v>
      </c>
      <c r="G2553" s="3" t="s">
        <v>7130</v>
      </c>
      <c r="H2553" s="2" t="s">
        <v>21</v>
      </c>
      <c r="I2553" s="2" t="s">
        <v>7131</v>
      </c>
      <c r="J2553" s="3" t="str">
        <f>HYPERLINK("https://www.boe.es/gazeta/dias/1812/10/17/pdfs/GRE-1812-140.pdf#page=7","Abrir facsímil")</f>
        <v>Abrir facsímil</v>
      </c>
      <c r="K2553" s="3" t="s">
        <v>23</v>
      </c>
    </row>
    <row r="2554" spans="1:11" ht="42" customHeight="1">
      <c r="A2554" s="2" t="s">
        <v>7132</v>
      </c>
      <c r="B2554" s="2" t="s">
        <v>7133</v>
      </c>
      <c r="C2554" s="2" t="s">
        <v>26</v>
      </c>
      <c r="D2554" s="2" t="s">
        <v>573</v>
      </c>
      <c r="E2554" s="4">
        <v>-31900</v>
      </c>
      <c r="F2554" s="3" t="s">
        <v>276</v>
      </c>
      <c r="G2554" s="3" t="s">
        <v>277</v>
      </c>
      <c r="H2554" s="2" t="s">
        <v>21</v>
      </c>
      <c r="I2554" s="2" t="s">
        <v>7134</v>
      </c>
      <c r="J2554" s="3" t="str">
        <f>HYPERLINK("https://www.boe.es/gazeta/dias/1812/08/28/pdfs/GRE-1812-113E.pdf#page=8","Abrir facsímil")</f>
        <v>Abrir facsímil</v>
      </c>
      <c r="K2554" s="3" t="s">
        <v>23</v>
      </c>
    </row>
    <row r="2555" spans="1:11" ht="42" customHeight="1">
      <c r="A2555" s="2" t="s">
        <v>7135</v>
      </c>
      <c r="B2555" s="2" t="s">
        <v>7136</v>
      </c>
      <c r="C2555" s="2" t="s">
        <v>26</v>
      </c>
      <c r="D2555" s="2" t="s">
        <v>27</v>
      </c>
      <c r="E2555" s="4">
        <v>-31938</v>
      </c>
      <c r="F2555" s="3" t="s">
        <v>324</v>
      </c>
      <c r="G2555" s="3" t="s">
        <v>497</v>
      </c>
      <c r="H2555" s="2" t="s">
        <v>21</v>
      </c>
      <c r="I2555" s="2" t="s">
        <v>7137</v>
      </c>
      <c r="J2555" s="3" t="str">
        <f>HYPERLINK("https://www.boe.es/gazeta/dias/1812/07/21/pdfs/GMD-1812-203.pdf#page=3","Abrir facsímil")</f>
        <v>Abrir facsímil</v>
      </c>
      <c r="K2555" s="3" t="s">
        <v>23</v>
      </c>
    </row>
    <row r="2556" spans="1:11" ht="42" customHeight="1">
      <c r="A2556" s="2" t="s">
        <v>7138</v>
      </c>
      <c r="B2556" s="2" t="s">
        <v>7139</v>
      </c>
      <c r="C2556" s="2" t="s">
        <v>26</v>
      </c>
      <c r="D2556" s="2" t="s">
        <v>27</v>
      </c>
      <c r="E2556" s="4">
        <v>-31992</v>
      </c>
      <c r="F2556" s="3" t="s">
        <v>1292</v>
      </c>
      <c r="G2556" s="3" t="s">
        <v>45</v>
      </c>
      <c r="H2556" s="2" t="s">
        <v>21</v>
      </c>
      <c r="I2556" s="2" t="s">
        <v>7140</v>
      </c>
      <c r="J2556" s="3" t="str">
        <f>HYPERLINK("https://www.boe.es/gazeta/dias/1812/05/28/pdfs/GRE-1812-66.pdf#page=3","Abrir facsímil")</f>
        <v>Abrir facsímil</v>
      </c>
      <c r="K2556" s="3" t="s">
        <v>23</v>
      </c>
    </row>
    <row r="2557" spans="1:11" ht="42" customHeight="1">
      <c r="A2557" s="2" t="s">
        <v>7141</v>
      </c>
      <c r="B2557" s="2" t="s">
        <v>7142</v>
      </c>
      <c r="C2557" s="2" t="s">
        <v>17</v>
      </c>
      <c r="D2557" s="2" t="s">
        <v>27</v>
      </c>
      <c r="E2557" s="4">
        <v>-32015</v>
      </c>
      <c r="F2557" s="3" t="s">
        <v>77</v>
      </c>
      <c r="G2557" s="3" t="s">
        <v>78</v>
      </c>
      <c r="H2557" s="2" t="s">
        <v>21</v>
      </c>
      <c r="I2557" s="2" t="s">
        <v>7143</v>
      </c>
      <c r="J2557" s="3" t="str">
        <f>HYPERLINK("https://www.boe.es/gazeta/dias/1812/05/05/pdfs/GRE-1812-56.pdf#page=8","Abrir facsímil")</f>
        <v>Abrir facsímil</v>
      </c>
      <c r="K2557" s="3" t="s">
        <v>23</v>
      </c>
    </row>
    <row r="2558" spans="1:11" ht="42" customHeight="1">
      <c r="A2558" s="2" t="s">
        <v>7144</v>
      </c>
      <c r="B2558" s="2" t="s">
        <v>7145</v>
      </c>
      <c r="C2558" s="2" t="s">
        <v>49</v>
      </c>
      <c r="D2558" s="2" t="s">
        <v>27</v>
      </c>
      <c r="E2558" s="4">
        <v>-32110</v>
      </c>
      <c r="F2558" s="3" t="s">
        <v>68</v>
      </c>
      <c r="G2558" s="3" t="s">
        <v>20</v>
      </c>
      <c r="H2558" s="2" t="s">
        <v>21</v>
      </c>
      <c r="I2558" s="2" t="s">
        <v>7146</v>
      </c>
      <c r="J2558" s="3" t="str">
        <f>HYPERLINK("https://www.boe.es/gazeta/dias/1812/01/31/pdfs/GMD-1812-31.pdf#page=3","Abrir facsímil")</f>
        <v>Abrir facsímil</v>
      </c>
      <c r="K2558" s="3" t="s">
        <v>23</v>
      </c>
    </row>
    <row r="2559" spans="1:11" ht="42" customHeight="1">
      <c r="A2559" s="2" t="s">
        <v>7144</v>
      </c>
      <c r="B2559" s="2" t="s">
        <v>7145</v>
      </c>
      <c r="C2559" s="2" t="s">
        <v>26</v>
      </c>
      <c r="D2559" s="2" t="s">
        <v>275</v>
      </c>
      <c r="E2559" s="4">
        <v>-31964</v>
      </c>
      <c r="F2559" s="3" t="s">
        <v>305</v>
      </c>
      <c r="G2559" s="3" t="s">
        <v>58</v>
      </c>
      <c r="H2559" s="2" t="s">
        <v>21</v>
      </c>
      <c r="I2559" s="2" t="s">
        <v>7147</v>
      </c>
      <c r="J2559" s="3" t="str">
        <f>HYPERLINK("https://www.boe.es/gazeta/dias/1812/06/25/pdfs/GMD-1812-177.pdf#page=2","Abrir facsímil")</f>
        <v>Abrir facsímil</v>
      </c>
      <c r="K2559" s="3" t="s">
        <v>23</v>
      </c>
    </row>
    <row r="2560" spans="1:11" ht="42" customHeight="1">
      <c r="A2560" s="2" t="s">
        <v>7148</v>
      </c>
      <c r="B2560" s="2" t="s">
        <v>7149</v>
      </c>
      <c r="C2560" s="2" t="s">
        <v>17</v>
      </c>
      <c r="D2560" s="2" t="s">
        <v>27</v>
      </c>
      <c r="E2560" s="4">
        <v>-32075</v>
      </c>
      <c r="F2560" s="3" t="s">
        <v>301</v>
      </c>
      <c r="G2560" s="3" t="s">
        <v>20</v>
      </c>
      <c r="H2560" s="2" t="s">
        <v>21</v>
      </c>
      <c r="I2560" s="2" t="s">
        <v>7150</v>
      </c>
      <c r="J2560" s="3" t="str">
        <f>HYPERLINK("https://www.boe.es/gazeta/dias/1812/03/06/pdfs/GMD-1812-66.pdf#page=4","Abrir facsímil")</f>
        <v>Abrir facsímil</v>
      </c>
      <c r="K2560" s="3" t="s">
        <v>23</v>
      </c>
    </row>
    <row r="2561" spans="1:11" ht="42" customHeight="1">
      <c r="A2561" s="2" t="s">
        <v>7151</v>
      </c>
      <c r="B2561" s="2" t="s">
        <v>7152</v>
      </c>
      <c r="C2561" s="2" t="s">
        <v>26</v>
      </c>
      <c r="D2561" s="2" t="s">
        <v>27</v>
      </c>
      <c r="E2561" s="4">
        <v>-32002</v>
      </c>
      <c r="F2561" s="3" t="s">
        <v>619</v>
      </c>
      <c r="G2561" s="3" t="s">
        <v>20</v>
      </c>
      <c r="H2561" s="2" t="s">
        <v>21</v>
      </c>
      <c r="I2561" s="2" t="s">
        <v>7153</v>
      </c>
      <c r="J2561" s="3" t="str">
        <f>HYPERLINK("https://www.boe.es/gazeta/dias/1812/05/18/pdfs/GMD-1812-139.pdf#page=3","Abrir facsímil")</f>
        <v>Abrir facsímil</v>
      </c>
      <c r="K2561" s="3" t="s">
        <v>23</v>
      </c>
    </row>
    <row r="2562" spans="1:11" ht="42" customHeight="1">
      <c r="A2562" s="2" t="s">
        <v>7154</v>
      </c>
      <c r="B2562" s="2" t="s">
        <v>7155</v>
      </c>
      <c r="C2562" s="2" t="s">
        <v>17</v>
      </c>
      <c r="D2562" s="2" t="s">
        <v>27</v>
      </c>
      <c r="E2562" s="4">
        <v>-32002</v>
      </c>
      <c r="F2562" s="3" t="s">
        <v>619</v>
      </c>
      <c r="G2562" s="3" t="s">
        <v>620</v>
      </c>
      <c r="H2562" s="2" t="s">
        <v>21</v>
      </c>
      <c r="I2562" s="2" t="s">
        <v>7156</v>
      </c>
      <c r="J2562" s="3" t="str">
        <f>HYPERLINK("https://www.boe.es/gazeta/dias/1812/05/18/pdfs/GMD-1812-139.pdf#page=2","Abrir facsímil")</f>
        <v>Abrir facsímil</v>
      </c>
      <c r="K2562" s="3" t="s">
        <v>23</v>
      </c>
    </row>
    <row r="2563" spans="1:11" ht="42" customHeight="1">
      <c r="A2563" s="2" t="s">
        <v>7154</v>
      </c>
      <c r="B2563" s="2" t="s">
        <v>7155</v>
      </c>
      <c r="C2563" s="2" t="s">
        <v>26</v>
      </c>
      <c r="D2563" s="2" t="s">
        <v>27</v>
      </c>
      <c r="E2563" s="4">
        <v>-32000</v>
      </c>
      <c r="F2563" s="3" t="s">
        <v>878</v>
      </c>
      <c r="G2563" s="3" t="s">
        <v>214</v>
      </c>
      <c r="H2563" s="2" t="s">
        <v>21</v>
      </c>
      <c r="I2563" s="2" t="s">
        <v>7157</v>
      </c>
      <c r="J2563" s="3" t="str">
        <f>HYPERLINK("https://www.boe.es/gazeta/dias/1812/05/20/pdfs/GMD-1812-141.pdf#page=2","Abrir facsímil")</f>
        <v>Abrir facsímil</v>
      </c>
      <c r="K2563" s="3" t="s">
        <v>23</v>
      </c>
    </row>
    <row r="2564" spans="1:11" ht="42" customHeight="1">
      <c r="A2564" s="2" t="s">
        <v>7158</v>
      </c>
      <c r="B2564" s="2" t="s">
        <v>7159</v>
      </c>
      <c r="C2564" s="2" t="s">
        <v>26</v>
      </c>
      <c r="D2564" s="2" t="s">
        <v>27</v>
      </c>
      <c r="E2564" s="4">
        <v>-31940</v>
      </c>
      <c r="F2564" s="3" t="s">
        <v>187</v>
      </c>
      <c r="G2564" s="3" t="s">
        <v>45</v>
      </c>
      <c r="H2564" s="2" t="s">
        <v>21</v>
      </c>
      <c r="I2564" s="2" t="s">
        <v>7160</v>
      </c>
      <c r="J2564" s="3" t="str">
        <f>HYPERLINK("https://www.boe.es/gazeta/dias/1812/07/19/pdfs/GMD-1812-201.pdf#page=2","Abrir facsímil")</f>
        <v>Abrir facsímil</v>
      </c>
      <c r="K2564" s="3" t="s">
        <v>23</v>
      </c>
    </row>
    <row r="2565" spans="1:11" ht="42" customHeight="1">
      <c r="A2565" s="2" t="s">
        <v>7161</v>
      </c>
      <c r="B2565" s="2" t="s">
        <v>7162</v>
      </c>
      <c r="C2565" s="2" t="s">
        <v>17</v>
      </c>
      <c r="D2565" s="2" t="s">
        <v>18</v>
      </c>
      <c r="E2565" s="4">
        <v>-31866</v>
      </c>
      <c r="F2565" s="3" t="s">
        <v>2438</v>
      </c>
      <c r="G2565" s="3" t="s">
        <v>125</v>
      </c>
      <c r="H2565" s="2" t="s">
        <v>21</v>
      </c>
      <c r="I2565" s="2" t="s">
        <v>7163</v>
      </c>
      <c r="J2565" s="3" t="str">
        <f>HYPERLINK("https://www.boe.es/gazeta/dias/1812/10/01/pdfs/GMR-1812-21.pdf#page=3","Abrir facsímil")</f>
        <v>Abrir facsímil</v>
      </c>
      <c r="K2565" s="3" t="s">
        <v>23</v>
      </c>
    </row>
    <row r="2566" spans="1:11" ht="42" customHeight="1">
      <c r="A2566" s="2" t="s">
        <v>7164</v>
      </c>
      <c r="B2566" s="2" t="s">
        <v>7165</v>
      </c>
      <c r="C2566" s="2" t="s">
        <v>26</v>
      </c>
      <c r="D2566" s="2" t="s">
        <v>27</v>
      </c>
      <c r="E2566" s="4">
        <v>-31922</v>
      </c>
      <c r="F2566" s="3" t="s">
        <v>622</v>
      </c>
      <c r="G2566" s="3" t="s">
        <v>623</v>
      </c>
      <c r="H2566" s="2" t="s">
        <v>21</v>
      </c>
      <c r="I2566" s="2" t="s">
        <v>7166</v>
      </c>
      <c r="J2566" s="3" t="str">
        <f>HYPERLINK("https://www.boe.es/gazeta/dias/1812/08/06/pdfs/GMD-1812-219.pdf#page=1","Abrir facsímil")</f>
        <v>Abrir facsímil</v>
      </c>
      <c r="K2566" s="3" t="s">
        <v>23</v>
      </c>
    </row>
    <row r="2567" spans="1:11" ht="42" customHeight="1">
      <c r="A2567" s="2" t="s">
        <v>7167</v>
      </c>
      <c r="B2567" s="2" t="s">
        <v>7168</v>
      </c>
      <c r="C2567" s="2" t="s">
        <v>105</v>
      </c>
      <c r="D2567" s="2" t="s">
        <v>27</v>
      </c>
      <c r="E2567" s="4">
        <v>-31857</v>
      </c>
      <c r="F2567" s="3" t="s">
        <v>2176</v>
      </c>
      <c r="G2567" s="3" t="s">
        <v>217</v>
      </c>
      <c r="H2567" s="2" t="s">
        <v>21</v>
      </c>
      <c r="I2567" s="2" t="s">
        <v>7169</v>
      </c>
      <c r="J2567" s="3" t="str">
        <f>HYPERLINK("https://www.boe.es/gazeta/dias/1812/10/10/pdfs/GMR-1812-25.pdf#page=7","Abrir facsímil")</f>
        <v>Abrir facsímil</v>
      </c>
      <c r="K2567" s="3" t="s">
        <v>23</v>
      </c>
    </row>
    <row r="2568" spans="1:11" ht="42" customHeight="1">
      <c r="A2568" s="2" t="s">
        <v>7170</v>
      </c>
      <c r="B2568" s="2" t="s">
        <v>7171</v>
      </c>
      <c r="C2568" s="2" t="s">
        <v>17</v>
      </c>
      <c r="D2568" s="2" t="s">
        <v>27</v>
      </c>
      <c r="E2568" s="4">
        <v>-32109</v>
      </c>
      <c r="F2568" s="3" t="s">
        <v>62</v>
      </c>
      <c r="G2568" s="3" t="s">
        <v>4101</v>
      </c>
      <c r="H2568" s="2" t="s">
        <v>21</v>
      </c>
      <c r="I2568" s="2" t="s">
        <v>7172</v>
      </c>
      <c r="J2568" s="3" t="str">
        <f>HYPERLINK("https://www.boe.es/gazeta/dias/1812/02/01/pdfs/GRE-1812-14.pdf#page=9","Abrir facsímil")</f>
        <v>Abrir facsímil</v>
      </c>
      <c r="K2568" s="3" t="s">
        <v>23</v>
      </c>
    </row>
    <row r="2569" spans="1:11" ht="42" customHeight="1">
      <c r="A2569" s="2" t="s">
        <v>7173</v>
      </c>
      <c r="B2569" s="2" t="s">
        <v>7174</v>
      </c>
      <c r="C2569" s="2" t="s">
        <v>26</v>
      </c>
      <c r="D2569" s="2" t="s">
        <v>27</v>
      </c>
      <c r="E2569" s="4">
        <v>-31922</v>
      </c>
      <c r="F2569" s="3" t="s">
        <v>622</v>
      </c>
      <c r="G2569" s="3" t="s">
        <v>623</v>
      </c>
      <c r="H2569" s="2" t="s">
        <v>21</v>
      </c>
      <c r="I2569" s="2" t="s">
        <v>7175</v>
      </c>
      <c r="J2569" s="3" t="str">
        <f>HYPERLINK("https://www.boe.es/gazeta/dias/1812/08/06/pdfs/GMD-1812-219.pdf#page=1","Abrir facsímil")</f>
        <v>Abrir facsímil</v>
      </c>
      <c r="K2569" s="3" t="s">
        <v>23</v>
      </c>
    </row>
    <row r="2570" spans="1:11" ht="42" customHeight="1">
      <c r="A2570" s="2" t="s">
        <v>7176</v>
      </c>
      <c r="B2570" s="2" t="s">
        <v>7177</v>
      </c>
      <c r="C2570" s="2" t="s">
        <v>26</v>
      </c>
      <c r="D2570" s="2" t="s">
        <v>27</v>
      </c>
      <c r="E2570" s="4">
        <v>-31935</v>
      </c>
      <c r="F2570" s="3" t="s">
        <v>2678</v>
      </c>
      <c r="G2570" s="3" t="s">
        <v>404</v>
      </c>
      <c r="H2570" s="2" t="s">
        <v>21</v>
      </c>
      <c r="I2570" s="2" t="s">
        <v>7178</v>
      </c>
      <c r="J2570" s="3" t="str">
        <f>HYPERLINK("https://www.boe.es/gazeta/dias/1812/07/24/pdfs/GMD-1812-206.pdf#page=1","Abrir facsímil")</f>
        <v>Abrir facsímil</v>
      </c>
      <c r="K2570" s="3" t="s">
        <v>23</v>
      </c>
    </row>
    <row r="2571" spans="1:11" ht="42" customHeight="1">
      <c r="A2571" s="2" t="s">
        <v>7179</v>
      </c>
      <c r="B2571" s="2" t="s">
        <v>7180</v>
      </c>
      <c r="C2571" s="2" t="s">
        <v>17</v>
      </c>
      <c r="D2571" s="2" t="s">
        <v>18</v>
      </c>
      <c r="E2571" s="4">
        <v>-31934</v>
      </c>
      <c r="F2571" s="3" t="s">
        <v>509</v>
      </c>
      <c r="G2571" s="3" t="s">
        <v>4482</v>
      </c>
      <c r="H2571" s="2" t="s">
        <v>21</v>
      </c>
      <c r="I2571" s="2" t="s">
        <v>7181</v>
      </c>
      <c r="J2571" s="3" t="str">
        <f>HYPERLINK("https://www.boe.es/gazeta/dias/1812/07/25/pdfs/GRE-1812-93.pdf#page=8","Abrir facsímil")</f>
        <v>Abrir facsímil</v>
      </c>
      <c r="K2571" s="3" t="s">
        <v>23</v>
      </c>
    </row>
    <row r="2572" spans="1:11" ht="42" customHeight="1">
      <c r="A2572" s="2" t="s">
        <v>7182</v>
      </c>
      <c r="B2572" s="2" t="s">
        <v>7183</v>
      </c>
      <c r="C2572" s="2" t="s">
        <v>105</v>
      </c>
      <c r="D2572" s="2" t="s">
        <v>27</v>
      </c>
      <c r="E2572" s="4">
        <v>-32013</v>
      </c>
      <c r="F2572" s="3" t="s">
        <v>849</v>
      </c>
      <c r="G2572" s="3" t="s">
        <v>7184</v>
      </c>
      <c r="H2572" s="2" t="s">
        <v>21</v>
      </c>
      <c r="I2572" s="2" t="s">
        <v>7185</v>
      </c>
      <c r="J2572" s="3" t="str">
        <f>HYPERLINK("https://www.boe.es/gazeta/dias/1812/05/07/pdfs/GRE-1812-57.pdf#page=7","Abrir facsímil")</f>
        <v>Abrir facsímil</v>
      </c>
      <c r="K2572" s="3" t="s">
        <v>23</v>
      </c>
    </row>
    <row r="2573" spans="1:11" ht="42" customHeight="1">
      <c r="A2573" s="2" t="s">
        <v>7186</v>
      </c>
      <c r="B2573" s="2" t="s">
        <v>7187</v>
      </c>
      <c r="C2573" s="2" t="s">
        <v>186</v>
      </c>
      <c r="D2573" s="2" t="s">
        <v>275</v>
      </c>
      <c r="E2573" s="4">
        <v>-31994</v>
      </c>
      <c r="F2573" s="3" t="s">
        <v>207</v>
      </c>
      <c r="G2573" s="3" t="s">
        <v>1176</v>
      </c>
      <c r="H2573" s="2" t="s">
        <v>21</v>
      </c>
      <c r="I2573" s="2" t="s">
        <v>7188</v>
      </c>
      <c r="J2573" s="3" t="str">
        <f>HYPERLINK("https://www.boe.es/gazeta/dias/1812/05/26/pdfs/GRE-1812-65.pdf#page=8","Abrir facsímil")</f>
        <v>Abrir facsímil</v>
      </c>
      <c r="K2573" s="3" t="s">
        <v>23</v>
      </c>
    </row>
    <row r="2574" spans="1:11" ht="42" customHeight="1">
      <c r="A2574" s="2" t="s">
        <v>7189</v>
      </c>
      <c r="B2574" s="2" t="s">
        <v>7190</v>
      </c>
      <c r="C2574" s="2" t="s">
        <v>26</v>
      </c>
      <c r="D2574" s="2" t="s">
        <v>275</v>
      </c>
      <c r="E2574" s="4">
        <v>-31964</v>
      </c>
      <c r="F2574" s="3" t="s">
        <v>305</v>
      </c>
      <c r="G2574" s="3" t="s">
        <v>58</v>
      </c>
      <c r="H2574" s="2" t="s">
        <v>21</v>
      </c>
      <c r="I2574" s="2" t="s">
        <v>7191</v>
      </c>
      <c r="J2574" s="3" t="str">
        <f>HYPERLINK("https://www.boe.es/gazeta/dias/1812/06/25/pdfs/GMD-1812-177.pdf#page=2","Abrir facsímil")</f>
        <v>Abrir facsímil</v>
      </c>
      <c r="K2574" s="3" t="s">
        <v>23</v>
      </c>
    </row>
    <row r="2575" spans="1:11" ht="42" customHeight="1">
      <c r="A2575" s="2" t="s">
        <v>7192</v>
      </c>
      <c r="B2575" s="2" t="s">
        <v>7193</v>
      </c>
      <c r="C2575" s="2" t="s">
        <v>115</v>
      </c>
      <c r="D2575" s="2" t="s">
        <v>275</v>
      </c>
      <c r="E2575" s="4">
        <v>-31809</v>
      </c>
      <c r="F2575" s="3" t="s">
        <v>116</v>
      </c>
      <c r="G2575" s="3" t="s">
        <v>117</v>
      </c>
      <c r="H2575" s="2" t="s">
        <v>21</v>
      </c>
      <c r="I2575" s="2" t="s">
        <v>7194</v>
      </c>
      <c r="J2575" s="3" t="str">
        <f>HYPERLINK("https://www.boe.es/gazeta/dias/1812/11/27/pdfs/GMR-1812-38.pdf#page=8","Abrir facsímil")</f>
        <v>Abrir facsímil</v>
      </c>
      <c r="K2575" s="3" t="s">
        <v>23</v>
      </c>
    </row>
    <row r="2576" spans="1:11" ht="42" customHeight="1">
      <c r="A2576" s="2" t="s">
        <v>7192</v>
      </c>
      <c r="B2576" s="2" t="s">
        <v>7193</v>
      </c>
      <c r="C2576" s="2" t="s">
        <v>26</v>
      </c>
      <c r="D2576" s="2" t="s">
        <v>194</v>
      </c>
      <c r="E2576" s="4">
        <v>-31785</v>
      </c>
      <c r="F2576" s="3" t="s">
        <v>6632</v>
      </c>
      <c r="G2576" s="3" t="s">
        <v>6633</v>
      </c>
      <c r="H2576" s="2" t="s">
        <v>21</v>
      </c>
      <c r="I2576" s="2" t="s">
        <v>7195</v>
      </c>
      <c r="J2576" s="3" t="str">
        <f>HYPERLINK("https://www.boe.es/gazeta/dias/1812/12/21/pdfs/GMD-1812-244.pdf#page=4","Abrir facsímil")</f>
        <v>Abrir facsímil</v>
      </c>
      <c r="K2576" s="3" t="s">
        <v>23</v>
      </c>
    </row>
    <row r="2577" spans="1:11" ht="42" customHeight="1">
      <c r="A2577" s="2" t="s">
        <v>7196</v>
      </c>
      <c r="B2577" s="2" t="s">
        <v>7197</v>
      </c>
      <c r="C2577" s="2" t="s">
        <v>26</v>
      </c>
      <c r="D2577" s="2" t="s">
        <v>573</v>
      </c>
      <c r="E2577" s="4">
        <v>-31900</v>
      </c>
      <c r="F2577" s="3" t="s">
        <v>276</v>
      </c>
      <c r="G2577" s="3" t="s">
        <v>277</v>
      </c>
      <c r="H2577" s="2" t="s">
        <v>21</v>
      </c>
      <c r="I2577" s="2" t="s">
        <v>7198</v>
      </c>
      <c r="J2577" s="3" t="str">
        <f>HYPERLINK("https://www.boe.es/gazeta/dias/1812/08/28/pdfs/GRE-1812-113E.pdf#page=8","Abrir facsímil")</f>
        <v>Abrir facsímil</v>
      </c>
      <c r="K2577" s="3" t="s">
        <v>23</v>
      </c>
    </row>
    <row r="2578" spans="1:11" ht="42" customHeight="1">
      <c r="A2578" s="2" t="s">
        <v>7199</v>
      </c>
      <c r="B2578" s="2" t="s">
        <v>7200</v>
      </c>
      <c r="C2578" s="2" t="s">
        <v>26</v>
      </c>
      <c r="D2578" s="2" t="s">
        <v>27</v>
      </c>
      <c r="E2578" s="4">
        <v>-32000</v>
      </c>
      <c r="F2578" s="3" t="s">
        <v>878</v>
      </c>
      <c r="G2578" s="3" t="s">
        <v>214</v>
      </c>
      <c r="H2578" s="2" t="s">
        <v>21</v>
      </c>
      <c r="I2578" s="2" t="s">
        <v>7201</v>
      </c>
      <c r="J2578" s="3" t="str">
        <f>HYPERLINK("https://www.boe.es/gazeta/dias/1812/05/20/pdfs/GMD-1812-141.pdf#page=2","Abrir facsímil")</f>
        <v>Abrir facsímil</v>
      </c>
      <c r="K2578" s="3" t="s">
        <v>23</v>
      </c>
    </row>
    <row r="2579" spans="1:11" ht="42" customHeight="1">
      <c r="A2579" s="2" t="s">
        <v>7202</v>
      </c>
      <c r="B2579" s="2" t="s">
        <v>7203</v>
      </c>
      <c r="C2579" s="2" t="s">
        <v>17</v>
      </c>
      <c r="D2579" s="2" t="s">
        <v>27</v>
      </c>
      <c r="E2579" s="4">
        <v>-32075</v>
      </c>
      <c r="F2579" s="3" t="s">
        <v>301</v>
      </c>
      <c r="G2579" s="3" t="s">
        <v>20</v>
      </c>
      <c r="H2579" s="2" t="s">
        <v>21</v>
      </c>
      <c r="I2579" s="2" t="s">
        <v>7204</v>
      </c>
      <c r="J2579" s="3" t="str">
        <f>HYPERLINK("https://www.boe.es/gazeta/dias/1812/03/06/pdfs/GMD-1812-66.pdf#page=4","Abrir facsímil")</f>
        <v>Abrir facsímil</v>
      </c>
      <c r="K2579" s="3" t="s">
        <v>23</v>
      </c>
    </row>
    <row r="2580" spans="1:11" ht="42" customHeight="1">
      <c r="A2580" s="2" t="s">
        <v>7205</v>
      </c>
      <c r="B2580" s="2" t="s">
        <v>7206</v>
      </c>
      <c r="C2580" s="2" t="s">
        <v>26</v>
      </c>
      <c r="D2580" s="2" t="s">
        <v>27</v>
      </c>
      <c r="E2580" s="4">
        <v>-31810</v>
      </c>
      <c r="F2580" s="3" t="s">
        <v>2305</v>
      </c>
      <c r="G2580" s="3" t="s">
        <v>6027</v>
      </c>
      <c r="H2580" s="2" t="s">
        <v>21</v>
      </c>
      <c r="I2580" s="2" t="s">
        <v>7207</v>
      </c>
      <c r="J2580" s="3" t="str">
        <f>HYPERLINK("https://www.boe.es/gazeta/dias/1812/11/26/pdfs/GRE-1812-157.pdf#page=4","Abrir facsímil")</f>
        <v>Abrir facsímil</v>
      </c>
      <c r="K2580" s="3" t="s">
        <v>23</v>
      </c>
    </row>
    <row r="2581" spans="1:11" ht="42" customHeight="1">
      <c r="A2581" s="2" t="s">
        <v>7208</v>
      </c>
      <c r="B2581" s="2" t="s">
        <v>7209</v>
      </c>
      <c r="C2581" s="2" t="s">
        <v>49</v>
      </c>
      <c r="D2581" s="2" t="s">
        <v>27</v>
      </c>
      <c r="E2581" s="4">
        <v>-31984</v>
      </c>
      <c r="F2581" s="3" t="s">
        <v>5154</v>
      </c>
      <c r="G2581" s="3" t="s">
        <v>1076</v>
      </c>
      <c r="H2581" s="2" t="s">
        <v>30</v>
      </c>
      <c r="I2581" s="2" t="s">
        <v>7210</v>
      </c>
      <c r="J2581" s="3" t="str">
        <f>HYPERLINK("https://www.boe.es/gazeta/dias/1812/06/05/pdfs/GMD-1812-157.pdf#page=1","Abrir facsímil")</f>
        <v>Abrir facsímil</v>
      </c>
      <c r="K2581" s="3" t="s">
        <v>32</v>
      </c>
    </row>
    <row r="2582" spans="1:11" ht="42" customHeight="1">
      <c r="A2582" s="2" t="s">
        <v>7211</v>
      </c>
      <c r="B2582" s="2" t="s">
        <v>7212</v>
      </c>
      <c r="C2582" s="2" t="s">
        <v>49</v>
      </c>
      <c r="D2582" s="2" t="s">
        <v>194</v>
      </c>
      <c r="E2582" s="4">
        <v>-32100</v>
      </c>
      <c r="F2582" s="3" t="s">
        <v>492</v>
      </c>
      <c r="G2582" s="3" t="s">
        <v>1650</v>
      </c>
      <c r="H2582" s="2" t="s">
        <v>21</v>
      </c>
      <c r="I2582" s="2" t="s">
        <v>7213</v>
      </c>
      <c r="J2582" s="3" t="str">
        <f>HYPERLINK("https://www.boe.es/gazeta/dias/1812/02/10/pdfs/GRE-1812-31.pdf#page=2","Abrir facsímil")</f>
        <v>Abrir facsímil</v>
      </c>
      <c r="K2582" s="3" t="s">
        <v>23</v>
      </c>
    </row>
    <row r="2583" spans="1:11" ht="42" customHeight="1">
      <c r="A2583" s="2" t="s">
        <v>7211</v>
      </c>
      <c r="B2583" s="2" t="s">
        <v>7212</v>
      </c>
      <c r="C2583" s="2" t="s">
        <v>49</v>
      </c>
      <c r="D2583" s="2" t="s">
        <v>194</v>
      </c>
      <c r="E2583" s="4">
        <v>-32071</v>
      </c>
      <c r="F2583" s="3" t="s">
        <v>492</v>
      </c>
      <c r="G2583" s="3" t="s">
        <v>1650</v>
      </c>
      <c r="H2583" s="2" t="s">
        <v>21</v>
      </c>
      <c r="I2583" s="2" t="s">
        <v>7213</v>
      </c>
      <c r="J2583" s="3" t="str">
        <f>HYPERLINK("https://www.boe.es/gazeta/dias/1812/03/10/pdfs/GRE-1812-31.pdf#page=2","Abrir facsímil")</f>
        <v>Abrir facsímil</v>
      </c>
      <c r="K2583" s="3" t="s">
        <v>23</v>
      </c>
    </row>
    <row r="2584" spans="1:11" ht="42" customHeight="1">
      <c r="A2584" s="2" t="s">
        <v>7214</v>
      </c>
      <c r="B2584" s="2" t="s">
        <v>7215</v>
      </c>
      <c r="C2584" s="2" t="s">
        <v>26</v>
      </c>
      <c r="D2584" s="2" t="s">
        <v>27</v>
      </c>
      <c r="E2584" s="4">
        <v>-31981</v>
      </c>
      <c r="F2584" s="3" t="s">
        <v>5059</v>
      </c>
      <c r="G2584" s="3" t="s">
        <v>45</v>
      </c>
      <c r="H2584" s="2" t="s">
        <v>21</v>
      </c>
      <c r="I2584" s="2" t="s">
        <v>7216</v>
      </c>
      <c r="J2584" s="3" t="str">
        <f>HYPERLINK("https://www.boe.es/gazeta/dias/1812/06/08/pdfs/GMD-1812-160.pdf#page=3","Abrir facsímil")</f>
        <v>Abrir facsímil</v>
      </c>
      <c r="K2584" s="3" t="s">
        <v>23</v>
      </c>
    </row>
    <row r="2585" spans="1:11" ht="42" customHeight="1">
      <c r="A2585" s="2" t="s">
        <v>7217</v>
      </c>
      <c r="B2585" s="2" t="s">
        <v>7218</v>
      </c>
      <c r="C2585" s="2" t="s">
        <v>26</v>
      </c>
      <c r="D2585" s="2" t="s">
        <v>27</v>
      </c>
      <c r="E2585" s="4">
        <v>-31939</v>
      </c>
      <c r="F2585" s="3" t="s">
        <v>408</v>
      </c>
      <c r="G2585" s="3" t="s">
        <v>20</v>
      </c>
      <c r="H2585" s="2" t="s">
        <v>21</v>
      </c>
      <c r="I2585" s="2" t="s">
        <v>7219</v>
      </c>
      <c r="J2585" s="3" t="str">
        <f>HYPERLINK("https://www.boe.es/gazeta/dias/1812/07/20/pdfs/GMD-1812-202.pdf#page=4","Abrir facsímil")</f>
        <v>Abrir facsímil</v>
      </c>
      <c r="K2585" s="3" t="s">
        <v>23</v>
      </c>
    </row>
    <row r="2586" spans="1:11" ht="42" customHeight="1">
      <c r="A2586" s="2" t="s">
        <v>7220</v>
      </c>
      <c r="B2586" s="2" t="s">
        <v>7221</v>
      </c>
      <c r="C2586" s="2" t="s">
        <v>26</v>
      </c>
      <c r="D2586" s="2" t="s">
        <v>27</v>
      </c>
      <c r="E2586" s="4">
        <v>-32015</v>
      </c>
      <c r="F2586" s="3" t="s">
        <v>77</v>
      </c>
      <c r="G2586" s="3" t="s">
        <v>78</v>
      </c>
      <c r="H2586" s="2" t="s">
        <v>21</v>
      </c>
      <c r="I2586" s="2" t="s">
        <v>7222</v>
      </c>
      <c r="J2586" s="3" t="str">
        <f>HYPERLINK("https://www.boe.es/gazeta/dias/1812/05/05/pdfs/GRE-1812-56.pdf#page=8","Abrir facsímil")</f>
        <v>Abrir facsímil</v>
      </c>
      <c r="K2586" s="3" t="s">
        <v>23</v>
      </c>
    </row>
    <row r="2587" spans="1:11" ht="42" customHeight="1">
      <c r="A2587" s="2" t="s">
        <v>7223</v>
      </c>
      <c r="B2587" s="2" t="s">
        <v>7224</v>
      </c>
      <c r="C2587" s="2" t="s">
        <v>26</v>
      </c>
      <c r="D2587" s="2" t="s">
        <v>27</v>
      </c>
      <c r="E2587" s="4">
        <v>-32015</v>
      </c>
      <c r="F2587" s="3" t="s">
        <v>77</v>
      </c>
      <c r="G2587" s="3" t="s">
        <v>78</v>
      </c>
      <c r="H2587" s="2" t="s">
        <v>21</v>
      </c>
      <c r="I2587" s="2" t="s">
        <v>7225</v>
      </c>
      <c r="J2587" s="3" t="str">
        <f>HYPERLINK("https://www.boe.es/gazeta/dias/1812/05/05/pdfs/GRE-1812-56.pdf#page=8","Abrir facsímil")</f>
        <v>Abrir facsímil</v>
      </c>
      <c r="K2587" s="3" t="s">
        <v>23</v>
      </c>
    </row>
    <row r="2588" spans="1:11" ht="42" customHeight="1">
      <c r="A2588" s="2" t="s">
        <v>7226</v>
      </c>
      <c r="B2588" s="2" t="s">
        <v>7227</v>
      </c>
      <c r="C2588" s="2" t="s">
        <v>26</v>
      </c>
      <c r="D2588" s="2" t="s">
        <v>27</v>
      </c>
      <c r="E2588" s="4">
        <v>-31938</v>
      </c>
      <c r="F2588" s="3" t="s">
        <v>324</v>
      </c>
      <c r="G2588" s="3" t="s">
        <v>404</v>
      </c>
      <c r="H2588" s="2" t="s">
        <v>21</v>
      </c>
      <c r="I2588" s="2" t="s">
        <v>7228</v>
      </c>
      <c r="J2588" s="3" t="str">
        <f>HYPERLINK("https://www.boe.es/gazeta/dias/1812/07/21/pdfs/GMD-1812-203.pdf#page=4","Abrir facsímil")</f>
        <v>Abrir facsímil</v>
      </c>
      <c r="K2588" s="3" t="s">
        <v>23</v>
      </c>
    </row>
    <row r="2589" spans="1:11" ht="42" customHeight="1">
      <c r="A2589" s="2" t="s">
        <v>7229</v>
      </c>
      <c r="B2589" s="2" t="s">
        <v>7230</v>
      </c>
      <c r="C2589" s="2" t="s">
        <v>17</v>
      </c>
      <c r="D2589" s="2" t="s">
        <v>18</v>
      </c>
      <c r="E2589" s="4">
        <v>-32118</v>
      </c>
      <c r="F2589" s="3" t="s">
        <v>964</v>
      </c>
      <c r="G2589" s="3" t="s">
        <v>965</v>
      </c>
      <c r="H2589" s="2" t="s">
        <v>21</v>
      </c>
      <c r="I2589" s="2" t="s">
        <v>7231</v>
      </c>
      <c r="J2589" s="3" t="str">
        <f>HYPERLINK("https://www.boe.es/gazeta/dias/1812/01/23/pdfs/GEI-H-1812-10.pdf#page=4","Abrir facsímil")</f>
        <v>Abrir facsímil</v>
      </c>
      <c r="K2589" s="3" t="s">
        <v>23</v>
      </c>
    </row>
    <row r="2590" spans="1:11" ht="42" customHeight="1">
      <c r="A2590" s="2" t="s">
        <v>7232</v>
      </c>
      <c r="B2590" s="2" t="s">
        <v>7233</v>
      </c>
      <c r="C2590" s="2" t="s">
        <v>26</v>
      </c>
      <c r="D2590" s="2" t="s">
        <v>27</v>
      </c>
      <c r="E2590" s="4">
        <v>-32140</v>
      </c>
      <c r="F2590" s="3" t="s">
        <v>822</v>
      </c>
      <c r="G2590" s="3" t="s">
        <v>45</v>
      </c>
      <c r="H2590" s="2" t="s">
        <v>21</v>
      </c>
      <c r="I2590" s="2" t="s">
        <v>7234</v>
      </c>
      <c r="J2590" s="3" t="str">
        <f>HYPERLINK("https://www.boe.es/gazeta/dias/1812/01/01/pdfs/GMD-1812-1.pdf#page=2","Abrir facsímil")</f>
        <v>Abrir facsímil</v>
      </c>
      <c r="K2590" s="3" t="s">
        <v>23</v>
      </c>
    </row>
    <row r="2591" spans="1:11" ht="42" customHeight="1">
      <c r="A2591" s="2" t="s">
        <v>7235</v>
      </c>
      <c r="B2591" s="2" t="s">
        <v>7236</v>
      </c>
      <c r="C2591" s="2" t="s">
        <v>26</v>
      </c>
      <c r="D2591" s="2" t="s">
        <v>27</v>
      </c>
      <c r="E2591" s="4">
        <v>-32034</v>
      </c>
      <c r="F2591" s="3" t="s">
        <v>28</v>
      </c>
      <c r="G2591" s="3" t="s">
        <v>130</v>
      </c>
      <c r="H2591" s="2" t="s">
        <v>21</v>
      </c>
      <c r="I2591" s="2" t="s">
        <v>7237</v>
      </c>
      <c r="J2591" s="3" t="str">
        <f>HYPERLINK("https://www.boe.es/gazeta/dias/1812/04/16/pdfs/GMD-1812-107.pdf#page=4","Abrir facsímil")</f>
        <v>Abrir facsímil</v>
      </c>
      <c r="K2591" s="3" t="s">
        <v>23</v>
      </c>
    </row>
    <row r="2592" spans="1:11" ht="42" customHeight="1">
      <c r="A2592" s="2" t="s">
        <v>7238</v>
      </c>
      <c r="B2592" s="2" t="s">
        <v>7239</v>
      </c>
      <c r="C2592" s="2" t="s">
        <v>26</v>
      </c>
      <c r="D2592" s="2" t="s">
        <v>27</v>
      </c>
      <c r="E2592" s="4">
        <v>-32034</v>
      </c>
      <c r="F2592" s="3" t="s">
        <v>28</v>
      </c>
      <c r="G2592" s="3" t="s">
        <v>317</v>
      </c>
      <c r="H2592" s="2" t="s">
        <v>21</v>
      </c>
      <c r="I2592" s="2" t="s">
        <v>7240</v>
      </c>
      <c r="J2592" s="3" t="str">
        <f>HYPERLINK("https://www.boe.es/gazeta/dias/1812/04/16/pdfs/GMD-1812-107.pdf#page=6","Abrir facsímil")</f>
        <v>Abrir facsímil</v>
      </c>
      <c r="K2592" s="3" t="s">
        <v>23</v>
      </c>
    </row>
    <row r="2593" spans="1:11" ht="42" customHeight="1">
      <c r="A2593" s="2" t="s">
        <v>7241</v>
      </c>
      <c r="B2593" s="2" t="s">
        <v>7242</v>
      </c>
      <c r="C2593" s="2" t="s">
        <v>26</v>
      </c>
      <c r="D2593" s="2" t="s">
        <v>27</v>
      </c>
      <c r="E2593" s="4">
        <v>-31812</v>
      </c>
      <c r="F2593" s="3" t="s">
        <v>1533</v>
      </c>
      <c r="G2593" s="3" t="s">
        <v>965</v>
      </c>
      <c r="H2593" s="2" t="s">
        <v>21</v>
      </c>
      <c r="I2593" s="2" t="s">
        <v>7243</v>
      </c>
      <c r="J2593" s="3" t="str">
        <f>HYPERLINK("https://www.boe.es/gazeta/dias/1812/11/24/pdfs/GMR-1812-37.pdf#page=5","Abrir facsímil")</f>
        <v>Abrir facsímil</v>
      </c>
      <c r="K2593" s="3" t="s">
        <v>23</v>
      </c>
    </row>
    <row r="2594" spans="1:11" ht="42" customHeight="1">
      <c r="A2594" s="2" t="s">
        <v>7244</v>
      </c>
      <c r="B2594" s="2" t="s">
        <v>7245</v>
      </c>
      <c r="C2594" s="2" t="s">
        <v>49</v>
      </c>
      <c r="D2594" s="2" t="s">
        <v>27</v>
      </c>
      <c r="E2594" s="4">
        <v>-32018</v>
      </c>
      <c r="F2594" s="3" t="s">
        <v>365</v>
      </c>
      <c r="G2594" s="3" t="s">
        <v>366</v>
      </c>
      <c r="H2594" s="2" t="s">
        <v>21</v>
      </c>
      <c r="I2594" s="2" t="s">
        <v>7246</v>
      </c>
      <c r="J2594" s="3" t="str">
        <f>HYPERLINK("https://www.boe.es/gazeta/dias/1812/05/02/pdfs/GRE-1812-55.pdf#page=3","Abrir facsímil")</f>
        <v>Abrir facsímil</v>
      </c>
      <c r="K2594" s="3" t="s">
        <v>23</v>
      </c>
    </row>
    <row r="2595" spans="1:11" ht="42" customHeight="1">
      <c r="A2595" s="2" t="s">
        <v>7247</v>
      </c>
      <c r="B2595" s="2" t="s">
        <v>7248</v>
      </c>
      <c r="C2595" s="2" t="s">
        <v>17</v>
      </c>
      <c r="D2595" s="2" t="s">
        <v>18</v>
      </c>
      <c r="E2595" s="4">
        <v>-32018</v>
      </c>
      <c r="F2595" s="3" t="s">
        <v>365</v>
      </c>
      <c r="G2595" s="3" t="s">
        <v>392</v>
      </c>
      <c r="H2595" s="2" t="s">
        <v>21</v>
      </c>
      <c r="I2595" s="2" t="s">
        <v>7249</v>
      </c>
      <c r="J2595" s="3" t="str">
        <f>HYPERLINK("https://www.boe.es/gazeta/dias/1812/05/02/pdfs/GRE-1812-55.pdf#page=2","Abrir facsímil")</f>
        <v>Abrir facsímil</v>
      </c>
      <c r="K2595" s="3" t="s">
        <v>23</v>
      </c>
    </row>
    <row r="2596" spans="1:11" ht="42" customHeight="1">
      <c r="A2596" s="2" t="s">
        <v>7250</v>
      </c>
      <c r="B2596" s="2" t="s">
        <v>7251</v>
      </c>
      <c r="C2596" s="2" t="s">
        <v>26</v>
      </c>
      <c r="D2596" s="2" t="s">
        <v>27</v>
      </c>
      <c r="E2596" s="4">
        <v>-31955</v>
      </c>
      <c r="F2596" s="3" t="s">
        <v>789</v>
      </c>
      <c r="G2596" s="3" t="s">
        <v>237</v>
      </c>
      <c r="H2596" s="2" t="s">
        <v>21</v>
      </c>
      <c r="I2596" s="2" t="s">
        <v>7252</v>
      </c>
      <c r="J2596" s="3" t="str">
        <f>HYPERLINK("https://www.boe.es/gazeta/dias/1812/07/04/pdfs/GRE-1812-82.pdf#page=8","Abrir facsímil")</f>
        <v>Abrir facsímil</v>
      </c>
      <c r="K2596" s="3" t="s">
        <v>23</v>
      </c>
    </row>
    <row r="2597" spans="1:11" ht="42" customHeight="1">
      <c r="A2597" s="2" t="s">
        <v>7253</v>
      </c>
      <c r="B2597" s="2" t="s">
        <v>7254</v>
      </c>
      <c r="C2597" s="2" t="s">
        <v>49</v>
      </c>
      <c r="D2597" s="2" t="s">
        <v>27</v>
      </c>
      <c r="E2597" s="4">
        <v>-32075</v>
      </c>
      <c r="F2597" s="3" t="s">
        <v>301</v>
      </c>
      <c r="G2597" s="3" t="s">
        <v>20</v>
      </c>
      <c r="H2597" s="2" t="s">
        <v>21</v>
      </c>
      <c r="I2597" s="2" t="s">
        <v>7255</v>
      </c>
      <c r="J2597" s="3" t="str">
        <f>HYPERLINK("https://www.boe.es/gazeta/dias/1812/03/06/pdfs/GMD-1812-66.pdf#page=4","Abrir facsímil")</f>
        <v>Abrir facsímil</v>
      </c>
      <c r="K2597" s="3" t="s">
        <v>23</v>
      </c>
    </row>
    <row r="2598" spans="1:11" ht="42" customHeight="1">
      <c r="A2598" s="2" t="s">
        <v>7256</v>
      </c>
      <c r="B2598" s="2" t="s">
        <v>7257</v>
      </c>
      <c r="C2598" s="2" t="s">
        <v>17</v>
      </c>
      <c r="D2598" s="2" t="s">
        <v>27</v>
      </c>
      <c r="E2598" s="4">
        <v>-31983</v>
      </c>
      <c r="F2598" s="3" t="s">
        <v>809</v>
      </c>
      <c r="G2598" s="3" t="s">
        <v>7258</v>
      </c>
      <c r="H2598" s="2" t="s">
        <v>21</v>
      </c>
      <c r="I2598" s="2" t="s">
        <v>7259</v>
      </c>
      <c r="J2598" s="3" t="str">
        <f>HYPERLINK("https://www.boe.es/gazeta/dias/1812/06/06/pdfs/GRE-1812-70.pdf#page=4","Abrir facsímil")</f>
        <v>Abrir facsímil</v>
      </c>
      <c r="K2598" s="3" t="s">
        <v>23</v>
      </c>
    </row>
    <row r="2599" spans="1:11" ht="42" customHeight="1">
      <c r="A2599" s="2" t="s">
        <v>7260</v>
      </c>
      <c r="B2599" s="2" t="s">
        <v>7261</v>
      </c>
      <c r="C2599" s="2" t="s">
        <v>186</v>
      </c>
      <c r="D2599" s="2" t="s">
        <v>27</v>
      </c>
      <c r="E2599" s="4">
        <v>-31945</v>
      </c>
      <c r="F2599" s="3" t="s">
        <v>1485</v>
      </c>
      <c r="G2599" s="3" t="s">
        <v>159</v>
      </c>
      <c r="H2599" s="2" t="s">
        <v>21</v>
      </c>
      <c r="I2599" s="2" t="s">
        <v>7262</v>
      </c>
      <c r="J2599" s="3" t="str">
        <f>HYPERLINK("https://www.boe.es/gazeta/dias/1812/07/14/pdfs/GRE-1812-88.pdf#page=5","Abrir facsímil")</f>
        <v>Abrir facsímil</v>
      </c>
      <c r="K2599" s="3" t="s">
        <v>23</v>
      </c>
    </row>
    <row r="2600" spans="1:11" ht="42" customHeight="1">
      <c r="A2600" s="2" t="s">
        <v>7263</v>
      </c>
      <c r="B2600" s="2" t="s">
        <v>7264</v>
      </c>
      <c r="C2600" s="2" t="s">
        <v>26</v>
      </c>
      <c r="D2600" s="2" t="s">
        <v>27</v>
      </c>
      <c r="E2600" s="4">
        <v>-31938</v>
      </c>
      <c r="F2600" s="3" t="s">
        <v>324</v>
      </c>
      <c r="G2600" s="3" t="s">
        <v>237</v>
      </c>
      <c r="H2600" s="2" t="s">
        <v>21</v>
      </c>
      <c r="I2600" s="2" t="s">
        <v>7265</v>
      </c>
      <c r="J2600" s="3" t="str">
        <f>HYPERLINK("https://www.boe.es/gazeta/dias/1812/07/21/pdfs/GMD-1812-203.pdf#page=2","Abrir facsímil")</f>
        <v>Abrir facsímil</v>
      </c>
      <c r="K2600" s="3" t="s">
        <v>23</v>
      </c>
    </row>
    <row r="2601" spans="1:11" ht="42" customHeight="1">
      <c r="A2601" s="2" t="s">
        <v>7266</v>
      </c>
      <c r="B2601" s="2" t="s">
        <v>7267</v>
      </c>
      <c r="C2601" s="2" t="s">
        <v>26</v>
      </c>
      <c r="D2601" s="2" t="s">
        <v>27</v>
      </c>
      <c r="E2601" s="4">
        <v>-31980</v>
      </c>
      <c r="F2601" s="3" t="s">
        <v>40</v>
      </c>
      <c r="G2601" s="3" t="s">
        <v>41</v>
      </c>
      <c r="H2601" s="2" t="s">
        <v>21</v>
      </c>
      <c r="I2601" s="2" t="s">
        <v>7268</v>
      </c>
      <c r="J2601" s="3" t="str">
        <f>HYPERLINK("https://www.boe.es/gazeta/dias/1812/06/09/pdfs/GRE-1812-71.pdf#page=6","Abrir facsímil")</f>
        <v>Abrir facsímil</v>
      </c>
      <c r="K2601" s="3" t="s">
        <v>23</v>
      </c>
    </row>
    <row r="2602" spans="1:11" ht="42" customHeight="1">
      <c r="A2602" s="2" t="s">
        <v>7269</v>
      </c>
      <c r="B2602" s="2" t="s">
        <v>7270</v>
      </c>
      <c r="C2602" s="2" t="s">
        <v>26</v>
      </c>
      <c r="D2602" s="2" t="s">
        <v>27</v>
      </c>
      <c r="E2602" s="4">
        <v>-31939</v>
      </c>
      <c r="F2602" s="3" t="s">
        <v>408</v>
      </c>
      <c r="G2602" s="3" t="s">
        <v>20</v>
      </c>
      <c r="H2602" s="2" t="s">
        <v>21</v>
      </c>
      <c r="I2602" s="2" t="s">
        <v>7271</v>
      </c>
      <c r="J2602" s="3" t="str">
        <f>HYPERLINK("https://www.boe.es/gazeta/dias/1812/07/20/pdfs/GMD-1812-202.pdf#page=4","Abrir facsímil")</f>
        <v>Abrir facsímil</v>
      </c>
      <c r="K2602" s="3" t="s">
        <v>23</v>
      </c>
    </row>
    <row r="2603" spans="1:11" ht="42" customHeight="1">
      <c r="A2603" s="2" t="s">
        <v>7272</v>
      </c>
      <c r="B2603" s="2" t="s">
        <v>7273</v>
      </c>
      <c r="C2603" s="2" t="s">
        <v>26</v>
      </c>
      <c r="D2603" s="2" t="s">
        <v>27</v>
      </c>
      <c r="E2603" s="4">
        <v>-32013</v>
      </c>
      <c r="F2603" s="3" t="s">
        <v>849</v>
      </c>
      <c r="G2603" s="3" t="s">
        <v>6831</v>
      </c>
      <c r="H2603" s="2" t="s">
        <v>21</v>
      </c>
      <c r="I2603" s="2" t="s">
        <v>7274</v>
      </c>
      <c r="J2603" s="3" t="str">
        <f>HYPERLINK("https://www.boe.es/gazeta/dias/1812/05/07/pdfs/GRE-1812-57.pdf#page=3","Abrir facsímil")</f>
        <v>Abrir facsímil</v>
      </c>
      <c r="K2603" s="3" t="s">
        <v>23</v>
      </c>
    </row>
    <row r="2604" spans="1:11" ht="42" customHeight="1">
      <c r="A2604" s="2" t="s">
        <v>7275</v>
      </c>
      <c r="B2604" s="2" t="s">
        <v>7276</v>
      </c>
      <c r="C2604" s="2" t="s">
        <v>26</v>
      </c>
      <c r="D2604" s="2" t="s">
        <v>27</v>
      </c>
      <c r="E2604" s="4">
        <v>-31859</v>
      </c>
      <c r="F2604" s="3" t="s">
        <v>158</v>
      </c>
      <c r="G2604" s="3" t="s">
        <v>1297</v>
      </c>
      <c r="H2604" s="2" t="s">
        <v>21</v>
      </c>
      <c r="I2604" s="2" t="s">
        <v>7277</v>
      </c>
      <c r="J2604" s="3" t="str">
        <f>HYPERLINK("https://www.boe.es/gazeta/dias/1812/10/08/pdfs/GMR-1812-24.pdf#page=8","Abrir facsímil")</f>
        <v>Abrir facsímil</v>
      </c>
      <c r="K2604" s="3" t="s">
        <v>23</v>
      </c>
    </row>
    <row r="2605" spans="1:11" ht="42" customHeight="1">
      <c r="A2605" s="2" t="s">
        <v>7278</v>
      </c>
      <c r="B2605" s="2" t="s">
        <v>7279</v>
      </c>
      <c r="C2605" s="2" t="s">
        <v>17</v>
      </c>
      <c r="D2605" s="2" t="s">
        <v>27</v>
      </c>
      <c r="E2605" s="4">
        <v>-31822</v>
      </c>
      <c r="F2605" s="3" t="s">
        <v>541</v>
      </c>
      <c r="G2605" s="3" t="s">
        <v>542</v>
      </c>
      <c r="H2605" s="2" t="s">
        <v>21</v>
      </c>
      <c r="I2605" s="2" t="s">
        <v>7280</v>
      </c>
      <c r="J2605" s="3" t="str">
        <f>HYPERLINK("https://www.boe.es/gazeta/dias/1812/11/14/pdfs/GRE-1812-152.pdf#page=7","Abrir facsímil")</f>
        <v>Abrir facsímil</v>
      </c>
      <c r="K2605" s="3" t="s">
        <v>23</v>
      </c>
    </row>
    <row r="2606" spans="1:11" ht="42" customHeight="1">
      <c r="A2606" s="2" t="s">
        <v>7281</v>
      </c>
      <c r="B2606" s="2" t="s">
        <v>7282</v>
      </c>
      <c r="C2606" s="2" t="s">
        <v>26</v>
      </c>
      <c r="D2606" s="2" t="s">
        <v>275</v>
      </c>
      <c r="E2606" s="4">
        <v>-31964</v>
      </c>
      <c r="F2606" s="3" t="s">
        <v>305</v>
      </c>
      <c r="G2606" s="3" t="s">
        <v>58</v>
      </c>
      <c r="H2606" s="2" t="s">
        <v>21</v>
      </c>
      <c r="I2606" s="2" t="s">
        <v>7283</v>
      </c>
      <c r="J2606" s="3" t="str">
        <f>HYPERLINK("https://www.boe.es/gazeta/dias/1812/06/25/pdfs/GMD-1812-177.pdf#page=2","Abrir facsímil")</f>
        <v>Abrir facsímil</v>
      </c>
      <c r="K2606" s="3" t="s">
        <v>23</v>
      </c>
    </row>
    <row r="2607" spans="1:11" ht="42" customHeight="1">
      <c r="A2607" s="2" t="s">
        <v>7284</v>
      </c>
      <c r="B2607" s="2" t="s">
        <v>7285</v>
      </c>
      <c r="C2607" s="2" t="s">
        <v>26</v>
      </c>
      <c r="D2607" s="2" t="s">
        <v>27</v>
      </c>
      <c r="E2607" s="4">
        <v>-31940</v>
      </c>
      <c r="F2607" s="3" t="s">
        <v>187</v>
      </c>
      <c r="G2607" s="3" t="s">
        <v>404</v>
      </c>
      <c r="H2607" s="2" t="s">
        <v>21</v>
      </c>
      <c r="I2607" s="2" t="s">
        <v>7286</v>
      </c>
      <c r="J2607" s="3" t="str">
        <f>HYPERLINK("https://www.boe.es/gazeta/dias/1812/07/19/pdfs/GMD-1812-201.pdf#page=3","Abrir facsímil")</f>
        <v>Abrir facsímil</v>
      </c>
      <c r="K2607" s="3" t="s">
        <v>23</v>
      </c>
    </row>
    <row r="2608" spans="1:11" ht="42" customHeight="1">
      <c r="A2608" s="2" t="s">
        <v>7287</v>
      </c>
      <c r="B2608" s="2" t="s">
        <v>7288</v>
      </c>
      <c r="C2608" s="2" t="s">
        <v>26</v>
      </c>
      <c r="D2608" s="2" t="s">
        <v>27</v>
      </c>
      <c r="E2608" s="4">
        <v>-32127</v>
      </c>
      <c r="F2608" s="3" t="s">
        <v>88</v>
      </c>
      <c r="G2608" s="3" t="s">
        <v>89</v>
      </c>
      <c r="H2608" s="2" t="s">
        <v>21</v>
      </c>
      <c r="I2608" s="2" t="s">
        <v>7289</v>
      </c>
      <c r="J2608" s="3" t="str">
        <f>HYPERLINK("https://www.boe.es/gazeta/dias/1812/01/14/pdfs/GEI-1812-6.pdf#page=8","Abrir facsímil")</f>
        <v>Abrir facsímil</v>
      </c>
      <c r="K2608" s="3" t="s">
        <v>23</v>
      </c>
    </row>
    <row r="2609" spans="1:11" ht="42" customHeight="1">
      <c r="A2609" s="2" t="s">
        <v>7290</v>
      </c>
      <c r="B2609" s="2" t="s">
        <v>7291</v>
      </c>
      <c r="C2609" s="2" t="s">
        <v>26</v>
      </c>
      <c r="D2609" s="2" t="s">
        <v>27</v>
      </c>
      <c r="E2609" s="4">
        <v>-32127</v>
      </c>
      <c r="F2609" s="3" t="s">
        <v>88</v>
      </c>
      <c r="G2609" s="3" t="s">
        <v>89</v>
      </c>
      <c r="H2609" s="2" t="s">
        <v>21</v>
      </c>
      <c r="I2609" s="2" t="s">
        <v>7292</v>
      </c>
      <c r="J2609" s="3" t="str">
        <f>HYPERLINK("https://www.boe.es/gazeta/dias/1812/01/14/pdfs/GEI-1812-6.pdf#page=8","Abrir facsímil")</f>
        <v>Abrir facsímil</v>
      </c>
      <c r="K2609" s="3" t="s">
        <v>23</v>
      </c>
    </row>
    <row r="2610" spans="1:11" ht="42" customHeight="1">
      <c r="A2610" s="2" t="s">
        <v>7293</v>
      </c>
      <c r="B2610" s="2" t="s">
        <v>7294</v>
      </c>
      <c r="C2610" s="2" t="s">
        <v>67</v>
      </c>
      <c r="D2610" s="2" t="s">
        <v>27</v>
      </c>
      <c r="E2610" s="4">
        <v>-32074</v>
      </c>
      <c r="F2610" s="3" t="s">
        <v>7295</v>
      </c>
      <c r="G2610" s="3" t="s">
        <v>237</v>
      </c>
      <c r="H2610" s="2" t="s">
        <v>21</v>
      </c>
      <c r="I2610" s="2" t="s">
        <v>7296</v>
      </c>
      <c r="J2610" s="3" t="str">
        <f>HYPERLINK("https://www.boe.es/gazeta/dias/1812/03/07/pdfs/GMD-1812-67.pdf#page=2","Abrir facsímil")</f>
        <v>Abrir facsímil</v>
      </c>
      <c r="K2610" s="3" t="s">
        <v>23</v>
      </c>
    </row>
    <row r="2611" spans="1:11" ht="42" customHeight="1">
      <c r="A2611" s="2" t="s">
        <v>7297</v>
      </c>
      <c r="B2611" s="2" t="s">
        <v>7298</v>
      </c>
      <c r="C2611" s="2" t="s">
        <v>26</v>
      </c>
      <c r="D2611" s="2" t="s">
        <v>27</v>
      </c>
      <c r="E2611" s="4">
        <v>-31901</v>
      </c>
      <c r="F2611" s="3" t="s">
        <v>590</v>
      </c>
      <c r="G2611" s="3" t="s">
        <v>742</v>
      </c>
      <c r="H2611" s="2" t="s">
        <v>21</v>
      </c>
      <c r="I2611" s="2" t="s">
        <v>7299</v>
      </c>
      <c r="J2611" s="3" t="str">
        <f>HYPERLINK("https://www.boe.es/gazeta/dias/1812/08/27/pdfs/GMR-1812-6.pdf#page=5","Abrir facsímil")</f>
        <v>Abrir facsímil</v>
      </c>
      <c r="K2611" s="3" t="s">
        <v>23</v>
      </c>
    </row>
    <row r="2612" spans="1:11" ht="42" customHeight="1">
      <c r="A2612" s="2" t="s">
        <v>7300</v>
      </c>
      <c r="B2612" s="2" t="s">
        <v>7301</v>
      </c>
      <c r="C2612" s="2" t="s">
        <v>17</v>
      </c>
      <c r="D2612" s="2" t="s">
        <v>194</v>
      </c>
      <c r="E2612" s="4">
        <v>-32032</v>
      </c>
      <c r="F2612" s="3" t="s">
        <v>421</v>
      </c>
      <c r="G2612" s="3" t="s">
        <v>7302</v>
      </c>
      <c r="H2612" s="2" t="s">
        <v>30</v>
      </c>
      <c r="I2612" s="2" t="s">
        <v>7303</v>
      </c>
      <c r="J2612" s="3" t="str">
        <f>HYPERLINK("https://www.boe.es/gazeta/dias/1812/04/18/pdfs/GRE-1812-49.pdf#page=1","Abrir facsímil")</f>
        <v>Abrir facsímil</v>
      </c>
      <c r="K2612" s="3" t="s">
        <v>32</v>
      </c>
    </row>
    <row r="2613" spans="1:11" ht="42" customHeight="1">
      <c r="A2613" s="2" t="s">
        <v>7304</v>
      </c>
      <c r="B2613" s="2" t="s">
        <v>7305</v>
      </c>
      <c r="C2613" s="2" t="s">
        <v>26</v>
      </c>
      <c r="D2613" s="2" t="s">
        <v>275</v>
      </c>
      <c r="E2613" s="4">
        <v>-31964</v>
      </c>
      <c r="F2613" s="3" t="s">
        <v>305</v>
      </c>
      <c r="G2613" s="3" t="s">
        <v>58</v>
      </c>
      <c r="H2613" s="2" t="s">
        <v>21</v>
      </c>
      <c r="I2613" s="2" t="s">
        <v>7306</v>
      </c>
      <c r="J2613" s="3" t="str">
        <f>HYPERLINK("https://www.boe.es/gazeta/dias/1812/06/25/pdfs/GMD-1812-177.pdf#page=2","Abrir facsímil")</f>
        <v>Abrir facsímil</v>
      </c>
      <c r="K2613" s="3" t="s">
        <v>23</v>
      </c>
    </row>
    <row r="2614" spans="1:11" ht="42" customHeight="1">
      <c r="A2614" s="2" t="s">
        <v>7307</v>
      </c>
      <c r="B2614" s="2" t="s">
        <v>7308</v>
      </c>
      <c r="C2614" s="2" t="s">
        <v>26</v>
      </c>
      <c r="D2614" s="2" t="s">
        <v>27</v>
      </c>
      <c r="E2614" s="4">
        <v>-32044</v>
      </c>
      <c r="F2614" s="3" t="s">
        <v>1031</v>
      </c>
      <c r="G2614" s="3" t="s">
        <v>20</v>
      </c>
      <c r="H2614" s="2" t="s">
        <v>21</v>
      </c>
      <c r="I2614" s="2" t="s">
        <v>7309</v>
      </c>
      <c r="J2614" s="3" t="str">
        <f>HYPERLINK("https://www.boe.es/gazeta/dias/1812/04/06/pdfs/GMD-1812-97.pdf#page=3","Abrir facsímil")</f>
        <v>Abrir facsímil</v>
      </c>
      <c r="K2614" s="3" t="s">
        <v>23</v>
      </c>
    </row>
    <row r="2615" spans="1:11" ht="42" customHeight="1">
      <c r="A2615" s="2" t="s">
        <v>7310</v>
      </c>
      <c r="B2615" s="2" t="s">
        <v>7311</v>
      </c>
      <c r="C2615" s="2" t="s">
        <v>186</v>
      </c>
      <c r="D2615" s="2" t="s">
        <v>275</v>
      </c>
      <c r="E2615" s="4">
        <v>-32036</v>
      </c>
      <c r="F2615" s="3" t="s">
        <v>781</v>
      </c>
      <c r="G2615" s="3" t="s">
        <v>782</v>
      </c>
      <c r="H2615" s="2" t="s">
        <v>21</v>
      </c>
      <c r="I2615" s="2" t="s">
        <v>7312</v>
      </c>
      <c r="J2615" s="3" t="str">
        <f>HYPERLINK("https://www.boe.es/gazeta/dias/1812/04/14/pdfs/GRE-1812-47.pdf#page=8","Abrir facsímil")</f>
        <v>Abrir facsímil</v>
      </c>
      <c r="K2615" s="3" t="s">
        <v>23</v>
      </c>
    </row>
    <row r="2616" spans="1:11" ht="42" customHeight="1">
      <c r="A2616" s="2" t="s">
        <v>7313</v>
      </c>
      <c r="B2616" s="2" t="s">
        <v>7314</v>
      </c>
      <c r="C2616" s="2" t="s">
        <v>26</v>
      </c>
      <c r="D2616" s="2" t="s">
        <v>194</v>
      </c>
      <c r="E2616" s="4">
        <v>-31830</v>
      </c>
      <c r="F2616" s="3" t="s">
        <v>1839</v>
      </c>
      <c r="G2616" s="3" t="s">
        <v>683</v>
      </c>
      <c r="H2616" s="2" t="s">
        <v>21</v>
      </c>
      <c r="I2616" s="2" t="s">
        <v>7315</v>
      </c>
      <c r="J2616" s="3" t="str">
        <f>HYPERLINK("https://www.boe.es/gazeta/dias/1812/11/06/pdfs/GMD-1812-226.pdf#page=3","Abrir facsímil")</f>
        <v>Abrir facsímil</v>
      </c>
      <c r="K2616" s="3" t="s">
        <v>23</v>
      </c>
    </row>
    <row r="2617" spans="1:11" ht="42" customHeight="1">
      <c r="A2617" s="2" t="s">
        <v>7316</v>
      </c>
      <c r="B2617" s="2" t="s">
        <v>7317</v>
      </c>
      <c r="C2617" s="2" t="s">
        <v>186</v>
      </c>
      <c r="D2617" s="2" t="s">
        <v>27</v>
      </c>
      <c r="E2617" s="4">
        <v>-32125</v>
      </c>
      <c r="F2617" s="3" t="s">
        <v>7016</v>
      </c>
      <c r="G2617" s="3" t="s">
        <v>371</v>
      </c>
      <c r="H2617" s="2" t="s">
        <v>21</v>
      </c>
      <c r="I2617" s="2" t="s">
        <v>7318</v>
      </c>
      <c r="J2617" s="3" t="str">
        <f>HYPERLINK("https://www.boe.es/gazeta/dias/1812/01/16/pdfs/GMD-1812-16.pdf#page=2","Abrir facsímil")</f>
        <v>Abrir facsímil</v>
      </c>
      <c r="K2617" s="3" t="s">
        <v>23</v>
      </c>
    </row>
    <row r="2618" spans="1:11" ht="42" customHeight="1">
      <c r="A2618" s="2" t="s">
        <v>7319</v>
      </c>
      <c r="B2618" s="2" t="s">
        <v>7320</v>
      </c>
      <c r="C2618" s="2" t="s">
        <v>26</v>
      </c>
      <c r="D2618" s="2" t="s">
        <v>27</v>
      </c>
      <c r="E2618" s="4">
        <v>-32034</v>
      </c>
      <c r="F2618" s="3" t="s">
        <v>28</v>
      </c>
      <c r="G2618" s="3" t="s">
        <v>794</v>
      </c>
      <c r="H2618" s="2" t="s">
        <v>21</v>
      </c>
      <c r="I2618" s="2" t="s">
        <v>7321</v>
      </c>
      <c r="J2618" s="3" t="str">
        <f>HYPERLINK("https://www.boe.es/gazeta/dias/1812/04/16/pdfs/GMD-1812-107.pdf#page=7","Abrir facsímil")</f>
        <v>Abrir facsímil</v>
      </c>
      <c r="K2618" s="3" t="s">
        <v>23</v>
      </c>
    </row>
    <row r="2619" spans="1:11" ht="42" customHeight="1">
      <c r="A2619" s="2" t="s">
        <v>7322</v>
      </c>
      <c r="B2619" s="2" t="s">
        <v>7323</v>
      </c>
      <c r="C2619" s="2" t="s">
        <v>26</v>
      </c>
      <c r="D2619" s="2" t="s">
        <v>27</v>
      </c>
      <c r="E2619" s="4">
        <v>-31980</v>
      </c>
      <c r="F2619" s="3" t="s">
        <v>40</v>
      </c>
      <c r="G2619" s="3" t="s">
        <v>41</v>
      </c>
      <c r="H2619" s="2" t="s">
        <v>21</v>
      </c>
      <c r="I2619" s="2" t="s">
        <v>7324</v>
      </c>
      <c r="J2619" s="3" t="str">
        <f>HYPERLINK("https://www.boe.es/gazeta/dias/1812/06/09/pdfs/GRE-1812-71.pdf#page=6","Abrir facsímil")</f>
        <v>Abrir facsímil</v>
      </c>
      <c r="K2619" s="3" t="s">
        <v>23</v>
      </c>
    </row>
    <row r="2620" spans="1:11" ht="42" customHeight="1">
      <c r="A2620" s="2" t="s">
        <v>7325</v>
      </c>
      <c r="B2620" s="2" t="s">
        <v>7326</v>
      </c>
      <c r="C2620" s="2" t="s">
        <v>26</v>
      </c>
      <c r="D2620" s="2" t="s">
        <v>27</v>
      </c>
      <c r="E2620" s="4">
        <v>-31940</v>
      </c>
      <c r="F2620" s="3" t="s">
        <v>187</v>
      </c>
      <c r="G2620" s="3" t="s">
        <v>404</v>
      </c>
      <c r="H2620" s="2" t="s">
        <v>21</v>
      </c>
      <c r="I2620" s="2" t="s">
        <v>7327</v>
      </c>
      <c r="J2620" s="3" t="str">
        <f>HYPERLINK("https://www.boe.es/gazeta/dias/1812/07/19/pdfs/GMD-1812-201.pdf#page=3","Abrir facsímil")</f>
        <v>Abrir facsímil</v>
      </c>
      <c r="K2620" s="3" t="s">
        <v>23</v>
      </c>
    </row>
    <row r="2621" spans="1:11" ht="42" customHeight="1">
      <c r="A2621" s="2" t="s">
        <v>7328</v>
      </c>
      <c r="B2621" s="2" t="s">
        <v>7329</v>
      </c>
      <c r="C2621" s="2" t="s">
        <v>49</v>
      </c>
      <c r="D2621" s="2" t="s">
        <v>18</v>
      </c>
      <c r="E2621" s="4">
        <v>-31822</v>
      </c>
      <c r="F2621" s="3" t="s">
        <v>541</v>
      </c>
      <c r="G2621" s="3" t="s">
        <v>1459</v>
      </c>
      <c r="H2621" s="2" t="s">
        <v>21</v>
      </c>
      <c r="I2621" s="2" t="s">
        <v>7330</v>
      </c>
      <c r="J2621" s="3" t="str">
        <f>HYPERLINK("https://www.boe.es/gazeta/dias/1812/11/14/pdfs/GRE-1812-152.pdf#page=8","Abrir facsímil")</f>
        <v>Abrir facsímil</v>
      </c>
      <c r="K2621" s="3" t="s">
        <v>23</v>
      </c>
    </row>
    <row r="2622" spans="1:11" ht="42" customHeight="1">
      <c r="A2622" s="2" t="s">
        <v>7331</v>
      </c>
      <c r="B2622" s="2" t="s">
        <v>7332</v>
      </c>
      <c r="C2622" s="2" t="s">
        <v>26</v>
      </c>
      <c r="D2622" s="2" t="s">
        <v>27</v>
      </c>
      <c r="E2622" s="4">
        <v>-32088</v>
      </c>
      <c r="F2622" s="3" t="s">
        <v>1217</v>
      </c>
      <c r="G2622" s="3" t="s">
        <v>1218</v>
      </c>
      <c r="H2622" s="2" t="s">
        <v>21</v>
      </c>
      <c r="I2622" s="2" t="s">
        <v>7333</v>
      </c>
      <c r="J2622" s="3" t="str">
        <f>HYPERLINK("https://www.boe.es/gazeta/dias/1812/02/22/pdfs/GMD-1812-53.pdf#page=4","Abrir facsímil")</f>
        <v>Abrir facsímil</v>
      </c>
      <c r="K2622" s="3" t="s">
        <v>23</v>
      </c>
    </row>
    <row r="2623" spans="1:11" ht="42" customHeight="1">
      <c r="A2623" s="2" t="s">
        <v>7334</v>
      </c>
      <c r="B2623" s="2" t="s">
        <v>7335</v>
      </c>
      <c r="C2623" s="2" t="s">
        <v>26</v>
      </c>
      <c r="D2623" s="2" t="s">
        <v>27</v>
      </c>
      <c r="E2623" s="4">
        <v>-31922</v>
      </c>
      <c r="F2623" s="3" t="s">
        <v>622</v>
      </c>
      <c r="G2623" s="3" t="s">
        <v>623</v>
      </c>
      <c r="H2623" s="2" t="s">
        <v>21</v>
      </c>
      <c r="I2623" s="2" t="s">
        <v>7336</v>
      </c>
      <c r="J2623" s="3" t="str">
        <f>HYPERLINK("https://www.boe.es/gazeta/dias/1812/08/06/pdfs/GMD-1812-219.pdf#page=1","Abrir facsímil")</f>
        <v>Abrir facsímil</v>
      </c>
      <c r="K2623" s="3" t="s">
        <v>23</v>
      </c>
    </row>
    <row r="2624" spans="1:11" ht="42" customHeight="1">
      <c r="A2624" s="2" t="s">
        <v>7337</v>
      </c>
      <c r="B2624" s="2" t="s">
        <v>7338</v>
      </c>
      <c r="C2624" s="2" t="s">
        <v>26</v>
      </c>
      <c r="D2624" s="2" t="s">
        <v>27</v>
      </c>
      <c r="E2624" s="4">
        <v>-31965</v>
      </c>
      <c r="F2624" s="3" t="s">
        <v>1180</v>
      </c>
      <c r="G2624" s="3" t="s">
        <v>777</v>
      </c>
      <c r="H2624" s="2" t="s">
        <v>21</v>
      </c>
      <c r="I2624" s="2" t="s">
        <v>7339</v>
      </c>
      <c r="J2624" s="3" t="str">
        <f>HYPERLINK("https://www.boe.es/gazeta/dias/1812/06/24/pdfs/GMD-1812-176.pdf#page=2","Abrir facsímil")</f>
        <v>Abrir facsímil</v>
      </c>
      <c r="K2624" s="3" t="s">
        <v>23</v>
      </c>
    </row>
    <row r="2625" spans="1:11" ht="42" customHeight="1">
      <c r="A2625" s="2" t="s">
        <v>7340</v>
      </c>
      <c r="B2625" s="2" t="s">
        <v>7341</v>
      </c>
      <c r="C2625" s="2" t="s">
        <v>105</v>
      </c>
      <c r="D2625" s="2" t="s">
        <v>27</v>
      </c>
      <c r="E2625" s="4">
        <v>-31985</v>
      </c>
      <c r="F2625" s="3" t="s">
        <v>1942</v>
      </c>
      <c r="G2625" s="3" t="s">
        <v>4865</v>
      </c>
      <c r="H2625" s="2" t="s">
        <v>21</v>
      </c>
      <c r="I2625" s="2" t="s">
        <v>7342</v>
      </c>
      <c r="J2625" s="3" t="str">
        <f>HYPERLINK("https://www.boe.es/gazeta/dias/1812/06/04/pdfs/GRE-1812-69.pdf#page=1","Abrir facsímil")</f>
        <v>Abrir facsímil</v>
      </c>
      <c r="K2625" s="3" t="s">
        <v>23</v>
      </c>
    </row>
    <row r="2626" spans="1:11" ht="42" customHeight="1">
      <c r="A2626" s="2" t="s">
        <v>7343</v>
      </c>
      <c r="B2626" s="2" t="s">
        <v>7344</v>
      </c>
      <c r="C2626" s="2" t="s">
        <v>26</v>
      </c>
      <c r="D2626" s="2" t="s">
        <v>27</v>
      </c>
      <c r="E2626" s="4">
        <v>-31965</v>
      </c>
      <c r="F2626" s="3" t="s">
        <v>1180</v>
      </c>
      <c r="G2626" s="3" t="s">
        <v>777</v>
      </c>
      <c r="H2626" s="2" t="s">
        <v>21</v>
      </c>
      <c r="I2626" s="2" t="s">
        <v>7345</v>
      </c>
      <c r="J2626" s="3" t="str">
        <f>HYPERLINK("https://www.boe.es/gazeta/dias/1812/06/24/pdfs/GMD-1812-176.pdf#page=2","Abrir facsímil")</f>
        <v>Abrir facsímil</v>
      </c>
      <c r="K2626" s="3" t="s">
        <v>23</v>
      </c>
    </row>
    <row r="2627" spans="1:11" ht="42" customHeight="1">
      <c r="A2627" s="2" t="s">
        <v>7346</v>
      </c>
      <c r="B2627" s="2" t="s">
        <v>7347</v>
      </c>
      <c r="C2627" s="2" t="s">
        <v>49</v>
      </c>
      <c r="D2627" s="2" t="s">
        <v>18</v>
      </c>
      <c r="E2627" s="4">
        <v>-32085</v>
      </c>
      <c r="F2627" s="3" t="s">
        <v>3321</v>
      </c>
      <c r="G2627" s="3" t="s">
        <v>3409</v>
      </c>
      <c r="H2627" s="2" t="s">
        <v>21</v>
      </c>
      <c r="I2627" s="2" t="s">
        <v>7348</v>
      </c>
      <c r="J2627" s="3" t="str">
        <f>HYPERLINK("https://www.boe.es/gazeta/dias/1812/02/25/pdfs/GRE-1812-25.pdf#page=1","Abrir facsímil")</f>
        <v>Abrir facsímil</v>
      </c>
      <c r="K2627" s="3" t="s">
        <v>23</v>
      </c>
    </row>
    <row r="2628" spans="1:11" ht="42" customHeight="1">
      <c r="A2628" s="2" t="s">
        <v>7349</v>
      </c>
      <c r="B2628" s="2" t="s">
        <v>7350</v>
      </c>
      <c r="C2628" s="2" t="s">
        <v>115</v>
      </c>
      <c r="D2628" s="2" t="s">
        <v>27</v>
      </c>
      <c r="E2628" s="4">
        <v>-32111</v>
      </c>
      <c r="F2628" s="3" t="s">
        <v>553</v>
      </c>
      <c r="G2628" s="3" t="s">
        <v>196</v>
      </c>
      <c r="H2628" s="2" t="s">
        <v>21</v>
      </c>
      <c r="I2628" s="2" t="s">
        <v>7351</v>
      </c>
      <c r="J2628" s="3" t="str">
        <f>HYPERLINK("https://www.boe.es/gazeta/dias/1812/01/30/pdfs/GRE-1812-13.pdf#page=1","Abrir facsímil")</f>
        <v>Abrir facsímil</v>
      </c>
      <c r="K2628" s="3" t="s">
        <v>23</v>
      </c>
    </row>
    <row r="2629" spans="1:11" ht="42" customHeight="1">
      <c r="A2629" s="2" t="s">
        <v>7352</v>
      </c>
      <c r="B2629" s="2" t="s">
        <v>7353</v>
      </c>
      <c r="C2629" s="2" t="s">
        <v>26</v>
      </c>
      <c r="D2629" s="2" t="s">
        <v>27</v>
      </c>
      <c r="E2629" s="4">
        <v>-32000</v>
      </c>
      <c r="F2629" s="3" t="s">
        <v>878</v>
      </c>
      <c r="G2629" s="3" t="s">
        <v>214</v>
      </c>
      <c r="H2629" s="2" t="s">
        <v>21</v>
      </c>
      <c r="I2629" s="2" t="s">
        <v>7354</v>
      </c>
      <c r="J2629" s="3" t="str">
        <f>HYPERLINK("https://www.boe.es/gazeta/dias/1812/05/20/pdfs/GMD-1812-141.pdf#page=2","Abrir facsímil")</f>
        <v>Abrir facsímil</v>
      </c>
      <c r="K2629" s="3" t="s">
        <v>23</v>
      </c>
    </row>
    <row r="2630" spans="1:11" ht="42" customHeight="1">
      <c r="A2630" s="2" t="s">
        <v>7355</v>
      </c>
      <c r="B2630" s="2" t="s">
        <v>7356</v>
      </c>
      <c r="C2630" s="2" t="s">
        <v>115</v>
      </c>
      <c r="D2630" s="2" t="s">
        <v>27</v>
      </c>
      <c r="E2630" s="4">
        <v>-32066</v>
      </c>
      <c r="F2630" s="3" t="s">
        <v>291</v>
      </c>
      <c r="G2630" s="3" t="s">
        <v>125</v>
      </c>
      <c r="H2630" s="2" t="s">
        <v>30</v>
      </c>
      <c r="I2630" s="2" t="s">
        <v>7357</v>
      </c>
      <c r="J2630" s="3" t="str">
        <f>HYPERLINK("https://www.boe.es/gazeta/dias/1812/03/15/pdfs/GMD-1812-75.pdf#page=4","Abrir facsímil")</f>
        <v>Abrir facsímil</v>
      </c>
      <c r="K2630" s="3" t="s">
        <v>32</v>
      </c>
    </row>
    <row r="2631" spans="1:11" ht="42" customHeight="1">
      <c r="A2631" s="2" t="s">
        <v>7358</v>
      </c>
      <c r="B2631" s="2" t="s">
        <v>7359</v>
      </c>
      <c r="C2631" s="2" t="s">
        <v>105</v>
      </c>
      <c r="D2631" s="2" t="s">
        <v>27</v>
      </c>
      <c r="E2631" s="4">
        <v>-31938</v>
      </c>
      <c r="F2631" s="3" t="s">
        <v>324</v>
      </c>
      <c r="G2631" s="3" t="s">
        <v>237</v>
      </c>
      <c r="H2631" s="2" t="s">
        <v>21</v>
      </c>
      <c r="I2631" s="2" t="s">
        <v>7360</v>
      </c>
      <c r="J2631" s="3" t="str">
        <f>HYPERLINK("https://www.boe.es/gazeta/dias/1812/07/21/pdfs/GMD-1812-203.pdf#page=2","Abrir facsímil")</f>
        <v>Abrir facsímil</v>
      </c>
      <c r="K2631" s="3" t="s">
        <v>23</v>
      </c>
    </row>
    <row r="2632" spans="1:11" ht="42" customHeight="1">
      <c r="A2632" s="2" t="s">
        <v>7361</v>
      </c>
      <c r="B2632" s="2" t="s">
        <v>7362</v>
      </c>
      <c r="C2632" s="2" t="s">
        <v>49</v>
      </c>
      <c r="D2632" s="2" t="s">
        <v>27</v>
      </c>
      <c r="E2632" s="4">
        <v>-32018</v>
      </c>
      <c r="F2632" s="3" t="s">
        <v>365</v>
      </c>
      <c r="G2632" s="3" t="s">
        <v>366</v>
      </c>
      <c r="H2632" s="2" t="s">
        <v>21</v>
      </c>
      <c r="I2632" s="2" t="s">
        <v>7363</v>
      </c>
      <c r="J2632" s="3" t="str">
        <f>HYPERLINK("https://www.boe.es/gazeta/dias/1812/05/02/pdfs/GRE-1812-55.pdf#page=3","Abrir facsímil")</f>
        <v>Abrir facsímil</v>
      </c>
      <c r="K2632" s="3" t="s">
        <v>23</v>
      </c>
    </row>
    <row r="2633" spans="1:11" ht="42" customHeight="1">
      <c r="A2633" s="2" t="s">
        <v>7364</v>
      </c>
      <c r="B2633" s="2" t="s">
        <v>7365</v>
      </c>
      <c r="C2633" s="2" t="s">
        <v>26</v>
      </c>
      <c r="D2633" s="2" t="s">
        <v>27</v>
      </c>
      <c r="E2633" s="4">
        <v>-31829</v>
      </c>
      <c r="F2633" s="3" t="s">
        <v>328</v>
      </c>
      <c r="G2633" s="3" t="s">
        <v>20</v>
      </c>
      <c r="H2633" s="2" t="s">
        <v>21</v>
      </c>
      <c r="I2633" s="2" t="s">
        <v>7366</v>
      </c>
      <c r="J2633" s="3" t="str">
        <f>HYPERLINK("https://www.boe.es/gazeta/dias/1812/11/07/pdfs/GMD-1812-227.pdf#page=4","Abrir facsímil")</f>
        <v>Abrir facsímil</v>
      </c>
      <c r="K2633" s="3" t="s">
        <v>23</v>
      </c>
    </row>
    <row r="2634" spans="1:11" ht="42" customHeight="1">
      <c r="A2634" s="2" t="s">
        <v>7367</v>
      </c>
      <c r="B2634" s="2" t="s">
        <v>7368</v>
      </c>
      <c r="C2634" s="2" t="s">
        <v>17</v>
      </c>
      <c r="D2634" s="2" t="s">
        <v>275</v>
      </c>
      <c r="E2634" s="4">
        <v>-31843</v>
      </c>
      <c r="F2634" s="3" t="s">
        <v>6436</v>
      </c>
      <c r="G2634" s="3" t="s">
        <v>6439</v>
      </c>
      <c r="H2634" s="2" t="s">
        <v>21</v>
      </c>
      <c r="I2634" s="2" t="s">
        <v>7369</v>
      </c>
      <c r="J2634" s="3" t="str">
        <f>HYPERLINK("https://www.boe.es/gazeta/dias/1812/10/24/pdfs/GRE-1812-143.pdf#page=8","Abrir facsímil")</f>
        <v>Abrir facsímil</v>
      </c>
      <c r="K2634" s="3" t="s">
        <v>23</v>
      </c>
    </row>
    <row r="2635" spans="1:11" ht="42" customHeight="1">
      <c r="A2635" s="2" t="s">
        <v>7370</v>
      </c>
      <c r="B2635" s="2" t="s">
        <v>7371</v>
      </c>
      <c r="C2635" s="2" t="s">
        <v>67</v>
      </c>
      <c r="D2635" s="2" t="s">
        <v>27</v>
      </c>
      <c r="E2635" s="4">
        <v>-32031</v>
      </c>
      <c r="F2635" s="3" t="s">
        <v>1343</v>
      </c>
      <c r="G2635" s="3" t="s">
        <v>36</v>
      </c>
      <c r="H2635" s="2" t="s">
        <v>21</v>
      </c>
      <c r="I2635" s="2" t="s">
        <v>7372</v>
      </c>
      <c r="J2635" s="3" t="str">
        <f>HYPERLINK("https://www.boe.es/gazeta/dias/1812/04/19/pdfs/GMD-1812-110.pdf#page=3","Abrir facsímil")</f>
        <v>Abrir facsímil</v>
      </c>
      <c r="K2635" s="3" t="s">
        <v>23</v>
      </c>
    </row>
    <row r="2636" spans="1:11" ht="42" customHeight="1">
      <c r="A2636" s="2" t="s">
        <v>7373</v>
      </c>
      <c r="B2636" s="2" t="s">
        <v>7374</v>
      </c>
      <c r="C2636" s="2" t="s">
        <v>26</v>
      </c>
      <c r="D2636" s="2" t="s">
        <v>275</v>
      </c>
      <c r="E2636" s="4">
        <v>-31843</v>
      </c>
      <c r="F2636" s="3" t="s">
        <v>3493</v>
      </c>
      <c r="G2636" s="3" t="s">
        <v>3494</v>
      </c>
      <c r="H2636" s="2" t="s">
        <v>21</v>
      </c>
      <c r="I2636" s="2" t="s">
        <v>7375</v>
      </c>
      <c r="J2636" s="3" t="str">
        <f>HYPERLINK("https://www.boe.es/gazeta/dias/1812/10/24/pdfs/GMR-1812-31.pdf#page=8","Abrir facsímil")</f>
        <v>Abrir facsímil</v>
      </c>
      <c r="K2636" s="3" t="s">
        <v>23</v>
      </c>
    </row>
    <row r="2637" spans="1:11" ht="42" customHeight="1">
      <c r="A2637" s="2" t="s">
        <v>7376</v>
      </c>
      <c r="B2637" s="2" t="s">
        <v>7377</v>
      </c>
      <c r="C2637" s="2" t="s">
        <v>105</v>
      </c>
      <c r="D2637" s="2" t="s">
        <v>27</v>
      </c>
      <c r="E2637" s="4">
        <v>-32044</v>
      </c>
      <c r="F2637" s="3" t="s">
        <v>1031</v>
      </c>
      <c r="G2637" s="3" t="s">
        <v>1873</v>
      </c>
      <c r="H2637" s="2" t="s">
        <v>21</v>
      </c>
      <c r="I2637" s="2" t="s">
        <v>7378</v>
      </c>
      <c r="J2637" s="3" t="str">
        <f>HYPERLINK("https://www.boe.es/gazeta/dias/1812/04/06/pdfs/GMD-1812-97.pdf#page=4","Abrir facsímil")</f>
        <v>Abrir facsímil</v>
      </c>
      <c r="K2637" s="3" t="s">
        <v>23</v>
      </c>
    </row>
    <row r="2638" spans="1:11" ht="42" customHeight="1">
      <c r="A2638" s="2" t="s">
        <v>7379</v>
      </c>
      <c r="B2638" s="2" t="s">
        <v>7380</v>
      </c>
      <c r="C2638" s="2" t="s">
        <v>49</v>
      </c>
      <c r="D2638" s="2" t="s">
        <v>27</v>
      </c>
      <c r="E2638" s="4">
        <v>-31822</v>
      </c>
      <c r="F2638" s="3" t="s">
        <v>541</v>
      </c>
      <c r="G2638" s="3" t="s">
        <v>1459</v>
      </c>
      <c r="H2638" s="2" t="s">
        <v>21</v>
      </c>
      <c r="I2638" s="2" t="s">
        <v>7381</v>
      </c>
      <c r="J2638" s="3" t="str">
        <f>HYPERLINK("https://www.boe.es/gazeta/dias/1812/11/14/pdfs/GRE-1812-152.pdf#page=8","Abrir facsímil")</f>
        <v>Abrir facsímil</v>
      </c>
      <c r="K2638" s="3" t="s">
        <v>23</v>
      </c>
    </row>
    <row r="2639" spans="1:11" ht="42" customHeight="1">
      <c r="A2639" s="2" t="s">
        <v>7382</v>
      </c>
      <c r="B2639" s="2" t="s">
        <v>7383</v>
      </c>
      <c r="C2639" s="2" t="s">
        <v>26</v>
      </c>
      <c r="D2639" s="2" t="s">
        <v>27</v>
      </c>
      <c r="E2639" s="4">
        <v>-32137</v>
      </c>
      <c r="F2639" s="3" t="s">
        <v>355</v>
      </c>
      <c r="G2639" s="3" t="s">
        <v>117</v>
      </c>
      <c r="H2639" s="2" t="s">
        <v>21</v>
      </c>
      <c r="I2639" s="2" t="s">
        <v>7384</v>
      </c>
      <c r="J2639" s="3" t="str">
        <f>HYPERLINK("https://www.boe.es/gazeta/dias/1812/01/04/pdfs/GEI-1812-2.pdf#page=8","Abrir facsímil")</f>
        <v>Abrir facsímil</v>
      </c>
      <c r="K2639" s="3" t="s">
        <v>23</v>
      </c>
    </row>
    <row r="2640" spans="1:11" ht="42" customHeight="1">
      <c r="A2640" s="2" t="s">
        <v>7385</v>
      </c>
      <c r="B2640" s="2" t="s">
        <v>7385</v>
      </c>
      <c r="C2640" s="2" t="s">
        <v>17</v>
      </c>
      <c r="D2640" s="2" t="s">
        <v>18</v>
      </c>
      <c r="E2640" s="4">
        <v>-31847</v>
      </c>
      <c r="F2640" s="3" t="s">
        <v>219</v>
      </c>
      <c r="G2640" s="3" t="s">
        <v>2260</v>
      </c>
      <c r="H2640" s="2" t="s">
        <v>21</v>
      </c>
      <c r="I2640" s="2" t="s">
        <v>7386</v>
      </c>
      <c r="J2640" s="3" t="str">
        <f>HYPERLINK("https://www.boe.es/gazeta/dias/1812/10/20/pdfs/GRE-1812-141.pdf#page=4","Abrir facsímil")</f>
        <v>Abrir facsímil</v>
      </c>
      <c r="K2640" s="3" t="s">
        <v>23</v>
      </c>
    </row>
    <row r="2641" spans="1:11" ht="42" customHeight="1">
      <c r="A2641" s="2" t="s">
        <v>7387</v>
      </c>
      <c r="B2641" s="2" t="s">
        <v>7387</v>
      </c>
      <c r="C2641" s="2" t="s">
        <v>17</v>
      </c>
      <c r="D2641" s="2" t="s">
        <v>27</v>
      </c>
      <c r="E2641" s="4">
        <v>-32015</v>
      </c>
      <c r="F2641" s="3" t="s">
        <v>3703</v>
      </c>
      <c r="G2641" s="3" t="s">
        <v>404</v>
      </c>
      <c r="H2641" s="2" t="s">
        <v>21</v>
      </c>
      <c r="I2641" s="2" t="s">
        <v>7388</v>
      </c>
      <c r="J2641" s="3" t="str">
        <f>HYPERLINK("https://www.boe.es/gazeta/dias/1812/05/05/pdfs/GMD-1812-126.pdf#page=1","Abrir facsímil")</f>
        <v>Abrir facsímil</v>
      </c>
      <c r="K2641" s="3" t="s">
        <v>23</v>
      </c>
    </row>
    <row r="2642" spans="1:11" ht="42" customHeight="1">
      <c r="A2642" s="2" t="s">
        <v>7387</v>
      </c>
      <c r="B2642" s="2" t="s">
        <v>7387</v>
      </c>
      <c r="C2642" s="2" t="s">
        <v>17</v>
      </c>
      <c r="D2642" s="2" t="s">
        <v>27</v>
      </c>
      <c r="E2642" s="4">
        <v>-31805</v>
      </c>
      <c r="F2642" s="3" t="s">
        <v>4346</v>
      </c>
      <c r="G2642" s="3" t="s">
        <v>7389</v>
      </c>
      <c r="H2642" s="2" t="s">
        <v>21</v>
      </c>
      <c r="I2642" s="2" t="s">
        <v>7390</v>
      </c>
      <c r="J2642" s="3" t="str">
        <f>HYPERLINK("https://www.boe.es/gazeta/dias/1812/12/01/pdfs/GRE-1812-159.pdf#page=1","Abrir facsímil")</f>
        <v>Abrir facsímil</v>
      </c>
      <c r="K2642" s="3" t="s">
        <v>23</v>
      </c>
    </row>
    <row r="2643" spans="1:11" ht="42" customHeight="1">
      <c r="A2643" s="2" t="s">
        <v>7391</v>
      </c>
      <c r="B2643" s="2" t="s">
        <v>7391</v>
      </c>
      <c r="C2643" s="2" t="s">
        <v>49</v>
      </c>
      <c r="D2643" s="2" t="s">
        <v>18</v>
      </c>
      <c r="E2643" s="4">
        <v>-32039</v>
      </c>
      <c r="F2643" s="3" t="s">
        <v>557</v>
      </c>
      <c r="G2643" s="3" t="s">
        <v>514</v>
      </c>
      <c r="H2643" s="2" t="s">
        <v>21</v>
      </c>
      <c r="I2643" s="2" t="s">
        <v>7392</v>
      </c>
      <c r="J2643" s="3" t="str">
        <f>HYPERLINK("https://www.boe.es/gazeta/dias/1812/04/11/pdfs/GMD-1812-102.pdf#page=3","Abrir facsímil")</f>
        <v>Abrir facsímil</v>
      </c>
      <c r="K2643" s="3" t="s">
        <v>23</v>
      </c>
    </row>
    <row r="2644" spans="1:11" ht="42" customHeight="1">
      <c r="A2644" s="2" t="s">
        <v>7393</v>
      </c>
      <c r="B2644" s="2" t="s">
        <v>7394</v>
      </c>
      <c r="C2644" s="2" t="s">
        <v>17</v>
      </c>
      <c r="D2644" s="2" t="s">
        <v>18</v>
      </c>
      <c r="E2644" s="4">
        <v>-32130</v>
      </c>
      <c r="F2644" s="3" t="s">
        <v>927</v>
      </c>
      <c r="G2644" s="3" t="s">
        <v>130</v>
      </c>
      <c r="H2644" s="2" t="s">
        <v>21</v>
      </c>
      <c r="I2644" s="2" t="s">
        <v>7395</v>
      </c>
      <c r="J2644" s="3" t="str">
        <f>HYPERLINK("https://www.boe.es/gazeta/dias/1812/01/11/pdfs/GMD-1812-11.pdf#page=4","Abrir facsímil")</f>
        <v>Abrir facsímil</v>
      </c>
      <c r="K2644" s="3" t="s">
        <v>23</v>
      </c>
    </row>
    <row r="2645" spans="1:11" ht="42" customHeight="1">
      <c r="A2645" s="2" t="s">
        <v>7396</v>
      </c>
      <c r="B2645" s="2" t="s">
        <v>7396</v>
      </c>
      <c r="C2645" s="2" t="s">
        <v>17</v>
      </c>
      <c r="D2645" s="2" t="s">
        <v>27</v>
      </c>
      <c r="E2645" s="4">
        <v>-32095</v>
      </c>
      <c r="F2645" s="3" t="s">
        <v>181</v>
      </c>
      <c r="G2645" s="3" t="s">
        <v>182</v>
      </c>
      <c r="H2645" s="2" t="s">
        <v>21</v>
      </c>
      <c r="I2645" s="2" t="s">
        <v>7397</v>
      </c>
      <c r="J2645" s="3" t="str">
        <f>HYPERLINK("https://www.boe.es/gazeta/dias/1812/02/15/pdfs/GMD-1812-47.pdf#page=4","Abrir facsímil")</f>
        <v>Abrir facsímil</v>
      </c>
      <c r="K2645" s="3" t="s">
        <v>23</v>
      </c>
    </row>
    <row r="2646" spans="1:11" ht="42" customHeight="1">
      <c r="A2646" s="2" t="s">
        <v>7396</v>
      </c>
      <c r="B2646" s="2" t="s">
        <v>7396</v>
      </c>
      <c r="C2646" s="2" t="s">
        <v>17</v>
      </c>
      <c r="D2646" s="2" t="s">
        <v>27</v>
      </c>
      <c r="E2646" s="4">
        <v>-32094</v>
      </c>
      <c r="F2646" s="3" t="s">
        <v>181</v>
      </c>
      <c r="G2646" s="3" t="s">
        <v>182</v>
      </c>
      <c r="H2646" s="2" t="s">
        <v>21</v>
      </c>
      <c r="I2646" s="2" t="s">
        <v>7397</v>
      </c>
      <c r="J2646" s="3" t="str">
        <f>HYPERLINK("https://www.boe.es/gazeta/dias/1812/02/16/pdfs/GMD-1812-47.pdf#page=4","Abrir facsímil")</f>
        <v>Abrir facsímil</v>
      </c>
      <c r="K2646" s="3" t="s">
        <v>23</v>
      </c>
    </row>
    <row r="2647" spans="1:11" ht="42" customHeight="1">
      <c r="A2647" s="2" t="s">
        <v>7396</v>
      </c>
      <c r="B2647" s="2" t="s">
        <v>7396</v>
      </c>
      <c r="C2647" s="2" t="s">
        <v>17</v>
      </c>
      <c r="D2647" s="2" t="s">
        <v>27</v>
      </c>
      <c r="E2647" s="4">
        <v>-32029</v>
      </c>
      <c r="F2647" s="3" t="s">
        <v>176</v>
      </c>
      <c r="G2647" s="3" t="s">
        <v>1766</v>
      </c>
      <c r="H2647" s="2" t="s">
        <v>21</v>
      </c>
      <c r="I2647" s="2" t="s">
        <v>7398</v>
      </c>
      <c r="J2647" s="3" t="str">
        <f>HYPERLINK("https://www.boe.es/gazeta/dias/1812/04/21/pdfs/GRE-1812-50.pdf#page=1","Abrir facsímil")</f>
        <v>Abrir facsímil</v>
      </c>
      <c r="K2647" s="3" t="s">
        <v>23</v>
      </c>
    </row>
    <row r="2648" spans="1:11" ht="42" customHeight="1">
      <c r="A2648" s="2" t="s">
        <v>7396</v>
      </c>
      <c r="B2648" s="2" t="s">
        <v>7396</v>
      </c>
      <c r="C2648" s="2" t="s">
        <v>17</v>
      </c>
      <c r="D2648" s="2" t="s">
        <v>18</v>
      </c>
      <c r="E2648" s="4">
        <v>-32029</v>
      </c>
      <c r="F2648" s="3" t="s">
        <v>176</v>
      </c>
      <c r="G2648" s="3" t="s">
        <v>7399</v>
      </c>
      <c r="H2648" s="2" t="s">
        <v>21</v>
      </c>
      <c r="I2648" s="2" t="s">
        <v>7400</v>
      </c>
      <c r="J2648" s="3" t="str">
        <f>HYPERLINK("https://www.boe.es/gazeta/dias/1812/04/21/pdfs/GRE-1812-50.pdf#page=2","Abrir facsímil")</f>
        <v>Abrir facsímil</v>
      </c>
      <c r="K2648" s="3" t="s">
        <v>23</v>
      </c>
    </row>
    <row r="2649" spans="1:11" ht="42" customHeight="1">
      <c r="A2649" s="2" t="s">
        <v>7396</v>
      </c>
      <c r="B2649" s="2" t="s">
        <v>7396</v>
      </c>
      <c r="C2649" s="2" t="s">
        <v>17</v>
      </c>
      <c r="D2649" s="2" t="s">
        <v>18</v>
      </c>
      <c r="E2649" s="4">
        <v>-31962</v>
      </c>
      <c r="F2649" s="3" t="s">
        <v>153</v>
      </c>
      <c r="G2649" s="3" t="s">
        <v>7401</v>
      </c>
      <c r="H2649" s="2" t="s">
        <v>21</v>
      </c>
      <c r="I2649" s="2" t="s">
        <v>7402</v>
      </c>
      <c r="J2649" s="3" t="str">
        <f>HYPERLINK("https://www.boe.es/gazeta/dias/1812/06/27/pdfs/GRE-1812-79.pdf#page=3","Abrir facsímil")</f>
        <v>Abrir facsímil</v>
      </c>
      <c r="K2649" s="3" t="s">
        <v>23</v>
      </c>
    </row>
    <row r="2650" spans="1:11" ht="42" customHeight="1">
      <c r="A2650" s="2" t="s">
        <v>7396</v>
      </c>
      <c r="B2650" s="2" t="s">
        <v>7396</v>
      </c>
      <c r="C2650" s="2" t="s">
        <v>49</v>
      </c>
      <c r="D2650" s="2" t="s">
        <v>27</v>
      </c>
      <c r="E2650" s="4">
        <v>-31959</v>
      </c>
      <c r="F2650" s="3" t="s">
        <v>1035</v>
      </c>
      <c r="G2650" s="3" t="s">
        <v>4268</v>
      </c>
      <c r="H2650" s="2" t="s">
        <v>21</v>
      </c>
      <c r="I2650" s="2" t="s">
        <v>7403</v>
      </c>
      <c r="J2650" s="3" t="str">
        <f>HYPERLINK("https://www.boe.es/gazeta/dias/1812/06/30/pdfs/GRE-1812-80.pdf#page=3","Abrir facsímil")</f>
        <v>Abrir facsímil</v>
      </c>
      <c r="K2650" s="3" t="s">
        <v>23</v>
      </c>
    </row>
    <row r="2651" spans="1:11" ht="42" customHeight="1">
      <c r="A2651" s="2" t="s">
        <v>7396</v>
      </c>
      <c r="B2651" s="2" t="s">
        <v>7396</v>
      </c>
      <c r="C2651" s="2" t="s">
        <v>17</v>
      </c>
      <c r="D2651" s="2" t="s">
        <v>27</v>
      </c>
      <c r="E2651" s="4">
        <v>-31959</v>
      </c>
      <c r="F2651" s="3" t="s">
        <v>1035</v>
      </c>
      <c r="G2651" s="3" t="s">
        <v>4321</v>
      </c>
      <c r="H2651" s="2" t="s">
        <v>21</v>
      </c>
      <c r="I2651" s="2" t="s">
        <v>7404</v>
      </c>
      <c r="J2651" s="3" t="str">
        <f>HYPERLINK("https://www.boe.es/gazeta/dias/1812/06/30/pdfs/GRE-1812-80.pdf#page=5","Abrir facsímil")</f>
        <v>Abrir facsímil</v>
      </c>
      <c r="K2651" s="3" t="s">
        <v>23</v>
      </c>
    </row>
    <row r="2652" spans="1:11" ht="42" customHeight="1">
      <c r="A2652" s="2" t="s">
        <v>7405</v>
      </c>
      <c r="B2652" s="2" t="s">
        <v>7405</v>
      </c>
      <c r="C2652" s="2" t="s">
        <v>17</v>
      </c>
      <c r="D2652" s="2" t="s">
        <v>275</v>
      </c>
      <c r="E2652" s="4">
        <v>-32111</v>
      </c>
      <c r="F2652" s="3" t="s">
        <v>951</v>
      </c>
      <c r="G2652" s="3" t="s">
        <v>45</v>
      </c>
      <c r="H2652" s="2" t="s">
        <v>21</v>
      </c>
      <c r="I2652" s="2" t="s">
        <v>7406</v>
      </c>
      <c r="J2652" s="3" t="str">
        <f>HYPERLINK("https://www.boe.es/gazeta/dias/1812/01/30/pdfs/GMD-1812-30.pdf#page=4","Abrir facsímil")</f>
        <v>Abrir facsímil</v>
      </c>
      <c r="K2652" s="3" t="s">
        <v>23</v>
      </c>
    </row>
    <row r="2653" spans="1:11" ht="42" customHeight="1">
      <c r="A2653" s="2" t="s">
        <v>7407</v>
      </c>
      <c r="B2653" s="2" t="s">
        <v>7408</v>
      </c>
      <c r="C2653" s="2" t="s">
        <v>26</v>
      </c>
      <c r="D2653" s="2" t="s">
        <v>27</v>
      </c>
      <c r="E2653" s="4">
        <v>-31938</v>
      </c>
      <c r="F2653" s="3" t="s">
        <v>370</v>
      </c>
      <c r="G2653" s="3" t="s">
        <v>371</v>
      </c>
      <c r="H2653" s="2" t="s">
        <v>21</v>
      </c>
      <c r="I2653" s="2" t="s">
        <v>7409</v>
      </c>
      <c r="J2653" s="3" t="str">
        <f>HYPERLINK("https://www.boe.es/gazeta/dias/1812/07/21/pdfs/GRE-1812-91.pdf#page=8","Abrir facsímil")</f>
        <v>Abrir facsímil</v>
      </c>
      <c r="K2653" s="3" t="s">
        <v>23</v>
      </c>
    </row>
    <row r="2654" spans="1:11" ht="42" customHeight="1">
      <c r="A2654" s="2" t="s">
        <v>7410</v>
      </c>
      <c r="B2654" s="2" t="s">
        <v>7410</v>
      </c>
      <c r="C2654" s="2" t="s">
        <v>26</v>
      </c>
      <c r="D2654" s="2" t="s">
        <v>27</v>
      </c>
      <c r="E2654" s="4">
        <v>-31882</v>
      </c>
      <c r="F2654" s="3" t="s">
        <v>1200</v>
      </c>
      <c r="G2654" s="3" t="s">
        <v>3297</v>
      </c>
      <c r="H2654" s="2" t="s">
        <v>21</v>
      </c>
      <c r="I2654" s="2" t="s">
        <v>7411</v>
      </c>
      <c r="J2654" s="3" t="str">
        <f>HYPERLINK("https://www.boe.es/gazeta/dias/1812/09/15/pdfs/GRE-1812-125.pdf#page=1","Abrir facsímil")</f>
        <v>Abrir facsímil</v>
      </c>
      <c r="K2654" s="3" t="s">
        <v>23</v>
      </c>
    </row>
    <row r="2655" spans="1:11" ht="42" customHeight="1">
      <c r="A2655" s="2" t="s">
        <v>7412</v>
      </c>
      <c r="B2655" s="2" t="s">
        <v>7412</v>
      </c>
      <c r="C2655" s="2" t="s">
        <v>17</v>
      </c>
      <c r="D2655" s="2" t="s">
        <v>27</v>
      </c>
      <c r="E2655" s="4">
        <v>-31908</v>
      </c>
      <c r="F2655" s="3" t="s">
        <v>835</v>
      </c>
      <c r="G2655" s="3" t="s">
        <v>5298</v>
      </c>
      <c r="H2655" s="2" t="s">
        <v>21</v>
      </c>
      <c r="I2655" s="2" t="s">
        <v>7413</v>
      </c>
      <c r="J2655" s="3" t="str">
        <f>HYPERLINK("https://www.boe.es/gazeta/dias/1812/08/20/pdfs/GRE-1812-107.pdf#page=5","Abrir facsímil")</f>
        <v>Abrir facsímil</v>
      </c>
      <c r="K2655" s="3" t="s">
        <v>23</v>
      </c>
    </row>
    <row r="2656" spans="1:11" ht="42" customHeight="1">
      <c r="A2656" s="2" t="s">
        <v>7414</v>
      </c>
      <c r="B2656" s="2" t="s">
        <v>7414</v>
      </c>
      <c r="C2656" s="2" t="s">
        <v>26</v>
      </c>
      <c r="D2656" s="2" t="s">
        <v>27</v>
      </c>
      <c r="E2656" s="4">
        <v>-32104</v>
      </c>
      <c r="F2656" s="3" t="s">
        <v>753</v>
      </c>
      <c r="G2656" s="3" t="s">
        <v>130</v>
      </c>
      <c r="H2656" s="2" t="s">
        <v>21</v>
      </c>
      <c r="I2656" s="2" t="s">
        <v>7415</v>
      </c>
      <c r="J2656" s="3" t="str">
        <f>HYPERLINK("https://www.boe.es/gazeta/dias/1812/02/06/pdfs/GMD-1812-37.pdf#page=4","Abrir facsímil")</f>
        <v>Abrir facsímil</v>
      </c>
      <c r="K2656" s="3" t="s">
        <v>23</v>
      </c>
    </row>
    <row r="2657" spans="1:11" ht="42" customHeight="1">
      <c r="A2657" s="2" t="s">
        <v>7416</v>
      </c>
      <c r="B2657" s="2" t="s">
        <v>7416</v>
      </c>
      <c r="C2657" s="2" t="s">
        <v>17</v>
      </c>
      <c r="D2657" s="2" t="s">
        <v>27</v>
      </c>
      <c r="E2657" s="4">
        <v>-31928</v>
      </c>
      <c r="F2657" s="3" t="s">
        <v>7417</v>
      </c>
      <c r="G2657" s="3" t="s">
        <v>3409</v>
      </c>
      <c r="H2657" s="2" t="s">
        <v>21</v>
      </c>
      <c r="I2657" s="2" t="s">
        <v>7418</v>
      </c>
      <c r="J2657" s="3" t="str">
        <f>HYPERLINK("https://www.boe.es/gazeta/dias/1812/07/31/pdfs/GMD-1812-213.pdf#page=1","Abrir facsímil")</f>
        <v>Abrir facsímil</v>
      </c>
      <c r="K2657" s="3" t="s">
        <v>23</v>
      </c>
    </row>
    <row r="2658" spans="1:11" ht="42" customHeight="1">
      <c r="A2658" s="2" t="s">
        <v>7419</v>
      </c>
      <c r="B2658" s="2" t="s">
        <v>7420</v>
      </c>
      <c r="C2658" s="2" t="s">
        <v>17</v>
      </c>
      <c r="D2658" s="2" t="s">
        <v>27</v>
      </c>
      <c r="E2658" s="4">
        <v>-32118</v>
      </c>
      <c r="F2658" s="3" t="s">
        <v>1420</v>
      </c>
      <c r="G2658" s="3" t="s">
        <v>404</v>
      </c>
      <c r="H2658" s="2" t="s">
        <v>21</v>
      </c>
      <c r="I2658" s="2" t="s">
        <v>7421</v>
      </c>
      <c r="J2658" s="3" t="str">
        <f>HYPERLINK("https://www.boe.es/gazeta/dias/1812/01/23/pdfs/GEI-1812-10.pdf#page=8","Abrir facsímil")</f>
        <v>Abrir facsímil</v>
      </c>
      <c r="K2658" s="3" t="s">
        <v>23</v>
      </c>
    </row>
    <row r="2659" spans="1:11" ht="42" customHeight="1">
      <c r="A2659" s="2" t="s">
        <v>7422</v>
      </c>
      <c r="B2659" s="2" t="s">
        <v>7423</v>
      </c>
      <c r="C2659" s="2" t="s">
        <v>26</v>
      </c>
      <c r="D2659" s="2" t="s">
        <v>27</v>
      </c>
      <c r="E2659" s="4">
        <v>-32137</v>
      </c>
      <c r="F2659" s="3" t="s">
        <v>355</v>
      </c>
      <c r="G2659" s="3" t="s">
        <v>117</v>
      </c>
      <c r="H2659" s="2" t="s">
        <v>21</v>
      </c>
      <c r="I2659" s="2" t="s">
        <v>7424</v>
      </c>
      <c r="J2659" s="3" t="str">
        <f>HYPERLINK("https://www.boe.es/gazeta/dias/1812/01/04/pdfs/GEI-1812-2.pdf#page=8","Abrir facsímil")</f>
        <v>Abrir facsímil</v>
      </c>
      <c r="K2659" s="3" t="s">
        <v>23</v>
      </c>
    </row>
    <row r="2660" spans="1:11" ht="42" customHeight="1">
      <c r="A2660" s="2" t="s">
        <v>7425</v>
      </c>
      <c r="B2660" s="2" t="s">
        <v>7426</v>
      </c>
      <c r="C2660" s="2" t="s">
        <v>186</v>
      </c>
      <c r="D2660" s="2" t="s">
        <v>275</v>
      </c>
      <c r="E2660" s="4">
        <v>-31822</v>
      </c>
      <c r="F2660" s="3" t="s">
        <v>541</v>
      </c>
      <c r="G2660" s="3" t="s">
        <v>1459</v>
      </c>
      <c r="H2660" s="2" t="s">
        <v>21</v>
      </c>
      <c r="I2660" s="2" t="s">
        <v>7427</v>
      </c>
      <c r="J2660" s="3" t="str">
        <f>HYPERLINK("https://www.boe.es/gazeta/dias/1812/11/14/pdfs/GRE-1812-152.pdf#page=8","Abrir facsímil")</f>
        <v>Abrir facsímil</v>
      </c>
      <c r="K2660" s="3" t="s">
        <v>23</v>
      </c>
    </row>
    <row r="2661" spans="1:11" ht="42" customHeight="1">
      <c r="A2661" s="2" t="s">
        <v>7428</v>
      </c>
      <c r="B2661" s="2" t="s">
        <v>7429</v>
      </c>
      <c r="C2661" s="2" t="s">
        <v>17</v>
      </c>
      <c r="D2661" s="2" t="s">
        <v>27</v>
      </c>
      <c r="E2661" s="4">
        <v>-32109</v>
      </c>
      <c r="F2661" s="3" t="s">
        <v>62</v>
      </c>
      <c r="G2661" s="3" t="s">
        <v>63</v>
      </c>
      <c r="H2661" s="2" t="s">
        <v>21</v>
      </c>
      <c r="I2661" s="2" t="s">
        <v>7430</v>
      </c>
      <c r="J2661" s="3" t="str">
        <f>HYPERLINK("https://www.boe.es/gazeta/dias/1812/02/01/pdfs/GRE-1812-14.pdf#page=10","Abrir facsímil")</f>
        <v>Abrir facsímil</v>
      </c>
      <c r="K2661" s="3" t="s">
        <v>23</v>
      </c>
    </row>
    <row r="2662" spans="1:11" ht="42" customHeight="1">
      <c r="A2662" s="2" t="s">
        <v>7431</v>
      </c>
      <c r="B2662" s="2" t="s">
        <v>7432</v>
      </c>
      <c r="C2662" s="2" t="s">
        <v>67</v>
      </c>
      <c r="D2662" s="2" t="s">
        <v>275</v>
      </c>
      <c r="E2662" s="4">
        <v>-31901</v>
      </c>
      <c r="F2662" s="3" t="s">
        <v>2199</v>
      </c>
      <c r="G2662" s="3" t="s">
        <v>2200</v>
      </c>
      <c r="H2662" s="2" t="s">
        <v>30</v>
      </c>
      <c r="I2662" s="2" t="s">
        <v>7433</v>
      </c>
      <c r="J2662" s="3" t="str">
        <f>HYPERLINK("https://www.boe.es/gazeta/dias/1812/08/27/pdfs/GRE-1812-111.pdf#page=8","Abrir facsímil")</f>
        <v>Abrir facsímil</v>
      </c>
      <c r="K2662" s="3" t="s">
        <v>32</v>
      </c>
    </row>
    <row r="2663" spans="1:11" ht="42" customHeight="1">
      <c r="A2663" s="2" t="s">
        <v>7434</v>
      </c>
      <c r="B2663" s="2" t="s">
        <v>7435</v>
      </c>
      <c r="C2663" s="2" t="s">
        <v>26</v>
      </c>
      <c r="D2663" s="2" t="s">
        <v>573</v>
      </c>
      <c r="E2663" s="4">
        <v>-31900</v>
      </c>
      <c r="F2663" s="3" t="s">
        <v>276</v>
      </c>
      <c r="G2663" s="3" t="s">
        <v>277</v>
      </c>
      <c r="H2663" s="2" t="s">
        <v>21</v>
      </c>
      <c r="I2663" s="2" t="s">
        <v>7436</v>
      </c>
      <c r="J2663" s="3" t="str">
        <f>HYPERLINK("https://www.boe.es/gazeta/dias/1812/08/28/pdfs/GRE-1812-113E.pdf#page=8","Abrir facsímil")</f>
        <v>Abrir facsímil</v>
      </c>
      <c r="K2663" s="3" t="s">
        <v>23</v>
      </c>
    </row>
    <row r="2664" spans="1:11" ht="42" customHeight="1">
      <c r="A2664" s="2" t="s">
        <v>7437</v>
      </c>
      <c r="B2664" s="2" t="s">
        <v>7438</v>
      </c>
      <c r="C2664" s="2" t="s">
        <v>26</v>
      </c>
      <c r="D2664" s="2" t="s">
        <v>27</v>
      </c>
      <c r="E2664" s="4">
        <v>-32034</v>
      </c>
      <c r="F2664" s="3" t="s">
        <v>28</v>
      </c>
      <c r="G2664" s="3" t="s">
        <v>45</v>
      </c>
      <c r="H2664" s="2" t="s">
        <v>30</v>
      </c>
      <c r="I2664" s="2" t="s">
        <v>7439</v>
      </c>
      <c r="J2664" s="3" t="str">
        <f>HYPERLINK("https://www.boe.es/gazeta/dias/1812/04/16/pdfs/GMD-1812-107.pdf#page=5","Abrir facsímil")</f>
        <v>Abrir facsímil</v>
      </c>
      <c r="K2664" s="3" t="s">
        <v>32</v>
      </c>
    </row>
    <row r="2665" spans="1:11" ht="42" customHeight="1">
      <c r="A2665" s="2" t="s">
        <v>7440</v>
      </c>
      <c r="B2665" s="2" t="s">
        <v>7441</v>
      </c>
      <c r="C2665" s="2" t="s">
        <v>17</v>
      </c>
      <c r="D2665" s="2" t="s">
        <v>275</v>
      </c>
      <c r="E2665" s="4">
        <v>-31861</v>
      </c>
      <c r="F2665" s="3" t="s">
        <v>216</v>
      </c>
      <c r="G2665" s="3" t="s">
        <v>196</v>
      </c>
      <c r="H2665" s="2" t="s">
        <v>21</v>
      </c>
      <c r="I2665" s="2" t="s">
        <v>7442</v>
      </c>
      <c r="J2665" s="3" t="str">
        <f>HYPERLINK("https://www.boe.es/gazeta/dias/1812/10/06/pdfs/GRE-1812-135.pdf#page=6","Abrir facsímil")</f>
        <v>Abrir facsímil</v>
      </c>
      <c r="K2665" s="3" t="s">
        <v>23</v>
      </c>
    </row>
    <row r="2666" spans="1:11" ht="42" customHeight="1">
      <c r="A2666" s="2" t="s">
        <v>7443</v>
      </c>
      <c r="B2666" s="2" t="s">
        <v>7444</v>
      </c>
      <c r="C2666" s="2" t="s">
        <v>26</v>
      </c>
      <c r="D2666" s="2" t="s">
        <v>27</v>
      </c>
      <c r="E2666" s="4">
        <v>-32034</v>
      </c>
      <c r="F2666" s="3" t="s">
        <v>28</v>
      </c>
      <c r="G2666" s="3" t="s">
        <v>29</v>
      </c>
      <c r="H2666" s="2" t="s">
        <v>30</v>
      </c>
      <c r="I2666" s="2" t="s">
        <v>7445</v>
      </c>
      <c r="J2666" s="3" t="str">
        <f>HYPERLINK("https://www.boe.es/gazeta/dias/1812/04/16/pdfs/GMD-1812-107.pdf#page=8","Abrir facsímil")</f>
        <v>Abrir facsímil</v>
      </c>
      <c r="K2666" s="3" t="s">
        <v>32</v>
      </c>
    </row>
    <row r="2667" spans="1:11" ht="42" customHeight="1">
      <c r="A2667" s="2" t="s">
        <v>7446</v>
      </c>
      <c r="B2667" s="2" t="s">
        <v>7447</v>
      </c>
      <c r="C2667" s="2" t="s">
        <v>26</v>
      </c>
      <c r="D2667" s="2" t="s">
        <v>27</v>
      </c>
      <c r="E2667" s="4">
        <v>-31845</v>
      </c>
      <c r="F2667" s="3" t="s">
        <v>723</v>
      </c>
      <c r="G2667" s="3" t="s">
        <v>117</v>
      </c>
      <c r="H2667" s="2" t="s">
        <v>21</v>
      </c>
      <c r="I2667" s="2" t="s">
        <v>7448</v>
      </c>
      <c r="J2667" s="3" t="str">
        <f>HYPERLINK("https://www.boe.es/gazeta/dias/1812/10/22/pdfs/GMR-1812-30.pdf#page=8","Abrir facsímil")</f>
        <v>Abrir facsímil</v>
      </c>
      <c r="K2667" s="3" t="s">
        <v>23</v>
      </c>
    </row>
    <row r="2668" spans="1:11" ht="42" customHeight="1">
      <c r="A2668" s="2" t="s">
        <v>7449</v>
      </c>
      <c r="B2668" s="2" t="s">
        <v>7450</v>
      </c>
      <c r="C2668" s="2" t="s">
        <v>17</v>
      </c>
      <c r="D2668" s="2" t="s">
        <v>18</v>
      </c>
      <c r="E2668" s="4">
        <v>-31989</v>
      </c>
      <c r="F2668" s="3" t="s">
        <v>263</v>
      </c>
      <c r="G2668" s="3" t="s">
        <v>58</v>
      </c>
      <c r="H2668" s="2" t="s">
        <v>21</v>
      </c>
      <c r="I2668" s="2" t="s">
        <v>7451</v>
      </c>
      <c r="J2668" s="3" t="str">
        <f>HYPERLINK("https://www.boe.es/gazeta/dias/1812/05/31/pdfs/GMD-1812-152.pdf#page=4","Abrir facsímil")</f>
        <v>Abrir facsímil</v>
      </c>
      <c r="K2668" s="3" t="s">
        <v>23</v>
      </c>
    </row>
    <row r="2669" spans="1:11" ht="42" customHeight="1">
      <c r="A2669" s="2" t="s">
        <v>7452</v>
      </c>
      <c r="B2669" s="2" t="s">
        <v>7453</v>
      </c>
      <c r="C2669" s="2" t="s">
        <v>26</v>
      </c>
      <c r="D2669" s="2" t="s">
        <v>275</v>
      </c>
      <c r="E2669" s="4">
        <v>-32034</v>
      </c>
      <c r="F2669" s="3" t="s">
        <v>28</v>
      </c>
      <c r="G2669" s="3" t="s">
        <v>317</v>
      </c>
      <c r="H2669" s="2" t="s">
        <v>21</v>
      </c>
      <c r="I2669" s="2" t="s">
        <v>7454</v>
      </c>
      <c r="J2669" s="3" t="str">
        <f>HYPERLINK("https://www.boe.es/gazeta/dias/1812/04/16/pdfs/GMD-1812-107.pdf#page=6","Abrir facsímil")</f>
        <v>Abrir facsímil</v>
      </c>
      <c r="K2669" s="3" t="s">
        <v>23</v>
      </c>
    </row>
    <row r="2670" spans="1:11" ht="42" customHeight="1">
      <c r="A2670" s="2" t="s">
        <v>7455</v>
      </c>
      <c r="B2670" s="2" t="s">
        <v>7456</v>
      </c>
      <c r="C2670" s="2" t="s">
        <v>26</v>
      </c>
      <c r="D2670" s="2" t="s">
        <v>27</v>
      </c>
      <c r="E2670" s="4">
        <v>-31940</v>
      </c>
      <c r="F2670" s="3" t="s">
        <v>187</v>
      </c>
      <c r="G2670" s="3" t="s">
        <v>404</v>
      </c>
      <c r="H2670" s="2" t="s">
        <v>21</v>
      </c>
      <c r="I2670" s="2" t="s">
        <v>7457</v>
      </c>
      <c r="J2670" s="3" t="str">
        <f>HYPERLINK("https://www.boe.es/gazeta/dias/1812/07/19/pdfs/GMD-1812-201.pdf#page=3","Abrir facsímil")</f>
        <v>Abrir facsímil</v>
      </c>
      <c r="K2670" s="3" t="s">
        <v>23</v>
      </c>
    </row>
    <row r="2671" spans="1:11" ht="42" customHeight="1">
      <c r="A2671" s="2" t="s">
        <v>7458</v>
      </c>
      <c r="B2671" s="2" t="s">
        <v>7459</v>
      </c>
      <c r="C2671" s="2" t="s">
        <v>26</v>
      </c>
      <c r="D2671" s="2" t="s">
        <v>27</v>
      </c>
      <c r="E2671" s="4">
        <v>-32137</v>
      </c>
      <c r="F2671" s="3" t="s">
        <v>355</v>
      </c>
      <c r="G2671" s="3" t="s">
        <v>117</v>
      </c>
      <c r="H2671" s="2" t="s">
        <v>21</v>
      </c>
      <c r="I2671" s="2" t="s">
        <v>7460</v>
      </c>
      <c r="J2671" s="3" t="str">
        <f>HYPERLINK("https://www.boe.es/gazeta/dias/1812/01/04/pdfs/GEI-1812-2.pdf#page=8","Abrir facsímil")</f>
        <v>Abrir facsímil</v>
      </c>
      <c r="K2671" s="3" t="s">
        <v>23</v>
      </c>
    </row>
    <row r="2672" spans="1:11" ht="42" customHeight="1">
      <c r="A2672" s="2" t="s">
        <v>7461</v>
      </c>
      <c r="B2672" s="2" t="s">
        <v>7462</v>
      </c>
      <c r="C2672" s="2" t="s">
        <v>26</v>
      </c>
      <c r="D2672" s="2" t="s">
        <v>27</v>
      </c>
      <c r="E2672" s="4">
        <v>-32137</v>
      </c>
      <c r="F2672" s="3" t="s">
        <v>355</v>
      </c>
      <c r="G2672" s="3" t="s">
        <v>117</v>
      </c>
      <c r="H2672" s="2" t="s">
        <v>21</v>
      </c>
      <c r="I2672" s="2" t="s">
        <v>7463</v>
      </c>
      <c r="J2672" s="3" t="str">
        <f>HYPERLINK("https://www.boe.es/gazeta/dias/1812/01/04/pdfs/GEI-1812-2.pdf#page=8","Abrir facsímil")</f>
        <v>Abrir facsímil</v>
      </c>
      <c r="K2672" s="3" t="s">
        <v>23</v>
      </c>
    </row>
    <row r="2673" spans="1:11" ht="42" customHeight="1">
      <c r="A2673" s="2" t="s">
        <v>7464</v>
      </c>
      <c r="B2673" s="2" t="s">
        <v>7465</v>
      </c>
      <c r="C2673" s="2" t="s">
        <v>26</v>
      </c>
      <c r="D2673" s="2" t="s">
        <v>27</v>
      </c>
      <c r="E2673" s="4">
        <v>-32057</v>
      </c>
      <c r="F2673" s="3" t="s">
        <v>677</v>
      </c>
      <c r="G2673" s="3" t="s">
        <v>222</v>
      </c>
      <c r="H2673" s="2" t="s">
        <v>21</v>
      </c>
      <c r="I2673" s="2" t="s">
        <v>7466</v>
      </c>
      <c r="J2673" s="3" t="str">
        <f>HYPERLINK("https://www.boe.es/gazeta/dias/1812/03/24/pdfs/GRE-1812-37.pdf#page=4","Abrir facsímil")</f>
        <v>Abrir facsímil</v>
      </c>
      <c r="K2673" s="3" t="s">
        <v>23</v>
      </c>
    </row>
    <row r="2674" spans="1:11" ht="42" customHeight="1">
      <c r="A2674" s="2" t="s">
        <v>7467</v>
      </c>
      <c r="B2674" s="2" t="s">
        <v>7468</v>
      </c>
      <c r="C2674" s="2" t="s">
        <v>26</v>
      </c>
      <c r="D2674" s="2" t="s">
        <v>27</v>
      </c>
      <c r="E2674" s="4">
        <v>-31964</v>
      </c>
      <c r="F2674" s="3" t="s">
        <v>305</v>
      </c>
      <c r="G2674" s="3" t="s">
        <v>58</v>
      </c>
      <c r="H2674" s="2" t="s">
        <v>21</v>
      </c>
      <c r="I2674" s="2" t="s">
        <v>7469</v>
      </c>
      <c r="J2674" s="3" t="str">
        <f>HYPERLINK("https://www.boe.es/gazeta/dias/1812/06/25/pdfs/GMD-1812-177.pdf#page=2","Abrir facsímil")</f>
        <v>Abrir facsímil</v>
      </c>
      <c r="K2674" s="3" t="s">
        <v>23</v>
      </c>
    </row>
    <row r="2675" spans="1:11" ht="42" customHeight="1">
      <c r="A2675" s="2" t="s">
        <v>7470</v>
      </c>
      <c r="B2675" s="2" t="s">
        <v>7471</v>
      </c>
      <c r="C2675" s="2" t="s">
        <v>26</v>
      </c>
      <c r="D2675" s="2" t="s">
        <v>27</v>
      </c>
      <c r="E2675" s="4">
        <v>-31965</v>
      </c>
      <c r="F2675" s="3" t="s">
        <v>1180</v>
      </c>
      <c r="G2675" s="3" t="s">
        <v>777</v>
      </c>
      <c r="H2675" s="2" t="s">
        <v>21</v>
      </c>
      <c r="I2675" s="2" t="s">
        <v>7472</v>
      </c>
      <c r="J2675" s="3" t="str">
        <f>HYPERLINK("https://www.boe.es/gazeta/dias/1812/06/24/pdfs/GMD-1812-176.pdf#page=2","Abrir facsímil")</f>
        <v>Abrir facsímil</v>
      </c>
      <c r="K2675" s="3" t="s">
        <v>23</v>
      </c>
    </row>
    <row r="2676" spans="1:11" ht="42" customHeight="1">
      <c r="A2676" s="2" t="s">
        <v>7473</v>
      </c>
      <c r="B2676" s="2" t="s">
        <v>7474</v>
      </c>
      <c r="C2676" s="2" t="s">
        <v>26</v>
      </c>
      <c r="D2676" s="2" t="s">
        <v>27</v>
      </c>
      <c r="E2676" s="4">
        <v>-31934</v>
      </c>
      <c r="F2676" s="3" t="s">
        <v>509</v>
      </c>
      <c r="G2676" s="3" t="s">
        <v>4482</v>
      </c>
      <c r="H2676" s="2" t="s">
        <v>21</v>
      </c>
      <c r="I2676" s="2" t="s">
        <v>7475</v>
      </c>
      <c r="J2676" s="3" t="str">
        <f>HYPERLINK("https://www.boe.es/gazeta/dias/1812/07/25/pdfs/GRE-1812-93.pdf#page=8","Abrir facsímil")</f>
        <v>Abrir facsímil</v>
      </c>
      <c r="K2676" s="3" t="s">
        <v>23</v>
      </c>
    </row>
    <row r="2677" spans="1:11" ht="42" customHeight="1">
      <c r="A2677" s="2" t="s">
        <v>7473</v>
      </c>
      <c r="B2677" s="2" t="s">
        <v>7474</v>
      </c>
      <c r="C2677" s="2" t="s">
        <v>26</v>
      </c>
      <c r="D2677" s="2" t="s">
        <v>27</v>
      </c>
      <c r="E2677" s="4">
        <v>-31840</v>
      </c>
      <c r="F2677" s="3" t="s">
        <v>7112</v>
      </c>
      <c r="G2677" s="3" t="s">
        <v>644</v>
      </c>
      <c r="H2677" s="2" t="s">
        <v>21</v>
      </c>
      <c r="I2677" s="2" t="s">
        <v>7476</v>
      </c>
      <c r="J2677" s="3" t="str">
        <f>HYPERLINK("https://www.boe.es/gazeta/dias/1812/10/27/pdfs/GRE-1812-144.pdf#page=4","Abrir facsímil")</f>
        <v>Abrir facsímil</v>
      </c>
      <c r="K2677" s="3" t="s">
        <v>23</v>
      </c>
    </row>
    <row r="2678" spans="1:11" ht="42" customHeight="1">
      <c r="A2678" s="2" t="s">
        <v>7477</v>
      </c>
      <c r="B2678" s="2" t="s">
        <v>7478</v>
      </c>
      <c r="C2678" s="2" t="s">
        <v>49</v>
      </c>
      <c r="D2678" s="2" t="s">
        <v>275</v>
      </c>
      <c r="E2678" s="4">
        <v>-32099</v>
      </c>
      <c r="F2678" s="3" t="s">
        <v>7479</v>
      </c>
      <c r="G2678" s="3" t="s">
        <v>196</v>
      </c>
      <c r="H2678" s="2" t="s">
        <v>21</v>
      </c>
      <c r="I2678" s="2" t="s">
        <v>7480</v>
      </c>
      <c r="J2678" s="3" t="str">
        <f>HYPERLINK("https://www.boe.es/gazeta/dias/1812/02/11/pdfs/F00165-00168.pdf#page=1","Abrir facsímil")</f>
        <v>Abrir facsímil</v>
      </c>
      <c r="K2678" s="3" t="s">
        <v>23</v>
      </c>
    </row>
    <row r="2679" spans="1:11" ht="42" customHeight="1">
      <c r="A2679" s="2" t="s">
        <v>7481</v>
      </c>
      <c r="B2679" s="2" t="s">
        <v>7482</v>
      </c>
      <c r="C2679" s="2" t="s">
        <v>105</v>
      </c>
      <c r="D2679" s="2" t="s">
        <v>27</v>
      </c>
      <c r="E2679" s="4">
        <v>-32001</v>
      </c>
      <c r="F2679" s="3" t="s">
        <v>1938</v>
      </c>
      <c r="G2679" s="3" t="s">
        <v>1939</v>
      </c>
      <c r="H2679" s="2" t="s">
        <v>21</v>
      </c>
      <c r="I2679" s="2" t="s">
        <v>7483</v>
      </c>
      <c r="J2679" s="3" t="str">
        <f>HYPERLINK("https://www.boe.es/gazeta/dias/1812/05/19/pdfs/GRE-1812-62.pdf#page=7","Abrir facsímil")</f>
        <v>Abrir facsímil</v>
      </c>
      <c r="K2679" s="3" t="s">
        <v>23</v>
      </c>
    </row>
    <row r="2680" spans="1:11" ht="42" customHeight="1">
      <c r="A2680" s="2" t="s">
        <v>7484</v>
      </c>
      <c r="B2680" s="2" t="s">
        <v>7485</v>
      </c>
      <c r="C2680" s="2" t="s">
        <v>26</v>
      </c>
      <c r="D2680" s="2" t="s">
        <v>27</v>
      </c>
      <c r="E2680" s="4">
        <v>-31850</v>
      </c>
      <c r="F2680" s="3" t="s">
        <v>719</v>
      </c>
      <c r="G2680" s="3" t="s">
        <v>7486</v>
      </c>
      <c r="H2680" s="2" t="s">
        <v>21</v>
      </c>
      <c r="I2680" s="2" t="s">
        <v>7487</v>
      </c>
      <c r="J2680" s="3" t="str">
        <f>HYPERLINK("https://www.boe.es/gazeta/dias/1812/10/17/pdfs/GMR-1812-28.pdf#page=4","Abrir facsímil")</f>
        <v>Abrir facsímil</v>
      </c>
      <c r="K2680" s="3" t="s">
        <v>23</v>
      </c>
    </row>
    <row r="2681" spans="1:11" ht="42" customHeight="1">
      <c r="A2681" s="2" t="s">
        <v>7484</v>
      </c>
      <c r="B2681" s="2" t="s">
        <v>7485</v>
      </c>
      <c r="C2681" s="2" t="s">
        <v>26</v>
      </c>
      <c r="D2681" s="2" t="s">
        <v>27</v>
      </c>
      <c r="E2681" s="4">
        <v>-31826</v>
      </c>
      <c r="F2681" s="3" t="s">
        <v>7488</v>
      </c>
      <c r="G2681" s="3" t="s">
        <v>1631</v>
      </c>
      <c r="H2681" s="2" t="s">
        <v>21</v>
      </c>
      <c r="I2681" s="2" t="s">
        <v>7489</v>
      </c>
      <c r="J2681" s="3" t="str">
        <f>HYPERLINK("https://www.boe.es/gazeta/dias/1812/11/10/pdfs/GRE-1812-150.pdf#page=4","Abrir facsímil")</f>
        <v>Abrir facsímil</v>
      </c>
      <c r="K2681" s="3" t="s">
        <v>23</v>
      </c>
    </row>
    <row r="2682" spans="1:11" ht="42" customHeight="1">
      <c r="A2682" s="2" t="s">
        <v>7490</v>
      </c>
      <c r="B2682" s="2" t="s">
        <v>7491</v>
      </c>
      <c r="C2682" s="2" t="s">
        <v>17</v>
      </c>
      <c r="D2682" s="2" t="s">
        <v>27</v>
      </c>
      <c r="E2682" s="4">
        <v>-32078</v>
      </c>
      <c r="F2682" s="3" t="s">
        <v>145</v>
      </c>
      <c r="G2682" s="3" t="s">
        <v>146</v>
      </c>
      <c r="H2682" s="2" t="s">
        <v>21</v>
      </c>
      <c r="I2682" s="2" t="s">
        <v>7492</v>
      </c>
      <c r="J2682" s="3" t="str">
        <f>HYPERLINK("https://www.boe.es/gazeta/dias/1812/03/03/pdfs/GRE-1812-28.pdf#page=3","Abrir facsímil")</f>
        <v>Abrir facsímil</v>
      </c>
      <c r="K2682" s="3" t="s">
        <v>23</v>
      </c>
    </row>
    <row r="2683" spans="1:11" ht="42" customHeight="1">
      <c r="A2683" s="2" t="s">
        <v>7493</v>
      </c>
      <c r="B2683" s="2" t="s">
        <v>7494</v>
      </c>
      <c r="C2683" s="2" t="s">
        <v>26</v>
      </c>
      <c r="D2683" s="2" t="s">
        <v>27</v>
      </c>
      <c r="E2683" s="4">
        <v>-32034</v>
      </c>
      <c r="F2683" s="3" t="s">
        <v>28</v>
      </c>
      <c r="G2683" s="3" t="s">
        <v>794</v>
      </c>
      <c r="H2683" s="2" t="s">
        <v>21</v>
      </c>
      <c r="I2683" s="2" t="s">
        <v>7495</v>
      </c>
      <c r="J2683" s="3" t="str">
        <f>HYPERLINK("https://www.boe.es/gazeta/dias/1812/04/16/pdfs/GMD-1812-107.pdf#page=7","Abrir facsímil")</f>
        <v>Abrir facsímil</v>
      </c>
      <c r="K2683" s="3" t="s">
        <v>23</v>
      </c>
    </row>
    <row r="2684" spans="1:11" ht="42" customHeight="1">
      <c r="A2684" s="2" t="s">
        <v>7496</v>
      </c>
      <c r="B2684" s="2" t="s">
        <v>7497</v>
      </c>
      <c r="C2684" s="2" t="s">
        <v>26</v>
      </c>
      <c r="D2684" s="2" t="s">
        <v>27</v>
      </c>
      <c r="E2684" s="4">
        <v>-32000</v>
      </c>
      <c r="F2684" s="3" t="s">
        <v>878</v>
      </c>
      <c r="G2684" s="3" t="s">
        <v>214</v>
      </c>
      <c r="H2684" s="2" t="s">
        <v>21</v>
      </c>
      <c r="I2684" s="2" t="s">
        <v>7498</v>
      </c>
      <c r="J2684" s="3" t="str">
        <f>HYPERLINK("https://www.boe.es/gazeta/dias/1812/05/20/pdfs/GMD-1812-141.pdf#page=2","Abrir facsímil")</f>
        <v>Abrir facsímil</v>
      </c>
      <c r="K2684" s="3" t="s">
        <v>23</v>
      </c>
    </row>
    <row r="2685" spans="1:11" ht="42" customHeight="1">
      <c r="A2685" s="2" t="s">
        <v>7499</v>
      </c>
      <c r="B2685" s="2" t="s">
        <v>7500</v>
      </c>
      <c r="C2685" s="2" t="s">
        <v>17</v>
      </c>
      <c r="D2685" s="2" t="s">
        <v>27</v>
      </c>
      <c r="E2685" s="4">
        <v>-31857</v>
      </c>
      <c r="F2685" s="3" t="s">
        <v>1000</v>
      </c>
      <c r="G2685" s="3" t="s">
        <v>136</v>
      </c>
      <c r="H2685" s="2" t="s">
        <v>21</v>
      </c>
      <c r="I2685" s="2" t="s">
        <v>7501</v>
      </c>
      <c r="J2685" s="3" t="str">
        <f>HYPERLINK("https://www.boe.es/gazeta/dias/1812/10/10/pdfs/GRE-1812-137.pdf#page=8","Abrir facsímil")</f>
        <v>Abrir facsímil</v>
      </c>
      <c r="K2685" s="3" t="s">
        <v>23</v>
      </c>
    </row>
    <row r="2686" spans="1:11" ht="42" customHeight="1">
      <c r="A2686" s="2" t="s">
        <v>7502</v>
      </c>
      <c r="B2686" s="2" t="s">
        <v>7503</v>
      </c>
      <c r="C2686" s="2" t="s">
        <v>115</v>
      </c>
      <c r="D2686" s="2" t="s">
        <v>573</v>
      </c>
      <c r="E2686" s="4">
        <v>-31900</v>
      </c>
      <c r="F2686" s="3" t="s">
        <v>276</v>
      </c>
      <c r="G2686" s="3" t="s">
        <v>277</v>
      </c>
      <c r="H2686" s="2" t="s">
        <v>21</v>
      </c>
      <c r="I2686" s="2" t="s">
        <v>7504</v>
      </c>
      <c r="J2686" s="3" t="str">
        <f>HYPERLINK("https://www.boe.es/gazeta/dias/1812/08/28/pdfs/GRE-1812-113E.pdf#page=8","Abrir facsímil")</f>
        <v>Abrir facsímil</v>
      </c>
      <c r="K2686" s="3" t="s">
        <v>23</v>
      </c>
    </row>
    <row r="2687" spans="1:11" ht="42" customHeight="1">
      <c r="A2687" s="2" t="s">
        <v>7505</v>
      </c>
      <c r="B2687" s="2" t="s">
        <v>7506</v>
      </c>
      <c r="C2687" s="2" t="s">
        <v>105</v>
      </c>
      <c r="D2687" s="2" t="s">
        <v>194</v>
      </c>
      <c r="E2687" s="4">
        <v>-31845</v>
      </c>
      <c r="F2687" s="3" t="s">
        <v>723</v>
      </c>
      <c r="G2687" s="3" t="s">
        <v>2169</v>
      </c>
      <c r="H2687" s="2" t="s">
        <v>21</v>
      </c>
      <c r="I2687" s="2" t="s">
        <v>7507</v>
      </c>
      <c r="J2687" s="3" t="str">
        <f>HYPERLINK("https://www.boe.es/gazeta/dias/1812/10/22/pdfs/GMR-1812-30.pdf#page=1","Abrir facsímil")</f>
        <v>Abrir facsímil</v>
      </c>
      <c r="K2687" s="3" t="s">
        <v>23</v>
      </c>
    </row>
    <row r="2688" spans="1:11" ht="42" customHeight="1">
      <c r="A2688" s="2" t="s">
        <v>7508</v>
      </c>
      <c r="B2688" s="2" t="s">
        <v>7509</v>
      </c>
      <c r="C2688" s="2" t="s">
        <v>26</v>
      </c>
      <c r="D2688" s="2" t="s">
        <v>275</v>
      </c>
      <c r="E2688" s="4">
        <v>-31796</v>
      </c>
      <c r="F2688" s="3" t="s">
        <v>741</v>
      </c>
      <c r="G2688" s="3" t="s">
        <v>7510</v>
      </c>
      <c r="H2688" s="2" t="s">
        <v>21</v>
      </c>
      <c r="I2688" s="2" t="s">
        <v>7511</v>
      </c>
      <c r="J2688" s="3" t="str">
        <f>HYPERLINK("https://www.boe.es/gazeta/dias/1812/12/10/pdfs/GRE-1812-163.pdf#page=7","Abrir facsímil")</f>
        <v>Abrir facsímil</v>
      </c>
      <c r="K2688" s="3" t="s">
        <v>23</v>
      </c>
    </row>
    <row r="2689" spans="1:11" ht="42" customHeight="1">
      <c r="A2689" s="2" t="s">
        <v>7512</v>
      </c>
      <c r="B2689" s="2" t="s">
        <v>7513</v>
      </c>
      <c r="C2689" s="2" t="s">
        <v>17</v>
      </c>
      <c r="D2689" s="2" t="s">
        <v>27</v>
      </c>
      <c r="E2689" s="4">
        <v>-32015</v>
      </c>
      <c r="F2689" s="3" t="s">
        <v>77</v>
      </c>
      <c r="G2689" s="3" t="s">
        <v>78</v>
      </c>
      <c r="H2689" s="2" t="s">
        <v>21</v>
      </c>
      <c r="I2689" s="2" t="s">
        <v>7514</v>
      </c>
      <c r="J2689" s="3" t="str">
        <f>HYPERLINK("https://www.boe.es/gazeta/dias/1812/05/05/pdfs/GRE-1812-56.pdf#page=8","Abrir facsímil")</f>
        <v>Abrir facsímil</v>
      </c>
      <c r="K2689" s="3" t="s">
        <v>23</v>
      </c>
    </row>
    <row r="2690" spans="1:11" ht="42" customHeight="1">
      <c r="A2690" s="2" t="s">
        <v>7515</v>
      </c>
      <c r="B2690" s="2" t="s">
        <v>7516</v>
      </c>
      <c r="C2690" s="2" t="s">
        <v>17</v>
      </c>
      <c r="D2690" s="2" t="s">
        <v>27</v>
      </c>
      <c r="E2690" s="4">
        <v>-32015</v>
      </c>
      <c r="F2690" s="3" t="s">
        <v>77</v>
      </c>
      <c r="G2690" s="3" t="s">
        <v>78</v>
      </c>
      <c r="H2690" s="2" t="s">
        <v>21</v>
      </c>
      <c r="I2690" s="2" t="s">
        <v>7517</v>
      </c>
      <c r="J2690" s="3" t="str">
        <f>HYPERLINK("https://www.boe.es/gazeta/dias/1812/05/05/pdfs/GRE-1812-56.pdf#page=8","Abrir facsímil")</f>
        <v>Abrir facsímil</v>
      </c>
      <c r="K2690" s="3" t="s">
        <v>23</v>
      </c>
    </row>
    <row r="2691" spans="1:11" ht="42" customHeight="1">
      <c r="A2691" s="2" t="s">
        <v>7518</v>
      </c>
      <c r="B2691" s="2" t="s">
        <v>7519</v>
      </c>
      <c r="C2691" s="2" t="s">
        <v>26</v>
      </c>
      <c r="D2691" s="2" t="s">
        <v>275</v>
      </c>
      <c r="E2691" s="4">
        <v>-32060</v>
      </c>
      <c r="F2691" s="3" t="s">
        <v>399</v>
      </c>
      <c r="G2691" s="3" t="s">
        <v>136</v>
      </c>
      <c r="H2691" s="2" t="s">
        <v>21</v>
      </c>
      <c r="I2691" s="2" t="s">
        <v>7520</v>
      </c>
      <c r="J2691" s="3" t="str">
        <f>HYPERLINK("https://www.boe.es/gazeta/dias/1812/03/21/pdfs/GMD-1812-81.pdf#page=4","Abrir facsímil")</f>
        <v>Abrir facsímil</v>
      </c>
      <c r="K2691" s="3" t="s">
        <v>23</v>
      </c>
    </row>
    <row r="2692" spans="1:11" ht="42" customHeight="1">
      <c r="A2692" s="2" t="s">
        <v>7521</v>
      </c>
      <c r="B2692" s="2" t="s">
        <v>7522</v>
      </c>
      <c r="C2692" s="2" t="s">
        <v>549</v>
      </c>
      <c r="D2692" s="2" t="s">
        <v>573</v>
      </c>
      <c r="E2692" s="4">
        <v>-31900</v>
      </c>
      <c r="F2692" s="3" t="s">
        <v>276</v>
      </c>
      <c r="G2692" s="3" t="s">
        <v>277</v>
      </c>
      <c r="H2692" s="2" t="s">
        <v>21</v>
      </c>
      <c r="I2692" s="2" t="s">
        <v>7523</v>
      </c>
      <c r="J2692" s="3" t="str">
        <f>HYPERLINK("https://www.boe.es/gazeta/dias/1812/08/28/pdfs/GRE-1812-113E.pdf#page=8","Abrir facsímil")</f>
        <v>Abrir facsímil</v>
      </c>
      <c r="K2692" s="3" t="s">
        <v>23</v>
      </c>
    </row>
    <row r="2693" spans="1:11" ht="42" customHeight="1">
      <c r="A2693" s="2" t="s">
        <v>7524</v>
      </c>
      <c r="B2693" s="2" t="s">
        <v>7525</v>
      </c>
      <c r="C2693" s="2" t="s">
        <v>26</v>
      </c>
      <c r="D2693" s="2" t="s">
        <v>27</v>
      </c>
      <c r="E2693" s="4">
        <v>-32060</v>
      </c>
      <c r="F2693" s="3" t="s">
        <v>399</v>
      </c>
      <c r="G2693" s="3" t="s">
        <v>136</v>
      </c>
      <c r="H2693" s="2" t="s">
        <v>21</v>
      </c>
      <c r="I2693" s="2" t="s">
        <v>7526</v>
      </c>
      <c r="J2693" s="3" t="str">
        <f>HYPERLINK("https://www.boe.es/gazeta/dias/1812/03/21/pdfs/GMD-1812-81.pdf#page=4","Abrir facsímil")</f>
        <v>Abrir facsímil</v>
      </c>
      <c r="K2693" s="3" t="s">
        <v>23</v>
      </c>
    </row>
    <row r="2694" spans="1:11" ht="42" customHeight="1">
      <c r="A2694" s="2" t="s">
        <v>7527</v>
      </c>
      <c r="B2694" s="2" t="s">
        <v>7528</v>
      </c>
      <c r="C2694" s="2" t="s">
        <v>17</v>
      </c>
      <c r="D2694" s="2" t="s">
        <v>27</v>
      </c>
      <c r="E2694" s="4">
        <v>-32097</v>
      </c>
      <c r="F2694" s="3" t="s">
        <v>3797</v>
      </c>
      <c r="G2694" s="3" t="s">
        <v>196</v>
      </c>
      <c r="H2694" s="2" t="s">
        <v>30</v>
      </c>
      <c r="I2694" s="2" t="s">
        <v>7529</v>
      </c>
      <c r="J2694" s="3" t="str">
        <f>HYPERLINK("https://www.boe.es/gazeta/dias/1812/02/13/pdfs/GRE-1812-19.pdf#page=1","Abrir facsímil")</f>
        <v>Abrir facsímil</v>
      </c>
      <c r="K2694" s="3" t="s">
        <v>32</v>
      </c>
    </row>
    <row r="2695" spans="1:11" ht="42" customHeight="1">
      <c r="A2695" s="2" t="s">
        <v>7530</v>
      </c>
      <c r="B2695" s="2" t="s">
        <v>7531</v>
      </c>
      <c r="C2695" s="2" t="s">
        <v>26</v>
      </c>
      <c r="D2695" s="2" t="s">
        <v>27</v>
      </c>
      <c r="E2695" s="4">
        <v>-31938</v>
      </c>
      <c r="F2695" s="3" t="s">
        <v>324</v>
      </c>
      <c r="G2695" s="3" t="s">
        <v>497</v>
      </c>
      <c r="H2695" s="2" t="s">
        <v>21</v>
      </c>
      <c r="I2695" s="2" t="s">
        <v>7532</v>
      </c>
      <c r="J2695" s="3" t="str">
        <f>HYPERLINK("https://www.boe.es/gazeta/dias/1812/07/21/pdfs/GMD-1812-203.pdf#page=3","Abrir facsímil")</f>
        <v>Abrir facsímil</v>
      </c>
      <c r="K2695" s="3" t="s">
        <v>23</v>
      </c>
    </row>
    <row r="2696" spans="1:11" ht="42" customHeight="1">
      <c r="A2696" s="2" t="s">
        <v>7533</v>
      </c>
      <c r="B2696" s="2" t="s">
        <v>7534</v>
      </c>
      <c r="C2696" s="2" t="s">
        <v>26</v>
      </c>
      <c r="D2696" s="2" t="s">
        <v>27</v>
      </c>
      <c r="E2696" s="4">
        <v>-31938</v>
      </c>
      <c r="F2696" s="3" t="s">
        <v>324</v>
      </c>
      <c r="G2696" s="3" t="s">
        <v>497</v>
      </c>
      <c r="H2696" s="2" t="s">
        <v>21</v>
      </c>
      <c r="I2696" s="2" t="s">
        <v>7535</v>
      </c>
      <c r="J2696" s="3" t="str">
        <f>HYPERLINK("https://www.boe.es/gazeta/dias/1812/07/21/pdfs/GMD-1812-203.pdf#page=3","Abrir facsímil")</f>
        <v>Abrir facsímil</v>
      </c>
      <c r="K2696" s="3" t="s">
        <v>23</v>
      </c>
    </row>
    <row r="2697" spans="1:11" ht="42" customHeight="1">
      <c r="A2697" s="2" t="s">
        <v>7536</v>
      </c>
      <c r="B2697" s="2" t="s">
        <v>7537</v>
      </c>
      <c r="C2697" s="2" t="s">
        <v>26</v>
      </c>
      <c r="D2697" s="2" t="s">
        <v>27</v>
      </c>
      <c r="E2697" s="4">
        <v>-32034</v>
      </c>
      <c r="F2697" s="3" t="s">
        <v>28</v>
      </c>
      <c r="G2697" s="3" t="s">
        <v>317</v>
      </c>
      <c r="H2697" s="2" t="s">
        <v>21</v>
      </c>
      <c r="I2697" s="2" t="s">
        <v>7538</v>
      </c>
      <c r="J2697" s="3" t="str">
        <f>HYPERLINK("https://www.boe.es/gazeta/dias/1812/04/16/pdfs/GMD-1812-107.pdf#page=6","Abrir facsímil")</f>
        <v>Abrir facsímil</v>
      </c>
      <c r="K2697" s="3" t="s">
        <v>23</v>
      </c>
    </row>
    <row r="2698" spans="1:11" ht="42" customHeight="1">
      <c r="A2698" s="2" t="s">
        <v>7539</v>
      </c>
      <c r="B2698" s="2" t="s">
        <v>7540</v>
      </c>
      <c r="C2698" s="2" t="s">
        <v>49</v>
      </c>
      <c r="D2698" s="2" t="s">
        <v>27</v>
      </c>
      <c r="E2698" s="4">
        <v>-31798</v>
      </c>
      <c r="F2698" s="3" t="s">
        <v>2194</v>
      </c>
      <c r="G2698" s="3" t="s">
        <v>2195</v>
      </c>
      <c r="H2698" s="2" t="s">
        <v>21</v>
      </c>
      <c r="I2698" s="2" t="s">
        <v>7541</v>
      </c>
      <c r="J2698" s="3" t="str">
        <f>HYPERLINK("https://www.boe.es/gazeta/dias/1812/12/08/pdfs/GRE-1812-162.pdf#page=8","Abrir facsímil")</f>
        <v>Abrir facsímil</v>
      </c>
      <c r="K2698" s="3" t="s">
        <v>23</v>
      </c>
    </row>
    <row r="2699" spans="1:11" ht="42" customHeight="1">
      <c r="A2699" s="2" t="s">
        <v>7542</v>
      </c>
      <c r="B2699" s="2" t="s">
        <v>7543</v>
      </c>
      <c r="C2699" s="2" t="s">
        <v>17</v>
      </c>
      <c r="D2699" s="2" t="s">
        <v>27</v>
      </c>
      <c r="E2699" s="4">
        <v>-31857</v>
      </c>
      <c r="F2699" s="3" t="s">
        <v>1000</v>
      </c>
      <c r="G2699" s="3" t="s">
        <v>1001</v>
      </c>
      <c r="H2699" s="2" t="s">
        <v>21</v>
      </c>
      <c r="I2699" s="2" t="s">
        <v>7544</v>
      </c>
      <c r="J2699" s="3" t="str">
        <f>HYPERLINK("https://www.boe.es/gazeta/dias/1812/10/10/pdfs/GRE-1812-137.pdf#page=7","Abrir facsímil")</f>
        <v>Abrir facsímil</v>
      </c>
      <c r="K2699" s="3" t="s">
        <v>23</v>
      </c>
    </row>
    <row r="2700" spans="1:11" ht="42" customHeight="1">
      <c r="A2700" s="2" t="s">
        <v>7545</v>
      </c>
      <c r="B2700" s="2" t="s">
        <v>7546</v>
      </c>
      <c r="C2700" s="2" t="s">
        <v>26</v>
      </c>
      <c r="D2700" s="2" t="s">
        <v>27</v>
      </c>
      <c r="E2700" s="4">
        <v>-31974</v>
      </c>
      <c r="F2700" s="3" t="s">
        <v>2986</v>
      </c>
      <c r="G2700" s="3" t="s">
        <v>130</v>
      </c>
      <c r="H2700" s="2" t="s">
        <v>21</v>
      </c>
      <c r="I2700" s="2" t="s">
        <v>7547</v>
      </c>
      <c r="J2700" s="3" t="str">
        <f>HYPERLINK("https://www.boe.es/gazeta/dias/1812/06/15/pdfs/GMD-1812-167.pdf#page=4","Abrir facsímil")</f>
        <v>Abrir facsímil</v>
      </c>
      <c r="K2700" s="3" t="s">
        <v>23</v>
      </c>
    </row>
    <row r="2701" spans="1:11" ht="42" customHeight="1">
      <c r="A2701" s="2" t="s">
        <v>7548</v>
      </c>
      <c r="B2701" s="2" t="s">
        <v>7549</v>
      </c>
      <c r="C2701" s="2" t="s">
        <v>105</v>
      </c>
      <c r="D2701" s="2" t="s">
        <v>27</v>
      </c>
      <c r="E2701" s="4">
        <v>-31833</v>
      </c>
      <c r="F2701" s="3" t="s">
        <v>267</v>
      </c>
      <c r="G2701" s="3" t="s">
        <v>268</v>
      </c>
      <c r="H2701" s="2" t="s">
        <v>21</v>
      </c>
      <c r="I2701" s="2" t="s">
        <v>7550</v>
      </c>
      <c r="J2701" s="3" t="str">
        <f>HYPERLINK("https://www.boe.es/gazeta/dias/1812/11/03/pdfs/GRE-1812-147.pdf#page=8","Abrir facsímil")</f>
        <v>Abrir facsímil</v>
      </c>
      <c r="K2701" s="3" t="s">
        <v>23</v>
      </c>
    </row>
    <row r="2702" spans="1:11" ht="42" customHeight="1">
      <c r="A2702" s="2" t="s">
        <v>7548</v>
      </c>
      <c r="B2702" s="2" t="s">
        <v>7549</v>
      </c>
      <c r="C2702" s="2" t="s">
        <v>105</v>
      </c>
      <c r="D2702" s="2" t="s">
        <v>27</v>
      </c>
      <c r="E2702" s="4">
        <v>-31816</v>
      </c>
      <c r="F2702" s="3" t="s">
        <v>270</v>
      </c>
      <c r="G2702" s="3" t="s">
        <v>271</v>
      </c>
      <c r="H2702" s="2" t="s">
        <v>21</v>
      </c>
      <c r="I2702" s="2" t="s">
        <v>7551</v>
      </c>
      <c r="J2702" s="3" t="str">
        <f>HYPERLINK("https://www.boe.es/gazeta/dias/1812/11/20/pdfs/GMR-1812-36.pdf#page=6","Abrir facsímil")</f>
        <v>Abrir facsímil</v>
      </c>
      <c r="K2702" s="3" t="s">
        <v>23</v>
      </c>
    </row>
    <row r="2703" spans="1:11" ht="42" customHeight="1">
      <c r="A2703" s="2" t="s">
        <v>7552</v>
      </c>
      <c r="B2703" s="2" t="s">
        <v>7553</v>
      </c>
      <c r="C2703" s="2" t="s">
        <v>26</v>
      </c>
      <c r="D2703" s="2" t="s">
        <v>27</v>
      </c>
      <c r="E2703" s="4">
        <v>-31936</v>
      </c>
      <c r="F2703" s="3" t="s">
        <v>603</v>
      </c>
      <c r="G2703" s="3" t="s">
        <v>2410</v>
      </c>
      <c r="H2703" s="2" t="s">
        <v>21</v>
      </c>
      <c r="I2703" s="2" t="s">
        <v>7554</v>
      </c>
      <c r="J2703" s="3" t="str">
        <f>HYPERLINK("https://www.boe.es/gazeta/dias/1812/07/23/pdfs/GMD-1812-205.pdf#page=4","Abrir facsímil")</f>
        <v>Abrir facsímil</v>
      </c>
      <c r="K2703" s="3" t="s">
        <v>23</v>
      </c>
    </row>
    <row r="2704" spans="1:11" ht="42" customHeight="1">
      <c r="A2704" s="2" t="s">
        <v>7555</v>
      </c>
      <c r="B2704" s="2" t="s">
        <v>7556</v>
      </c>
      <c r="C2704" s="2" t="s">
        <v>26</v>
      </c>
      <c r="D2704" s="2" t="s">
        <v>27</v>
      </c>
      <c r="E2704" s="4">
        <v>-32034</v>
      </c>
      <c r="F2704" s="3" t="s">
        <v>28</v>
      </c>
      <c r="G2704" s="3" t="s">
        <v>29</v>
      </c>
      <c r="H2704" s="2" t="s">
        <v>21</v>
      </c>
      <c r="I2704" s="2" t="s">
        <v>7557</v>
      </c>
      <c r="J2704" s="3" t="str">
        <f>HYPERLINK("https://www.boe.es/gazeta/dias/1812/04/16/pdfs/GMD-1812-107.pdf#page=8","Abrir facsímil")</f>
        <v>Abrir facsímil</v>
      </c>
      <c r="K2704" s="3" t="s">
        <v>23</v>
      </c>
    </row>
    <row r="2705" spans="1:11" ht="42" customHeight="1">
      <c r="A2705" s="2" t="s">
        <v>7558</v>
      </c>
      <c r="B2705" s="2" t="s">
        <v>7559</v>
      </c>
      <c r="C2705" s="2" t="s">
        <v>26</v>
      </c>
      <c r="D2705" s="2" t="s">
        <v>27</v>
      </c>
      <c r="E2705" s="4">
        <v>-31821</v>
      </c>
      <c r="F2705" s="3" t="s">
        <v>1979</v>
      </c>
      <c r="G2705" s="3" t="s">
        <v>317</v>
      </c>
      <c r="H2705" s="2" t="s">
        <v>21</v>
      </c>
      <c r="I2705" s="2" t="s">
        <v>7560</v>
      </c>
      <c r="J2705" s="3" t="str">
        <f>HYPERLINK("https://www.boe.es/gazeta/dias/1812/11/15/pdfs/GMR-1812-34.pdf#page=6","Abrir facsímil")</f>
        <v>Abrir facsímil</v>
      </c>
      <c r="K2705" s="3" t="s">
        <v>23</v>
      </c>
    </row>
    <row r="2706" spans="1:11" ht="42" customHeight="1">
      <c r="A2706" s="2" t="s">
        <v>7561</v>
      </c>
      <c r="B2706" s="2" t="s">
        <v>7562</v>
      </c>
      <c r="C2706" s="2" t="s">
        <v>26</v>
      </c>
      <c r="D2706" s="2" t="s">
        <v>27</v>
      </c>
      <c r="E2706" s="4">
        <v>-31940</v>
      </c>
      <c r="F2706" s="3" t="s">
        <v>187</v>
      </c>
      <c r="G2706" s="3" t="s">
        <v>404</v>
      </c>
      <c r="H2706" s="2" t="s">
        <v>21</v>
      </c>
      <c r="I2706" s="2" t="s">
        <v>7563</v>
      </c>
      <c r="J2706" s="3" t="str">
        <f>HYPERLINK("https://www.boe.es/gazeta/dias/1812/07/19/pdfs/GMD-1812-201.pdf#page=3","Abrir facsímil")</f>
        <v>Abrir facsímil</v>
      </c>
      <c r="K2706" s="3" t="s">
        <v>23</v>
      </c>
    </row>
    <row r="2707" spans="1:11" ht="42" customHeight="1">
      <c r="A2707" s="2" t="s">
        <v>7564</v>
      </c>
      <c r="B2707" s="2" t="s">
        <v>7565</v>
      </c>
      <c r="C2707" s="2" t="s">
        <v>17</v>
      </c>
      <c r="D2707" s="2" t="s">
        <v>27</v>
      </c>
      <c r="E2707" s="4">
        <v>-32118</v>
      </c>
      <c r="F2707" s="3" t="s">
        <v>1420</v>
      </c>
      <c r="G2707" s="3" t="s">
        <v>2433</v>
      </c>
      <c r="H2707" s="2" t="s">
        <v>21</v>
      </c>
      <c r="I2707" s="2" t="s">
        <v>7566</v>
      </c>
      <c r="J2707" s="3" t="str">
        <f>HYPERLINK("https://www.boe.es/gazeta/dias/1812/01/23/pdfs/GEI-1812-10.pdf#page=2","Abrir facsímil")</f>
        <v>Abrir facsímil</v>
      </c>
      <c r="K2707" s="3" t="s">
        <v>23</v>
      </c>
    </row>
    <row r="2708" spans="1:11" ht="42" customHeight="1">
      <c r="A2708" s="2" t="s">
        <v>7567</v>
      </c>
      <c r="B2708" s="2" t="s">
        <v>7568</v>
      </c>
      <c r="C2708" s="2" t="s">
        <v>26</v>
      </c>
      <c r="D2708" s="2" t="s">
        <v>27</v>
      </c>
      <c r="E2708" s="4">
        <v>-31940</v>
      </c>
      <c r="F2708" s="3" t="s">
        <v>187</v>
      </c>
      <c r="G2708" s="3" t="s">
        <v>404</v>
      </c>
      <c r="H2708" s="2" t="s">
        <v>21</v>
      </c>
      <c r="I2708" s="2" t="s">
        <v>7569</v>
      </c>
      <c r="J2708" s="3" t="str">
        <f>HYPERLINK("https://www.boe.es/gazeta/dias/1812/07/19/pdfs/GMD-1812-201.pdf#page=3","Abrir facsímil")</f>
        <v>Abrir facsímil</v>
      </c>
      <c r="K2708" s="3" t="s">
        <v>23</v>
      </c>
    </row>
    <row r="2709" spans="1:11" ht="42" customHeight="1">
      <c r="A2709" s="2" t="s">
        <v>7570</v>
      </c>
      <c r="B2709" s="2" t="s">
        <v>7571</v>
      </c>
      <c r="C2709" s="2" t="s">
        <v>26</v>
      </c>
      <c r="D2709" s="2" t="s">
        <v>27</v>
      </c>
      <c r="E2709" s="4">
        <v>-31859</v>
      </c>
      <c r="F2709" s="3" t="s">
        <v>158</v>
      </c>
      <c r="G2709" s="3" t="s">
        <v>159</v>
      </c>
      <c r="H2709" s="2" t="s">
        <v>21</v>
      </c>
      <c r="I2709" s="2" t="s">
        <v>7572</v>
      </c>
      <c r="J2709" s="3" t="str">
        <f>HYPERLINK("https://www.boe.es/gazeta/dias/1812/10/08/pdfs/GMR-1812-24.pdf#page=9","Abrir facsímil")</f>
        <v>Abrir facsímil</v>
      </c>
      <c r="K2709" s="3" t="s">
        <v>23</v>
      </c>
    </row>
    <row r="2710" spans="1:11" ht="42" customHeight="1">
      <c r="A2710" s="2" t="s">
        <v>7573</v>
      </c>
      <c r="B2710" s="2" t="s">
        <v>7574</v>
      </c>
      <c r="C2710" s="2" t="s">
        <v>115</v>
      </c>
      <c r="D2710" s="2" t="s">
        <v>27</v>
      </c>
      <c r="E2710" s="4">
        <v>-31922</v>
      </c>
      <c r="F2710" s="3" t="s">
        <v>622</v>
      </c>
      <c r="G2710" s="3" t="s">
        <v>623</v>
      </c>
      <c r="H2710" s="2" t="s">
        <v>21</v>
      </c>
      <c r="I2710" s="2" t="s">
        <v>7575</v>
      </c>
      <c r="J2710" s="3" t="str">
        <f>HYPERLINK("https://www.boe.es/gazeta/dias/1812/08/06/pdfs/GMD-1812-219.pdf#page=1","Abrir facsímil")</f>
        <v>Abrir facsímil</v>
      </c>
      <c r="K2710" s="3" t="s">
        <v>23</v>
      </c>
    </row>
    <row r="2711" spans="1:11" ht="42" customHeight="1">
      <c r="A2711" s="2" t="s">
        <v>7576</v>
      </c>
      <c r="B2711" s="2" t="s">
        <v>7577</v>
      </c>
      <c r="C2711" s="2" t="s">
        <v>26</v>
      </c>
      <c r="D2711" s="2" t="s">
        <v>27</v>
      </c>
      <c r="E2711" s="4">
        <v>-31992</v>
      </c>
      <c r="F2711" s="3" t="s">
        <v>1292</v>
      </c>
      <c r="G2711" s="3" t="s">
        <v>1424</v>
      </c>
      <c r="H2711" s="2" t="s">
        <v>21</v>
      </c>
      <c r="I2711" s="2" t="s">
        <v>7578</v>
      </c>
      <c r="J2711" s="3" t="str">
        <f>HYPERLINK("https://www.boe.es/gazeta/dias/1812/05/28/pdfs/GRE-1812-66.pdf#page=5","Abrir facsímil")</f>
        <v>Abrir facsímil</v>
      </c>
      <c r="K2711" s="3" t="s">
        <v>23</v>
      </c>
    </row>
    <row r="2712" spans="1:11" ht="42" customHeight="1">
      <c r="A2712" s="2" t="s">
        <v>7579</v>
      </c>
      <c r="B2712" s="2" t="s">
        <v>7580</v>
      </c>
      <c r="C2712" s="2" t="s">
        <v>17</v>
      </c>
      <c r="D2712" s="2" t="s">
        <v>27</v>
      </c>
      <c r="E2712" s="4">
        <v>-32069</v>
      </c>
      <c r="F2712" s="3" t="s">
        <v>445</v>
      </c>
      <c r="G2712" s="3" t="s">
        <v>446</v>
      </c>
      <c r="H2712" s="2" t="s">
        <v>21</v>
      </c>
      <c r="I2712" s="2" t="s">
        <v>7581</v>
      </c>
      <c r="J2712" s="3" t="str">
        <f>HYPERLINK("https://www.boe.es/gazeta/dias/1812/03/12/pdfs/GRE-1812-32.pdf#page=8","Abrir facsímil")</f>
        <v>Abrir facsímil</v>
      </c>
      <c r="K2712" s="3" t="s">
        <v>23</v>
      </c>
    </row>
    <row r="2713" spans="1:11" ht="42" customHeight="1">
      <c r="A2713" s="2" t="s">
        <v>7582</v>
      </c>
      <c r="B2713" s="2" t="s">
        <v>7583</v>
      </c>
      <c r="C2713" s="2" t="s">
        <v>17</v>
      </c>
      <c r="D2713" s="2" t="s">
        <v>27</v>
      </c>
      <c r="E2713" s="4">
        <v>-32130</v>
      </c>
      <c r="F2713" s="3" t="s">
        <v>927</v>
      </c>
      <c r="G2713" s="3" t="s">
        <v>130</v>
      </c>
      <c r="H2713" s="2" t="s">
        <v>21</v>
      </c>
      <c r="I2713" s="2" t="s">
        <v>7584</v>
      </c>
      <c r="J2713" s="3" t="str">
        <f>HYPERLINK("https://www.boe.es/gazeta/dias/1812/01/11/pdfs/GMD-1812-11.pdf#page=4","Abrir facsímil")</f>
        <v>Abrir facsímil</v>
      </c>
      <c r="K2713" s="3" t="s">
        <v>23</v>
      </c>
    </row>
    <row r="2714" spans="1:11" ht="42" customHeight="1">
      <c r="A2714" s="2" t="s">
        <v>7585</v>
      </c>
      <c r="B2714" s="2" t="s">
        <v>7586</v>
      </c>
      <c r="C2714" s="2" t="s">
        <v>26</v>
      </c>
      <c r="D2714" s="2" t="s">
        <v>275</v>
      </c>
      <c r="E2714" s="4">
        <v>-31964</v>
      </c>
      <c r="F2714" s="3" t="s">
        <v>305</v>
      </c>
      <c r="G2714" s="3" t="s">
        <v>58</v>
      </c>
      <c r="H2714" s="2" t="s">
        <v>21</v>
      </c>
      <c r="I2714" s="2" t="s">
        <v>7587</v>
      </c>
      <c r="J2714" s="3" t="str">
        <f>HYPERLINK("https://www.boe.es/gazeta/dias/1812/06/25/pdfs/GMD-1812-177.pdf#page=2","Abrir facsímil")</f>
        <v>Abrir facsímil</v>
      </c>
      <c r="K2714" s="3" t="s">
        <v>23</v>
      </c>
    </row>
    <row r="2715" spans="1:11" ht="42" customHeight="1">
      <c r="A2715" s="2" t="s">
        <v>7588</v>
      </c>
      <c r="B2715" s="2" t="s">
        <v>7589</v>
      </c>
      <c r="C2715" s="2" t="s">
        <v>26</v>
      </c>
      <c r="D2715" s="2" t="s">
        <v>27</v>
      </c>
      <c r="E2715" s="4">
        <v>-32137</v>
      </c>
      <c r="F2715" s="3" t="s">
        <v>355</v>
      </c>
      <c r="G2715" s="3" t="s">
        <v>117</v>
      </c>
      <c r="H2715" s="2" t="s">
        <v>21</v>
      </c>
      <c r="I2715" s="2" t="s">
        <v>7590</v>
      </c>
      <c r="J2715" s="3" t="str">
        <f>HYPERLINK("https://www.boe.es/gazeta/dias/1812/01/04/pdfs/GEI-1812-2.pdf#page=8","Abrir facsímil")</f>
        <v>Abrir facsímil</v>
      </c>
      <c r="K2715" s="3" t="s">
        <v>23</v>
      </c>
    </row>
    <row r="2716" spans="1:11" ht="42" customHeight="1">
      <c r="A2716" s="2" t="s">
        <v>7591</v>
      </c>
      <c r="B2716" s="2" t="s">
        <v>7592</v>
      </c>
      <c r="C2716" s="2" t="s">
        <v>26</v>
      </c>
      <c r="D2716" s="2" t="s">
        <v>275</v>
      </c>
      <c r="E2716" s="4">
        <v>-32034</v>
      </c>
      <c r="F2716" s="3" t="s">
        <v>28</v>
      </c>
      <c r="G2716" s="3" t="s">
        <v>794</v>
      </c>
      <c r="H2716" s="2" t="s">
        <v>21</v>
      </c>
      <c r="I2716" s="2" t="s">
        <v>7593</v>
      </c>
      <c r="J2716" s="3" t="str">
        <f>HYPERLINK("https://www.boe.es/gazeta/dias/1812/04/16/pdfs/GMD-1812-107.pdf#page=7","Abrir facsímil")</f>
        <v>Abrir facsímil</v>
      </c>
      <c r="K2716" s="3" t="s">
        <v>23</v>
      </c>
    </row>
    <row r="2717" spans="1:11" ht="42" customHeight="1">
      <c r="A2717" s="2" t="s">
        <v>7594</v>
      </c>
      <c r="B2717" s="2" t="s">
        <v>7595</v>
      </c>
      <c r="C2717" s="2" t="s">
        <v>26</v>
      </c>
      <c r="D2717" s="2" t="s">
        <v>27</v>
      </c>
      <c r="E2717" s="4">
        <v>-32109</v>
      </c>
      <c r="F2717" s="3" t="s">
        <v>62</v>
      </c>
      <c r="G2717" s="3" t="s">
        <v>63</v>
      </c>
      <c r="H2717" s="2" t="s">
        <v>21</v>
      </c>
      <c r="I2717" s="2" t="s">
        <v>7596</v>
      </c>
      <c r="J2717" s="3" t="str">
        <f>HYPERLINK("https://www.boe.es/gazeta/dias/1812/02/01/pdfs/GRE-1812-14.pdf#page=10","Abrir facsímil")</f>
        <v>Abrir facsímil</v>
      </c>
      <c r="K2717" s="3" t="s">
        <v>23</v>
      </c>
    </row>
    <row r="2718" spans="1:11" ht="42" customHeight="1">
      <c r="A2718" s="2" t="s">
        <v>7597</v>
      </c>
      <c r="B2718" s="2" t="s">
        <v>7598</v>
      </c>
      <c r="C2718" s="2" t="s">
        <v>67</v>
      </c>
      <c r="D2718" s="2" t="s">
        <v>27</v>
      </c>
      <c r="E2718" s="4">
        <v>-31963</v>
      </c>
      <c r="F2718" s="3" t="s">
        <v>171</v>
      </c>
      <c r="G2718" s="3" t="s">
        <v>172</v>
      </c>
      <c r="H2718" s="2" t="s">
        <v>21</v>
      </c>
      <c r="I2718" s="2" t="s">
        <v>7599</v>
      </c>
      <c r="J2718" s="3" t="str">
        <f>HYPERLINK("https://www.boe.es/gazeta/dias/1812/06/26/pdfs/GMD-1812-178.pdf#page=3","Abrir facsímil")</f>
        <v>Abrir facsímil</v>
      </c>
      <c r="K2718" s="3" t="s">
        <v>23</v>
      </c>
    </row>
    <row r="2719" spans="1:11" ht="42" customHeight="1">
      <c r="A2719" s="2" t="s">
        <v>7600</v>
      </c>
      <c r="B2719" s="2" t="s">
        <v>7601</v>
      </c>
      <c r="C2719" s="2" t="s">
        <v>49</v>
      </c>
      <c r="D2719" s="2" t="s">
        <v>27</v>
      </c>
      <c r="E2719" s="4">
        <v>-32050</v>
      </c>
      <c r="F2719" s="3" t="s">
        <v>864</v>
      </c>
      <c r="G2719" s="3" t="s">
        <v>29</v>
      </c>
      <c r="H2719" s="2" t="s">
        <v>21</v>
      </c>
      <c r="I2719" s="2" t="s">
        <v>7602</v>
      </c>
      <c r="J2719" s="3" t="str">
        <f>HYPERLINK("https://www.boe.es/gazeta/dias/1812/03/31/pdfs/GRE-1812-40.pdf#page=8","Abrir facsímil")</f>
        <v>Abrir facsímil</v>
      </c>
      <c r="K2719" s="3" t="s">
        <v>23</v>
      </c>
    </row>
    <row r="2720" spans="1:11" ht="42" customHeight="1">
      <c r="A2720" s="2" t="s">
        <v>7603</v>
      </c>
      <c r="B2720" s="2" t="s">
        <v>7604</v>
      </c>
      <c r="C2720" s="2" t="s">
        <v>26</v>
      </c>
      <c r="D2720" s="2" t="s">
        <v>27</v>
      </c>
      <c r="E2720" s="4">
        <v>-31980</v>
      </c>
      <c r="F2720" s="3" t="s">
        <v>40</v>
      </c>
      <c r="G2720" s="3" t="s">
        <v>41</v>
      </c>
      <c r="H2720" s="2" t="s">
        <v>21</v>
      </c>
      <c r="I2720" s="2" t="s">
        <v>7605</v>
      </c>
      <c r="J2720" s="3" t="str">
        <f>HYPERLINK("https://www.boe.es/gazeta/dias/1812/06/09/pdfs/GRE-1812-71.pdf#page=6","Abrir facsímil")</f>
        <v>Abrir facsímil</v>
      </c>
      <c r="K2720" s="3" t="s">
        <v>23</v>
      </c>
    </row>
    <row r="2721" spans="1:11" ht="42" customHeight="1">
      <c r="A2721" s="2" t="s">
        <v>7606</v>
      </c>
      <c r="B2721" s="2" t="s">
        <v>7607</v>
      </c>
      <c r="C2721" s="2" t="s">
        <v>67</v>
      </c>
      <c r="D2721" s="2" t="s">
        <v>27</v>
      </c>
      <c r="E2721" s="4">
        <v>-32069</v>
      </c>
      <c r="F2721" s="3" t="s">
        <v>445</v>
      </c>
      <c r="G2721" s="3" t="s">
        <v>446</v>
      </c>
      <c r="H2721" s="2" t="s">
        <v>21</v>
      </c>
      <c r="I2721" s="2" t="s">
        <v>7608</v>
      </c>
      <c r="J2721" s="3" t="str">
        <f>HYPERLINK("https://www.boe.es/gazeta/dias/1812/03/12/pdfs/GRE-1812-32.pdf#page=8","Abrir facsímil")</f>
        <v>Abrir facsímil</v>
      </c>
      <c r="K2721" s="3" t="s">
        <v>23</v>
      </c>
    </row>
    <row r="2722" spans="1:11" ht="42" customHeight="1">
      <c r="A2722" s="2" t="s">
        <v>7609</v>
      </c>
      <c r="B2722" s="2" t="s">
        <v>7610</v>
      </c>
      <c r="C2722" s="2" t="s">
        <v>549</v>
      </c>
      <c r="D2722" s="2" t="s">
        <v>27</v>
      </c>
      <c r="E2722" s="4">
        <v>-31913</v>
      </c>
      <c r="F2722" s="3" t="s">
        <v>450</v>
      </c>
      <c r="G2722" s="3" t="s">
        <v>451</v>
      </c>
      <c r="H2722" s="2" t="s">
        <v>21</v>
      </c>
      <c r="I2722" s="2" t="s">
        <v>7611</v>
      </c>
      <c r="J2722" s="3" t="str">
        <f>HYPERLINK("https://www.boe.es/gazeta/dias/1812/08/15/pdfs/GRE-1812-105.pdf#page=8","Abrir facsímil")</f>
        <v>Abrir facsímil</v>
      </c>
      <c r="K2722" s="3" t="s">
        <v>23</v>
      </c>
    </row>
    <row r="2723" spans="1:11" ht="42" customHeight="1">
      <c r="A2723" s="2" t="s">
        <v>7612</v>
      </c>
      <c r="B2723" s="2" t="s">
        <v>7613</v>
      </c>
      <c r="C2723" s="2" t="s">
        <v>26</v>
      </c>
      <c r="D2723" s="2" t="s">
        <v>27</v>
      </c>
      <c r="E2723" s="4">
        <v>-32034</v>
      </c>
      <c r="F2723" s="3" t="s">
        <v>28</v>
      </c>
      <c r="G2723" s="3" t="s">
        <v>317</v>
      </c>
      <c r="H2723" s="2" t="s">
        <v>21</v>
      </c>
      <c r="I2723" s="2" t="s">
        <v>7614</v>
      </c>
      <c r="J2723" s="3" t="str">
        <f>HYPERLINK("https://www.boe.es/gazeta/dias/1812/04/16/pdfs/GMD-1812-107.pdf#page=6","Abrir facsímil")</f>
        <v>Abrir facsímil</v>
      </c>
      <c r="K2723" s="3" t="s">
        <v>23</v>
      </c>
    </row>
    <row r="2724" spans="1:11" ht="42" customHeight="1">
      <c r="A2724" s="2" t="s">
        <v>7615</v>
      </c>
      <c r="B2724" s="2" t="s">
        <v>7616</v>
      </c>
      <c r="C2724" s="2" t="s">
        <v>17</v>
      </c>
      <c r="D2724" s="2" t="s">
        <v>27</v>
      </c>
      <c r="E2724" s="4">
        <v>-32139</v>
      </c>
      <c r="F2724" s="3" t="s">
        <v>518</v>
      </c>
      <c r="G2724" s="3" t="s">
        <v>125</v>
      </c>
      <c r="H2724" s="2" t="s">
        <v>21</v>
      </c>
      <c r="I2724" s="2" t="s">
        <v>7617</v>
      </c>
      <c r="J2724" s="3" t="str">
        <f>HYPERLINK("https://www.boe.es/gazeta/dias/1812/01/02/pdfs/GEI-1812-1.pdf#page=8","Abrir facsímil")</f>
        <v>Abrir facsímil</v>
      </c>
      <c r="K2724" s="3" t="s">
        <v>23</v>
      </c>
    </row>
    <row r="2725" spans="1:11" ht="42" customHeight="1">
      <c r="A2725" s="2" t="s">
        <v>7618</v>
      </c>
      <c r="B2725" s="2" t="s">
        <v>7619</v>
      </c>
      <c r="C2725" s="2" t="s">
        <v>26</v>
      </c>
      <c r="D2725" s="2" t="s">
        <v>27</v>
      </c>
      <c r="E2725" s="4">
        <v>-32137</v>
      </c>
      <c r="F2725" s="3" t="s">
        <v>355</v>
      </c>
      <c r="G2725" s="3" t="s">
        <v>117</v>
      </c>
      <c r="H2725" s="2" t="s">
        <v>21</v>
      </c>
      <c r="I2725" s="2" t="s">
        <v>7620</v>
      </c>
      <c r="J2725" s="3" t="str">
        <f>HYPERLINK("https://www.boe.es/gazeta/dias/1812/01/04/pdfs/GEI-1812-2.pdf#page=8","Abrir facsímil")</f>
        <v>Abrir facsímil</v>
      </c>
      <c r="K2725" s="3" t="s">
        <v>23</v>
      </c>
    </row>
    <row r="2726" spans="1:11" ht="42" customHeight="1">
      <c r="A2726" s="2" t="s">
        <v>7621</v>
      </c>
      <c r="B2726" s="2" t="s">
        <v>7622</v>
      </c>
      <c r="C2726" s="2" t="s">
        <v>17</v>
      </c>
      <c r="D2726" s="2" t="s">
        <v>18</v>
      </c>
      <c r="E2726" s="4">
        <v>-32060</v>
      </c>
      <c r="F2726" s="3" t="s">
        <v>399</v>
      </c>
      <c r="G2726" s="3" t="s">
        <v>136</v>
      </c>
      <c r="H2726" s="2" t="s">
        <v>21</v>
      </c>
      <c r="I2726" s="2" t="s">
        <v>7623</v>
      </c>
      <c r="J2726" s="3" t="str">
        <f>HYPERLINK("https://www.boe.es/gazeta/dias/1812/03/21/pdfs/GMD-1812-81.pdf#page=4","Abrir facsímil")</f>
        <v>Abrir facsímil</v>
      </c>
      <c r="K2726" s="3" t="s">
        <v>23</v>
      </c>
    </row>
    <row r="2727" spans="1:11" ht="42" customHeight="1">
      <c r="A2727" s="2" t="s">
        <v>7624</v>
      </c>
      <c r="B2727" s="2" t="s">
        <v>7624</v>
      </c>
      <c r="C2727" s="2" t="s">
        <v>17</v>
      </c>
      <c r="D2727" s="2" t="s">
        <v>573</v>
      </c>
      <c r="E2727" s="4">
        <v>-31921</v>
      </c>
      <c r="F2727" s="3" t="s">
        <v>785</v>
      </c>
      <c r="G2727" s="3" t="s">
        <v>3256</v>
      </c>
      <c r="H2727" s="2" t="s">
        <v>21</v>
      </c>
      <c r="I2727" s="2" t="s">
        <v>7625</v>
      </c>
      <c r="J2727" s="3" t="str">
        <f>HYPERLINK("https://www.boe.es/gazeta/dias/1812/08/07/pdfs/GRE-1812-101E.pdf#page=8","Abrir facsímil")</f>
        <v>Abrir facsímil</v>
      </c>
      <c r="K2727" s="3" t="s">
        <v>23</v>
      </c>
    </row>
    <row r="2728" spans="1:11" ht="42" customHeight="1">
      <c r="A2728" s="2" t="s">
        <v>7626</v>
      </c>
      <c r="B2728" s="2" t="s">
        <v>7626</v>
      </c>
      <c r="C2728" s="2" t="s">
        <v>17</v>
      </c>
      <c r="D2728" s="2" t="s">
        <v>18</v>
      </c>
      <c r="E2728" s="4">
        <v>-31905</v>
      </c>
      <c r="F2728" s="3" t="s">
        <v>855</v>
      </c>
      <c r="G2728" s="3" t="s">
        <v>29</v>
      </c>
      <c r="H2728" s="2" t="s">
        <v>21</v>
      </c>
      <c r="I2728" s="2" t="s">
        <v>7627</v>
      </c>
      <c r="J2728" s="3" t="str">
        <f>HYPERLINK("https://www.boe.es/gazeta/dias/1812/08/23/pdfs/GMR-1812-4.pdf#page=8","Abrir facsímil")</f>
        <v>Abrir facsímil</v>
      </c>
      <c r="K2728" s="3" t="s">
        <v>23</v>
      </c>
    </row>
    <row r="2729" spans="1:11" ht="42" customHeight="1">
      <c r="A2729" s="2" t="s">
        <v>7628</v>
      </c>
      <c r="B2729" s="2" t="s">
        <v>7629</v>
      </c>
      <c r="C2729" s="2" t="s">
        <v>26</v>
      </c>
      <c r="D2729" s="2" t="s">
        <v>27</v>
      </c>
      <c r="E2729" s="4">
        <v>-31938</v>
      </c>
      <c r="F2729" s="3" t="s">
        <v>324</v>
      </c>
      <c r="G2729" s="3" t="s">
        <v>237</v>
      </c>
      <c r="H2729" s="2" t="s">
        <v>21</v>
      </c>
      <c r="I2729" s="2" t="s">
        <v>7630</v>
      </c>
      <c r="J2729" s="3" t="str">
        <f>HYPERLINK("https://www.boe.es/gazeta/dias/1812/07/21/pdfs/GMD-1812-203.pdf#page=2","Abrir facsímil")</f>
        <v>Abrir facsímil</v>
      </c>
      <c r="K2729" s="3" t="s">
        <v>23</v>
      </c>
    </row>
    <row r="2730" spans="1:11" ht="42" customHeight="1">
      <c r="A2730" s="2" t="s">
        <v>7631</v>
      </c>
      <c r="B2730" s="2" t="s">
        <v>7632</v>
      </c>
      <c r="C2730" s="2" t="s">
        <v>26</v>
      </c>
      <c r="D2730" s="2" t="s">
        <v>27</v>
      </c>
      <c r="E2730" s="4">
        <v>-32100</v>
      </c>
      <c r="F2730" s="3" t="s">
        <v>492</v>
      </c>
      <c r="G2730" s="3" t="s">
        <v>493</v>
      </c>
      <c r="H2730" s="2" t="s">
        <v>21</v>
      </c>
      <c r="I2730" s="2" t="s">
        <v>7633</v>
      </c>
      <c r="J2730" s="3" t="str">
        <f>HYPERLINK("https://www.boe.es/gazeta/dias/1812/02/10/pdfs/GRE-1812-31.pdf#page=8","Abrir facsímil")</f>
        <v>Abrir facsímil</v>
      </c>
      <c r="K2730" s="3" t="s">
        <v>23</v>
      </c>
    </row>
    <row r="2731" spans="1:11" ht="42" customHeight="1">
      <c r="A2731" s="2" t="s">
        <v>7631</v>
      </c>
      <c r="B2731" s="2" t="s">
        <v>7632</v>
      </c>
      <c r="C2731" s="2" t="s">
        <v>26</v>
      </c>
      <c r="D2731" s="2" t="s">
        <v>27</v>
      </c>
      <c r="E2731" s="4">
        <v>-32071</v>
      </c>
      <c r="F2731" s="3" t="s">
        <v>492</v>
      </c>
      <c r="G2731" s="3" t="s">
        <v>493</v>
      </c>
      <c r="H2731" s="2" t="s">
        <v>21</v>
      </c>
      <c r="I2731" s="2" t="s">
        <v>7633</v>
      </c>
      <c r="J2731" s="3" t="str">
        <f>HYPERLINK("https://www.boe.es/gazeta/dias/1812/03/10/pdfs/GRE-1812-31.pdf#page=8","Abrir facsímil")</f>
        <v>Abrir facsímil</v>
      </c>
      <c r="K2731" s="3" t="s">
        <v>23</v>
      </c>
    </row>
    <row r="2732" spans="1:11" ht="42" customHeight="1">
      <c r="A2732" s="2" t="s">
        <v>7634</v>
      </c>
      <c r="B2732" s="2" t="s">
        <v>7635</v>
      </c>
      <c r="C2732" s="2" t="s">
        <v>26</v>
      </c>
      <c r="D2732" s="2" t="s">
        <v>27</v>
      </c>
      <c r="E2732" s="4">
        <v>-31938</v>
      </c>
      <c r="F2732" s="3" t="s">
        <v>324</v>
      </c>
      <c r="G2732" s="3" t="s">
        <v>404</v>
      </c>
      <c r="H2732" s="2" t="s">
        <v>21</v>
      </c>
      <c r="I2732" s="2" t="s">
        <v>7636</v>
      </c>
      <c r="J2732" s="3" t="str">
        <f>HYPERLINK("https://www.boe.es/gazeta/dias/1812/07/21/pdfs/GMD-1812-203.pdf#page=4","Abrir facsímil")</f>
        <v>Abrir facsímil</v>
      </c>
      <c r="K2732" s="3" t="s">
        <v>23</v>
      </c>
    </row>
    <row r="2733" spans="1:11" ht="42" customHeight="1">
      <c r="A2733" s="2" t="s">
        <v>7637</v>
      </c>
      <c r="B2733" s="2" t="s">
        <v>7638</v>
      </c>
      <c r="C2733" s="2" t="s">
        <v>26</v>
      </c>
      <c r="D2733" s="2" t="s">
        <v>27</v>
      </c>
      <c r="E2733" s="4">
        <v>-31938</v>
      </c>
      <c r="F2733" s="3" t="s">
        <v>324</v>
      </c>
      <c r="G2733" s="3" t="s">
        <v>404</v>
      </c>
      <c r="H2733" s="2" t="s">
        <v>21</v>
      </c>
      <c r="I2733" s="2" t="s">
        <v>7639</v>
      </c>
      <c r="J2733" s="3" t="str">
        <f>HYPERLINK("https://www.boe.es/gazeta/dias/1812/07/21/pdfs/GMD-1812-203.pdf#page=4","Abrir facsímil")</f>
        <v>Abrir facsímil</v>
      </c>
      <c r="K2733" s="3" t="s">
        <v>23</v>
      </c>
    </row>
    <row r="2734" spans="1:11" ht="42" customHeight="1">
      <c r="A2734" s="2" t="s">
        <v>7640</v>
      </c>
      <c r="B2734" s="2" t="s">
        <v>7641</v>
      </c>
      <c r="C2734" s="2" t="s">
        <v>26</v>
      </c>
      <c r="D2734" s="2" t="s">
        <v>573</v>
      </c>
      <c r="E2734" s="4">
        <v>-31900</v>
      </c>
      <c r="F2734" s="3" t="s">
        <v>276</v>
      </c>
      <c r="G2734" s="3" t="s">
        <v>277</v>
      </c>
      <c r="H2734" s="2" t="s">
        <v>21</v>
      </c>
      <c r="I2734" s="2" t="s">
        <v>7642</v>
      </c>
      <c r="J2734" s="3" t="str">
        <f>HYPERLINK("https://www.boe.es/gazeta/dias/1812/08/28/pdfs/GRE-1812-113E.pdf#page=8","Abrir facsímil")</f>
        <v>Abrir facsímil</v>
      </c>
      <c r="K2734" s="3" t="s">
        <v>23</v>
      </c>
    </row>
    <row r="2735" spans="1:11" ht="42" customHeight="1">
      <c r="A2735" s="2" t="s">
        <v>7643</v>
      </c>
      <c r="B2735" s="2" t="s">
        <v>7644</v>
      </c>
      <c r="C2735" s="2" t="s">
        <v>26</v>
      </c>
      <c r="D2735" s="2" t="s">
        <v>27</v>
      </c>
      <c r="E2735" s="4">
        <v>-31964</v>
      </c>
      <c r="F2735" s="3" t="s">
        <v>305</v>
      </c>
      <c r="G2735" s="3" t="s">
        <v>306</v>
      </c>
      <c r="H2735" s="2" t="s">
        <v>21</v>
      </c>
      <c r="I2735" s="2" t="s">
        <v>7645</v>
      </c>
      <c r="J2735" s="3" t="str">
        <f>HYPERLINK("https://www.boe.es/gazeta/dias/1812/06/25/pdfs/GMD-1812-177.pdf#page=3","Abrir facsímil")</f>
        <v>Abrir facsímil</v>
      </c>
      <c r="K2735" s="3" t="s">
        <v>23</v>
      </c>
    </row>
    <row r="2736" spans="1:11" ht="42" customHeight="1">
      <c r="A2736" s="2" t="s">
        <v>7646</v>
      </c>
      <c r="B2736" s="2" t="s">
        <v>7647</v>
      </c>
      <c r="C2736" s="2" t="s">
        <v>17</v>
      </c>
      <c r="D2736" s="2" t="s">
        <v>18</v>
      </c>
      <c r="E2736" s="4">
        <v>-32130</v>
      </c>
      <c r="F2736" s="3" t="s">
        <v>927</v>
      </c>
      <c r="G2736" s="3" t="s">
        <v>130</v>
      </c>
      <c r="H2736" s="2" t="s">
        <v>21</v>
      </c>
      <c r="I2736" s="2" t="s">
        <v>7648</v>
      </c>
      <c r="J2736" s="3" t="str">
        <f>HYPERLINK("https://www.boe.es/gazeta/dias/1812/01/11/pdfs/GMD-1812-11.pdf#page=4","Abrir facsímil")</f>
        <v>Abrir facsímil</v>
      </c>
      <c r="K2736" s="3" t="s">
        <v>23</v>
      </c>
    </row>
    <row r="2737" spans="1:11" ht="42" customHeight="1">
      <c r="A2737" s="2" t="s">
        <v>7649</v>
      </c>
      <c r="B2737" s="2" t="s">
        <v>7650</v>
      </c>
      <c r="C2737" s="2" t="s">
        <v>26</v>
      </c>
      <c r="D2737" s="2" t="s">
        <v>27</v>
      </c>
      <c r="E2737" s="4">
        <v>-32060</v>
      </c>
      <c r="F2737" s="3" t="s">
        <v>399</v>
      </c>
      <c r="G2737" s="3" t="s">
        <v>136</v>
      </c>
      <c r="H2737" s="2" t="s">
        <v>21</v>
      </c>
      <c r="I2737" s="2" t="s">
        <v>7651</v>
      </c>
      <c r="J2737" s="3" t="str">
        <f>HYPERLINK("https://www.boe.es/gazeta/dias/1812/03/21/pdfs/GMD-1812-81.pdf#page=4","Abrir facsímil")</f>
        <v>Abrir facsímil</v>
      </c>
      <c r="K2737" s="3" t="s">
        <v>23</v>
      </c>
    </row>
    <row r="2738" spans="1:11" ht="42" customHeight="1">
      <c r="A2738" s="2" t="s">
        <v>7652</v>
      </c>
      <c r="B2738" s="2" t="s">
        <v>7652</v>
      </c>
      <c r="C2738" s="2" t="s">
        <v>17</v>
      </c>
      <c r="D2738" s="2" t="s">
        <v>27</v>
      </c>
      <c r="E2738" s="4">
        <v>-31995</v>
      </c>
      <c r="F2738" s="3" t="s">
        <v>100</v>
      </c>
      <c r="G2738" s="3" t="s">
        <v>1842</v>
      </c>
      <c r="H2738" s="2" t="s">
        <v>21</v>
      </c>
      <c r="I2738" s="2" t="s">
        <v>7653</v>
      </c>
      <c r="J2738" s="3" t="str">
        <f>HYPERLINK("https://www.boe.es/gazeta/dias/1812/05/25/pdfs/GMD-1812-146.pdf#page=4","Abrir facsímil")</f>
        <v>Abrir facsímil</v>
      </c>
      <c r="K2738" s="3" t="s">
        <v>23</v>
      </c>
    </row>
    <row r="2739" spans="1:11" ht="42" customHeight="1">
      <c r="A2739" s="2" t="s">
        <v>7654</v>
      </c>
      <c r="B2739" s="2" t="s">
        <v>7654</v>
      </c>
      <c r="C2739" s="2" t="s">
        <v>17</v>
      </c>
      <c r="D2739" s="2" t="s">
        <v>27</v>
      </c>
      <c r="E2739" s="4">
        <v>-31796</v>
      </c>
      <c r="F2739" s="3" t="s">
        <v>649</v>
      </c>
      <c r="G2739" s="3" t="s">
        <v>217</v>
      </c>
      <c r="H2739" s="2" t="s">
        <v>21</v>
      </c>
      <c r="I2739" s="2" t="s">
        <v>7655</v>
      </c>
      <c r="J2739" s="3" t="str">
        <f>HYPERLINK("https://www.boe.es/gazeta/dias/1812/12/10/pdfs/GMD-1812-233.pdf#page=4","Abrir facsímil")</f>
        <v>Abrir facsímil</v>
      </c>
      <c r="K2739" s="3" t="s">
        <v>23</v>
      </c>
    </row>
    <row r="2740" spans="1:11" ht="42" customHeight="1">
      <c r="A2740" s="2" t="s">
        <v>7654</v>
      </c>
      <c r="B2740" s="2" t="s">
        <v>7654</v>
      </c>
      <c r="C2740" s="2" t="s">
        <v>17</v>
      </c>
      <c r="D2740" s="2" t="s">
        <v>27</v>
      </c>
      <c r="E2740" s="4">
        <v>-31787</v>
      </c>
      <c r="F2740" s="3" t="s">
        <v>7656</v>
      </c>
      <c r="G2740" s="3" t="s">
        <v>1958</v>
      </c>
      <c r="H2740" s="2" t="s">
        <v>21</v>
      </c>
      <c r="I2740" s="2" t="s">
        <v>7657</v>
      </c>
      <c r="J2740" s="3" t="str">
        <f>HYPERLINK("https://www.boe.es/gazeta/dias/1812/12/19/pdfs/GMD-1812-242.pdf#page=1","Abrir facsímil")</f>
        <v>Abrir facsímil</v>
      </c>
      <c r="K2740" s="3" t="s">
        <v>23</v>
      </c>
    </row>
    <row r="2741" spans="1:11" ht="42" customHeight="1">
      <c r="A2741" s="2" t="s">
        <v>7654</v>
      </c>
      <c r="B2741" s="2" t="s">
        <v>7654</v>
      </c>
      <c r="C2741" s="2" t="s">
        <v>17</v>
      </c>
      <c r="D2741" s="2" t="s">
        <v>27</v>
      </c>
      <c r="E2741" s="4">
        <v>-31782</v>
      </c>
      <c r="F2741" s="3" t="s">
        <v>4408</v>
      </c>
      <c r="G2741" s="3" t="s">
        <v>514</v>
      </c>
      <c r="H2741" s="2" t="s">
        <v>21</v>
      </c>
      <c r="I2741" s="2" t="s">
        <v>7658</v>
      </c>
      <c r="J2741" s="3" t="str">
        <f>HYPERLINK("https://www.boe.es/gazeta/dias/1812/12/24/pdfs/GMD-1812-247.pdf#page=3","Abrir facsímil")</f>
        <v>Abrir facsímil</v>
      </c>
      <c r="K2741" s="3" t="s">
        <v>23</v>
      </c>
    </row>
    <row r="2742" spans="1:11" ht="42" customHeight="1">
      <c r="A2742" s="2" t="s">
        <v>7654</v>
      </c>
      <c r="B2742" s="2" t="s">
        <v>7654</v>
      </c>
      <c r="C2742" s="2" t="s">
        <v>17</v>
      </c>
      <c r="D2742" s="2" t="s">
        <v>18</v>
      </c>
      <c r="E2742" s="4">
        <v>-31782</v>
      </c>
      <c r="F2742" s="3" t="s">
        <v>4408</v>
      </c>
      <c r="G2742" s="3" t="s">
        <v>4409</v>
      </c>
      <c r="H2742" s="2" t="s">
        <v>21</v>
      </c>
      <c r="I2742" s="2" t="s">
        <v>7659</v>
      </c>
      <c r="J2742" s="3" t="str">
        <f>HYPERLINK("https://www.boe.es/gazeta/dias/1812/12/24/pdfs/GMD-1812-247.pdf#page=4","Abrir facsímil")</f>
        <v>Abrir facsímil</v>
      </c>
      <c r="K2742" s="3" t="s">
        <v>23</v>
      </c>
    </row>
    <row r="2743" spans="1:11" ht="42" customHeight="1">
      <c r="A2743" s="2" t="s">
        <v>7660</v>
      </c>
      <c r="B2743" s="2" t="s">
        <v>7661</v>
      </c>
      <c r="C2743" s="2" t="s">
        <v>17</v>
      </c>
      <c r="D2743" s="2" t="s">
        <v>27</v>
      </c>
      <c r="E2743" s="4">
        <v>-31775</v>
      </c>
      <c r="F2743" s="3" t="s">
        <v>660</v>
      </c>
      <c r="G2743" s="3" t="s">
        <v>1626</v>
      </c>
      <c r="H2743" s="2" t="s">
        <v>21</v>
      </c>
      <c r="I2743" s="2" t="s">
        <v>7662</v>
      </c>
      <c r="J2743" s="3" t="str">
        <f>HYPERLINK("https://www.boe.es/gazeta/dias/1812/12/31/pdfs/GRE-1812-172.pdf#page=5","Abrir facsímil")</f>
        <v>Abrir facsímil</v>
      </c>
      <c r="K2743" s="3" t="s">
        <v>23</v>
      </c>
    </row>
    <row r="2744" spans="1:11" ht="42" customHeight="1">
      <c r="A2744" s="2" t="s">
        <v>7663</v>
      </c>
      <c r="B2744" s="2" t="s">
        <v>7664</v>
      </c>
      <c r="C2744" s="2" t="s">
        <v>17</v>
      </c>
      <c r="D2744" s="2" t="s">
        <v>27</v>
      </c>
      <c r="E2744" s="4">
        <v>-31822</v>
      </c>
      <c r="F2744" s="3" t="s">
        <v>541</v>
      </c>
      <c r="G2744" s="3" t="s">
        <v>1459</v>
      </c>
      <c r="H2744" s="2" t="s">
        <v>21</v>
      </c>
      <c r="I2744" s="2" t="s">
        <v>7665</v>
      </c>
      <c r="J2744" s="3" t="str">
        <f>HYPERLINK("https://www.boe.es/gazeta/dias/1812/11/14/pdfs/GRE-1812-152.pdf#page=8","Abrir facsímil")</f>
        <v>Abrir facsímil</v>
      </c>
      <c r="K2744" s="3" t="s">
        <v>23</v>
      </c>
    </row>
    <row r="2745" spans="1:11" ht="42" customHeight="1">
      <c r="A2745" s="2" t="s">
        <v>7666</v>
      </c>
      <c r="B2745" s="2" t="s">
        <v>7666</v>
      </c>
      <c r="C2745" s="2" t="s">
        <v>115</v>
      </c>
      <c r="D2745" s="2" t="s">
        <v>18</v>
      </c>
      <c r="E2745" s="4">
        <v>-31852</v>
      </c>
      <c r="F2745" s="3" t="s">
        <v>4370</v>
      </c>
      <c r="G2745" s="3" t="s">
        <v>7667</v>
      </c>
      <c r="H2745" s="2" t="s">
        <v>21</v>
      </c>
      <c r="I2745" s="2" t="s">
        <v>7668</v>
      </c>
      <c r="J2745" s="3" t="str">
        <f>HYPERLINK("https://www.boe.es/gazeta/dias/1812/10/15/pdfs/GMR-1812-27.pdf#page=1","Abrir facsímil")</f>
        <v>Abrir facsímil</v>
      </c>
      <c r="K2745" s="3" t="s">
        <v>23</v>
      </c>
    </row>
    <row r="2746" spans="1:11" ht="42" customHeight="1">
      <c r="A2746" s="2" t="s">
        <v>7669</v>
      </c>
      <c r="B2746" s="2" t="s">
        <v>7670</v>
      </c>
      <c r="C2746" s="2" t="s">
        <v>17</v>
      </c>
      <c r="D2746" s="2" t="s">
        <v>27</v>
      </c>
      <c r="E2746" s="4">
        <v>-31984</v>
      </c>
      <c r="F2746" s="3" t="s">
        <v>5154</v>
      </c>
      <c r="G2746" s="3" t="s">
        <v>1076</v>
      </c>
      <c r="H2746" s="2" t="s">
        <v>21</v>
      </c>
      <c r="I2746" s="2" t="s">
        <v>7671</v>
      </c>
      <c r="J2746" s="3" t="str">
        <f>HYPERLINK("https://www.boe.es/gazeta/dias/1812/06/05/pdfs/GMD-1812-157.pdf#page=1","Abrir facsímil")</f>
        <v>Abrir facsímil</v>
      </c>
      <c r="K2746" s="3" t="s">
        <v>23</v>
      </c>
    </row>
    <row r="2747" spans="1:11" ht="42" customHeight="1">
      <c r="A2747" s="2" t="s">
        <v>7672</v>
      </c>
      <c r="B2747" s="2" t="s">
        <v>7672</v>
      </c>
      <c r="C2747" s="2" t="s">
        <v>17</v>
      </c>
      <c r="D2747" s="2" t="s">
        <v>27</v>
      </c>
      <c r="E2747" s="4">
        <v>-31896</v>
      </c>
      <c r="F2747" s="3" t="s">
        <v>1808</v>
      </c>
      <c r="G2747" s="3" t="s">
        <v>58</v>
      </c>
      <c r="H2747" s="2" t="s">
        <v>21</v>
      </c>
      <c r="I2747" s="2" t="s">
        <v>7673</v>
      </c>
      <c r="J2747" s="3" t="str">
        <f>HYPERLINK("https://www.boe.es/gazeta/dias/1812/09/01/pdfs/GMR-1812-8.pdf#page=3","Abrir facsímil")</f>
        <v>Abrir facsímil</v>
      </c>
      <c r="K2747" s="3" t="s">
        <v>23</v>
      </c>
    </row>
    <row r="2748" spans="1:11" ht="42" customHeight="1">
      <c r="A2748" s="2" t="s">
        <v>7674</v>
      </c>
      <c r="B2748" s="2" t="s">
        <v>7675</v>
      </c>
      <c r="C2748" s="2" t="s">
        <v>17</v>
      </c>
      <c r="D2748" s="2" t="s">
        <v>27</v>
      </c>
      <c r="E2748" s="4">
        <v>-31901</v>
      </c>
      <c r="F2748" s="3" t="s">
        <v>2199</v>
      </c>
      <c r="G2748" s="3" t="s">
        <v>2919</v>
      </c>
      <c r="H2748" s="2" t="s">
        <v>21</v>
      </c>
      <c r="I2748" s="2" t="s">
        <v>7676</v>
      </c>
      <c r="J2748" s="3" t="str">
        <f>HYPERLINK("https://www.boe.es/gazeta/dias/1812/08/27/pdfs/GRE-1812-111.pdf#page=2","Abrir facsímil")</f>
        <v>Abrir facsímil</v>
      </c>
      <c r="K2748" s="3" t="s">
        <v>23</v>
      </c>
    </row>
    <row r="2749" spans="1:11" ht="42" customHeight="1">
      <c r="A2749" s="2" t="s">
        <v>7677</v>
      </c>
      <c r="B2749" s="2" t="s">
        <v>7678</v>
      </c>
      <c r="C2749" s="2" t="s">
        <v>17</v>
      </c>
      <c r="D2749" s="2" t="s">
        <v>18</v>
      </c>
      <c r="E2749" s="4">
        <v>-31782</v>
      </c>
      <c r="F2749" s="3" t="s">
        <v>860</v>
      </c>
      <c r="G2749" s="3" t="s">
        <v>2379</v>
      </c>
      <c r="H2749" s="2" t="s">
        <v>21</v>
      </c>
      <c r="I2749" s="2" t="s">
        <v>7679</v>
      </c>
      <c r="J2749" s="3" t="str">
        <f>HYPERLINK("https://www.boe.es/gazeta/dias/1812/12/24/pdfs/GRE-1812-169.pdf#page=1","Abrir facsímil")</f>
        <v>Abrir facsímil</v>
      </c>
      <c r="K2749" s="3" t="s">
        <v>23</v>
      </c>
    </row>
    <row r="2750" spans="1:11" ht="42" customHeight="1">
      <c r="A2750" s="2" t="s">
        <v>7680</v>
      </c>
      <c r="B2750" s="2" t="s">
        <v>7680</v>
      </c>
      <c r="C2750" s="2" t="s">
        <v>17</v>
      </c>
      <c r="D2750" s="2" t="s">
        <v>27</v>
      </c>
      <c r="E2750" s="4">
        <v>-32113</v>
      </c>
      <c r="F2750" s="3" t="s">
        <v>121</v>
      </c>
      <c r="G2750" s="3" t="s">
        <v>4086</v>
      </c>
      <c r="H2750" s="2" t="s">
        <v>21</v>
      </c>
      <c r="I2750" s="2" t="s">
        <v>7681</v>
      </c>
      <c r="J2750" s="3" t="str">
        <f>HYPERLINK("https://www.boe.es/gazeta/dias/1812/01/28/pdfs/GRE-1812-12.pdf#page=2","Abrir facsímil")</f>
        <v>Abrir facsímil</v>
      </c>
      <c r="K2750" s="3" t="s">
        <v>23</v>
      </c>
    </row>
    <row r="2751" spans="1:11" ht="42" customHeight="1">
      <c r="A2751" s="2" t="s">
        <v>7682</v>
      </c>
      <c r="B2751" s="2" t="s">
        <v>7682</v>
      </c>
      <c r="C2751" s="2" t="s">
        <v>17</v>
      </c>
      <c r="D2751" s="2" t="s">
        <v>18</v>
      </c>
      <c r="E2751" s="4">
        <v>-31852</v>
      </c>
      <c r="F2751" s="3" t="s">
        <v>4370</v>
      </c>
      <c r="G2751" s="3" t="s">
        <v>214</v>
      </c>
      <c r="H2751" s="2" t="s">
        <v>21</v>
      </c>
      <c r="I2751" s="2" t="s">
        <v>7683</v>
      </c>
      <c r="J2751" s="3" t="str">
        <f>HYPERLINK("https://www.boe.es/gazeta/dias/1812/10/15/pdfs/GMR-1812-27.pdf#page=2","Abrir facsímil")</f>
        <v>Abrir facsímil</v>
      </c>
      <c r="K2751" s="3" t="s">
        <v>23</v>
      </c>
    </row>
    <row r="2752" spans="1:11" ht="42" customHeight="1">
      <c r="A2752" s="2" t="s">
        <v>7682</v>
      </c>
      <c r="B2752" s="2" t="s">
        <v>7682</v>
      </c>
      <c r="C2752" s="2" t="s">
        <v>17</v>
      </c>
      <c r="D2752" s="2" t="s">
        <v>18</v>
      </c>
      <c r="E2752" s="4">
        <v>-31843</v>
      </c>
      <c r="F2752" s="3" t="s">
        <v>3493</v>
      </c>
      <c r="G2752" s="3" t="s">
        <v>4086</v>
      </c>
      <c r="H2752" s="2" t="s">
        <v>21</v>
      </c>
      <c r="I2752" s="2" t="s">
        <v>7684</v>
      </c>
      <c r="J2752" s="3" t="str">
        <f>HYPERLINK("https://www.boe.es/gazeta/dias/1812/10/24/pdfs/GMR-1812-31.pdf#page=3","Abrir facsímil")</f>
        <v>Abrir facsímil</v>
      </c>
      <c r="K2752" s="3" t="s">
        <v>23</v>
      </c>
    </row>
    <row r="2753" spans="1:11" ht="42" customHeight="1">
      <c r="A2753" s="2" t="s">
        <v>7682</v>
      </c>
      <c r="B2753" s="2" t="s">
        <v>7682</v>
      </c>
      <c r="C2753" s="2" t="s">
        <v>17</v>
      </c>
      <c r="D2753" s="2" t="s">
        <v>18</v>
      </c>
      <c r="E2753" s="4">
        <v>-31838</v>
      </c>
      <c r="F2753" s="3" t="s">
        <v>1452</v>
      </c>
      <c r="G2753" s="3" t="s">
        <v>1076</v>
      </c>
      <c r="H2753" s="2" t="s">
        <v>21</v>
      </c>
      <c r="I2753" s="2" t="s">
        <v>7685</v>
      </c>
      <c r="J2753" s="3" t="str">
        <f>HYPERLINK("https://www.boe.es/gazeta/dias/1812/10/29/pdfs/GMR-1812-33.pdf#page=1","Abrir facsímil")</f>
        <v>Abrir facsímil</v>
      </c>
      <c r="K2753" s="3" t="s">
        <v>23</v>
      </c>
    </row>
    <row r="2754" spans="1:11" ht="42" customHeight="1">
      <c r="A2754" s="2" t="s">
        <v>7682</v>
      </c>
      <c r="B2754" s="2" t="s">
        <v>7682</v>
      </c>
      <c r="C2754" s="2" t="s">
        <v>17</v>
      </c>
      <c r="D2754" s="2" t="s">
        <v>18</v>
      </c>
      <c r="E2754" s="4">
        <v>-31793</v>
      </c>
      <c r="F2754" s="3" t="s">
        <v>2570</v>
      </c>
      <c r="G2754" s="3" t="s">
        <v>20</v>
      </c>
      <c r="H2754" s="2" t="s">
        <v>21</v>
      </c>
      <c r="I2754" s="2" t="s">
        <v>7686</v>
      </c>
      <c r="J2754" s="3" t="str">
        <f>HYPERLINK("https://www.boe.es/gazeta/dias/1812/12/13/pdfs/GMD-1812-236.pdf#page=2","Abrir facsímil")</f>
        <v>Abrir facsímil</v>
      </c>
      <c r="K2754" s="3" t="s">
        <v>23</v>
      </c>
    </row>
    <row r="2755" spans="1:11" ht="42" customHeight="1">
      <c r="A2755" s="2" t="s">
        <v>7687</v>
      </c>
      <c r="B2755" s="2" t="s">
        <v>7687</v>
      </c>
      <c r="C2755" s="2" t="s">
        <v>17</v>
      </c>
      <c r="D2755" s="2" t="s">
        <v>27</v>
      </c>
      <c r="E2755" s="4">
        <v>-31977</v>
      </c>
      <c r="F2755" s="3" t="s">
        <v>1566</v>
      </c>
      <c r="G2755" s="3" t="s">
        <v>1567</v>
      </c>
      <c r="H2755" s="2" t="s">
        <v>21</v>
      </c>
      <c r="I2755" s="2" t="s">
        <v>7688</v>
      </c>
      <c r="J2755" s="3" t="str">
        <f>HYPERLINK("https://www.boe.es/gazeta/dias/1812/06/12/pdfs/GMD-1812-164.pdf#page=1","Abrir facsímil")</f>
        <v>Abrir facsímil</v>
      </c>
      <c r="K2755" s="3" t="s">
        <v>23</v>
      </c>
    </row>
    <row r="2756" spans="1:11" ht="42" customHeight="1">
      <c r="A2756" s="2" t="s">
        <v>7689</v>
      </c>
      <c r="B2756" s="2" t="s">
        <v>7689</v>
      </c>
      <c r="C2756" s="2" t="s">
        <v>105</v>
      </c>
      <c r="D2756" s="2" t="s">
        <v>27</v>
      </c>
      <c r="E2756" s="4">
        <v>-31786</v>
      </c>
      <c r="F2756" s="3" t="s">
        <v>7690</v>
      </c>
      <c r="G2756" s="3" t="s">
        <v>1958</v>
      </c>
      <c r="H2756" s="2" t="s">
        <v>21</v>
      </c>
      <c r="I2756" s="2" t="s">
        <v>7691</v>
      </c>
      <c r="J2756" s="3" t="str">
        <f>HYPERLINK("https://www.boe.es/gazeta/dias/1812/12/20/pdfs/GMD-1812-243.pdf#page=4","Abrir facsímil")</f>
        <v>Abrir facsímil</v>
      </c>
      <c r="K2756" s="3" t="s">
        <v>23</v>
      </c>
    </row>
    <row r="2757" spans="1:11" ht="42" customHeight="1">
      <c r="A2757" s="2" t="s">
        <v>7692</v>
      </c>
      <c r="B2757" s="2" t="s">
        <v>7693</v>
      </c>
      <c r="C2757" s="2" t="s">
        <v>26</v>
      </c>
      <c r="D2757" s="2" t="s">
        <v>27</v>
      </c>
      <c r="E2757" s="4">
        <v>-31963</v>
      </c>
      <c r="F2757" s="3" t="s">
        <v>171</v>
      </c>
      <c r="G2757" s="3" t="s">
        <v>1653</v>
      </c>
      <c r="H2757" s="2" t="s">
        <v>21</v>
      </c>
      <c r="I2757" s="2" t="s">
        <v>7694</v>
      </c>
      <c r="J2757" s="3" t="str">
        <f>HYPERLINK("https://www.boe.es/gazeta/dias/1812/06/26/pdfs/GMD-1812-178.pdf#page=2","Abrir facsímil")</f>
        <v>Abrir facsímil</v>
      </c>
      <c r="K2757" s="3" t="s">
        <v>23</v>
      </c>
    </row>
    <row r="2758" spans="1:11" ht="42" customHeight="1">
      <c r="A2758" s="2" t="s">
        <v>7695</v>
      </c>
      <c r="B2758" s="2" t="s">
        <v>7695</v>
      </c>
      <c r="C2758" s="2" t="s">
        <v>17</v>
      </c>
      <c r="D2758" s="2" t="s">
        <v>27</v>
      </c>
      <c r="E2758" s="4">
        <v>-31796</v>
      </c>
      <c r="F2758" s="3" t="s">
        <v>649</v>
      </c>
      <c r="G2758" s="3" t="s">
        <v>217</v>
      </c>
      <c r="H2758" s="2" t="s">
        <v>21</v>
      </c>
      <c r="I2758" s="2" t="s">
        <v>7696</v>
      </c>
      <c r="J2758" s="3" t="str">
        <f>HYPERLINK("https://www.boe.es/gazeta/dias/1812/12/10/pdfs/GMD-1812-233.pdf#page=4","Abrir facsímil")</f>
        <v>Abrir facsímil</v>
      </c>
      <c r="K2758" s="3" t="s">
        <v>23</v>
      </c>
    </row>
    <row r="2759" spans="1:11" ht="42" customHeight="1">
      <c r="A2759" s="2" t="s">
        <v>7697</v>
      </c>
      <c r="B2759" s="2" t="s">
        <v>7698</v>
      </c>
      <c r="C2759" s="2" t="s">
        <v>26</v>
      </c>
      <c r="D2759" s="2" t="s">
        <v>27</v>
      </c>
      <c r="E2759" s="4">
        <v>-32095</v>
      </c>
      <c r="F2759" s="3" t="s">
        <v>1099</v>
      </c>
      <c r="G2759" s="3" t="s">
        <v>438</v>
      </c>
      <c r="H2759" s="2" t="s">
        <v>21</v>
      </c>
      <c r="I2759" s="2" t="s">
        <v>7699</v>
      </c>
      <c r="J2759" s="3" t="str">
        <f>HYPERLINK("https://www.boe.es/gazeta/dias/1812/02/15/pdfs/GMD-1812-46.pdf#page=4","Abrir facsímil")</f>
        <v>Abrir facsímil</v>
      </c>
      <c r="K2759" s="3" t="s">
        <v>23</v>
      </c>
    </row>
    <row r="2760" spans="1:11" ht="42" customHeight="1">
      <c r="A2760" s="2" t="s">
        <v>7700</v>
      </c>
      <c r="B2760" s="2" t="s">
        <v>7701</v>
      </c>
      <c r="C2760" s="2" t="s">
        <v>26</v>
      </c>
      <c r="D2760" s="2" t="s">
        <v>27</v>
      </c>
      <c r="E2760" s="4">
        <v>-32125</v>
      </c>
      <c r="F2760" s="3" t="s">
        <v>335</v>
      </c>
      <c r="G2760" s="3" t="s">
        <v>336</v>
      </c>
      <c r="H2760" s="2" t="s">
        <v>21</v>
      </c>
      <c r="I2760" s="2" t="s">
        <v>7702</v>
      </c>
      <c r="J2760" s="3" t="str">
        <f>HYPERLINK("https://www.boe.es/gazeta/dias/1812/01/16/pdfs/GEI-1812-7.pdf#page=8","Abrir facsímil")</f>
        <v>Abrir facsímil</v>
      </c>
      <c r="K2760" s="3" t="s">
        <v>23</v>
      </c>
    </row>
    <row r="2761" spans="1:11" ht="42" customHeight="1">
      <c r="A2761" s="2" t="s">
        <v>7703</v>
      </c>
      <c r="B2761" s="2" t="s">
        <v>7703</v>
      </c>
      <c r="C2761" s="2" t="s">
        <v>115</v>
      </c>
      <c r="D2761" s="2" t="s">
        <v>27</v>
      </c>
      <c r="E2761" s="4">
        <v>-31843</v>
      </c>
      <c r="F2761" s="3" t="s">
        <v>3493</v>
      </c>
      <c r="G2761" s="3" t="s">
        <v>125</v>
      </c>
      <c r="H2761" s="2" t="s">
        <v>21</v>
      </c>
      <c r="I2761" s="2" t="s">
        <v>7704</v>
      </c>
      <c r="J2761" s="3" t="str">
        <f>HYPERLINK("https://www.boe.es/gazeta/dias/1812/10/24/pdfs/GMR-1812-31.pdf#page=2","Abrir facsímil")</f>
        <v>Abrir facsímil</v>
      </c>
      <c r="K2761" s="3" t="s">
        <v>23</v>
      </c>
    </row>
    <row r="2762" spans="1:11" ht="42" customHeight="1">
      <c r="A2762" s="2" t="s">
        <v>7705</v>
      </c>
      <c r="B2762" s="2" t="s">
        <v>7706</v>
      </c>
      <c r="C2762" s="2" t="s">
        <v>26</v>
      </c>
      <c r="D2762" s="2" t="s">
        <v>275</v>
      </c>
      <c r="E2762" s="4">
        <v>-32034</v>
      </c>
      <c r="F2762" s="3" t="s">
        <v>1008</v>
      </c>
      <c r="G2762" s="3" t="s">
        <v>683</v>
      </c>
      <c r="H2762" s="2" t="s">
        <v>21</v>
      </c>
      <c r="I2762" s="2" t="s">
        <v>7707</v>
      </c>
      <c r="J2762" s="3" t="str">
        <f>HYPERLINK("https://www.boe.es/gazeta/dias/1812/04/16/pdfs/GRE-1812-48.pdf#page=7","Abrir facsímil")</f>
        <v>Abrir facsímil</v>
      </c>
      <c r="K2762" s="3" t="s">
        <v>23</v>
      </c>
    </row>
    <row r="2763" spans="1:11" ht="42" customHeight="1">
      <c r="A2763" s="2" t="s">
        <v>7708</v>
      </c>
      <c r="B2763" s="2" t="s">
        <v>7709</v>
      </c>
      <c r="C2763" s="2" t="s">
        <v>26</v>
      </c>
      <c r="D2763" s="2" t="s">
        <v>27</v>
      </c>
      <c r="E2763" s="4">
        <v>-32034</v>
      </c>
      <c r="F2763" s="3" t="s">
        <v>28</v>
      </c>
      <c r="G2763" s="3" t="s">
        <v>130</v>
      </c>
      <c r="H2763" s="2" t="s">
        <v>21</v>
      </c>
      <c r="I2763" s="2" t="s">
        <v>7710</v>
      </c>
      <c r="J2763" s="3" t="str">
        <f>HYPERLINK("https://www.boe.es/gazeta/dias/1812/04/16/pdfs/GMD-1812-107.pdf#page=4","Abrir facsímil")</f>
        <v>Abrir facsímil</v>
      </c>
      <c r="K2763" s="3" t="s">
        <v>23</v>
      </c>
    </row>
    <row r="2764" spans="1:11" ht="42" customHeight="1">
      <c r="A2764" s="2" t="s">
        <v>7711</v>
      </c>
      <c r="B2764" s="2" t="s">
        <v>7712</v>
      </c>
      <c r="C2764" s="2" t="s">
        <v>82</v>
      </c>
      <c r="D2764" s="2" t="s">
        <v>275</v>
      </c>
      <c r="E2764" s="4">
        <v>-31940</v>
      </c>
      <c r="F2764" s="3" t="s">
        <v>187</v>
      </c>
      <c r="G2764" s="3" t="s">
        <v>404</v>
      </c>
      <c r="H2764" s="2" t="s">
        <v>21</v>
      </c>
      <c r="I2764" s="2" t="s">
        <v>7713</v>
      </c>
      <c r="J2764" s="3" t="str">
        <f>HYPERLINK("https://www.boe.es/gazeta/dias/1812/07/19/pdfs/GMD-1812-201.pdf#page=4","Abrir facsímil")</f>
        <v>Abrir facsímil</v>
      </c>
      <c r="K2764" s="3" t="s">
        <v>23</v>
      </c>
    </row>
    <row r="2765" spans="1:11" ht="42" customHeight="1">
      <c r="A2765" s="2" t="s">
        <v>7714</v>
      </c>
      <c r="B2765" s="2" t="s">
        <v>7715</v>
      </c>
      <c r="C2765" s="2" t="s">
        <v>26</v>
      </c>
      <c r="D2765" s="2" t="s">
        <v>27</v>
      </c>
      <c r="E2765" s="4">
        <v>-31939</v>
      </c>
      <c r="F2765" s="3" t="s">
        <v>408</v>
      </c>
      <c r="G2765" s="3" t="s">
        <v>20</v>
      </c>
      <c r="H2765" s="2" t="s">
        <v>21</v>
      </c>
      <c r="I2765" s="2" t="s">
        <v>7716</v>
      </c>
      <c r="J2765" s="3" t="str">
        <f>HYPERLINK("https://www.boe.es/gazeta/dias/1812/07/20/pdfs/GMD-1812-202.pdf#page=4","Abrir facsímil")</f>
        <v>Abrir facsímil</v>
      </c>
      <c r="K2765" s="3" t="s">
        <v>23</v>
      </c>
    </row>
    <row r="2766" spans="1:11" ht="42" customHeight="1">
      <c r="A2766" s="2" t="s">
        <v>7717</v>
      </c>
      <c r="B2766" s="2" t="s">
        <v>7718</v>
      </c>
      <c r="C2766" s="2" t="s">
        <v>26</v>
      </c>
      <c r="D2766" s="2" t="s">
        <v>194</v>
      </c>
      <c r="E2766" s="4">
        <v>-31964</v>
      </c>
      <c r="F2766" s="3" t="s">
        <v>305</v>
      </c>
      <c r="G2766" s="3" t="s">
        <v>306</v>
      </c>
      <c r="H2766" s="2" t="s">
        <v>21</v>
      </c>
      <c r="I2766" s="2" t="s">
        <v>7719</v>
      </c>
      <c r="J2766" s="3" t="str">
        <f>HYPERLINK("https://www.boe.es/gazeta/dias/1812/06/25/pdfs/GMD-1812-177.pdf#page=3","Abrir facsímil")</f>
        <v>Abrir facsímil</v>
      </c>
      <c r="K2766" s="3" t="s">
        <v>23</v>
      </c>
    </row>
    <row r="2767" spans="1:11" ht="42" customHeight="1">
      <c r="A2767" s="2" t="s">
        <v>7720</v>
      </c>
      <c r="B2767" s="2" t="s">
        <v>7721</v>
      </c>
      <c r="C2767" s="2" t="s">
        <v>67</v>
      </c>
      <c r="D2767" s="2" t="s">
        <v>27</v>
      </c>
      <c r="E2767" s="4">
        <v>-32110</v>
      </c>
      <c r="F2767" s="3" t="s">
        <v>68</v>
      </c>
      <c r="G2767" s="3" t="s">
        <v>20</v>
      </c>
      <c r="H2767" s="2" t="s">
        <v>21</v>
      </c>
      <c r="I2767" s="2" t="s">
        <v>7722</v>
      </c>
      <c r="J2767" s="3" t="str">
        <f>HYPERLINK("https://www.boe.es/gazeta/dias/1812/01/31/pdfs/GMD-1812-31.pdf#page=3","Abrir facsímil")</f>
        <v>Abrir facsímil</v>
      </c>
      <c r="K2767" s="3" t="s">
        <v>23</v>
      </c>
    </row>
    <row r="2768" spans="1:11" ht="42" customHeight="1">
      <c r="A2768" s="2" t="s">
        <v>7723</v>
      </c>
      <c r="B2768" s="2" t="s">
        <v>7724</v>
      </c>
      <c r="C2768" s="2" t="s">
        <v>17</v>
      </c>
      <c r="D2768" s="2" t="s">
        <v>134</v>
      </c>
      <c r="E2768" s="4">
        <v>-31955</v>
      </c>
      <c r="F2768" s="3" t="s">
        <v>135</v>
      </c>
      <c r="G2768" s="3" t="s">
        <v>136</v>
      </c>
      <c r="H2768" s="2" t="s">
        <v>21</v>
      </c>
      <c r="I2768" s="2" t="s">
        <v>7725</v>
      </c>
      <c r="J2768" s="3" t="str">
        <f>HYPERLINK("https://www.boe.es/gazeta/dias/1812/07/04/pdfs/GRE-F-1812-82.pdf#page=8","Abrir facsímil")</f>
        <v>Abrir facsímil</v>
      </c>
      <c r="K2768" s="3" t="s">
        <v>23</v>
      </c>
    </row>
    <row r="2769" spans="1:11" ht="42" customHeight="1">
      <c r="A2769" s="2" t="s">
        <v>7726</v>
      </c>
      <c r="B2769" s="2" t="s">
        <v>7727</v>
      </c>
      <c r="C2769" s="2" t="s">
        <v>26</v>
      </c>
      <c r="D2769" s="2" t="s">
        <v>27</v>
      </c>
      <c r="E2769" s="4">
        <v>-32050</v>
      </c>
      <c r="F2769" s="3" t="s">
        <v>864</v>
      </c>
      <c r="G2769" s="3" t="s">
        <v>29</v>
      </c>
      <c r="H2769" s="2" t="s">
        <v>21</v>
      </c>
      <c r="I2769" s="2" t="s">
        <v>7728</v>
      </c>
      <c r="J2769" s="3" t="str">
        <f>HYPERLINK("https://www.boe.es/gazeta/dias/1812/03/31/pdfs/GRE-1812-40.pdf#page=8","Abrir facsímil")</f>
        <v>Abrir facsímil</v>
      </c>
      <c r="K2769" s="3" t="s">
        <v>23</v>
      </c>
    </row>
    <row r="2770" spans="1:11" ht="42" customHeight="1">
      <c r="A2770" s="2" t="s">
        <v>7729</v>
      </c>
      <c r="B2770" s="2" t="s">
        <v>7730</v>
      </c>
      <c r="C2770" s="2" t="s">
        <v>26</v>
      </c>
      <c r="D2770" s="2" t="s">
        <v>27</v>
      </c>
      <c r="E2770" s="4">
        <v>-32004</v>
      </c>
      <c r="F2770" s="3" t="s">
        <v>148</v>
      </c>
      <c r="G2770" s="3" t="s">
        <v>214</v>
      </c>
      <c r="H2770" s="2" t="s">
        <v>21</v>
      </c>
      <c r="I2770" s="2" t="s">
        <v>7731</v>
      </c>
      <c r="J2770" s="3" t="str">
        <f>HYPERLINK("https://www.boe.es/gazeta/dias/1812/05/16/pdfs/GRE-1812-61.pdf#page=5","Abrir facsímil")</f>
        <v>Abrir facsímil</v>
      </c>
      <c r="K2770" s="3" t="s">
        <v>23</v>
      </c>
    </row>
    <row r="2771" spans="1:11" ht="42" customHeight="1">
      <c r="A2771" s="2" t="s">
        <v>7732</v>
      </c>
      <c r="B2771" s="2" t="s">
        <v>7733</v>
      </c>
      <c r="C2771" s="2" t="s">
        <v>186</v>
      </c>
      <c r="D2771" s="2" t="s">
        <v>27</v>
      </c>
      <c r="E2771" s="4">
        <v>-32090</v>
      </c>
      <c r="F2771" s="3" t="s">
        <v>142</v>
      </c>
      <c r="G2771" s="3" t="s">
        <v>29</v>
      </c>
      <c r="H2771" s="2" t="s">
        <v>21</v>
      </c>
      <c r="I2771" s="2" t="s">
        <v>7734</v>
      </c>
      <c r="J2771" s="3" t="str">
        <f>HYPERLINK("https://www.boe.es/gazeta/dias/1812/02/20/pdfs/GRE-1812-22.pdf#page=8","Abrir facsímil")</f>
        <v>Abrir facsímil</v>
      </c>
      <c r="K2771" s="3" t="s">
        <v>23</v>
      </c>
    </row>
    <row r="2772" spans="1:11" ht="42" customHeight="1">
      <c r="A2772" s="2" t="s">
        <v>7735</v>
      </c>
      <c r="B2772" s="2" t="s">
        <v>7736</v>
      </c>
      <c r="C2772" s="2" t="s">
        <v>26</v>
      </c>
      <c r="D2772" s="2" t="s">
        <v>573</v>
      </c>
      <c r="E2772" s="4">
        <v>-31900</v>
      </c>
      <c r="F2772" s="3" t="s">
        <v>276</v>
      </c>
      <c r="G2772" s="3" t="s">
        <v>277</v>
      </c>
      <c r="H2772" s="2" t="s">
        <v>21</v>
      </c>
      <c r="I2772" s="2" t="s">
        <v>7737</v>
      </c>
      <c r="J2772" s="3" t="str">
        <f>HYPERLINK("https://www.boe.es/gazeta/dias/1812/08/28/pdfs/GRE-1812-113E.pdf#page=8","Abrir facsímil")</f>
        <v>Abrir facsímil</v>
      </c>
      <c r="K2772" s="3" t="s">
        <v>23</v>
      </c>
    </row>
    <row r="2773" spans="1:11" ht="42" customHeight="1">
      <c r="A2773" s="2" t="s">
        <v>7738</v>
      </c>
      <c r="B2773" s="2" t="s">
        <v>7739</v>
      </c>
      <c r="C2773" s="2" t="s">
        <v>26</v>
      </c>
      <c r="D2773" s="2" t="s">
        <v>27</v>
      </c>
      <c r="E2773" s="4">
        <v>-32106</v>
      </c>
      <c r="F2773" s="3" t="s">
        <v>166</v>
      </c>
      <c r="G2773" s="3" t="s">
        <v>7740</v>
      </c>
      <c r="H2773" s="2" t="s">
        <v>21</v>
      </c>
      <c r="I2773" s="2" t="s">
        <v>7741</v>
      </c>
      <c r="J2773" s="3" t="str">
        <f>HYPERLINK("https://www.boe.es/gazeta/dias/1812/02/04/pdfs/GRE-1812-15.pdf#page=3","Abrir facsímil")</f>
        <v>Abrir facsímil</v>
      </c>
      <c r="K2773" s="3" t="s">
        <v>23</v>
      </c>
    </row>
    <row r="2774" spans="1:11" ht="42" customHeight="1">
      <c r="A2774" s="2" t="s">
        <v>7742</v>
      </c>
      <c r="B2774" s="2" t="s">
        <v>7743</v>
      </c>
      <c r="C2774" s="2" t="s">
        <v>26</v>
      </c>
      <c r="D2774" s="2" t="s">
        <v>27</v>
      </c>
      <c r="E2774" s="4">
        <v>-31938</v>
      </c>
      <c r="F2774" s="3" t="s">
        <v>324</v>
      </c>
      <c r="G2774" s="3" t="s">
        <v>237</v>
      </c>
      <c r="H2774" s="2" t="s">
        <v>21</v>
      </c>
      <c r="I2774" s="2" t="s">
        <v>7744</v>
      </c>
      <c r="J2774" s="3" t="str">
        <f>HYPERLINK("https://www.boe.es/gazeta/dias/1812/07/21/pdfs/GMD-1812-203.pdf#page=2","Abrir facsímil")</f>
        <v>Abrir facsímil</v>
      </c>
      <c r="K2774" s="3" t="s">
        <v>23</v>
      </c>
    </row>
    <row r="2775" spans="1:11" ht="42" customHeight="1">
      <c r="A2775" s="2" t="s">
        <v>7745</v>
      </c>
      <c r="B2775" s="2" t="s">
        <v>7746</v>
      </c>
      <c r="C2775" s="2" t="s">
        <v>26</v>
      </c>
      <c r="D2775" s="2" t="s">
        <v>27</v>
      </c>
      <c r="E2775" s="4">
        <v>-31939</v>
      </c>
      <c r="F2775" s="3" t="s">
        <v>408</v>
      </c>
      <c r="G2775" s="3" t="s">
        <v>20</v>
      </c>
      <c r="H2775" s="2" t="s">
        <v>21</v>
      </c>
      <c r="I2775" s="2" t="s">
        <v>7747</v>
      </c>
      <c r="J2775" s="3" t="str">
        <f>HYPERLINK("https://www.boe.es/gazeta/dias/1812/07/20/pdfs/GMD-1812-202.pdf#page=4","Abrir facsímil")</f>
        <v>Abrir facsímil</v>
      </c>
      <c r="K2775" s="3" t="s">
        <v>23</v>
      </c>
    </row>
    <row r="2776" spans="1:11" ht="42" customHeight="1">
      <c r="A2776" s="2" t="s">
        <v>7745</v>
      </c>
      <c r="B2776" s="2" t="s">
        <v>7746</v>
      </c>
      <c r="C2776" s="2" t="s">
        <v>26</v>
      </c>
      <c r="D2776" s="2" t="s">
        <v>27</v>
      </c>
      <c r="E2776" s="4">
        <v>-31938</v>
      </c>
      <c r="F2776" s="3" t="s">
        <v>370</v>
      </c>
      <c r="G2776" s="3" t="s">
        <v>371</v>
      </c>
      <c r="H2776" s="2" t="s">
        <v>21</v>
      </c>
      <c r="I2776" s="2" t="s">
        <v>7748</v>
      </c>
      <c r="J2776" s="3" t="str">
        <f>HYPERLINK("https://www.boe.es/gazeta/dias/1812/07/21/pdfs/GRE-1812-91.pdf#page=8","Abrir facsímil")</f>
        <v>Abrir facsímil</v>
      </c>
      <c r="K2776" s="3" t="s">
        <v>23</v>
      </c>
    </row>
    <row r="2777" spans="1:11" ht="42" customHeight="1">
      <c r="A2777" s="2" t="s">
        <v>7749</v>
      </c>
      <c r="B2777" s="2" t="s">
        <v>7749</v>
      </c>
      <c r="C2777" s="2" t="s">
        <v>17</v>
      </c>
      <c r="D2777" s="2" t="s">
        <v>27</v>
      </c>
      <c r="E2777" s="4">
        <v>-31908</v>
      </c>
      <c r="F2777" s="3" t="s">
        <v>835</v>
      </c>
      <c r="G2777" s="3" t="s">
        <v>5298</v>
      </c>
      <c r="H2777" s="2" t="s">
        <v>21</v>
      </c>
      <c r="I2777" s="2" t="s">
        <v>7750</v>
      </c>
      <c r="J2777" s="3" t="str">
        <f>HYPERLINK("https://www.boe.es/gazeta/dias/1812/08/20/pdfs/GRE-1812-107.pdf#page=5","Abrir facsímil")</f>
        <v>Abrir facsímil</v>
      </c>
      <c r="K2777" s="3" t="s">
        <v>23</v>
      </c>
    </row>
    <row r="2778" spans="1:11" ht="42" customHeight="1">
      <c r="A2778" s="2" t="s">
        <v>7751</v>
      </c>
      <c r="B2778" s="2" t="s">
        <v>7752</v>
      </c>
      <c r="C2778" s="2" t="s">
        <v>26</v>
      </c>
      <c r="D2778" s="2" t="s">
        <v>27</v>
      </c>
      <c r="E2778" s="4">
        <v>-31875</v>
      </c>
      <c r="F2778" s="3" t="s">
        <v>708</v>
      </c>
      <c r="G2778" s="3" t="s">
        <v>58</v>
      </c>
      <c r="H2778" s="2" t="s">
        <v>21</v>
      </c>
      <c r="I2778" s="2" t="s">
        <v>7753</v>
      </c>
      <c r="J2778" s="3" t="str">
        <f>HYPERLINK("https://www.boe.es/gazeta/dias/1812/09/22/pdfs/GMR-1812-17.pdf#page=9","Abrir facsímil")</f>
        <v>Abrir facsímil</v>
      </c>
      <c r="K2778" s="3" t="s">
        <v>23</v>
      </c>
    </row>
    <row r="2779" spans="1:11" ht="42" customHeight="1">
      <c r="A2779" s="2" t="s">
        <v>7754</v>
      </c>
      <c r="B2779" s="2" t="s">
        <v>7754</v>
      </c>
      <c r="C2779" s="2" t="s">
        <v>17</v>
      </c>
      <c r="D2779" s="2" t="s">
        <v>18</v>
      </c>
      <c r="E2779" s="4">
        <v>-32095</v>
      </c>
      <c r="F2779" s="3" t="s">
        <v>181</v>
      </c>
      <c r="G2779" s="3" t="s">
        <v>777</v>
      </c>
      <c r="H2779" s="2" t="s">
        <v>21</v>
      </c>
      <c r="I2779" s="2" t="s">
        <v>7755</v>
      </c>
      <c r="J2779" s="3" t="str">
        <f>HYPERLINK("https://www.boe.es/gazeta/dias/1812/02/15/pdfs/GMD-1812-47.pdf#page=3","Abrir facsímil")</f>
        <v>Abrir facsímil</v>
      </c>
      <c r="K2779" s="3" t="s">
        <v>23</v>
      </c>
    </row>
    <row r="2780" spans="1:11" ht="42" customHeight="1">
      <c r="A2780" s="2" t="s">
        <v>7754</v>
      </c>
      <c r="B2780" s="2" t="s">
        <v>7754</v>
      </c>
      <c r="C2780" s="2" t="s">
        <v>17</v>
      </c>
      <c r="D2780" s="2" t="s">
        <v>18</v>
      </c>
      <c r="E2780" s="4">
        <v>-32094</v>
      </c>
      <c r="F2780" s="3" t="s">
        <v>181</v>
      </c>
      <c r="G2780" s="3" t="s">
        <v>777</v>
      </c>
      <c r="H2780" s="2" t="s">
        <v>21</v>
      </c>
      <c r="I2780" s="2" t="s">
        <v>7755</v>
      </c>
      <c r="J2780" s="3" t="str">
        <f>HYPERLINK("https://www.boe.es/gazeta/dias/1812/02/16/pdfs/GMD-1812-47.pdf#page=3","Abrir facsímil")</f>
        <v>Abrir facsímil</v>
      </c>
      <c r="K2780" s="3" t="s">
        <v>23</v>
      </c>
    </row>
    <row r="2781" spans="1:11" ht="42" customHeight="1">
      <c r="A2781" s="2" t="s">
        <v>7756</v>
      </c>
      <c r="B2781" s="2" t="s">
        <v>7756</v>
      </c>
      <c r="C2781" s="2" t="s">
        <v>17</v>
      </c>
      <c r="D2781" s="2" t="s">
        <v>18</v>
      </c>
      <c r="E2781" s="4">
        <v>-32132</v>
      </c>
      <c r="F2781" s="3" t="s">
        <v>441</v>
      </c>
      <c r="G2781" s="3" t="s">
        <v>125</v>
      </c>
      <c r="H2781" s="2" t="s">
        <v>21</v>
      </c>
      <c r="I2781" s="2" t="s">
        <v>7757</v>
      </c>
      <c r="J2781" s="3" t="str">
        <f>HYPERLINK("https://www.boe.es/gazeta/dias/1812/01/09/pdfs/GMD-1812-9.pdf#page=3","Abrir facsímil")</f>
        <v>Abrir facsímil</v>
      </c>
      <c r="K2781" s="3" t="s">
        <v>23</v>
      </c>
    </row>
    <row r="2782" spans="1:11" ht="42" customHeight="1">
      <c r="A2782" s="2" t="s">
        <v>7758</v>
      </c>
      <c r="B2782" s="2" t="s">
        <v>7758</v>
      </c>
      <c r="C2782" s="2" t="s">
        <v>26</v>
      </c>
      <c r="D2782" s="2" t="s">
        <v>27</v>
      </c>
      <c r="E2782" s="4">
        <v>-32062</v>
      </c>
      <c r="F2782" s="3" t="s">
        <v>280</v>
      </c>
      <c r="G2782" s="3" t="s">
        <v>20</v>
      </c>
      <c r="H2782" s="2" t="s">
        <v>21</v>
      </c>
      <c r="I2782" s="2" t="s">
        <v>7759</v>
      </c>
      <c r="J2782" s="3" t="str">
        <f>HYPERLINK("https://www.boe.es/gazeta/dias/1812/03/19/pdfs/GMD-1812-79.pdf#page=4","Abrir facsímil")</f>
        <v>Abrir facsímil</v>
      </c>
      <c r="K2782" s="3" t="s">
        <v>23</v>
      </c>
    </row>
    <row r="2783" spans="1:11" ht="42" customHeight="1">
      <c r="A2783" s="2" t="s">
        <v>7758</v>
      </c>
      <c r="B2783" s="2" t="s">
        <v>7758</v>
      </c>
      <c r="C2783" s="2" t="s">
        <v>26</v>
      </c>
      <c r="D2783" s="2" t="s">
        <v>275</v>
      </c>
      <c r="E2783" s="4">
        <v>-31922</v>
      </c>
      <c r="F2783" s="3" t="s">
        <v>375</v>
      </c>
      <c r="G2783" s="3" t="s">
        <v>6978</v>
      </c>
      <c r="H2783" s="2" t="s">
        <v>21</v>
      </c>
      <c r="I2783" s="2" t="s">
        <v>7760</v>
      </c>
      <c r="J2783" s="3" t="str">
        <f>HYPERLINK("https://www.boe.es/gazeta/dias/1812/08/06/pdfs/GRE-1812-100.pdf#page=6","Abrir facsímil")</f>
        <v>Abrir facsímil</v>
      </c>
      <c r="K2783" s="3" t="s">
        <v>23</v>
      </c>
    </row>
    <row r="2784" spans="1:11" ht="42" customHeight="1">
      <c r="A2784" s="2" t="s">
        <v>7761</v>
      </c>
      <c r="B2784" s="2" t="s">
        <v>7762</v>
      </c>
      <c r="C2784" s="2" t="s">
        <v>49</v>
      </c>
      <c r="D2784" s="2" t="s">
        <v>18</v>
      </c>
      <c r="E2784" s="4">
        <v>-31822</v>
      </c>
      <c r="F2784" s="3" t="s">
        <v>541</v>
      </c>
      <c r="G2784" s="3" t="s">
        <v>1459</v>
      </c>
      <c r="H2784" s="2" t="s">
        <v>30</v>
      </c>
      <c r="I2784" s="2" t="s">
        <v>7763</v>
      </c>
      <c r="J2784" s="3" t="str">
        <f>HYPERLINK("https://www.boe.es/gazeta/dias/1812/11/14/pdfs/GRE-1812-152.pdf#page=8","Abrir facsímil")</f>
        <v>Abrir facsímil</v>
      </c>
      <c r="K2784" s="3" t="s">
        <v>32</v>
      </c>
    </row>
    <row r="2785" spans="1:11" ht="42" customHeight="1">
      <c r="A2785" s="2" t="s">
        <v>7764</v>
      </c>
      <c r="B2785" s="2" t="s">
        <v>7764</v>
      </c>
      <c r="C2785" s="2" t="s">
        <v>17</v>
      </c>
      <c r="D2785" s="2" t="s">
        <v>18</v>
      </c>
      <c r="E2785" s="4">
        <v>-32125</v>
      </c>
      <c r="F2785" s="3" t="s">
        <v>7016</v>
      </c>
      <c r="G2785" s="3" t="s">
        <v>36</v>
      </c>
      <c r="H2785" s="2" t="s">
        <v>21</v>
      </c>
      <c r="I2785" s="2" t="s">
        <v>7765</v>
      </c>
      <c r="J2785" s="3" t="str">
        <f>HYPERLINK("https://www.boe.es/gazeta/dias/1812/01/16/pdfs/GMD-1812-16.pdf#page=3","Abrir facsímil")</f>
        <v>Abrir facsímil</v>
      </c>
      <c r="K2785" s="3" t="s">
        <v>23</v>
      </c>
    </row>
    <row r="2786" spans="1:11" ht="42" customHeight="1">
      <c r="A2786" s="2" t="s">
        <v>7764</v>
      </c>
      <c r="B2786" s="2" t="s">
        <v>7764</v>
      </c>
      <c r="C2786" s="2" t="s">
        <v>26</v>
      </c>
      <c r="D2786" s="2" t="s">
        <v>27</v>
      </c>
      <c r="E2786" s="4">
        <v>-31953</v>
      </c>
      <c r="F2786" s="3" t="s">
        <v>2940</v>
      </c>
      <c r="G2786" s="3" t="s">
        <v>130</v>
      </c>
      <c r="H2786" s="2" t="s">
        <v>21</v>
      </c>
      <c r="I2786" s="2" t="s">
        <v>7766</v>
      </c>
      <c r="J2786" s="3" t="str">
        <f>HYPERLINK("https://www.boe.es/gazeta/dias/1812/07/06/pdfs/GMD-1812-188.pdf#page=4","Abrir facsímil")</f>
        <v>Abrir facsímil</v>
      </c>
      <c r="K2786" s="3" t="s">
        <v>23</v>
      </c>
    </row>
    <row r="2787" spans="1:11" ht="42" customHeight="1">
      <c r="A2787" s="2" t="s">
        <v>7767</v>
      </c>
      <c r="B2787" s="2" t="s">
        <v>7768</v>
      </c>
      <c r="C2787" s="2" t="s">
        <v>26</v>
      </c>
      <c r="D2787" s="2" t="s">
        <v>27</v>
      </c>
      <c r="E2787" s="4">
        <v>-31978</v>
      </c>
      <c r="F2787" s="3" t="s">
        <v>1790</v>
      </c>
      <c r="G2787" s="3" t="s">
        <v>1791</v>
      </c>
      <c r="H2787" s="2" t="s">
        <v>21</v>
      </c>
      <c r="I2787" s="2" t="s">
        <v>7769</v>
      </c>
      <c r="J2787" s="3" t="str">
        <f>HYPERLINK("https://www.boe.es/gazeta/dias/1812/06/11/pdfs/GRE-1812-72.pdf#page=8","Abrir facsímil")</f>
        <v>Abrir facsímil</v>
      </c>
      <c r="K2787" s="3" t="s">
        <v>23</v>
      </c>
    </row>
    <row r="2788" spans="1:11" ht="42" customHeight="1">
      <c r="A2788" s="2" t="s">
        <v>7770</v>
      </c>
      <c r="B2788" s="2" t="s">
        <v>7770</v>
      </c>
      <c r="C2788" s="2" t="s">
        <v>17</v>
      </c>
      <c r="D2788" s="2" t="s">
        <v>194</v>
      </c>
      <c r="E2788" s="4">
        <v>-32029</v>
      </c>
      <c r="F2788" s="3" t="s">
        <v>176</v>
      </c>
      <c r="G2788" s="3" t="s">
        <v>7771</v>
      </c>
      <c r="H2788" s="2" t="s">
        <v>21</v>
      </c>
      <c r="I2788" s="2" t="s">
        <v>7772</v>
      </c>
      <c r="J2788" s="3" t="str">
        <f>HYPERLINK("https://www.boe.es/gazeta/dias/1812/04/21/pdfs/GRE-1812-50.pdf#page=6","Abrir facsímil")</f>
        <v>Abrir facsímil</v>
      </c>
      <c r="K2788" s="3" t="s">
        <v>23</v>
      </c>
    </row>
    <row r="2789" spans="1:11" ht="42" customHeight="1">
      <c r="A2789" s="2" t="s">
        <v>7773</v>
      </c>
      <c r="B2789" s="2" t="s">
        <v>7773</v>
      </c>
      <c r="C2789" s="2" t="s">
        <v>17</v>
      </c>
      <c r="D2789" s="2" t="s">
        <v>27</v>
      </c>
      <c r="E2789" s="4">
        <v>-31928</v>
      </c>
      <c r="F2789" s="3" t="s">
        <v>7417</v>
      </c>
      <c r="G2789" s="3" t="s">
        <v>3409</v>
      </c>
      <c r="H2789" s="2" t="s">
        <v>21</v>
      </c>
      <c r="I2789" s="2" t="s">
        <v>7774</v>
      </c>
      <c r="J2789" s="3" t="str">
        <f>HYPERLINK("https://www.boe.es/gazeta/dias/1812/07/31/pdfs/GMD-1812-213.pdf#page=1","Abrir facsímil")</f>
        <v>Abrir facsímil</v>
      </c>
      <c r="K2789" s="3" t="s">
        <v>23</v>
      </c>
    </row>
    <row r="2790" spans="1:11" ht="42" customHeight="1">
      <c r="A2790" s="2" t="s">
        <v>7775</v>
      </c>
      <c r="B2790" s="2" t="s">
        <v>7775</v>
      </c>
      <c r="C2790" s="2" t="s">
        <v>26</v>
      </c>
      <c r="D2790" s="2" t="s">
        <v>27</v>
      </c>
      <c r="E2790" s="4">
        <v>-32114</v>
      </c>
      <c r="F2790" s="3" t="s">
        <v>480</v>
      </c>
      <c r="G2790" s="3" t="s">
        <v>237</v>
      </c>
      <c r="H2790" s="2" t="s">
        <v>21</v>
      </c>
      <c r="I2790" s="2" t="s">
        <v>7776</v>
      </c>
      <c r="J2790" s="3" t="str">
        <f>HYPERLINK("https://www.boe.es/gazeta/dias/1812/01/27/pdfs/GMD-1812-27.pdf#page=3","Abrir facsímil")</f>
        <v>Abrir facsímil</v>
      </c>
      <c r="K2790" s="3" t="s">
        <v>23</v>
      </c>
    </row>
    <row r="2791" spans="1:11" ht="42" customHeight="1">
      <c r="A2791" s="2" t="s">
        <v>7775</v>
      </c>
      <c r="B2791" s="2" t="s">
        <v>7775</v>
      </c>
      <c r="C2791" s="2" t="s">
        <v>105</v>
      </c>
      <c r="D2791" s="2" t="s">
        <v>27</v>
      </c>
      <c r="E2791" s="4">
        <v>-31973</v>
      </c>
      <c r="F2791" s="3" t="s">
        <v>1735</v>
      </c>
      <c r="G2791" s="3" t="s">
        <v>7777</v>
      </c>
      <c r="H2791" s="2" t="s">
        <v>21</v>
      </c>
      <c r="I2791" s="2" t="s">
        <v>7778</v>
      </c>
      <c r="J2791" s="3" t="str">
        <f>HYPERLINK("https://www.boe.es/gazeta/dias/1812/06/16/pdfs/GRE-1812-74.pdf#page=3","Abrir facsímil")</f>
        <v>Abrir facsímil</v>
      </c>
      <c r="K2791" s="3" t="s">
        <v>23</v>
      </c>
    </row>
    <row r="2792" spans="1:11" ht="42" customHeight="1">
      <c r="A2792" s="2" t="s">
        <v>7775</v>
      </c>
      <c r="B2792" s="2" t="s">
        <v>7775</v>
      </c>
      <c r="C2792" s="2" t="s">
        <v>26</v>
      </c>
      <c r="D2792" s="2" t="s">
        <v>27</v>
      </c>
      <c r="E2792" s="4">
        <v>-31955</v>
      </c>
      <c r="F2792" s="3" t="s">
        <v>789</v>
      </c>
      <c r="G2792" s="3" t="s">
        <v>237</v>
      </c>
      <c r="H2792" s="2" t="s">
        <v>21</v>
      </c>
      <c r="I2792" s="2" t="s">
        <v>7779</v>
      </c>
      <c r="J2792" s="3" t="str">
        <f>HYPERLINK("https://www.boe.es/gazeta/dias/1812/07/04/pdfs/GRE-1812-82.pdf#page=8","Abrir facsímil")</f>
        <v>Abrir facsímil</v>
      </c>
      <c r="K2792" s="3" t="s">
        <v>23</v>
      </c>
    </row>
    <row r="2793" spans="1:11" ht="42" customHeight="1">
      <c r="A2793" s="2" t="s">
        <v>7780</v>
      </c>
      <c r="B2793" s="2" t="s">
        <v>7781</v>
      </c>
      <c r="C2793" s="2" t="s">
        <v>67</v>
      </c>
      <c r="D2793" s="2" t="s">
        <v>27</v>
      </c>
      <c r="E2793" s="4">
        <v>-32095</v>
      </c>
      <c r="F2793" s="3" t="s">
        <v>284</v>
      </c>
      <c r="G2793" s="3" t="s">
        <v>29</v>
      </c>
      <c r="H2793" s="2" t="s">
        <v>21</v>
      </c>
      <c r="I2793" s="2" t="s">
        <v>7782</v>
      </c>
      <c r="J2793" s="3" t="str">
        <f>HYPERLINK("https://www.boe.es/gazeta/dias/1812/02/15/pdfs/GRE-1812-20.pdf#page=8","Abrir facsímil")</f>
        <v>Abrir facsímil</v>
      </c>
      <c r="K2793" s="3" t="s">
        <v>23</v>
      </c>
    </row>
    <row r="2794" spans="1:11" ht="42" customHeight="1">
      <c r="A2794" s="2" t="s">
        <v>7783</v>
      </c>
      <c r="B2794" s="2" t="s">
        <v>7783</v>
      </c>
      <c r="C2794" s="2" t="s">
        <v>105</v>
      </c>
      <c r="D2794" s="2" t="s">
        <v>194</v>
      </c>
      <c r="E2794" s="4">
        <v>-31936</v>
      </c>
      <c r="F2794" s="3" t="s">
        <v>614</v>
      </c>
      <c r="G2794" s="3" t="s">
        <v>6860</v>
      </c>
      <c r="H2794" s="2" t="s">
        <v>21</v>
      </c>
      <c r="I2794" s="2" t="s">
        <v>7784</v>
      </c>
      <c r="J2794" s="3" t="str">
        <f>HYPERLINK("https://www.boe.es/gazeta/dias/1812/07/23/pdfs/GRE-1812-92.pdf#page=4","Abrir facsímil")</f>
        <v>Abrir facsímil</v>
      </c>
      <c r="K2794" s="3" t="s">
        <v>23</v>
      </c>
    </row>
    <row r="2795" spans="1:11" ht="42" customHeight="1">
      <c r="A2795" s="2" t="s">
        <v>7785</v>
      </c>
      <c r="B2795" s="2" t="s">
        <v>7785</v>
      </c>
      <c r="C2795" s="2" t="s">
        <v>17</v>
      </c>
      <c r="D2795" s="2" t="s">
        <v>27</v>
      </c>
      <c r="E2795" s="4">
        <v>-31917</v>
      </c>
      <c r="F2795" s="3" t="s">
        <v>946</v>
      </c>
      <c r="G2795" s="3" t="s">
        <v>947</v>
      </c>
      <c r="H2795" s="2" t="s">
        <v>21</v>
      </c>
      <c r="I2795" s="2" t="s">
        <v>7786</v>
      </c>
      <c r="J2795" s="3" t="str">
        <f>HYPERLINK("https://www.boe.es/gazeta/dias/1812/08/11/pdfs/GRE-1812-103.pdf#page=8","Abrir facsímil")</f>
        <v>Abrir facsímil</v>
      </c>
      <c r="K2795" s="3" t="s">
        <v>23</v>
      </c>
    </row>
    <row r="2796" spans="1:11" ht="42" customHeight="1">
      <c r="A2796" s="2" t="s">
        <v>7787</v>
      </c>
      <c r="B2796" s="2" t="s">
        <v>7787</v>
      </c>
      <c r="C2796" s="2" t="s">
        <v>17</v>
      </c>
      <c r="D2796" s="2" t="s">
        <v>18</v>
      </c>
      <c r="E2796" s="4">
        <v>-32063</v>
      </c>
      <c r="F2796" s="3" t="s">
        <v>384</v>
      </c>
      <c r="G2796" s="3" t="s">
        <v>125</v>
      </c>
      <c r="H2796" s="2" t="s">
        <v>21</v>
      </c>
      <c r="I2796" s="2" t="s">
        <v>7788</v>
      </c>
      <c r="J2796" s="3" t="str">
        <f>HYPERLINK("https://www.boe.es/gazeta/dias/1812/03/18/pdfs/GMD-1812-78.pdf#page=3","Abrir facsímil")</f>
        <v>Abrir facsímil</v>
      </c>
      <c r="K2796" s="3" t="s">
        <v>23</v>
      </c>
    </row>
    <row r="2797" spans="1:11" ht="42" customHeight="1">
      <c r="A2797" s="2" t="s">
        <v>7789</v>
      </c>
      <c r="B2797" s="2" t="s">
        <v>7789</v>
      </c>
      <c r="C2797" s="2" t="s">
        <v>17</v>
      </c>
      <c r="D2797" s="2" t="s">
        <v>27</v>
      </c>
      <c r="E2797" s="4">
        <v>-32109</v>
      </c>
      <c r="F2797" s="3" t="s">
        <v>62</v>
      </c>
      <c r="G2797" s="3" t="s">
        <v>317</v>
      </c>
      <c r="H2797" s="2" t="s">
        <v>21</v>
      </c>
      <c r="I2797" s="2" t="s">
        <v>7790</v>
      </c>
      <c r="J2797" s="3" t="str">
        <f>HYPERLINK("https://www.boe.es/gazeta/dias/1812/02/01/pdfs/GRE-1812-14.pdf#page=6","Abrir facsímil")</f>
        <v>Abrir facsímil</v>
      </c>
      <c r="K2797" s="3" t="s">
        <v>23</v>
      </c>
    </row>
    <row r="2798" spans="1:11" ht="42" customHeight="1">
      <c r="A2798" s="2" t="s">
        <v>7791</v>
      </c>
      <c r="B2798" s="2" t="s">
        <v>7792</v>
      </c>
      <c r="C2798" s="2" t="s">
        <v>49</v>
      </c>
      <c r="D2798" s="2" t="s">
        <v>27</v>
      </c>
      <c r="E2798" s="4">
        <v>-32075</v>
      </c>
      <c r="F2798" s="3" t="s">
        <v>301</v>
      </c>
      <c r="G2798" s="3" t="s">
        <v>20</v>
      </c>
      <c r="H2798" s="2" t="s">
        <v>21</v>
      </c>
      <c r="I2798" s="2" t="s">
        <v>7793</v>
      </c>
      <c r="J2798" s="3" t="str">
        <f>HYPERLINK("https://www.boe.es/gazeta/dias/1812/03/06/pdfs/GMD-1812-66.pdf#page=4","Abrir facsímil")</f>
        <v>Abrir facsímil</v>
      </c>
      <c r="K2798" s="3" t="s">
        <v>23</v>
      </c>
    </row>
    <row r="2799" spans="1:11" ht="42" customHeight="1">
      <c r="A2799" s="2" t="s">
        <v>7794</v>
      </c>
      <c r="B2799" s="2" t="s">
        <v>7795</v>
      </c>
      <c r="C2799" s="2" t="s">
        <v>115</v>
      </c>
      <c r="D2799" s="2" t="s">
        <v>275</v>
      </c>
      <c r="E2799" s="4">
        <v>-32041</v>
      </c>
      <c r="F2799" s="3" t="s">
        <v>35</v>
      </c>
      <c r="G2799" s="3" t="s">
        <v>7796</v>
      </c>
      <c r="H2799" s="2" t="s">
        <v>21</v>
      </c>
      <c r="I2799" s="2" t="s">
        <v>7797</v>
      </c>
      <c r="J2799" s="3" t="str">
        <f>HYPERLINK("https://www.boe.es/gazeta/dias/1812/04/09/pdfs/GRE-1812-44.pdf#page=7","Abrir facsímil")</f>
        <v>Abrir facsímil</v>
      </c>
      <c r="K2799" s="3" t="s">
        <v>23</v>
      </c>
    </row>
    <row r="2800" spans="1:11" ht="42" customHeight="1">
      <c r="A2800" s="2" t="s">
        <v>7798</v>
      </c>
      <c r="B2800" s="2" t="s">
        <v>7798</v>
      </c>
      <c r="C2800" s="2" t="s">
        <v>17</v>
      </c>
      <c r="D2800" s="2" t="s">
        <v>194</v>
      </c>
      <c r="E2800" s="4">
        <v>-31903</v>
      </c>
      <c r="F2800" s="3" t="s">
        <v>2720</v>
      </c>
      <c r="G2800" s="3" t="s">
        <v>7799</v>
      </c>
      <c r="H2800" s="2" t="s">
        <v>21</v>
      </c>
      <c r="I2800" s="2" t="s">
        <v>7800</v>
      </c>
      <c r="J2800" s="3" t="str">
        <f>HYPERLINK("https://www.boe.es/gazeta/dias/1812/08/25/pdfs/GRE-1812-110.pdf#page=1","Abrir facsímil")</f>
        <v>Abrir facsímil</v>
      </c>
      <c r="K2800" s="3" t="s">
        <v>23</v>
      </c>
    </row>
    <row r="2801" spans="1:11" ht="42" customHeight="1">
      <c r="A2801" s="2" t="s">
        <v>7801</v>
      </c>
      <c r="B2801" s="2" t="s">
        <v>7801</v>
      </c>
      <c r="C2801" s="2" t="s">
        <v>17</v>
      </c>
      <c r="D2801" s="2" t="s">
        <v>27</v>
      </c>
      <c r="E2801" s="4">
        <v>-31972</v>
      </c>
      <c r="F2801" s="3" t="s">
        <v>4596</v>
      </c>
      <c r="G2801" s="3" t="s">
        <v>7802</v>
      </c>
      <c r="H2801" s="2" t="s">
        <v>21</v>
      </c>
      <c r="I2801" s="2" t="s">
        <v>7803</v>
      </c>
      <c r="J2801" s="3" t="str">
        <f>HYPERLINK("https://www.boe.es/gazeta/dias/1812/06/17/pdfs/GMD-1812-169.pdf#page=1","Abrir facsímil")</f>
        <v>Abrir facsímil</v>
      </c>
      <c r="K2801" s="3" t="s">
        <v>23</v>
      </c>
    </row>
    <row r="2802" spans="1:11" ht="42" customHeight="1">
      <c r="A2802" s="2" t="s">
        <v>7804</v>
      </c>
      <c r="B2802" s="2" t="s">
        <v>7805</v>
      </c>
      <c r="C2802" s="2" t="s">
        <v>115</v>
      </c>
      <c r="D2802" s="2" t="s">
        <v>27</v>
      </c>
      <c r="E2802" s="4">
        <v>-31963</v>
      </c>
      <c r="F2802" s="3" t="s">
        <v>171</v>
      </c>
      <c r="G2802" s="3" t="s">
        <v>172</v>
      </c>
      <c r="H2802" s="2" t="s">
        <v>30</v>
      </c>
      <c r="I2802" s="2" t="s">
        <v>7806</v>
      </c>
      <c r="J2802" s="3" t="str">
        <f>HYPERLINK("https://www.boe.es/gazeta/dias/1812/06/26/pdfs/GMD-1812-178.pdf#page=3","Abrir facsímil")</f>
        <v>Abrir facsímil</v>
      </c>
      <c r="K2802" s="3" t="s">
        <v>32</v>
      </c>
    </row>
    <row r="2803" spans="1:11" ht="42" customHeight="1">
      <c r="A2803" s="2" t="s">
        <v>7807</v>
      </c>
      <c r="B2803" s="2" t="s">
        <v>7808</v>
      </c>
      <c r="C2803" s="2" t="s">
        <v>26</v>
      </c>
      <c r="D2803" s="2" t="s">
        <v>27</v>
      </c>
      <c r="E2803" s="4">
        <v>-31964</v>
      </c>
      <c r="F2803" s="3" t="s">
        <v>93</v>
      </c>
      <c r="G2803" s="3" t="s">
        <v>794</v>
      </c>
      <c r="H2803" s="2" t="s">
        <v>30</v>
      </c>
      <c r="I2803" s="2" t="s">
        <v>7809</v>
      </c>
      <c r="J2803" s="3" t="str">
        <f>HYPERLINK("https://www.boe.es/gazeta/dias/1812/06/25/pdfs/GRE-1812-78.pdf#page=7","Abrir facsímil")</f>
        <v>Abrir facsímil</v>
      </c>
      <c r="K2803" s="3" t="s">
        <v>32</v>
      </c>
    </row>
    <row r="2804" spans="1:11" ht="42" customHeight="1">
      <c r="A2804" s="2" t="s">
        <v>7810</v>
      </c>
      <c r="B2804" s="2" t="s">
        <v>7811</v>
      </c>
      <c r="C2804" s="2" t="s">
        <v>26</v>
      </c>
      <c r="D2804" s="2" t="s">
        <v>275</v>
      </c>
      <c r="E2804" s="4">
        <v>-32085</v>
      </c>
      <c r="F2804" s="3" t="s">
        <v>3321</v>
      </c>
      <c r="G2804" s="3" t="s">
        <v>336</v>
      </c>
      <c r="H2804" s="2" t="s">
        <v>21</v>
      </c>
      <c r="I2804" s="2" t="s">
        <v>7812</v>
      </c>
      <c r="J2804" s="3" t="str">
        <f>HYPERLINK("https://www.boe.es/gazeta/dias/1812/02/25/pdfs/GRE-1812-25.pdf#page=8","Abrir facsímil")</f>
        <v>Abrir facsímil</v>
      </c>
      <c r="K2804" s="3" t="s">
        <v>23</v>
      </c>
    </row>
    <row r="2805" spans="1:11" ht="42" customHeight="1">
      <c r="A2805" s="2" t="s">
        <v>7813</v>
      </c>
      <c r="B2805" s="2" t="s">
        <v>7814</v>
      </c>
      <c r="C2805" s="2" t="s">
        <v>17</v>
      </c>
      <c r="D2805" s="2" t="s">
        <v>18</v>
      </c>
      <c r="E2805" s="4">
        <v>-31892</v>
      </c>
      <c r="F2805" s="3" t="s">
        <v>1825</v>
      </c>
      <c r="G2805" s="3" t="s">
        <v>2156</v>
      </c>
      <c r="H2805" s="2" t="s">
        <v>30</v>
      </c>
      <c r="I2805" s="2" t="s">
        <v>7815</v>
      </c>
      <c r="J2805" s="3" t="str">
        <f>HYPERLINK("https://www.boe.es/gazeta/dias/1812/09/05/pdfs/GMR-1812-10.pdf#page=10","Abrir facsímil")</f>
        <v>Abrir facsímil</v>
      </c>
      <c r="K2805" s="3" t="s">
        <v>32</v>
      </c>
    </row>
    <row r="2806" spans="1:11" ht="42" customHeight="1">
      <c r="A2806" s="2" t="s">
        <v>7816</v>
      </c>
      <c r="B2806" s="2" t="s">
        <v>7817</v>
      </c>
      <c r="C2806" s="2" t="s">
        <v>26</v>
      </c>
      <c r="D2806" s="2" t="s">
        <v>27</v>
      </c>
      <c r="E2806" s="4">
        <v>-32032</v>
      </c>
      <c r="F2806" s="3" t="s">
        <v>531</v>
      </c>
      <c r="G2806" s="3" t="s">
        <v>140</v>
      </c>
      <c r="H2806" s="2" t="s">
        <v>21</v>
      </c>
      <c r="I2806" s="2" t="s">
        <v>7818</v>
      </c>
      <c r="J2806" s="3" t="str">
        <f>HYPERLINK("https://www.boe.es/gazeta/dias/1812/04/18/pdfs/GMD-1812-109.pdf#page=2","Abrir facsímil")</f>
        <v>Abrir facsímil</v>
      </c>
      <c r="K2806" s="3" t="s">
        <v>23</v>
      </c>
    </row>
    <row r="2807" spans="1:11" ht="42" customHeight="1">
      <c r="A2807" s="2" t="s">
        <v>7819</v>
      </c>
      <c r="B2807" s="2" t="s">
        <v>7820</v>
      </c>
      <c r="C2807" s="2" t="s">
        <v>26</v>
      </c>
      <c r="D2807" s="2" t="s">
        <v>27</v>
      </c>
      <c r="E2807" s="4">
        <v>-32137</v>
      </c>
      <c r="F2807" s="3" t="s">
        <v>355</v>
      </c>
      <c r="G2807" s="3" t="s">
        <v>117</v>
      </c>
      <c r="H2807" s="2" t="s">
        <v>21</v>
      </c>
      <c r="I2807" s="2" t="s">
        <v>7821</v>
      </c>
      <c r="J2807" s="3" t="str">
        <f>HYPERLINK("https://www.boe.es/gazeta/dias/1812/01/04/pdfs/GEI-1812-2.pdf#page=8","Abrir facsímil")</f>
        <v>Abrir facsímil</v>
      </c>
      <c r="K2807" s="3" t="s">
        <v>23</v>
      </c>
    </row>
    <row r="2808" spans="1:11" ht="42" customHeight="1">
      <c r="A2808" s="2" t="s">
        <v>7822</v>
      </c>
      <c r="B2808" s="2" t="s">
        <v>7822</v>
      </c>
      <c r="C2808" s="2" t="s">
        <v>17</v>
      </c>
      <c r="D2808" s="2" t="s">
        <v>18</v>
      </c>
      <c r="E2808" s="4">
        <v>-31859</v>
      </c>
      <c r="F2808" s="3" t="s">
        <v>3024</v>
      </c>
      <c r="G2808" s="3" t="s">
        <v>172</v>
      </c>
      <c r="H2808" s="2" t="s">
        <v>21</v>
      </c>
      <c r="I2808" s="2" t="s">
        <v>7823</v>
      </c>
      <c r="J2808" s="3" t="str">
        <f>HYPERLINK("https://www.boe.es/gazeta/dias/1812/10/08/pdfs/GRE-1812-136.pdf#page=4","Abrir facsímil")</f>
        <v>Abrir facsímil</v>
      </c>
      <c r="K2808" s="3" t="s">
        <v>23</v>
      </c>
    </row>
    <row r="2809" spans="1:11" ht="42" customHeight="1">
      <c r="A2809" s="2" t="s">
        <v>7824</v>
      </c>
      <c r="B2809" s="2" t="s">
        <v>7824</v>
      </c>
      <c r="C2809" s="2" t="s">
        <v>17</v>
      </c>
      <c r="D2809" s="2" t="s">
        <v>27</v>
      </c>
      <c r="E2809" s="4">
        <v>-31829</v>
      </c>
      <c r="F2809" s="3" t="s">
        <v>328</v>
      </c>
      <c r="G2809" s="3" t="s">
        <v>217</v>
      </c>
      <c r="H2809" s="2" t="s">
        <v>21</v>
      </c>
      <c r="I2809" s="2" t="s">
        <v>7825</v>
      </c>
      <c r="J2809" s="3" t="str">
        <f>HYPERLINK("https://www.boe.es/gazeta/dias/1812/11/07/pdfs/GMD-1812-227.pdf#page=2","Abrir facsímil")</f>
        <v>Abrir facsímil</v>
      </c>
      <c r="K2809" s="3" t="s">
        <v>23</v>
      </c>
    </row>
    <row r="2810" spans="1:11" ht="42" customHeight="1">
      <c r="A2810" s="2" t="s">
        <v>7826</v>
      </c>
      <c r="B2810" s="2" t="s">
        <v>7826</v>
      </c>
      <c r="C2810" s="2" t="s">
        <v>17</v>
      </c>
      <c r="D2810" s="2" t="s">
        <v>18</v>
      </c>
      <c r="E2810" s="4">
        <v>-31782</v>
      </c>
      <c r="F2810" s="3" t="s">
        <v>860</v>
      </c>
      <c r="G2810" s="3" t="s">
        <v>2379</v>
      </c>
      <c r="H2810" s="2" t="s">
        <v>21</v>
      </c>
      <c r="I2810" s="2" t="s">
        <v>7827</v>
      </c>
      <c r="J2810" s="3" t="str">
        <f>HYPERLINK("https://www.boe.es/gazeta/dias/1812/12/24/pdfs/GRE-1812-169.pdf#page=1","Abrir facsímil")</f>
        <v>Abrir facsímil</v>
      </c>
      <c r="K2810" s="3" t="s">
        <v>23</v>
      </c>
    </row>
    <row r="2811" spans="1:11" ht="42" customHeight="1">
      <c r="A2811" s="2" t="s">
        <v>7828</v>
      </c>
      <c r="B2811" s="2" t="s">
        <v>7828</v>
      </c>
      <c r="C2811" s="2" t="s">
        <v>17</v>
      </c>
      <c r="D2811" s="2" t="s">
        <v>27</v>
      </c>
      <c r="E2811" s="4">
        <v>-31854</v>
      </c>
      <c r="F2811" s="3" t="s">
        <v>717</v>
      </c>
      <c r="G2811" s="3" t="s">
        <v>7829</v>
      </c>
      <c r="H2811" s="2" t="s">
        <v>21</v>
      </c>
      <c r="I2811" s="2" t="s">
        <v>7830</v>
      </c>
      <c r="J2811" s="3" t="str">
        <f>HYPERLINK("https://www.boe.es/gazeta/dias/1812/10/13/pdfs/GRE-1812-138.pdf#page=4","Abrir facsímil")</f>
        <v>Abrir facsímil</v>
      </c>
      <c r="K2811" s="3" t="s">
        <v>23</v>
      </c>
    </row>
    <row r="2812" spans="1:11" ht="42" customHeight="1">
      <c r="A2812" s="2" t="s">
        <v>7831</v>
      </c>
      <c r="B2812" s="2" t="s">
        <v>7831</v>
      </c>
      <c r="C2812" s="2" t="s">
        <v>17</v>
      </c>
      <c r="D2812" s="2" t="s">
        <v>27</v>
      </c>
      <c r="E2812" s="4">
        <v>-31896</v>
      </c>
      <c r="F2812" s="3" t="s">
        <v>1808</v>
      </c>
      <c r="G2812" s="3" t="s">
        <v>58</v>
      </c>
      <c r="H2812" s="2" t="s">
        <v>21</v>
      </c>
      <c r="I2812" s="2" t="s">
        <v>7832</v>
      </c>
      <c r="J2812" s="3" t="str">
        <f>HYPERLINK("https://www.boe.es/gazeta/dias/1812/09/01/pdfs/GMR-1812-8.pdf#page=3","Abrir facsímil")</f>
        <v>Abrir facsímil</v>
      </c>
      <c r="K2812" s="3" t="s">
        <v>23</v>
      </c>
    </row>
    <row r="2813" spans="1:11" ht="42" customHeight="1">
      <c r="A2813" s="2" t="s">
        <v>7831</v>
      </c>
      <c r="B2813" s="2" t="s">
        <v>7831</v>
      </c>
      <c r="C2813" s="2" t="s">
        <v>17</v>
      </c>
      <c r="D2813" s="2" t="s">
        <v>18</v>
      </c>
      <c r="E2813" s="4">
        <v>-31889</v>
      </c>
      <c r="F2813" s="3" t="s">
        <v>699</v>
      </c>
      <c r="G2813" s="3" t="s">
        <v>7833</v>
      </c>
      <c r="H2813" s="2" t="s">
        <v>21</v>
      </c>
      <c r="I2813" s="2" t="s">
        <v>7834</v>
      </c>
      <c r="J2813" s="3" t="str">
        <f>HYPERLINK("https://www.boe.es/gazeta/dias/1812/09/08/pdfs/GMR-1812-11.pdf#page=3","Abrir facsímil")</f>
        <v>Abrir facsímil</v>
      </c>
      <c r="K2813" s="3" t="s">
        <v>23</v>
      </c>
    </row>
    <row r="2814" spans="1:11" ht="42" customHeight="1">
      <c r="A2814" s="2" t="s">
        <v>7831</v>
      </c>
      <c r="B2814" s="2" t="s">
        <v>7831</v>
      </c>
      <c r="C2814" s="2" t="s">
        <v>17</v>
      </c>
      <c r="D2814" s="2" t="s">
        <v>18</v>
      </c>
      <c r="E2814" s="4">
        <v>-31889</v>
      </c>
      <c r="F2814" s="3" t="s">
        <v>699</v>
      </c>
      <c r="G2814" s="3" t="s">
        <v>7835</v>
      </c>
      <c r="H2814" s="2" t="s">
        <v>21</v>
      </c>
      <c r="I2814" s="2" t="s">
        <v>7836</v>
      </c>
      <c r="J2814" s="3" t="str">
        <f>HYPERLINK("https://www.boe.es/gazeta/dias/1812/09/08/pdfs/GMR-1812-11.pdf#page=4","Abrir facsímil")</f>
        <v>Abrir facsímil</v>
      </c>
      <c r="K2814" s="3" t="s">
        <v>23</v>
      </c>
    </row>
    <row r="2815" spans="1:11" ht="42" customHeight="1">
      <c r="A2815" s="2" t="s">
        <v>7831</v>
      </c>
      <c r="B2815" s="2" t="s">
        <v>7831</v>
      </c>
      <c r="C2815" s="2" t="s">
        <v>17</v>
      </c>
      <c r="D2815" s="2" t="s">
        <v>18</v>
      </c>
      <c r="E2815" s="4">
        <v>-31868</v>
      </c>
      <c r="F2815" s="3" t="s">
        <v>1833</v>
      </c>
      <c r="G2815" s="3" t="s">
        <v>2280</v>
      </c>
      <c r="H2815" s="2" t="s">
        <v>21</v>
      </c>
      <c r="I2815" s="2" t="s">
        <v>7837</v>
      </c>
      <c r="J2815" s="3" t="str">
        <f>HYPERLINK("https://www.boe.es/gazeta/dias/1812/09/29/pdfs/GMR-1812-20.pdf#page=1","Abrir facsímil")</f>
        <v>Abrir facsímil</v>
      </c>
      <c r="K2815" s="3" t="s">
        <v>23</v>
      </c>
    </row>
    <row r="2816" spans="1:11" ht="42" customHeight="1">
      <c r="A2816" s="2" t="s">
        <v>7831</v>
      </c>
      <c r="B2816" s="2" t="s">
        <v>7831</v>
      </c>
      <c r="C2816" s="2" t="s">
        <v>17</v>
      </c>
      <c r="D2816" s="2" t="s">
        <v>27</v>
      </c>
      <c r="E2816" s="4">
        <v>-31782</v>
      </c>
      <c r="F2816" s="3" t="s">
        <v>860</v>
      </c>
      <c r="G2816" s="3" t="s">
        <v>140</v>
      </c>
      <c r="H2816" s="2" t="s">
        <v>21</v>
      </c>
      <c r="I2816" s="2" t="s">
        <v>7838</v>
      </c>
      <c r="J2816" s="3" t="str">
        <f>HYPERLINK("https://www.boe.es/gazeta/dias/1812/12/24/pdfs/GRE-1812-169.pdf#page=2","Abrir facsímil")</f>
        <v>Abrir facsímil</v>
      </c>
      <c r="K2816" s="3" t="s">
        <v>23</v>
      </c>
    </row>
    <row r="2817" spans="1:11" ht="42" customHeight="1">
      <c r="A2817" s="2" t="s">
        <v>7839</v>
      </c>
      <c r="B2817" s="2" t="s">
        <v>7840</v>
      </c>
      <c r="C2817" s="2" t="s">
        <v>17</v>
      </c>
      <c r="D2817" s="2" t="s">
        <v>27</v>
      </c>
      <c r="E2817" s="4">
        <v>-32095</v>
      </c>
      <c r="F2817" s="3" t="s">
        <v>181</v>
      </c>
      <c r="G2817" s="3" t="s">
        <v>777</v>
      </c>
      <c r="H2817" s="2" t="s">
        <v>21</v>
      </c>
      <c r="I2817" s="2" t="s">
        <v>7841</v>
      </c>
      <c r="J2817" s="3" t="str">
        <f>HYPERLINK("https://www.boe.es/gazeta/dias/1812/02/15/pdfs/GMD-1812-47.pdf#page=3","Abrir facsímil")</f>
        <v>Abrir facsímil</v>
      </c>
      <c r="K2817" s="3" t="s">
        <v>23</v>
      </c>
    </row>
    <row r="2818" spans="1:11" ht="42" customHeight="1">
      <c r="A2818" s="2" t="s">
        <v>7839</v>
      </c>
      <c r="B2818" s="2" t="s">
        <v>7840</v>
      </c>
      <c r="C2818" s="2" t="s">
        <v>17</v>
      </c>
      <c r="D2818" s="2" t="s">
        <v>27</v>
      </c>
      <c r="E2818" s="4">
        <v>-32094</v>
      </c>
      <c r="F2818" s="3" t="s">
        <v>181</v>
      </c>
      <c r="G2818" s="3" t="s">
        <v>777</v>
      </c>
      <c r="H2818" s="2" t="s">
        <v>21</v>
      </c>
      <c r="I2818" s="2" t="s">
        <v>7841</v>
      </c>
      <c r="J2818" s="3" t="str">
        <f>HYPERLINK("https://www.boe.es/gazeta/dias/1812/02/16/pdfs/GMD-1812-47.pdf#page=3","Abrir facsímil")</f>
        <v>Abrir facsímil</v>
      </c>
      <c r="K2818" s="3" t="s">
        <v>23</v>
      </c>
    </row>
    <row r="2819" spans="1:11" ht="42" customHeight="1">
      <c r="A2819" s="2" t="s">
        <v>7842</v>
      </c>
      <c r="B2819" s="2" t="s">
        <v>7842</v>
      </c>
      <c r="C2819" s="2" t="s">
        <v>17</v>
      </c>
      <c r="D2819" s="2" t="s">
        <v>18</v>
      </c>
      <c r="E2819" s="4">
        <v>-31892</v>
      </c>
      <c r="F2819" s="3" t="s">
        <v>1825</v>
      </c>
      <c r="G2819" s="3" t="s">
        <v>217</v>
      </c>
      <c r="H2819" s="2" t="s">
        <v>21</v>
      </c>
      <c r="I2819" s="2" t="s">
        <v>7843</v>
      </c>
      <c r="J2819" s="3" t="str">
        <f>HYPERLINK("https://www.boe.es/gazeta/dias/1812/09/05/pdfs/GMR-1812-10.pdf#page=7","Abrir facsímil")</f>
        <v>Abrir facsímil</v>
      </c>
      <c r="K2819" s="3" t="s">
        <v>23</v>
      </c>
    </row>
    <row r="2820" spans="1:11" ht="42" customHeight="1">
      <c r="A2820" s="2" t="s">
        <v>7844</v>
      </c>
      <c r="B2820" s="2" t="s">
        <v>7844</v>
      </c>
      <c r="C2820" s="2" t="s">
        <v>17</v>
      </c>
      <c r="D2820" s="2" t="s">
        <v>27</v>
      </c>
      <c r="E2820" s="4">
        <v>-32026</v>
      </c>
      <c r="F2820" s="3" t="s">
        <v>7845</v>
      </c>
      <c r="G2820" s="3" t="s">
        <v>6350</v>
      </c>
      <c r="H2820" s="2" t="s">
        <v>21</v>
      </c>
      <c r="I2820" s="2" t="s">
        <v>7846</v>
      </c>
      <c r="J2820" s="3" t="str">
        <f>HYPERLINK("https://www.boe.es/gazeta/dias/1812/04/24/pdfs/GMD-1812-115.pdf#page=2","Abrir facsímil")</f>
        <v>Abrir facsímil</v>
      </c>
      <c r="K2820" s="3" t="s">
        <v>23</v>
      </c>
    </row>
    <row r="2821" spans="1:11" ht="42" customHeight="1">
      <c r="A2821" s="2" t="s">
        <v>7847</v>
      </c>
      <c r="B2821" s="2" t="s">
        <v>7848</v>
      </c>
      <c r="C2821" s="2" t="s">
        <v>26</v>
      </c>
      <c r="D2821" s="2" t="s">
        <v>27</v>
      </c>
      <c r="E2821" s="4">
        <v>-32111</v>
      </c>
      <c r="F2821" s="3" t="s">
        <v>553</v>
      </c>
      <c r="G2821" s="3" t="s">
        <v>514</v>
      </c>
      <c r="H2821" s="2" t="s">
        <v>21</v>
      </c>
      <c r="I2821" s="2" t="s">
        <v>7849</v>
      </c>
      <c r="J2821" s="3" t="str">
        <f>HYPERLINK("https://www.boe.es/gazeta/dias/1812/01/30/pdfs/GRE-1812-13.pdf#page=3","Abrir facsímil")</f>
        <v>Abrir facsímil</v>
      </c>
      <c r="K2821" s="3" t="s">
        <v>23</v>
      </c>
    </row>
    <row r="2822" spans="1:11" ht="42" customHeight="1">
      <c r="A2822" s="2" t="s">
        <v>7850</v>
      </c>
      <c r="B2822" s="2" t="s">
        <v>7851</v>
      </c>
      <c r="C2822" s="2" t="s">
        <v>105</v>
      </c>
      <c r="D2822" s="2" t="s">
        <v>275</v>
      </c>
      <c r="E2822" s="4">
        <v>-31901</v>
      </c>
      <c r="F2822" s="3" t="s">
        <v>590</v>
      </c>
      <c r="G2822" s="3" t="s">
        <v>674</v>
      </c>
      <c r="H2822" s="2" t="s">
        <v>21</v>
      </c>
      <c r="I2822" s="2" t="s">
        <v>7852</v>
      </c>
      <c r="J2822" s="3" t="str">
        <f>HYPERLINK("https://www.boe.es/gazeta/dias/1812/08/27/pdfs/GMR-1812-6.pdf#page=6","Abrir facsímil")</f>
        <v>Abrir facsímil</v>
      </c>
      <c r="K2822" s="3" t="s">
        <v>23</v>
      </c>
    </row>
    <row r="2823" spans="1:11" ht="42" customHeight="1">
      <c r="A2823" s="2" t="s">
        <v>7853</v>
      </c>
      <c r="B2823" s="2" t="s">
        <v>7854</v>
      </c>
      <c r="C2823" s="2" t="s">
        <v>26</v>
      </c>
      <c r="D2823" s="2" t="s">
        <v>27</v>
      </c>
      <c r="E2823" s="4">
        <v>-31901</v>
      </c>
      <c r="F2823" s="3" t="s">
        <v>590</v>
      </c>
      <c r="G2823" s="3" t="s">
        <v>742</v>
      </c>
      <c r="H2823" s="2" t="s">
        <v>21</v>
      </c>
      <c r="I2823" s="2" t="s">
        <v>7855</v>
      </c>
      <c r="J2823" s="3" t="str">
        <f>HYPERLINK("https://www.boe.es/gazeta/dias/1812/08/27/pdfs/GMR-1812-6.pdf#page=5","Abrir facsímil")</f>
        <v>Abrir facsímil</v>
      </c>
      <c r="K2823" s="3" t="s">
        <v>23</v>
      </c>
    </row>
    <row r="2824" spans="1:11" ht="42" customHeight="1">
      <c r="A2824" s="2" t="s">
        <v>7856</v>
      </c>
      <c r="B2824" s="2" t="s">
        <v>7856</v>
      </c>
      <c r="C2824" s="2" t="s">
        <v>17</v>
      </c>
      <c r="D2824" s="2" t="s">
        <v>18</v>
      </c>
      <c r="E2824" s="4">
        <v>-31805</v>
      </c>
      <c r="F2824" s="3" t="s">
        <v>4346</v>
      </c>
      <c r="G2824" s="3" t="s">
        <v>1826</v>
      </c>
      <c r="H2824" s="2" t="s">
        <v>21</v>
      </c>
      <c r="I2824" s="2" t="s">
        <v>7857</v>
      </c>
      <c r="J2824" s="3" t="str">
        <f>HYPERLINK("https://www.boe.es/gazeta/dias/1812/12/01/pdfs/GRE-1812-159.pdf#page=5","Abrir facsímil")</f>
        <v>Abrir facsímil</v>
      </c>
      <c r="K2824" s="3" t="s">
        <v>23</v>
      </c>
    </row>
    <row r="2825" spans="1:11" ht="42" customHeight="1">
      <c r="A2825" s="2" t="s">
        <v>7858</v>
      </c>
      <c r="B2825" s="2" t="s">
        <v>7858</v>
      </c>
      <c r="C2825" s="2" t="s">
        <v>67</v>
      </c>
      <c r="D2825" s="2" t="s">
        <v>27</v>
      </c>
      <c r="E2825" s="4">
        <v>-32139</v>
      </c>
      <c r="F2825" s="3" t="s">
        <v>288</v>
      </c>
      <c r="G2825" s="3" t="s">
        <v>130</v>
      </c>
      <c r="H2825" s="2" t="s">
        <v>21</v>
      </c>
      <c r="I2825" s="2" t="s">
        <v>7859</v>
      </c>
      <c r="J2825" s="3" t="str">
        <f>HYPERLINK("https://www.boe.es/gazeta/dias/1812/01/02/pdfs/GMD-1812-2.pdf#page=4","Abrir facsímil")</f>
        <v>Abrir facsímil</v>
      </c>
      <c r="K2825" s="3" t="s">
        <v>23</v>
      </c>
    </row>
    <row r="2826" spans="1:11" ht="42" customHeight="1">
      <c r="A2826" s="2" t="s">
        <v>7858</v>
      </c>
      <c r="B2826" s="2" t="s">
        <v>7858</v>
      </c>
      <c r="C2826" s="2" t="s">
        <v>26</v>
      </c>
      <c r="D2826" s="2" t="s">
        <v>27</v>
      </c>
      <c r="E2826" s="4">
        <v>-32063</v>
      </c>
      <c r="F2826" s="3" t="s">
        <v>384</v>
      </c>
      <c r="G2826" s="3" t="s">
        <v>366</v>
      </c>
      <c r="H2826" s="2" t="s">
        <v>21</v>
      </c>
      <c r="I2826" s="2" t="s">
        <v>7860</v>
      </c>
      <c r="J2826" s="3" t="str">
        <f>HYPERLINK("https://www.boe.es/gazeta/dias/1812/03/18/pdfs/GMD-1812-78.pdf#page=2","Abrir facsímil")</f>
        <v>Abrir facsímil</v>
      </c>
      <c r="K2826" s="3" t="s">
        <v>23</v>
      </c>
    </row>
    <row r="2827" spans="1:11" ht="42" customHeight="1">
      <c r="A2827" s="2" t="s">
        <v>7858</v>
      </c>
      <c r="B2827" s="2" t="s">
        <v>7858</v>
      </c>
      <c r="C2827" s="2" t="s">
        <v>26</v>
      </c>
      <c r="D2827" s="2" t="s">
        <v>275</v>
      </c>
      <c r="E2827" s="4">
        <v>-32045</v>
      </c>
      <c r="F2827" s="3" t="s">
        <v>129</v>
      </c>
      <c r="G2827" s="3" t="s">
        <v>130</v>
      </c>
      <c r="H2827" s="2" t="s">
        <v>21</v>
      </c>
      <c r="I2827" s="2" t="s">
        <v>7861</v>
      </c>
      <c r="J2827" s="3" t="str">
        <f>HYPERLINK("https://www.boe.es/gazeta/dias/1812/04/05/pdfs/GMD-1812-96.pdf#page=4","Abrir facsímil")</f>
        <v>Abrir facsímil</v>
      </c>
      <c r="K2827" s="3" t="s">
        <v>23</v>
      </c>
    </row>
    <row r="2828" spans="1:11" ht="42" customHeight="1">
      <c r="A2828" s="2" t="s">
        <v>7858</v>
      </c>
      <c r="B2828" s="2" t="s">
        <v>7858</v>
      </c>
      <c r="C2828" s="2" t="s">
        <v>17</v>
      </c>
      <c r="D2828" s="2" t="s">
        <v>18</v>
      </c>
      <c r="E2828" s="4">
        <v>-31991</v>
      </c>
      <c r="F2828" s="3" t="s">
        <v>663</v>
      </c>
      <c r="G2828" s="3" t="s">
        <v>404</v>
      </c>
      <c r="H2828" s="2" t="s">
        <v>21</v>
      </c>
      <c r="I2828" s="2" t="s">
        <v>7862</v>
      </c>
      <c r="J2828" s="3" t="str">
        <f>HYPERLINK("https://www.boe.es/gazeta/dias/1812/05/29/pdfs/GMD-1812-150.pdf#page=4","Abrir facsímil")</f>
        <v>Abrir facsímil</v>
      </c>
      <c r="K2828" s="3" t="s">
        <v>23</v>
      </c>
    </row>
    <row r="2829" spans="1:11" ht="42" customHeight="1">
      <c r="A2829" s="2" t="s">
        <v>7863</v>
      </c>
      <c r="B2829" s="2" t="s">
        <v>7864</v>
      </c>
      <c r="C2829" s="2" t="s">
        <v>26</v>
      </c>
      <c r="D2829" s="2" t="s">
        <v>27</v>
      </c>
      <c r="E2829" s="4">
        <v>-32015</v>
      </c>
      <c r="F2829" s="3" t="s">
        <v>77</v>
      </c>
      <c r="G2829" s="3" t="s">
        <v>78</v>
      </c>
      <c r="H2829" s="2" t="s">
        <v>21</v>
      </c>
      <c r="I2829" s="2" t="s">
        <v>7865</v>
      </c>
      <c r="J2829" s="3" t="str">
        <f>HYPERLINK("https://www.boe.es/gazeta/dias/1812/05/05/pdfs/GRE-1812-56.pdf#page=8","Abrir facsímil")</f>
        <v>Abrir facsímil</v>
      </c>
      <c r="K2829" s="3" t="s">
        <v>23</v>
      </c>
    </row>
    <row r="2830" spans="1:11" ht="42" customHeight="1">
      <c r="A2830" s="2" t="s">
        <v>7866</v>
      </c>
      <c r="B2830" s="2" t="s">
        <v>7867</v>
      </c>
      <c r="C2830" s="2" t="s">
        <v>26</v>
      </c>
      <c r="D2830" s="2" t="s">
        <v>27</v>
      </c>
      <c r="E2830" s="4">
        <v>-32125</v>
      </c>
      <c r="F2830" s="3" t="s">
        <v>964</v>
      </c>
      <c r="G2830" s="3" t="s">
        <v>1842</v>
      </c>
      <c r="H2830" s="2" t="s">
        <v>21</v>
      </c>
      <c r="I2830" s="2" t="s">
        <v>7868</v>
      </c>
      <c r="J2830" s="3" t="str">
        <f>HYPERLINK("https://www.boe.es/gazeta/dias/1812/01/16/pdfs/GEI-H-1812-7.pdf#page=4","Abrir facsímil")</f>
        <v>Abrir facsímil</v>
      </c>
      <c r="K2830" s="3" t="s">
        <v>23</v>
      </c>
    </row>
    <row r="2831" spans="1:11" ht="42" customHeight="1">
      <c r="A2831" s="2" t="s">
        <v>7869</v>
      </c>
      <c r="B2831" s="2" t="s">
        <v>7870</v>
      </c>
      <c r="C2831" s="2" t="s">
        <v>105</v>
      </c>
      <c r="D2831" s="2" t="s">
        <v>27</v>
      </c>
      <c r="E2831" s="4">
        <v>-32139</v>
      </c>
      <c r="F2831" s="3" t="s">
        <v>518</v>
      </c>
      <c r="G2831" s="3" t="s">
        <v>125</v>
      </c>
      <c r="H2831" s="2" t="s">
        <v>21</v>
      </c>
      <c r="I2831" s="2" t="s">
        <v>7871</v>
      </c>
      <c r="J2831" s="3" t="str">
        <f>HYPERLINK("https://www.boe.es/gazeta/dias/1812/01/02/pdfs/GEI-1812-1.pdf#page=8","Abrir facsímil")</f>
        <v>Abrir facsímil</v>
      </c>
      <c r="K2831" s="3" t="s">
        <v>23</v>
      </c>
    </row>
    <row r="2832" spans="1:11" ht="42" customHeight="1">
      <c r="A2832" s="2" t="s">
        <v>7872</v>
      </c>
      <c r="B2832" s="2" t="s">
        <v>7873</v>
      </c>
      <c r="C2832" s="2" t="s">
        <v>26</v>
      </c>
      <c r="D2832" s="2" t="s">
        <v>27</v>
      </c>
      <c r="E2832" s="4">
        <v>-32034</v>
      </c>
      <c r="F2832" s="3" t="s">
        <v>28</v>
      </c>
      <c r="G2832" s="3" t="s">
        <v>317</v>
      </c>
      <c r="H2832" s="2" t="s">
        <v>21</v>
      </c>
      <c r="I2832" s="2" t="s">
        <v>7874</v>
      </c>
      <c r="J2832" s="3" t="str">
        <f>HYPERLINK("https://www.boe.es/gazeta/dias/1812/04/16/pdfs/GMD-1812-107.pdf#page=6","Abrir facsímil")</f>
        <v>Abrir facsímil</v>
      </c>
      <c r="K2832" s="3" t="s">
        <v>23</v>
      </c>
    </row>
    <row r="2833" spans="1:11" ht="42" customHeight="1">
      <c r="A2833" s="2" t="s">
        <v>7875</v>
      </c>
      <c r="B2833" s="2" t="s">
        <v>7876</v>
      </c>
      <c r="C2833" s="2" t="s">
        <v>26</v>
      </c>
      <c r="D2833" s="2" t="s">
        <v>573</v>
      </c>
      <c r="E2833" s="4">
        <v>-31900</v>
      </c>
      <c r="F2833" s="3" t="s">
        <v>276</v>
      </c>
      <c r="G2833" s="3" t="s">
        <v>277</v>
      </c>
      <c r="H2833" s="2" t="s">
        <v>21</v>
      </c>
      <c r="I2833" s="2" t="s">
        <v>7877</v>
      </c>
      <c r="J2833" s="3" t="str">
        <f>HYPERLINK("https://www.boe.es/gazeta/dias/1812/08/28/pdfs/GRE-1812-113E.pdf#page=8","Abrir facsímil")</f>
        <v>Abrir facsímil</v>
      </c>
      <c r="K2833" s="3" t="s">
        <v>23</v>
      </c>
    </row>
    <row r="2834" spans="1:11" ht="42" customHeight="1">
      <c r="A2834" s="2" t="s">
        <v>7878</v>
      </c>
      <c r="B2834" s="2" t="s">
        <v>7879</v>
      </c>
      <c r="C2834" s="2" t="s">
        <v>17</v>
      </c>
      <c r="D2834" s="2" t="s">
        <v>18</v>
      </c>
      <c r="E2834" s="4">
        <v>-31850</v>
      </c>
      <c r="F2834" s="3" t="s">
        <v>719</v>
      </c>
      <c r="G2834" s="3" t="s">
        <v>7880</v>
      </c>
      <c r="H2834" s="2" t="s">
        <v>21</v>
      </c>
      <c r="I2834" s="2" t="s">
        <v>7881</v>
      </c>
      <c r="J2834" s="3" t="str">
        <f>HYPERLINK("https://www.boe.es/gazeta/dias/1812/10/17/pdfs/GMR-1812-28.pdf#page=7","Abrir facsímil")</f>
        <v>Abrir facsímil</v>
      </c>
      <c r="K2834" s="3" t="s">
        <v>23</v>
      </c>
    </row>
    <row r="2835" spans="1:11" ht="42" customHeight="1">
      <c r="A2835" s="2" t="s">
        <v>7878</v>
      </c>
      <c r="B2835" s="2" t="s">
        <v>7879</v>
      </c>
      <c r="C2835" s="2" t="s">
        <v>26</v>
      </c>
      <c r="D2835" s="2" t="s">
        <v>27</v>
      </c>
      <c r="E2835" s="4">
        <v>-31850</v>
      </c>
      <c r="F2835" s="3" t="s">
        <v>719</v>
      </c>
      <c r="G2835" s="3" t="s">
        <v>237</v>
      </c>
      <c r="H2835" s="2" t="s">
        <v>21</v>
      </c>
      <c r="I2835" s="2" t="s">
        <v>7882</v>
      </c>
      <c r="J2835" s="3" t="str">
        <f>HYPERLINK("https://www.boe.es/gazeta/dias/1812/10/17/pdfs/GMR-1812-28.pdf#page=8","Abrir facsímil")</f>
        <v>Abrir facsímil</v>
      </c>
      <c r="K2835" s="3" t="s">
        <v>23</v>
      </c>
    </row>
    <row r="2836" spans="1:11" ht="42" customHeight="1">
      <c r="A2836" s="2" t="s">
        <v>7878</v>
      </c>
      <c r="B2836" s="2" t="s">
        <v>7879</v>
      </c>
      <c r="C2836" s="2" t="s">
        <v>17</v>
      </c>
      <c r="D2836" s="2" t="s">
        <v>18</v>
      </c>
      <c r="E2836" s="4">
        <v>-31843</v>
      </c>
      <c r="F2836" s="3" t="s">
        <v>6436</v>
      </c>
      <c r="G2836" s="3" t="s">
        <v>7883</v>
      </c>
      <c r="H2836" s="2" t="s">
        <v>21</v>
      </c>
      <c r="I2836" s="2" t="s">
        <v>7884</v>
      </c>
      <c r="J2836" s="3" t="str">
        <f>HYPERLINK("https://www.boe.es/gazeta/dias/1812/10/24/pdfs/GRE-1812-143.pdf#page=3","Abrir facsímil")</f>
        <v>Abrir facsímil</v>
      </c>
      <c r="K2836" s="3" t="s">
        <v>23</v>
      </c>
    </row>
    <row r="2837" spans="1:11" ht="42" customHeight="1">
      <c r="A2837" s="2" t="s">
        <v>7885</v>
      </c>
      <c r="B2837" s="2" t="s">
        <v>7886</v>
      </c>
      <c r="C2837" s="2" t="s">
        <v>26</v>
      </c>
      <c r="D2837" s="2" t="s">
        <v>27</v>
      </c>
      <c r="E2837" s="4">
        <v>-31962</v>
      </c>
      <c r="F2837" s="3" t="s">
        <v>643</v>
      </c>
      <c r="G2837" s="3" t="s">
        <v>644</v>
      </c>
      <c r="H2837" s="2" t="s">
        <v>21</v>
      </c>
      <c r="I2837" s="2" t="s">
        <v>7887</v>
      </c>
      <c r="J2837" s="3" t="str">
        <f>HYPERLINK("https://www.boe.es/gazeta/dias/1812/06/27/pdfs/GMD-1812-179.pdf#page=2","Abrir facsímil")</f>
        <v>Abrir facsímil</v>
      </c>
      <c r="K2837" s="3" t="s">
        <v>23</v>
      </c>
    </row>
    <row r="2838" spans="1:11" ht="42" customHeight="1">
      <c r="A2838" s="2" t="s">
        <v>7888</v>
      </c>
      <c r="B2838" s="2" t="s">
        <v>7888</v>
      </c>
      <c r="C2838" s="2" t="s">
        <v>17</v>
      </c>
      <c r="D2838" s="2" t="s">
        <v>18</v>
      </c>
      <c r="E2838" s="4">
        <v>-32134</v>
      </c>
      <c r="F2838" s="3" t="s">
        <v>50</v>
      </c>
      <c r="G2838" s="3" t="s">
        <v>4086</v>
      </c>
      <c r="H2838" s="2" t="s">
        <v>21</v>
      </c>
      <c r="I2838" s="2" t="s">
        <v>7889</v>
      </c>
      <c r="J2838" s="3" t="str">
        <f>HYPERLINK("https://www.boe.es/gazeta/dias/1812/01/07/pdfs/GEI-1812-3.pdf#page=1","Abrir facsímil")</f>
        <v>Abrir facsímil</v>
      </c>
      <c r="K2838" s="3" t="s">
        <v>23</v>
      </c>
    </row>
    <row r="2839" spans="1:11" ht="42" customHeight="1">
      <c r="A2839" s="2" t="s">
        <v>7888</v>
      </c>
      <c r="B2839" s="2" t="s">
        <v>7888</v>
      </c>
      <c r="C2839" s="2" t="s">
        <v>26</v>
      </c>
      <c r="D2839" s="2" t="s">
        <v>27</v>
      </c>
      <c r="E2839" s="4">
        <v>-31998</v>
      </c>
      <c r="F2839" s="3" t="s">
        <v>7890</v>
      </c>
      <c r="G2839" s="3" t="s">
        <v>404</v>
      </c>
      <c r="H2839" s="2" t="s">
        <v>21</v>
      </c>
      <c r="I2839" s="2" t="s">
        <v>7891</v>
      </c>
      <c r="J2839" s="3" t="str">
        <f>HYPERLINK("https://www.boe.es/gazeta/dias/1812/05/22/pdfs/GMD-1812-143.pdf#page=4","Abrir facsímil")</f>
        <v>Abrir facsímil</v>
      </c>
      <c r="K2839" s="3" t="s">
        <v>23</v>
      </c>
    </row>
    <row r="2840" spans="1:11" ht="42" customHeight="1">
      <c r="A2840" s="2" t="s">
        <v>7888</v>
      </c>
      <c r="B2840" s="2" t="s">
        <v>7888</v>
      </c>
      <c r="C2840" s="2" t="s">
        <v>26</v>
      </c>
      <c r="D2840" s="2" t="s">
        <v>27</v>
      </c>
      <c r="E2840" s="4">
        <v>-31996</v>
      </c>
      <c r="F2840" s="3" t="s">
        <v>3706</v>
      </c>
      <c r="G2840" s="3" t="s">
        <v>214</v>
      </c>
      <c r="H2840" s="2" t="s">
        <v>21</v>
      </c>
      <c r="I2840" s="2" t="s">
        <v>7892</v>
      </c>
      <c r="J2840" s="3" t="str">
        <f>HYPERLINK("https://www.boe.es/gazeta/dias/1812/05/24/pdfs/GMD-1812-145.pdf#page=4","Abrir facsímil")</f>
        <v>Abrir facsímil</v>
      </c>
      <c r="K2840" s="3" t="s">
        <v>23</v>
      </c>
    </row>
    <row r="2841" spans="1:11" ht="42" customHeight="1">
      <c r="A2841" s="2" t="s">
        <v>7893</v>
      </c>
      <c r="B2841" s="2" t="s">
        <v>7893</v>
      </c>
      <c r="C2841" s="2" t="s">
        <v>17</v>
      </c>
      <c r="D2841" s="2" t="s">
        <v>18</v>
      </c>
      <c r="E2841" s="4">
        <v>-32089</v>
      </c>
      <c r="F2841" s="3" t="s">
        <v>1918</v>
      </c>
      <c r="G2841" s="3" t="s">
        <v>1919</v>
      </c>
      <c r="H2841" s="2" t="s">
        <v>21</v>
      </c>
      <c r="I2841" s="2" t="s">
        <v>7894</v>
      </c>
      <c r="J2841" s="3" t="str">
        <f>HYPERLINK("https://www.boe.es/gazeta/dias/1812/02/21/pdfs/GMD-1812-52.pdf#page=3","Abrir facsímil")</f>
        <v>Abrir facsímil</v>
      </c>
      <c r="K2841" s="3" t="s">
        <v>23</v>
      </c>
    </row>
    <row r="2842" spans="1:11" ht="42" customHeight="1">
      <c r="A2842" s="2" t="s">
        <v>7895</v>
      </c>
      <c r="B2842" s="2" t="s">
        <v>7896</v>
      </c>
      <c r="C2842" s="2" t="s">
        <v>26</v>
      </c>
      <c r="D2842" s="2" t="s">
        <v>27</v>
      </c>
      <c r="E2842" s="4">
        <v>-31942</v>
      </c>
      <c r="F2842" s="3" t="s">
        <v>3065</v>
      </c>
      <c r="G2842" s="3" t="s">
        <v>3066</v>
      </c>
      <c r="H2842" s="2" t="s">
        <v>21</v>
      </c>
      <c r="I2842" s="2" t="s">
        <v>7897</v>
      </c>
      <c r="J2842" s="3" t="str">
        <f>HYPERLINK("https://www.boe.es/gazeta/dias/1812/07/17/pdfs/GMD-1812-199.pdf#page=3","Abrir facsímil")</f>
        <v>Abrir facsímil</v>
      </c>
      <c r="K2842" s="3" t="s">
        <v>23</v>
      </c>
    </row>
    <row r="2843" spans="1:11" ht="42" customHeight="1">
      <c r="A2843" s="2" t="s">
        <v>7898</v>
      </c>
      <c r="B2843" s="2" t="s">
        <v>7899</v>
      </c>
      <c r="C2843" s="2" t="s">
        <v>17</v>
      </c>
      <c r="D2843" s="2" t="s">
        <v>27</v>
      </c>
      <c r="E2843" s="4">
        <v>-32035</v>
      </c>
      <c r="F2843" s="3" t="s">
        <v>2646</v>
      </c>
      <c r="G2843" s="3" t="s">
        <v>45</v>
      </c>
      <c r="H2843" s="2" t="s">
        <v>30</v>
      </c>
      <c r="I2843" s="2" t="s">
        <v>7900</v>
      </c>
      <c r="J2843" s="3" t="str">
        <f>HYPERLINK("https://www.boe.es/gazeta/dias/1812/04/15/pdfs/GMD-1812-106.pdf#page=3","Abrir facsímil")</f>
        <v>Abrir facsímil</v>
      </c>
      <c r="K2843" s="3" t="s">
        <v>32</v>
      </c>
    </row>
    <row r="2844" spans="1:11" ht="42" customHeight="1">
      <c r="A2844" s="2" t="s">
        <v>7901</v>
      </c>
      <c r="B2844" s="2" t="s">
        <v>7902</v>
      </c>
      <c r="C2844" s="2" t="s">
        <v>26</v>
      </c>
      <c r="D2844" s="2" t="s">
        <v>275</v>
      </c>
      <c r="E2844" s="4">
        <v>-32040</v>
      </c>
      <c r="F2844" s="3" t="s">
        <v>682</v>
      </c>
      <c r="G2844" s="3" t="s">
        <v>214</v>
      </c>
      <c r="H2844" s="2" t="s">
        <v>30</v>
      </c>
      <c r="I2844" s="2" t="s">
        <v>7903</v>
      </c>
      <c r="J2844" s="3" t="str">
        <f>HYPERLINK("https://www.boe.es/gazeta/dias/1812/04/10/pdfs/GMD-1812-101.pdf#page=3","Abrir facsímil")</f>
        <v>Abrir facsímil</v>
      </c>
      <c r="K2844" s="3" t="s">
        <v>32</v>
      </c>
    </row>
    <row r="2845" spans="1:11" ht="42" customHeight="1">
      <c r="A2845" s="2" t="s">
        <v>7904</v>
      </c>
      <c r="B2845" s="2" t="s">
        <v>7905</v>
      </c>
      <c r="C2845" s="2" t="s">
        <v>26</v>
      </c>
      <c r="D2845" s="2" t="s">
        <v>27</v>
      </c>
      <c r="E2845" s="4">
        <v>-32081</v>
      </c>
      <c r="F2845" s="3" t="s">
        <v>232</v>
      </c>
      <c r="G2845" s="3" t="s">
        <v>233</v>
      </c>
      <c r="H2845" s="2" t="s">
        <v>21</v>
      </c>
      <c r="I2845" s="2" t="s">
        <v>7906</v>
      </c>
      <c r="J2845" s="3" t="str">
        <f>HYPERLINK("https://www.boe.es/gazeta/dias/1812/02/29/pdfs/GRE-1812-27.pdf#page=8","Abrir facsímil")</f>
        <v>Abrir facsímil</v>
      </c>
      <c r="K2845" s="3" t="s">
        <v>23</v>
      </c>
    </row>
    <row r="2846" spans="1:11" ht="42" customHeight="1">
      <c r="A2846" s="2" t="s">
        <v>7907</v>
      </c>
      <c r="B2846" s="2" t="s">
        <v>7908</v>
      </c>
      <c r="C2846" s="2" t="s">
        <v>26</v>
      </c>
      <c r="D2846" s="2" t="s">
        <v>27</v>
      </c>
      <c r="E2846" s="4">
        <v>-32003</v>
      </c>
      <c r="F2846" s="3" t="s">
        <v>585</v>
      </c>
      <c r="G2846" s="3" t="s">
        <v>404</v>
      </c>
      <c r="H2846" s="2" t="s">
        <v>21</v>
      </c>
      <c r="I2846" s="2" t="s">
        <v>7909</v>
      </c>
      <c r="J2846" s="3" t="str">
        <f>HYPERLINK("https://www.boe.es/gazeta/dias/1812/05/17/pdfs/GMD-1812-138.pdf#page=2","Abrir facsímil")</f>
        <v>Abrir facsímil</v>
      </c>
      <c r="K2846" s="3" t="s">
        <v>23</v>
      </c>
    </row>
    <row r="2847" spans="1:11" ht="42" customHeight="1">
      <c r="A2847" s="2" t="s">
        <v>7910</v>
      </c>
      <c r="B2847" s="2" t="s">
        <v>7911</v>
      </c>
      <c r="C2847" s="2" t="s">
        <v>26</v>
      </c>
      <c r="D2847" s="2" t="s">
        <v>27</v>
      </c>
      <c r="E2847" s="4">
        <v>-31857</v>
      </c>
      <c r="F2847" s="3" t="s">
        <v>1000</v>
      </c>
      <c r="G2847" s="3" t="s">
        <v>136</v>
      </c>
      <c r="H2847" s="2" t="s">
        <v>21</v>
      </c>
      <c r="I2847" s="2" t="s">
        <v>7912</v>
      </c>
      <c r="J2847" s="3" t="str">
        <f>HYPERLINK("https://www.boe.es/gazeta/dias/1812/10/10/pdfs/GRE-1812-137.pdf#page=8","Abrir facsímil")</f>
        <v>Abrir facsímil</v>
      </c>
      <c r="K2847" s="3" t="s">
        <v>23</v>
      </c>
    </row>
    <row r="2848" spans="1:11" ht="42" customHeight="1">
      <c r="A2848" s="2" t="s">
        <v>7913</v>
      </c>
      <c r="B2848" s="2" t="s">
        <v>7913</v>
      </c>
      <c r="C2848" s="2" t="s">
        <v>26</v>
      </c>
      <c r="D2848" s="2" t="s">
        <v>27</v>
      </c>
      <c r="E2848" s="4">
        <v>-32108</v>
      </c>
      <c r="F2848" s="3" t="s">
        <v>1143</v>
      </c>
      <c r="G2848" s="3" t="s">
        <v>125</v>
      </c>
      <c r="H2848" s="2" t="s">
        <v>21</v>
      </c>
      <c r="I2848" s="2" t="s">
        <v>7914</v>
      </c>
      <c r="J2848" s="3" t="str">
        <f>HYPERLINK("https://www.boe.es/gazeta/dias/1812/02/02/pdfs/GMD-1812-33.pdf#page=2","Abrir facsímil")</f>
        <v>Abrir facsímil</v>
      </c>
      <c r="K2848" s="3" t="s">
        <v>23</v>
      </c>
    </row>
    <row r="2849" spans="1:11" ht="42" customHeight="1">
      <c r="A2849" s="2" t="s">
        <v>7915</v>
      </c>
      <c r="B2849" s="2" t="s">
        <v>7915</v>
      </c>
      <c r="C2849" s="2" t="s">
        <v>17</v>
      </c>
      <c r="D2849" s="2" t="s">
        <v>18</v>
      </c>
      <c r="E2849" s="4">
        <v>-31829</v>
      </c>
      <c r="F2849" s="3" t="s">
        <v>328</v>
      </c>
      <c r="G2849" s="3" t="s">
        <v>1842</v>
      </c>
      <c r="H2849" s="2" t="s">
        <v>21</v>
      </c>
      <c r="I2849" s="2" t="s">
        <v>7916</v>
      </c>
      <c r="J2849" s="3" t="str">
        <f>HYPERLINK("https://www.boe.es/gazeta/dias/1812/11/07/pdfs/GMD-1812-227.pdf#page=3","Abrir facsímil")</f>
        <v>Abrir facsímil</v>
      </c>
      <c r="K2849" s="3" t="s">
        <v>23</v>
      </c>
    </row>
    <row r="2850" spans="1:11" ht="42" customHeight="1">
      <c r="A2850" s="2" t="s">
        <v>7917</v>
      </c>
      <c r="B2850" s="2" t="s">
        <v>7917</v>
      </c>
      <c r="C2850" s="2" t="s">
        <v>17</v>
      </c>
      <c r="D2850" s="2" t="s">
        <v>27</v>
      </c>
      <c r="E2850" s="4">
        <v>-31780</v>
      </c>
      <c r="F2850" s="3" t="s">
        <v>3317</v>
      </c>
      <c r="G2850" s="3" t="s">
        <v>7918</v>
      </c>
      <c r="H2850" s="2" t="s">
        <v>21</v>
      </c>
      <c r="I2850" s="2" t="s">
        <v>7919</v>
      </c>
      <c r="J2850" s="3" t="str">
        <f>HYPERLINK("https://www.boe.es/gazeta/dias/1812/12/26/pdfs/GRE-1812-170.pdf#page=1","Abrir facsímil")</f>
        <v>Abrir facsímil</v>
      </c>
      <c r="K2850" s="3" t="s">
        <v>23</v>
      </c>
    </row>
    <row r="2851" spans="1:11" ht="42" customHeight="1">
      <c r="A2851" s="2" t="s">
        <v>7920</v>
      </c>
      <c r="B2851" s="2" t="s">
        <v>7920</v>
      </c>
      <c r="C2851" s="2" t="s">
        <v>17</v>
      </c>
      <c r="D2851" s="2" t="s">
        <v>27</v>
      </c>
      <c r="E2851" s="4">
        <v>-31805</v>
      </c>
      <c r="F2851" s="3" t="s">
        <v>895</v>
      </c>
      <c r="G2851" s="3" t="s">
        <v>3294</v>
      </c>
      <c r="H2851" s="2" t="s">
        <v>21</v>
      </c>
      <c r="I2851" s="2" t="s">
        <v>7921</v>
      </c>
      <c r="J2851" s="3" t="str">
        <f>HYPERLINK("https://www.boe.es/gazeta/dias/1812/12/01/pdfs/GMR-1812-39.pdf#page=6","Abrir facsímil")</f>
        <v>Abrir facsímil</v>
      </c>
      <c r="K2851" s="3" t="s">
        <v>23</v>
      </c>
    </row>
    <row r="2852" spans="1:11" ht="42" customHeight="1">
      <c r="A2852" s="2" t="s">
        <v>7922</v>
      </c>
      <c r="B2852" s="2" t="s">
        <v>7922</v>
      </c>
      <c r="C2852" s="2" t="s">
        <v>17</v>
      </c>
      <c r="D2852" s="2" t="s">
        <v>27</v>
      </c>
      <c r="E2852" s="4">
        <v>-31780</v>
      </c>
      <c r="F2852" s="3" t="s">
        <v>3317</v>
      </c>
      <c r="G2852" s="3" t="s">
        <v>7918</v>
      </c>
      <c r="H2852" s="2" t="s">
        <v>21</v>
      </c>
      <c r="I2852" s="2" t="s">
        <v>7923</v>
      </c>
      <c r="J2852" s="3" t="str">
        <f>HYPERLINK("https://www.boe.es/gazeta/dias/1812/12/26/pdfs/GRE-1812-170.pdf#page=1","Abrir facsímil")</f>
        <v>Abrir facsímil</v>
      </c>
      <c r="K2852" s="3" t="s">
        <v>23</v>
      </c>
    </row>
    <row r="2853" spans="1:11" ht="42" customHeight="1">
      <c r="A2853" s="2" t="s">
        <v>7924</v>
      </c>
      <c r="B2853" s="2" t="s">
        <v>7924</v>
      </c>
      <c r="C2853" s="2" t="s">
        <v>17</v>
      </c>
      <c r="D2853" s="2" t="s">
        <v>18</v>
      </c>
      <c r="E2853" s="4">
        <v>-31782</v>
      </c>
      <c r="F2853" s="3" t="s">
        <v>860</v>
      </c>
      <c r="G2853" s="3" t="s">
        <v>2381</v>
      </c>
      <c r="H2853" s="2" t="s">
        <v>21</v>
      </c>
      <c r="I2853" s="2" t="s">
        <v>7925</v>
      </c>
      <c r="J2853" s="3" t="str">
        <f>HYPERLINK("https://www.boe.es/gazeta/dias/1812/12/24/pdfs/GRE-1812-169.pdf#page=4","Abrir facsímil")</f>
        <v>Abrir facsímil</v>
      </c>
      <c r="K2853" s="3" t="s">
        <v>23</v>
      </c>
    </row>
    <row r="2854" spans="1:11" ht="42" customHeight="1">
      <c r="A2854" s="2" t="s">
        <v>7926</v>
      </c>
      <c r="B2854" s="2" t="s">
        <v>7927</v>
      </c>
      <c r="C2854" s="2" t="s">
        <v>26</v>
      </c>
      <c r="D2854" s="2" t="s">
        <v>27</v>
      </c>
      <c r="E2854" s="4">
        <v>-32000</v>
      </c>
      <c r="F2854" s="3" t="s">
        <v>878</v>
      </c>
      <c r="G2854" s="3" t="s">
        <v>214</v>
      </c>
      <c r="H2854" s="2" t="s">
        <v>21</v>
      </c>
      <c r="I2854" s="2" t="s">
        <v>7928</v>
      </c>
      <c r="J2854" s="3" t="str">
        <f>HYPERLINK("https://www.boe.es/gazeta/dias/1812/05/20/pdfs/GMD-1812-141.pdf#page=2","Abrir facsímil")</f>
        <v>Abrir facsímil</v>
      </c>
      <c r="K2854" s="3" t="s">
        <v>23</v>
      </c>
    </row>
    <row r="2855" spans="1:11" ht="42" customHeight="1">
      <c r="A2855" s="2" t="s">
        <v>7929</v>
      </c>
      <c r="B2855" s="2" t="s">
        <v>7930</v>
      </c>
      <c r="C2855" s="2" t="s">
        <v>17</v>
      </c>
      <c r="D2855" s="2" t="s">
        <v>18</v>
      </c>
      <c r="E2855" s="4">
        <v>-31905</v>
      </c>
      <c r="F2855" s="3" t="s">
        <v>855</v>
      </c>
      <c r="G2855" s="3" t="s">
        <v>1826</v>
      </c>
      <c r="H2855" s="2" t="s">
        <v>21</v>
      </c>
      <c r="I2855" s="2" t="s">
        <v>7931</v>
      </c>
      <c r="J2855" s="3" t="str">
        <f>HYPERLINK("https://www.boe.es/gazeta/dias/1812/08/23/pdfs/GMR-1812-4.pdf#page=7","Abrir facsímil")</f>
        <v>Abrir facsímil</v>
      </c>
      <c r="K2855" s="3" t="s">
        <v>23</v>
      </c>
    </row>
    <row r="2856" spans="1:11" ht="42" customHeight="1">
      <c r="A2856" s="2" t="s">
        <v>7932</v>
      </c>
      <c r="B2856" s="2" t="s">
        <v>7932</v>
      </c>
      <c r="C2856" s="2" t="s">
        <v>17</v>
      </c>
      <c r="D2856" s="2" t="s">
        <v>18</v>
      </c>
      <c r="E2856" s="4">
        <v>-32111</v>
      </c>
      <c r="F2856" s="3" t="s">
        <v>553</v>
      </c>
      <c r="G2856" s="3" t="s">
        <v>7933</v>
      </c>
      <c r="H2856" s="2" t="s">
        <v>21</v>
      </c>
      <c r="I2856" s="2" t="s">
        <v>7934</v>
      </c>
      <c r="J2856" s="3" t="str">
        <f>HYPERLINK("https://www.boe.es/gazeta/dias/1812/01/30/pdfs/GRE-1812-13.pdf#page=2","Abrir facsímil")</f>
        <v>Abrir facsímil</v>
      </c>
      <c r="K2856" s="3" t="s">
        <v>23</v>
      </c>
    </row>
    <row r="2857" spans="1:11" ht="42" customHeight="1">
      <c r="A2857" s="2" t="s">
        <v>7935</v>
      </c>
      <c r="B2857" s="2" t="s">
        <v>7935</v>
      </c>
      <c r="C2857" s="2" t="s">
        <v>17</v>
      </c>
      <c r="D2857" s="2" t="s">
        <v>27</v>
      </c>
      <c r="E2857" s="4">
        <v>-31990</v>
      </c>
      <c r="F2857" s="3" t="s">
        <v>5078</v>
      </c>
      <c r="G2857" s="3" t="s">
        <v>739</v>
      </c>
      <c r="H2857" s="2" t="s">
        <v>21</v>
      </c>
      <c r="I2857" s="2" t="s">
        <v>7936</v>
      </c>
      <c r="J2857" s="3" t="str">
        <f>HYPERLINK("https://www.boe.es/gazeta/dias/1812/05/30/pdfs/GRE-1812-67.pdf#page=2","Abrir facsímil")</f>
        <v>Abrir facsímil</v>
      </c>
      <c r="K2857" s="3" t="s">
        <v>23</v>
      </c>
    </row>
    <row r="2858" spans="1:11" ht="42" customHeight="1">
      <c r="A2858" s="2" t="s">
        <v>7937</v>
      </c>
      <c r="B2858" s="2" t="s">
        <v>7937</v>
      </c>
      <c r="C2858" s="2" t="s">
        <v>17</v>
      </c>
      <c r="D2858" s="2" t="s">
        <v>18</v>
      </c>
      <c r="E2858" s="4">
        <v>-32139</v>
      </c>
      <c r="F2858" s="3" t="s">
        <v>518</v>
      </c>
      <c r="G2858" s="3" t="s">
        <v>237</v>
      </c>
      <c r="H2858" s="2" t="s">
        <v>21</v>
      </c>
      <c r="I2858" s="2" t="s">
        <v>7938</v>
      </c>
      <c r="J2858" s="3" t="str">
        <f>HYPERLINK("https://www.boe.es/gazeta/dias/1812/01/02/pdfs/GEI-1812-1.pdf#page=2","Abrir facsímil")</f>
        <v>Abrir facsímil</v>
      </c>
      <c r="K2858" s="3" t="s">
        <v>23</v>
      </c>
    </row>
    <row r="2859" spans="1:11" ht="42" customHeight="1">
      <c r="A2859" s="2" t="s">
        <v>7937</v>
      </c>
      <c r="B2859" s="2" t="s">
        <v>7937</v>
      </c>
      <c r="C2859" s="2" t="s">
        <v>17</v>
      </c>
      <c r="D2859" s="2" t="s">
        <v>18</v>
      </c>
      <c r="E2859" s="4">
        <v>-32139</v>
      </c>
      <c r="F2859" s="3" t="s">
        <v>518</v>
      </c>
      <c r="G2859" s="3" t="s">
        <v>20</v>
      </c>
      <c r="H2859" s="2" t="s">
        <v>21</v>
      </c>
      <c r="I2859" s="2" t="s">
        <v>7939</v>
      </c>
      <c r="J2859" s="3" t="str">
        <f>HYPERLINK("https://www.boe.es/gazeta/dias/1812/01/02/pdfs/GEI-1812-1.pdf#page=4","Abrir facsímil")</f>
        <v>Abrir facsímil</v>
      </c>
      <c r="K2859" s="3" t="s">
        <v>23</v>
      </c>
    </row>
    <row r="2860" spans="1:11" ht="42" customHeight="1">
      <c r="A2860" s="2" t="s">
        <v>7937</v>
      </c>
      <c r="B2860" s="2" t="s">
        <v>7937</v>
      </c>
      <c r="C2860" s="2" t="s">
        <v>17</v>
      </c>
      <c r="D2860" s="2" t="s">
        <v>27</v>
      </c>
      <c r="E2860" s="4">
        <v>-32123</v>
      </c>
      <c r="F2860" s="3" t="s">
        <v>3501</v>
      </c>
      <c r="G2860" s="3" t="s">
        <v>874</v>
      </c>
      <c r="H2860" s="2" t="s">
        <v>21</v>
      </c>
      <c r="I2860" s="2" t="s">
        <v>7940</v>
      </c>
      <c r="J2860" s="3" t="str">
        <f>HYPERLINK("https://www.boe.es/gazeta/dias/1812/01/18/pdfs/GEI-1812-8.pdf#page=6","Abrir facsímil")</f>
        <v>Abrir facsímil</v>
      </c>
      <c r="K2860" s="3" t="s">
        <v>23</v>
      </c>
    </row>
    <row r="2861" spans="1:11" ht="42" customHeight="1">
      <c r="A2861" s="2" t="s">
        <v>7937</v>
      </c>
      <c r="B2861" s="2" t="s">
        <v>7937</v>
      </c>
      <c r="C2861" s="2" t="s">
        <v>17</v>
      </c>
      <c r="D2861" s="2" t="s">
        <v>18</v>
      </c>
      <c r="E2861" s="4">
        <v>-32116</v>
      </c>
      <c r="F2861" s="3" t="s">
        <v>964</v>
      </c>
      <c r="G2861" s="3" t="s">
        <v>7941</v>
      </c>
      <c r="H2861" s="2" t="s">
        <v>21</v>
      </c>
      <c r="I2861" s="2" t="s">
        <v>7942</v>
      </c>
      <c r="J2861" s="3" t="str">
        <f>HYPERLINK("https://www.boe.es/gazeta/dias/1812/01/25/pdfs/GEI-H-1812-11.pdf#page=4","Abrir facsímil")</f>
        <v>Abrir facsímil</v>
      </c>
      <c r="K2861" s="3" t="s">
        <v>23</v>
      </c>
    </row>
    <row r="2862" spans="1:11" ht="42" customHeight="1">
      <c r="A2862" s="2" t="s">
        <v>7937</v>
      </c>
      <c r="B2862" s="2" t="s">
        <v>7937</v>
      </c>
      <c r="C2862" s="2" t="s">
        <v>17</v>
      </c>
      <c r="D2862" s="2" t="s">
        <v>27</v>
      </c>
      <c r="E2862" s="4">
        <v>-32111</v>
      </c>
      <c r="F2862" s="3" t="s">
        <v>553</v>
      </c>
      <c r="G2862" s="3" t="s">
        <v>196</v>
      </c>
      <c r="H2862" s="2" t="s">
        <v>21</v>
      </c>
      <c r="I2862" s="2" t="s">
        <v>7943</v>
      </c>
      <c r="J2862" s="3" t="str">
        <f>HYPERLINK("https://www.boe.es/gazeta/dias/1812/01/30/pdfs/GRE-1812-13.pdf#page=1","Abrir facsímil")</f>
        <v>Abrir facsímil</v>
      </c>
      <c r="K2862" s="3" t="s">
        <v>23</v>
      </c>
    </row>
    <row r="2863" spans="1:11" ht="42" customHeight="1">
      <c r="A2863" s="2" t="s">
        <v>7937</v>
      </c>
      <c r="B2863" s="2" t="s">
        <v>7937</v>
      </c>
      <c r="C2863" s="2" t="s">
        <v>49</v>
      </c>
      <c r="D2863" s="2" t="s">
        <v>18</v>
      </c>
      <c r="E2863" s="4">
        <v>-32046</v>
      </c>
      <c r="F2863" s="3" t="s">
        <v>1013</v>
      </c>
      <c r="G2863" s="3" t="s">
        <v>2329</v>
      </c>
      <c r="H2863" s="2" t="s">
        <v>21</v>
      </c>
      <c r="I2863" s="2" t="s">
        <v>7944</v>
      </c>
      <c r="J2863" s="3" t="str">
        <f>HYPERLINK("https://www.boe.es/gazeta/dias/1812/04/04/pdfs/GRE-1812-42.pdf#page=5","Abrir facsímil")</f>
        <v>Abrir facsímil</v>
      </c>
      <c r="K2863" s="3" t="s">
        <v>23</v>
      </c>
    </row>
    <row r="2864" spans="1:11" ht="42" customHeight="1">
      <c r="A2864" s="2" t="s">
        <v>7937</v>
      </c>
      <c r="B2864" s="2" t="s">
        <v>7937</v>
      </c>
      <c r="C2864" s="2" t="s">
        <v>17</v>
      </c>
      <c r="D2864" s="2" t="s">
        <v>27</v>
      </c>
      <c r="E2864" s="4">
        <v>-32015</v>
      </c>
      <c r="F2864" s="3" t="s">
        <v>77</v>
      </c>
      <c r="G2864" s="3" t="s">
        <v>4787</v>
      </c>
      <c r="H2864" s="2" t="s">
        <v>21</v>
      </c>
      <c r="I2864" s="2" t="s">
        <v>7945</v>
      </c>
      <c r="J2864" s="3" t="str">
        <f>HYPERLINK("https://www.boe.es/gazeta/dias/1812/05/05/pdfs/GRE-1812-56.pdf#page=7","Abrir facsímil")</f>
        <v>Abrir facsímil</v>
      </c>
      <c r="K2864" s="3" t="s">
        <v>23</v>
      </c>
    </row>
    <row r="2865" spans="1:11" ht="42" customHeight="1">
      <c r="A2865" s="2" t="s">
        <v>7937</v>
      </c>
      <c r="B2865" s="2" t="s">
        <v>7937</v>
      </c>
      <c r="C2865" s="2" t="s">
        <v>17</v>
      </c>
      <c r="D2865" s="2" t="s">
        <v>194</v>
      </c>
      <c r="E2865" s="4">
        <v>-32006</v>
      </c>
      <c r="F2865" s="3" t="s">
        <v>190</v>
      </c>
      <c r="G2865" s="3" t="s">
        <v>191</v>
      </c>
      <c r="H2865" s="2" t="s">
        <v>21</v>
      </c>
      <c r="I2865" s="2" t="s">
        <v>7946</v>
      </c>
      <c r="J2865" s="3" t="str">
        <f>HYPERLINK("https://www.boe.es/gazeta/dias/1812/05/14/pdfs/GRE-1812-60.pdf#page=4","Abrir facsímil")</f>
        <v>Abrir facsímil</v>
      </c>
      <c r="K2865" s="3" t="s">
        <v>23</v>
      </c>
    </row>
    <row r="2866" spans="1:11" ht="42" customHeight="1">
      <c r="A2866" s="2" t="s">
        <v>7937</v>
      </c>
      <c r="B2866" s="2" t="s">
        <v>7937</v>
      </c>
      <c r="C2866" s="2" t="s">
        <v>17</v>
      </c>
      <c r="D2866" s="2" t="s">
        <v>275</v>
      </c>
      <c r="E2866" s="4">
        <v>-31980</v>
      </c>
      <c r="F2866" s="3" t="s">
        <v>40</v>
      </c>
      <c r="G2866" s="3" t="s">
        <v>7947</v>
      </c>
      <c r="H2866" s="2" t="s">
        <v>21</v>
      </c>
      <c r="I2866" s="2" t="s">
        <v>7948</v>
      </c>
      <c r="J2866" s="3" t="str">
        <f>HYPERLINK("https://www.boe.es/gazeta/dias/1812/06/09/pdfs/GRE-1812-71.pdf#page=5","Abrir facsímil")</f>
        <v>Abrir facsímil</v>
      </c>
      <c r="K2866" s="3" t="s">
        <v>23</v>
      </c>
    </row>
    <row r="2867" spans="1:11" ht="42" customHeight="1">
      <c r="A2867" s="2" t="s">
        <v>7937</v>
      </c>
      <c r="B2867" s="2" t="s">
        <v>7937</v>
      </c>
      <c r="C2867" s="2" t="s">
        <v>17</v>
      </c>
      <c r="D2867" s="2" t="s">
        <v>18</v>
      </c>
      <c r="E2867" s="4">
        <v>-31882</v>
      </c>
      <c r="F2867" s="3" t="s">
        <v>1798</v>
      </c>
      <c r="G2867" s="3" t="s">
        <v>4457</v>
      </c>
      <c r="H2867" s="2" t="s">
        <v>21</v>
      </c>
      <c r="I2867" s="2" t="s">
        <v>7949</v>
      </c>
      <c r="J2867" s="3" t="str">
        <f>HYPERLINK("https://www.boe.es/gazeta/dias/1812/09/15/pdfs/GMR-1812-14.pdf#page=3","Abrir facsímil")</f>
        <v>Abrir facsímil</v>
      </c>
      <c r="K2867" s="3" t="s">
        <v>23</v>
      </c>
    </row>
    <row r="2868" spans="1:11" ht="42" customHeight="1">
      <c r="A2868" s="2" t="s">
        <v>7937</v>
      </c>
      <c r="B2868" s="2" t="s">
        <v>7937</v>
      </c>
      <c r="C2868" s="2" t="s">
        <v>17</v>
      </c>
      <c r="D2868" s="2" t="s">
        <v>27</v>
      </c>
      <c r="E2868" s="4">
        <v>-31829</v>
      </c>
      <c r="F2868" s="3" t="s">
        <v>328</v>
      </c>
      <c r="G2868" s="3" t="s">
        <v>20</v>
      </c>
      <c r="H2868" s="2" t="s">
        <v>21</v>
      </c>
      <c r="I2868" s="2" t="s">
        <v>7950</v>
      </c>
      <c r="J2868" s="3" t="str">
        <f>HYPERLINK("https://www.boe.es/gazeta/dias/1812/11/07/pdfs/GMD-1812-227.pdf#page=4","Abrir facsímil")</f>
        <v>Abrir facsímil</v>
      </c>
      <c r="K2868" s="3" t="s">
        <v>23</v>
      </c>
    </row>
    <row r="2869" spans="1:11" ht="42" customHeight="1">
      <c r="A2869" s="2" t="s">
        <v>7951</v>
      </c>
      <c r="B2869" s="2" t="s">
        <v>7951</v>
      </c>
      <c r="C2869" s="2" t="s">
        <v>17</v>
      </c>
      <c r="D2869" s="2" t="s">
        <v>27</v>
      </c>
      <c r="E2869" s="4">
        <v>-31899</v>
      </c>
      <c r="F2869" s="3" t="s">
        <v>1396</v>
      </c>
      <c r="G2869" s="3" t="s">
        <v>1805</v>
      </c>
      <c r="H2869" s="2" t="s">
        <v>21</v>
      </c>
      <c r="I2869" s="2" t="s">
        <v>7952</v>
      </c>
      <c r="J2869" s="3" t="str">
        <f>HYPERLINK("https://www.boe.es/gazeta/dias/1812/08/29/pdfs/GMR-1812-7.pdf#page=1","Abrir facsímil")</f>
        <v>Abrir facsímil</v>
      </c>
      <c r="K2869" s="3" t="s">
        <v>23</v>
      </c>
    </row>
    <row r="2870" spans="1:11" ht="42" customHeight="1">
      <c r="A2870" s="2" t="s">
        <v>7953</v>
      </c>
      <c r="B2870" s="2" t="s">
        <v>7954</v>
      </c>
      <c r="C2870" s="2" t="s">
        <v>26</v>
      </c>
      <c r="D2870" s="2" t="s">
        <v>27</v>
      </c>
      <c r="E2870" s="4">
        <v>-32034</v>
      </c>
      <c r="F2870" s="3" t="s">
        <v>28</v>
      </c>
      <c r="G2870" s="3" t="s">
        <v>794</v>
      </c>
      <c r="H2870" s="2" t="s">
        <v>21</v>
      </c>
      <c r="I2870" s="2" t="s">
        <v>7955</v>
      </c>
      <c r="J2870" s="3" t="str">
        <f>HYPERLINK("https://www.boe.es/gazeta/dias/1812/04/16/pdfs/GMD-1812-107.pdf#page=7","Abrir facsímil")</f>
        <v>Abrir facsímil</v>
      </c>
      <c r="K2870" s="3" t="s">
        <v>23</v>
      </c>
    </row>
    <row r="2871" spans="1:11" ht="42" customHeight="1">
      <c r="A2871" s="2" t="s">
        <v>7956</v>
      </c>
      <c r="B2871" s="2" t="s">
        <v>7957</v>
      </c>
      <c r="C2871" s="2" t="s">
        <v>17</v>
      </c>
      <c r="D2871" s="2" t="s">
        <v>18</v>
      </c>
      <c r="E2871" s="4">
        <v>-32102</v>
      </c>
      <c r="F2871" s="3" t="s">
        <v>1783</v>
      </c>
      <c r="G2871" s="3" t="s">
        <v>125</v>
      </c>
      <c r="H2871" s="2" t="s">
        <v>21</v>
      </c>
      <c r="I2871" s="2" t="s">
        <v>7958</v>
      </c>
      <c r="J2871" s="3" t="str">
        <f>HYPERLINK("https://www.boe.es/gazeta/dias/1812/02/08/pdfs/GRE-1812-17.pdf#page=5","Abrir facsímil")</f>
        <v>Abrir facsímil</v>
      </c>
      <c r="K2871" s="3" t="s">
        <v>23</v>
      </c>
    </row>
    <row r="2872" spans="1:11" ht="42" customHeight="1">
      <c r="A2872" s="2" t="s">
        <v>7959</v>
      </c>
      <c r="B2872" s="2" t="s">
        <v>7959</v>
      </c>
      <c r="C2872" s="2" t="s">
        <v>17</v>
      </c>
      <c r="D2872" s="2" t="s">
        <v>18</v>
      </c>
      <c r="E2872" s="4">
        <v>-31905</v>
      </c>
      <c r="F2872" s="3" t="s">
        <v>855</v>
      </c>
      <c r="G2872" s="3" t="s">
        <v>1826</v>
      </c>
      <c r="H2872" s="2" t="s">
        <v>21</v>
      </c>
      <c r="I2872" s="2" t="s">
        <v>7960</v>
      </c>
      <c r="J2872" s="3" t="str">
        <f>HYPERLINK("https://www.boe.es/gazeta/dias/1812/08/23/pdfs/GMR-1812-4.pdf#page=7","Abrir facsímil")</f>
        <v>Abrir facsímil</v>
      </c>
      <c r="K2872" s="3" t="s">
        <v>23</v>
      </c>
    </row>
    <row r="2873" spans="1:11" ht="42" customHeight="1">
      <c r="A2873" s="2" t="s">
        <v>7961</v>
      </c>
      <c r="B2873" s="2" t="s">
        <v>7962</v>
      </c>
      <c r="C2873" s="2" t="s">
        <v>49</v>
      </c>
      <c r="D2873" s="2" t="s">
        <v>27</v>
      </c>
      <c r="E2873" s="4">
        <v>-32081</v>
      </c>
      <c r="F2873" s="3" t="s">
        <v>232</v>
      </c>
      <c r="G2873" s="3" t="s">
        <v>7963</v>
      </c>
      <c r="H2873" s="2" t="s">
        <v>21</v>
      </c>
      <c r="I2873" s="2" t="s">
        <v>7964</v>
      </c>
      <c r="J2873" s="3" t="str">
        <f>HYPERLINK("https://www.boe.es/gazeta/dias/1812/02/29/pdfs/GRE-1812-27.pdf#page=3","Abrir facsímil")</f>
        <v>Abrir facsímil</v>
      </c>
      <c r="K2873" s="3" t="s">
        <v>23</v>
      </c>
    </row>
    <row r="2874" spans="1:11" ht="42" customHeight="1">
      <c r="A2874" s="2" t="s">
        <v>7965</v>
      </c>
      <c r="B2874" s="2" t="s">
        <v>7966</v>
      </c>
      <c r="C2874" s="2" t="s">
        <v>17</v>
      </c>
      <c r="D2874" s="2" t="s">
        <v>275</v>
      </c>
      <c r="E2874" s="4">
        <v>-31889</v>
      </c>
      <c r="F2874" s="3" t="s">
        <v>699</v>
      </c>
      <c r="G2874" s="3" t="s">
        <v>125</v>
      </c>
      <c r="H2874" s="2" t="s">
        <v>21</v>
      </c>
      <c r="I2874" s="2" t="s">
        <v>7967</v>
      </c>
      <c r="J2874" s="3" t="str">
        <f>HYPERLINK("https://www.boe.es/gazeta/dias/1812/09/08/pdfs/GMR-1812-11.pdf#page=7","Abrir facsímil")</f>
        <v>Abrir facsímil</v>
      </c>
      <c r="K2874" s="3" t="s">
        <v>23</v>
      </c>
    </row>
    <row r="2875" spans="1:11" ht="42" customHeight="1">
      <c r="A2875" s="2" t="s">
        <v>7968</v>
      </c>
      <c r="B2875" s="2" t="s">
        <v>7969</v>
      </c>
      <c r="C2875" s="2" t="s">
        <v>26</v>
      </c>
      <c r="D2875" s="2" t="s">
        <v>27</v>
      </c>
      <c r="E2875" s="4">
        <v>-31945</v>
      </c>
      <c r="F2875" s="3" t="s">
        <v>1485</v>
      </c>
      <c r="G2875" s="3" t="s">
        <v>1486</v>
      </c>
      <c r="H2875" s="2" t="s">
        <v>21</v>
      </c>
      <c r="I2875" s="2" t="s">
        <v>7970</v>
      </c>
      <c r="J2875" s="3" t="str">
        <f>HYPERLINK("https://www.boe.es/gazeta/dias/1812/07/14/pdfs/GRE-1812-88.pdf#page=1","Abrir facsímil")</f>
        <v>Abrir facsímil</v>
      </c>
      <c r="K2875" s="3" t="s">
        <v>23</v>
      </c>
    </row>
    <row r="2876" spans="1:11" ht="42" customHeight="1">
      <c r="A2876" s="2" t="s">
        <v>7971</v>
      </c>
      <c r="B2876" s="2" t="s">
        <v>7972</v>
      </c>
      <c r="C2876" s="2" t="s">
        <v>26</v>
      </c>
      <c r="D2876" s="2" t="s">
        <v>27</v>
      </c>
      <c r="E2876" s="4">
        <v>-31945</v>
      </c>
      <c r="F2876" s="3" t="s">
        <v>1485</v>
      </c>
      <c r="G2876" s="3" t="s">
        <v>1486</v>
      </c>
      <c r="H2876" s="2" t="s">
        <v>21</v>
      </c>
      <c r="I2876" s="2" t="s">
        <v>7973</v>
      </c>
      <c r="J2876" s="3" t="str">
        <f>HYPERLINK("https://www.boe.es/gazeta/dias/1812/07/14/pdfs/GRE-1812-88.pdf#page=1","Abrir facsímil")</f>
        <v>Abrir facsímil</v>
      </c>
      <c r="K2876" s="3" t="s">
        <v>23</v>
      </c>
    </row>
    <row r="2877" spans="1:11" ht="42" customHeight="1">
      <c r="A2877" s="2" t="s">
        <v>7974</v>
      </c>
      <c r="B2877" s="2" t="s">
        <v>7974</v>
      </c>
      <c r="C2877" s="2" t="s">
        <v>17</v>
      </c>
      <c r="D2877" s="2" t="s">
        <v>18</v>
      </c>
      <c r="E2877" s="4">
        <v>-31861</v>
      </c>
      <c r="F2877" s="3" t="s">
        <v>1080</v>
      </c>
      <c r="G2877" s="3" t="s">
        <v>233</v>
      </c>
      <c r="H2877" s="2" t="s">
        <v>21</v>
      </c>
      <c r="I2877" s="2" t="s">
        <v>7975</v>
      </c>
      <c r="J2877" s="3" t="str">
        <f>HYPERLINK("https://www.boe.es/gazeta/dias/1812/10/06/pdfs/GMR-1812-23.pdf#page=12","Abrir facsímil")</f>
        <v>Abrir facsímil</v>
      </c>
      <c r="K2877" s="3" t="s">
        <v>23</v>
      </c>
    </row>
    <row r="2878" spans="1:11" ht="42" customHeight="1">
      <c r="A2878" s="2" t="s">
        <v>7976</v>
      </c>
      <c r="B2878" s="2" t="s">
        <v>7976</v>
      </c>
      <c r="C2878" s="2" t="s">
        <v>17</v>
      </c>
      <c r="D2878" s="2" t="s">
        <v>27</v>
      </c>
      <c r="E2878" s="4">
        <v>-31990</v>
      </c>
      <c r="F2878" s="3" t="s">
        <v>629</v>
      </c>
      <c r="G2878" s="3" t="s">
        <v>101</v>
      </c>
      <c r="H2878" s="2" t="s">
        <v>21</v>
      </c>
      <c r="I2878" s="2" t="s">
        <v>7977</v>
      </c>
      <c r="J2878" s="3" t="str">
        <f>HYPERLINK("https://www.boe.es/gazeta/dias/1812/05/30/pdfs/GMD-1812-151.pdf#page=1","Abrir facsímil")</f>
        <v>Abrir facsímil</v>
      </c>
      <c r="K2878" s="3" t="s">
        <v>23</v>
      </c>
    </row>
    <row r="2879" spans="1:11" ht="42" customHeight="1">
      <c r="A2879" s="2" t="s">
        <v>7978</v>
      </c>
      <c r="B2879" s="2" t="s">
        <v>7978</v>
      </c>
      <c r="C2879" s="2" t="s">
        <v>17</v>
      </c>
      <c r="D2879" s="2" t="s">
        <v>275</v>
      </c>
      <c r="E2879" s="4">
        <v>-31854</v>
      </c>
      <c r="F2879" s="3" t="s">
        <v>1574</v>
      </c>
      <c r="G2879" s="3" t="s">
        <v>1820</v>
      </c>
      <c r="H2879" s="2" t="s">
        <v>21</v>
      </c>
      <c r="I2879" s="2" t="s">
        <v>7979</v>
      </c>
      <c r="J2879" s="3" t="str">
        <f>HYPERLINK("https://www.boe.es/gazeta/dias/1812/10/13/pdfs/GMR-1812-26.pdf#page=6","Abrir facsímil")</f>
        <v>Abrir facsímil</v>
      </c>
      <c r="K2879" s="3" t="s">
        <v>23</v>
      </c>
    </row>
    <row r="2880" spans="1:11" ht="42" customHeight="1">
      <c r="A2880" s="2" t="s">
        <v>7980</v>
      </c>
      <c r="B2880" s="2" t="s">
        <v>7981</v>
      </c>
      <c r="C2880" s="2" t="s">
        <v>17</v>
      </c>
      <c r="D2880" s="2" t="s">
        <v>27</v>
      </c>
      <c r="E2880" s="4">
        <v>-32067</v>
      </c>
      <c r="F2880" s="3" t="s">
        <v>199</v>
      </c>
      <c r="G2880" s="3" t="s">
        <v>317</v>
      </c>
      <c r="H2880" s="2" t="s">
        <v>21</v>
      </c>
      <c r="I2880" s="2" t="s">
        <v>7982</v>
      </c>
      <c r="J2880" s="3" t="str">
        <f>HYPERLINK("https://www.boe.es/gazeta/dias/1812/03/14/pdfs/GRE-1812-33.pdf#page=6","Abrir facsímil")</f>
        <v>Abrir facsímil</v>
      </c>
      <c r="K2880" s="3" t="s">
        <v>23</v>
      </c>
    </row>
    <row r="2881" spans="1:11" ht="42" customHeight="1">
      <c r="A2881" s="2" t="s">
        <v>7983</v>
      </c>
      <c r="B2881" s="2" t="s">
        <v>7983</v>
      </c>
      <c r="C2881" s="2" t="s">
        <v>17</v>
      </c>
      <c r="D2881" s="2" t="s">
        <v>27</v>
      </c>
      <c r="E2881" s="4">
        <v>-32081</v>
      </c>
      <c r="F2881" s="3" t="s">
        <v>232</v>
      </c>
      <c r="G2881" s="3" t="s">
        <v>7963</v>
      </c>
      <c r="H2881" s="2" t="s">
        <v>21</v>
      </c>
      <c r="I2881" s="2" t="s">
        <v>7984</v>
      </c>
      <c r="J2881" s="3" t="str">
        <f>HYPERLINK("https://www.boe.es/gazeta/dias/1812/02/29/pdfs/GRE-1812-27.pdf#page=3","Abrir facsímil")</f>
        <v>Abrir facsímil</v>
      </c>
      <c r="K2881" s="3" t="s">
        <v>23</v>
      </c>
    </row>
    <row r="2882" spans="1:11" ht="42" customHeight="1">
      <c r="A2882" s="2" t="s">
        <v>7985</v>
      </c>
      <c r="B2882" s="2" t="s">
        <v>7986</v>
      </c>
      <c r="C2882" s="2" t="s">
        <v>49</v>
      </c>
      <c r="D2882" s="2" t="s">
        <v>18</v>
      </c>
      <c r="E2882" s="4">
        <v>-32013</v>
      </c>
      <c r="F2882" s="3" t="s">
        <v>849</v>
      </c>
      <c r="G2882" s="3" t="s">
        <v>7987</v>
      </c>
      <c r="H2882" s="2" t="s">
        <v>21</v>
      </c>
      <c r="I2882" s="2" t="s">
        <v>7988</v>
      </c>
      <c r="J2882" s="3" t="str">
        <f>HYPERLINK("https://www.boe.es/gazeta/dias/1812/05/07/pdfs/GRE-1812-57.pdf#page=4","Abrir facsímil")</f>
        <v>Abrir facsímil</v>
      </c>
      <c r="K2882" s="3" t="s">
        <v>23</v>
      </c>
    </row>
    <row r="2883" spans="1:11" ht="42" customHeight="1">
      <c r="A2883" s="2" t="s">
        <v>7989</v>
      </c>
      <c r="B2883" s="2" t="s">
        <v>7990</v>
      </c>
      <c r="C2883" s="2" t="s">
        <v>105</v>
      </c>
      <c r="D2883" s="2" t="s">
        <v>27</v>
      </c>
      <c r="E2883" s="4">
        <v>-31833</v>
      </c>
      <c r="F2883" s="3" t="s">
        <v>267</v>
      </c>
      <c r="G2883" s="3" t="s">
        <v>268</v>
      </c>
      <c r="H2883" s="2" t="s">
        <v>21</v>
      </c>
      <c r="I2883" s="2" t="s">
        <v>7991</v>
      </c>
      <c r="J2883" s="3" t="str">
        <f>HYPERLINK("https://www.boe.es/gazeta/dias/1812/11/03/pdfs/GRE-1812-147.pdf#page=8","Abrir facsímil")</f>
        <v>Abrir facsímil</v>
      </c>
      <c r="K2883" s="3" t="s">
        <v>23</v>
      </c>
    </row>
    <row r="2884" spans="1:11" ht="42" customHeight="1">
      <c r="A2884" s="2" t="s">
        <v>7992</v>
      </c>
      <c r="B2884" s="2" t="s">
        <v>7993</v>
      </c>
      <c r="C2884" s="2" t="s">
        <v>105</v>
      </c>
      <c r="D2884" s="2" t="s">
        <v>27</v>
      </c>
      <c r="E2884" s="4">
        <v>-31816</v>
      </c>
      <c r="F2884" s="3" t="s">
        <v>270</v>
      </c>
      <c r="G2884" s="3" t="s">
        <v>271</v>
      </c>
      <c r="H2884" s="2" t="s">
        <v>21</v>
      </c>
      <c r="I2884" s="2" t="s">
        <v>7994</v>
      </c>
      <c r="J2884" s="3" t="str">
        <f>HYPERLINK("https://www.boe.es/gazeta/dias/1812/11/20/pdfs/GMR-1812-36.pdf#page=6","Abrir facsímil")</f>
        <v>Abrir facsímil</v>
      </c>
      <c r="K2884" s="3" t="s">
        <v>23</v>
      </c>
    </row>
    <row r="2885" spans="1:11" ht="42" customHeight="1">
      <c r="A2885" s="2" t="s">
        <v>7995</v>
      </c>
      <c r="B2885" s="2" t="s">
        <v>7996</v>
      </c>
      <c r="C2885" s="2" t="s">
        <v>49</v>
      </c>
      <c r="D2885" s="2" t="s">
        <v>27</v>
      </c>
      <c r="E2885" s="4">
        <v>-32000</v>
      </c>
      <c r="F2885" s="3" t="s">
        <v>878</v>
      </c>
      <c r="G2885" s="3" t="s">
        <v>214</v>
      </c>
      <c r="H2885" s="2" t="s">
        <v>21</v>
      </c>
      <c r="I2885" s="2" t="s">
        <v>7997</v>
      </c>
      <c r="J2885" s="3" t="str">
        <f>HYPERLINK("https://www.boe.es/gazeta/dias/1812/05/20/pdfs/GMD-1812-141.pdf#page=3","Abrir facsímil")</f>
        <v>Abrir facsímil</v>
      </c>
      <c r="K2885" s="3" t="s">
        <v>23</v>
      </c>
    </row>
    <row r="2886" spans="1:11" ht="42" customHeight="1">
      <c r="A2886" s="2" t="s">
        <v>7998</v>
      </c>
      <c r="B2886" s="2" t="s">
        <v>7998</v>
      </c>
      <c r="C2886" s="2" t="s">
        <v>49</v>
      </c>
      <c r="D2886" s="2" t="s">
        <v>27</v>
      </c>
      <c r="E2886" s="4">
        <v>-31980</v>
      </c>
      <c r="F2886" s="3" t="s">
        <v>40</v>
      </c>
      <c r="G2886" s="3" t="s">
        <v>7999</v>
      </c>
      <c r="H2886" s="2" t="s">
        <v>21</v>
      </c>
      <c r="I2886" s="2" t="s">
        <v>8000</v>
      </c>
      <c r="J2886" s="3" t="str">
        <f>HYPERLINK("https://www.boe.es/gazeta/dias/1812/06/09/pdfs/GRE-1812-71.pdf#page=4","Abrir facsímil")</f>
        <v>Abrir facsímil</v>
      </c>
      <c r="K2886" s="3" t="s">
        <v>23</v>
      </c>
    </row>
    <row r="2887" spans="1:11" ht="42" customHeight="1">
      <c r="A2887" s="2" t="s">
        <v>8001</v>
      </c>
      <c r="B2887" s="2" t="s">
        <v>8001</v>
      </c>
      <c r="C2887" s="2" t="s">
        <v>17</v>
      </c>
      <c r="D2887" s="2" t="s">
        <v>27</v>
      </c>
      <c r="E2887" s="4">
        <v>-31922</v>
      </c>
      <c r="F2887" s="3" t="s">
        <v>375</v>
      </c>
      <c r="G2887" s="3" t="s">
        <v>136</v>
      </c>
      <c r="H2887" s="2" t="s">
        <v>21</v>
      </c>
      <c r="I2887" s="2" t="s">
        <v>8002</v>
      </c>
      <c r="J2887" s="3" t="str">
        <f>HYPERLINK("https://www.boe.es/gazeta/dias/1812/08/06/pdfs/GRE-1812-100.pdf#page=2","Abrir facsímil")</f>
        <v>Abrir facsímil</v>
      </c>
      <c r="K2887" s="3" t="s">
        <v>23</v>
      </c>
    </row>
    <row r="2888" spans="1:11" ht="42" customHeight="1">
      <c r="A2888" s="2" t="s">
        <v>8003</v>
      </c>
      <c r="B2888" s="2" t="s">
        <v>8003</v>
      </c>
      <c r="C2888" s="2" t="s">
        <v>26</v>
      </c>
      <c r="D2888" s="2" t="s">
        <v>194</v>
      </c>
      <c r="E2888" s="4">
        <v>-32123</v>
      </c>
      <c r="F2888" s="3" t="s">
        <v>3501</v>
      </c>
      <c r="G2888" s="3" t="s">
        <v>7883</v>
      </c>
      <c r="H2888" s="2" t="s">
        <v>21</v>
      </c>
      <c r="I2888" s="2" t="s">
        <v>8004</v>
      </c>
      <c r="J2888" s="3" t="str">
        <f>HYPERLINK("https://www.boe.es/gazeta/dias/1812/01/18/pdfs/GEI-1812-8.pdf#page=3","Abrir facsímil")</f>
        <v>Abrir facsímil</v>
      </c>
      <c r="K2888" s="3" t="s">
        <v>23</v>
      </c>
    </row>
    <row r="2889" spans="1:11" ht="42" customHeight="1">
      <c r="A2889" s="2" t="s">
        <v>8003</v>
      </c>
      <c r="B2889" s="2" t="s">
        <v>8003</v>
      </c>
      <c r="C2889" s="2" t="s">
        <v>17</v>
      </c>
      <c r="D2889" s="2" t="s">
        <v>275</v>
      </c>
      <c r="E2889" s="4">
        <v>-32109</v>
      </c>
      <c r="F2889" s="3" t="s">
        <v>62</v>
      </c>
      <c r="G2889" s="3" t="s">
        <v>1650</v>
      </c>
      <c r="H2889" s="2" t="s">
        <v>21</v>
      </c>
      <c r="I2889" s="2" t="s">
        <v>8005</v>
      </c>
      <c r="J2889" s="3" t="str">
        <f>HYPERLINK("https://www.boe.es/gazeta/dias/1812/02/01/pdfs/GRE-1812-14.pdf#page=4","Abrir facsímil")</f>
        <v>Abrir facsímil</v>
      </c>
      <c r="K2889" s="3" t="s">
        <v>23</v>
      </c>
    </row>
    <row r="2890" spans="1:11" ht="42" customHeight="1">
      <c r="A2890" s="2" t="s">
        <v>8003</v>
      </c>
      <c r="B2890" s="2" t="s">
        <v>8003</v>
      </c>
      <c r="C2890" s="2" t="s">
        <v>17</v>
      </c>
      <c r="D2890" s="2" t="s">
        <v>134</v>
      </c>
      <c r="E2890" s="4">
        <v>-32025</v>
      </c>
      <c r="F2890" s="3" t="s">
        <v>1122</v>
      </c>
      <c r="G2890" s="3" t="s">
        <v>1123</v>
      </c>
      <c r="H2890" s="2" t="s">
        <v>21</v>
      </c>
      <c r="I2890" s="2" t="s">
        <v>8006</v>
      </c>
      <c r="J2890" s="3" t="str">
        <f>HYPERLINK("https://www.boe.es/gazeta/dias/1812/04/25/pdfs/GRE-F-1812-52.pdf#page=3","Abrir facsímil")</f>
        <v>Abrir facsímil</v>
      </c>
      <c r="K2890" s="3" t="s">
        <v>23</v>
      </c>
    </row>
    <row r="2891" spans="1:11" ht="42" customHeight="1">
      <c r="A2891" s="2" t="s">
        <v>8003</v>
      </c>
      <c r="B2891" s="2" t="s">
        <v>8003</v>
      </c>
      <c r="C2891" s="2" t="s">
        <v>17</v>
      </c>
      <c r="D2891" s="2" t="s">
        <v>18</v>
      </c>
      <c r="E2891" s="4">
        <v>-32004</v>
      </c>
      <c r="F2891" s="3" t="s">
        <v>148</v>
      </c>
      <c r="G2891" s="3" t="s">
        <v>149</v>
      </c>
      <c r="H2891" s="2" t="s">
        <v>21</v>
      </c>
      <c r="I2891" s="2" t="s">
        <v>8007</v>
      </c>
      <c r="J2891" s="3" t="str">
        <f>HYPERLINK("https://www.boe.es/gazeta/dias/1812/05/16/pdfs/GRE-1812-61.pdf#page=3","Abrir facsímil")</f>
        <v>Abrir facsímil</v>
      </c>
      <c r="K2891" s="3" t="s">
        <v>23</v>
      </c>
    </row>
    <row r="2892" spans="1:11" ht="42" customHeight="1">
      <c r="A2892" s="2" t="s">
        <v>8003</v>
      </c>
      <c r="B2892" s="2" t="s">
        <v>8003</v>
      </c>
      <c r="C2892" s="2" t="s">
        <v>17</v>
      </c>
      <c r="D2892" s="2" t="s">
        <v>18</v>
      </c>
      <c r="E2892" s="4">
        <v>-31969</v>
      </c>
      <c r="F2892" s="3" t="s">
        <v>83</v>
      </c>
      <c r="G2892" s="3" t="s">
        <v>5087</v>
      </c>
      <c r="H2892" s="2" t="s">
        <v>21</v>
      </c>
      <c r="I2892" s="2" t="s">
        <v>8008</v>
      </c>
      <c r="J2892" s="3" t="str">
        <f>HYPERLINK("https://www.boe.es/gazeta/dias/1812/06/20/pdfs/GRE-1812-76.pdf#page=3","Abrir facsímil")</f>
        <v>Abrir facsímil</v>
      </c>
      <c r="K2892" s="3" t="s">
        <v>23</v>
      </c>
    </row>
    <row r="2893" spans="1:11" ht="42" customHeight="1">
      <c r="A2893" s="2" t="s">
        <v>8003</v>
      </c>
      <c r="B2893" s="2" t="s">
        <v>8003</v>
      </c>
      <c r="C2893" s="2" t="s">
        <v>17</v>
      </c>
      <c r="D2893" s="2" t="s">
        <v>18</v>
      </c>
      <c r="E2893" s="4">
        <v>-31815</v>
      </c>
      <c r="F2893" s="3" t="s">
        <v>1167</v>
      </c>
      <c r="G2893" s="3" t="s">
        <v>5430</v>
      </c>
      <c r="H2893" s="2" t="s">
        <v>21</v>
      </c>
      <c r="I2893" s="2" t="s">
        <v>8009</v>
      </c>
      <c r="J2893" s="3" t="str">
        <f>HYPERLINK("https://www.boe.es/gazeta/dias/1812/11/21/pdfs/GRE-1812-155.pdf#page=2","Abrir facsímil")</f>
        <v>Abrir facsímil</v>
      </c>
      <c r="K2893" s="3" t="s">
        <v>23</v>
      </c>
    </row>
    <row r="2894" spans="1:11" ht="42" customHeight="1">
      <c r="A2894" s="2" t="s">
        <v>8010</v>
      </c>
      <c r="B2894" s="2" t="s">
        <v>8010</v>
      </c>
      <c r="C2894" s="2" t="s">
        <v>17</v>
      </c>
      <c r="D2894" s="2" t="s">
        <v>27</v>
      </c>
      <c r="E2894" s="4">
        <v>-31882</v>
      </c>
      <c r="F2894" s="3" t="s">
        <v>1798</v>
      </c>
      <c r="G2894" s="3" t="s">
        <v>237</v>
      </c>
      <c r="H2894" s="2" t="s">
        <v>21</v>
      </c>
      <c r="I2894" s="2" t="s">
        <v>8011</v>
      </c>
      <c r="J2894" s="3" t="str">
        <f>HYPERLINK("https://www.boe.es/gazeta/dias/1812/09/15/pdfs/GMR-1812-14.pdf#page=8","Abrir facsímil")</f>
        <v>Abrir facsímil</v>
      </c>
      <c r="K2894" s="3" t="s">
        <v>23</v>
      </c>
    </row>
    <row r="2895" spans="1:11" ht="42" customHeight="1">
      <c r="A2895" s="2" t="s">
        <v>8012</v>
      </c>
      <c r="B2895" s="2" t="s">
        <v>8012</v>
      </c>
      <c r="C2895" s="2" t="s">
        <v>17</v>
      </c>
      <c r="D2895" s="2" t="s">
        <v>18</v>
      </c>
      <c r="E2895" s="4">
        <v>-31859</v>
      </c>
      <c r="F2895" s="3" t="s">
        <v>3024</v>
      </c>
      <c r="G2895" s="3" t="s">
        <v>172</v>
      </c>
      <c r="H2895" s="2" t="s">
        <v>21</v>
      </c>
      <c r="I2895" s="2" t="s">
        <v>8013</v>
      </c>
      <c r="J2895" s="3" t="str">
        <f>HYPERLINK("https://www.boe.es/gazeta/dias/1812/10/08/pdfs/GRE-1812-136.pdf#page=4","Abrir facsímil")</f>
        <v>Abrir facsímil</v>
      </c>
      <c r="K2895" s="3" t="s">
        <v>23</v>
      </c>
    </row>
    <row r="2896" spans="1:11" ht="42" customHeight="1">
      <c r="A2896" s="2" t="s">
        <v>8014</v>
      </c>
      <c r="B2896" s="2" t="s">
        <v>8015</v>
      </c>
      <c r="C2896" s="2" t="s">
        <v>26</v>
      </c>
      <c r="D2896" s="2" t="s">
        <v>573</v>
      </c>
      <c r="E2896" s="4">
        <v>-31900</v>
      </c>
      <c r="F2896" s="3" t="s">
        <v>276</v>
      </c>
      <c r="G2896" s="3" t="s">
        <v>277</v>
      </c>
      <c r="H2896" s="2" t="s">
        <v>21</v>
      </c>
      <c r="I2896" s="2" t="s">
        <v>8016</v>
      </c>
      <c r="J2896" s="3" t="str">
        <f>HYPERLINK("https://www.boe.es/gazeta/dias/1812/08/28/pdfs/GRE-1812-113E.pdf#page=8","Abrir facsímil")</f>
        <v>Abrir facsímil</v>
      </c>
      <c r="K2896" s="3" t="s">
        <v>23</v>
      </c>
    </row>
    <row r="2897" spans="1:11" ht="42" customHeight="1">
      <c r="A2897" s="2" t="s">
        <v>8017</v>
      </c>
      <c r="B2897" s="2" t="s">
        <v>8018</v>
      </c>
      <c r="C2897" s="2" t="s">
        <v>26</v>
      </c>
      <c r="D2897" s="2" t="s">
        <v>573</v>
      </c>
      <c r="E2897" s="4">
        <v>-31900</v>
      </c>
      <c r="F2897" s="3" t="s">
        <v>276</v>
      </c>
      <c r="G2897" s="3" t="s">
        <v>277</v>
      </c>
      <c r="H2897" s="2" t="s">
        <v>21</v>
      </c>
      <c r="I2897" s="2" t="s">
        <v>8019</v>
      </c>
      <c r="J2897" s="3" t="str">
        <f>HYPERLINK("https://www.boe.es/gazeta/dias/1812/08/28/pdfs/GRE-1812-113E.pdf#page=8","Abrir facsímil")</f>
        <v>Abrir facsímil</v>
      </c>
      <c r="K2897" s="3" t="s">
        <v>23</v>
      </c>
    </row>
    <row r="2898" spans="1:11" ht="42" customHeight="1">
      <c r="A2898" s="2" t="s">
        <v>8020</v>
      </c>
      <c r="B2898" s="2" t="s">
        <v>8020</v>
      </c>
      <c r="C2898" s="2" t="s">
        <v>17</v>
      </c>
      <c r="D2898" s="2" t="s">
        <v>27</v>
      </c>
      <c r="E2898" s="4">
        <v>-32011</v>
      </c>
      <c r="F2898" s="3" t="s">
        <v>1233</v>
      </c>
      <c r="G2898" s="3" t="s">
        <v>8021</v>
      </c>
      <c r="H2898" s="2" t="s">
        <v>21</v>
      </c>
      <c r="I2898" s="2" t="s">
        <v>8022</v>
      </c>
      <c r="J2898" s="3" t="str">
        <f>HYPERLINK("https://www.boe.es/gazeta/dias/1812/05/09/pdfs/GRE-1812-58.pdf#page=2","Abrir facsímil")</f>
        <v>Abrir facsímil</v>
      </c>
      <c r="K2898" s="3" t="s">
        <v>23</v>
      </c>
    </row>
    <row r="2899" spans="1:11" ht="42" customHeight="1">
      <c r="A2899" s="2" t="s">
        <v>8023</v>
      </c>
      <c r="B2899" s="2" t="s">
        <v>8024</v>
      </c>
      <c r="C2899" s="2" t="s">
        <v>17</v>
      </c>
      <c r="D2899" s="2" t="s">
        <v>27</v>
      </c>
      <c r="E2899" s="4">
        <v>-32015</v>
      </c>
      <c r="F2899" s="3" t="s">
        <v>77</v>
      </c>
      <c r="G2899" s="3" t="s">
        <v>78</v>
      </c>
      <c r="H2899" s="2" t="s">
        <v>21</v>
      </c>
      <c r="I2899" s="2" t="s">
        <v>8025</v>
      </c>
      <c r="J2899" s="3" t="str">
        <f>HYPERLINK("https://www.boe.es/gazeta/dias/1812/05/05/pdfs/GRE-1812-56.pdf#page=8","Abrir facsímil")</f>
        <v>Abrir facsímil</v>
      </c>
      <c r="K2899" s="3" t="s">
        <v>23</v>
      </c>
    </row>
    <row r="2900" spans="1:11" ht="42" customHeight="1">
      <c r="A2900" s="2" t="s">
        <v>8026</v>
      </c>
      <c r="B2900" s="2" t="s">
        <v>8027</v>
      </c>
      <c r="C2900" s="2" t="s">
        <v>26</v>
      </c>
      <c r="D2900" s="2" t="s">
        <v>27</v>
      </c>
      <c r="E2900" s="4">
        <v>-32015</v>
      </c>
      <c r="F2900" s="3" t="s">
        <v>77</v>
      </c>
      <c r="G2900" s="3" t="s">
        <v>78</v>
      </c>
      <c r="H2900" s="2" t="s">
        <v>21</v>
      </c>
      <c r="I2900" s="2" t="s">
        <v>8028</v>
      </c>
      <c r="J2900" s="3" t="str">
        <f>HYPERLINK("https://www.boe.es/gazeta/dias/1812/05/05/pdfs/GRE-1812-56.pdf#page=8","Abrir facsímil")</f>
        <v>Abrir facsímil</v>
      </c>
      <c r="K2900" s="3" t="s">
        <v>23</v>
      </c>
    </row>
    <row r="2901" spans="1:11" ht="42" customHeight="1">
      <c r="A2901" s="2" t="s">
        <v>8029</v>
      </c>
      <c r="B2901" s="2" t="s">
        <v>8030</v>
      </c>
      <c r="C2901" s="2" t="s">
        <v>105</v>
      </c>
      <c r="D2901" s="2" t="s">
        <v>27</v>
      </c>
      <c r="E2901" s="4">
        <v>-32015</v>
      </c>
      <c r="F2901" s="3" t="s">
        <v>77</v>
      </c>
      <c r="G2901" s="3" t="s">
        <v>78</v>
      </c>
      <c r="H2901" s="2" t="s">
        <v>21</v>
      </c>
      <c r="I2901" s="2" t="s">
        <v>8031</v>
      </c>
      <c r="J2901" s="3" t="str">
        <f>HYPERLINK("https://www.boe.es/gazeta/dias/1812/05/05/pdfs/GRE-1812-56.pdf#page=8","Abrir facsímil")</f>
        <v>Abrir facsímil</v>
      </c>
      <c r="K2901" s="3" t="s">
        <v>23</v>
      </c>
    </row>
    <row r="2902" spans="1:11" ht="42" customHeight="1">
      <c r="A2902" s="2" t="s">
        <v>8032</v>
      </c>
      <c r="B2902" s="2" t="s">
        <v>8032</v>
      </c>
      <c r="C2902" s="2" t="s">
        <v>17</v>
      </c>
      <c r="D2902" s="2" t="s">
        <v>18</v>
      </c>
      <c r="E2902" s="4">
        <v>-32076</v>
      </c>
      <c r="F2902" s="3" t="s">
        <v>1610</v>
      </c>
      <c r="G2902" s="3" t="s">
        <v>214</v>
      </c>
      <c r="H2902" s="2" t="s">
        <v>21</v>
      </c>
      <c r="I2902" s="2" t="s">
        <v>8033</v>
      </c>
      <c r="J2902" s="3" t="str">
        <f>HYPERLINK("https://www.boe.es/gazeta/dias/1812/03/05/pdfs/GMD-1812-65.pdf#page=1","Abrir facsímil")</f>
        <v>Abrir facsímil</v>
      </c>
      <c r="K2902" s="3" t="s">
        <v>23</v>
      </c>
    </row>
    <row r="2903" spans="1:11" ht="42" customHeight="1">
      <c r="A2903" s="2" t="s">
        <v>8034</v>
      </c>
      <c r="B2903" s="2" t="s">
        <v>8035</v>
      </c>
      <c r="C2903" s="2" t="s">
        <v>26</v>
      </c>
      <c r="D2903" s="2" t="s">
        <v>27</v>
      </c>
      <c r="E2903" s="4">
        <v>-31980</v>
      </c>
      <c r="F2903" s="3" t="s">
        <v>40</v>
      </c>
      <c r="G2903" s="3" t="s">
        <v>41</v>
      </c>
      <c r="H2903" s="2" t="s">
        <v>21</v>
      </c>
      <c r="I2903" s="2" t="s">
        <v>8036</v>
      </c>
      <c r="J2903" s="3" t="str">
        <f>HYPERLINK("https://www.boe.es/gazeta/dias/1812/06/09/pdfs/GRE-1812-71.pdf#page=6","Abrir facsímil")</f>
        <v>Abrir facsímil</v>
      </c>
      <c r="K2903" s="3" t="s">
        <v>23</v>
      </c>
    </row>
    <row r="2904" spans="1:11" ht="42" customHeight="1">
      <c r="A2904" s="2" t="s">
        <v>8037</v>
      </c>
      <c r="B2904" s="2" t="s">
        <v>8038</v>
      </c>
      <c r="C2904" s="2" t="s">
        <v>67</v>
      </c>
      <c r="D2904" s="2" t="s">
        <v>27</v>
      </c>
      <c r="E2904" s="4">
        <v>-32003</v>
      </c>
      <c r="F2904" s="3" t="s">
        <v>585</v>
      </c>
      <c r="G2904" s="3" t="s">
        <v>404</v>
      </c>
      <c r="H2904" s="2" t="s">
        <v>21</v>
      </c>
      <c r="I2904" s="2" t="s">
        <v>8039</v>
      </c>
      <c r="J2904" s="3" t="str">
        <f>HYPERLINK("https://www.boe.es/gazeta/dias/1812/05/17/pdfs/GMD-1812-138.pdf#page=2","Abrir facsímil")</f>
        <v>Abrir facsímil</v>
      </c>
      <c r="K2904" s="3" t="s">
        <v>23</v>
      </c>
    </row>
    <row r="2905" spans="1:11" ht="42" customHeight="1">
      <c r="A2905" s="2" t="s">
        <v>8040</v>
      </c>
      <c r="B2905" s="2" t="s">
        <v>8040</v>
      </c>
      <c r="C2905" s="2" t="s">
        <v>17</v>
      </c>
      <c r="D2905" s="2" t="s">
        <v>18</v>
      </c>
      <c r="E2905" s="4">
        <v>-31783</v>
      </c>
      <c r="F2905" s="3" t="s">
        <v>2074</v>
      </c>
      <c r="G2905" s="3" t="s">
        <v>4078</v>
      </c>
      <c r="H2905" s="2" t="s">
        <v>21</v>
      </c>
      <c r="I2905" s="2" t="s">
        <v>8041</v>
      </c>
      <c r="J2905" s="3" t="str">
        <f>HYPERLINK("https://www.boe.es/gazeta/dias/1812/12/23/pdfs/GMD-1812-246.pdf#page=2","Abrir facsímil")</f>
        <v>Abrir facsímil</v>
      </c>
      <c r="K2905" s="3" t="s">
        <v>23</v>
      </c>
    </row>
    <row r="2906" spans="1:11" ht="42" customHeight="1">
      <c r="A2906" s="2" t="s">
        <v>8042</v>
      </c>
      <c r="B2906" s="2" t="s">
        <v>8043</v>
      </c>
      <c r="C2906" s="2" t="s">
        <v>17</v>
      </c>
      <c r="D2906" s="2" t="s">
        <v>18</v>
      </c>
      <c r="E2906" s="4">
        <v>-32074</v>
      </c>
      <c r="F2906" s="3" t="s">
        <v>816</v>
      </c>
      <c r="G2906" s="3" t="s">
        <v>58</v>
      </c>
      <c r="H2906" s="2" t="s">
        <v>21</v>
      </c>
      <c r="I2906" s="2" t="s">
        <v>8044</v>
      </c>
      <c r="J2906" s="3" t="str">
        <f>HYPERLINK("https://www.boe.es/gazeta/dias/1812/03/07/pdfs/GRE-1812-30.pdf#page=5","Abrir facsímil")</f>
        <v>Abrir facsímil</v>
      </c>
      <c r="K2906" s="3" t="s">
        <v>23</v>
      </c>
    </row>
    <row r="2907" spans="1:11" ht="42" customHeight="1">
      <c r="A2907" s="2" t="s">
        <v>8045</v>
      </c>
      <c r="B2907" s="2" t="s">
        <v>8045</v>
      </c>
      <c r="C2907" s="2" t="s">
        <v>17</v>
      </c>
      <c r="D2907" s="2" t="s">
        <v>18</v>
      </c>
      <c r="E2907" s="4">
        <v>-32132</v>
      </c>
      <c r="F2907" s="3" t="s">
        <v>441</v>
      </c>
      <c r="G2907" s="3" t="s">
        <v>125</v>
      </c>
      <c r="H2907" s="2" t="s">
        <v>21</v>
      </c>
      <c r="I2907" s="2" t="s">
        <v>8046</v>
      </c>
      <c r="J2907" s="3" t="str">
        <f>HYPERLINK("https://www.boe.es/gazeta/dias/1812/01/09/pdfs/GMD-1812-9.pdf#page=3","Abrir facsímil")</f>
        <v>Abrir facsímil</v>
      </c>
      <c r="K2907" s="3" t="s">
        <v>23</v>
      </c>
    </row>
    <row r="2908" spans="1:11" ht="42" customHeight="1">
      <c r="A2908" s="2" t="s">
        <v>8047</v>
      </c>
      <c r="B2908" s="2" t="s">
        <v>8048</v>
      </c>
      <c r="C2908" s="2" t="s">
        <v>17</v>
      </c>
      <c r="D2908" s="2" t="s">
        <v>18</v>
      </c>
      <c r="E2908" s="4">
        <v>-32009</v>
      </c>
      <c r="F2908" s="3" t="s">
        <v>8049</v>
      </c>
      <c r="G2908" s="3" t="s">
        <v>130</v>
      </c>
      <c r="H2908" s="2" t="s">
        <v>21</v>
      </c>
      <c r="I2908" s="2" t="s">
        <v>8050</v>
      </c>
      <c r="J2908" s="3" t="str">
        <f>HYPERLINK("https://www.boe.es/gazeta/dias/1812/05/11/pdfs/GMD-1812-132.pdf#page=4","Abrir facsímil")</f>
        <v>Abrir facsímil</v>
      </c>
      <c r="K2908" s="3" t="s">
        <v>23</v>
      </c>
    </row>
    <row r="2909" spans="1:11" ht="42" customHeight="1">
      <c r="A2909" s="2" t="s">
        <v>8051</v>
      </c>
      <c r="B2909" s="2" t="s">
        <v>8051</v>
      </c>
      <c r="C2909" s="2" t="s">
        <v>17</v>
      </c>
      <c r="D2909" s="2" t="s">
        <v>27</v>
      </c>
      <c r="E2909" s="4">
        <v>-31905</v>
      </c>
      <c r="F2909" s="3" t="s">
        <v>855</v>
      </c>
      <c r="G2909" s="3" t="s">
        <v>29</v>
      </c>
      <c r="H2909" s="2" t="s">
        <v>21</v>
      </c>
      <c r="I2909" s="2" t="s">
        <v>8052</v>
      </c>
      <c r="J2909" s="3" t="str">
        <f>HYPERLINK("https://www.boe.es/gazeta/dias/1812/08/23/pdfs/GMR-1812-4.pdf#page=8","Abrir facsímil")</f>
        <v>Abrir facsímil</v>
      </c>
      <c r="K2909" s="3" t="s">
        <v>23</v>
      </c>
    </row>
    <row r="2910" spans="1:11" ht="42" customHeight="1">
      <c r="A2910" s="2" t="s">
        <v>8053</v>
      </c>
      <c r="B2910" s="2" t="s">
        <v>8054</v>
      </c>
      <c r="C2910" s="2" t="s">
        <v>26</v>
      </c>
      <c r="D2910" s="2" t="s">
        <v>27</v>
      </c>
      <c r="E2910" s="4">
        <v>-31840</v>
      </c>
      <c r="F2910" s="3" t="s">
        <v>2181</v>
      </c>
      <c r="G2910" s="3" t="s">
        <v>3975</v>
      </c>
      <c r="H2910" s="2" t="s">
        <v>21</v>
      </c>
      <c r="I2910" s="2" t="s">
        <v>8055</v>
      </c>
      <c r="J2910" s="3" t="str">
        <f>HYPERLINK("https://www.boe.es/gazeta/dias/1812/10/27/pdfs/GMR-1812-32.pdf#page=9","Abrir facsímil")</f>
        <v>Abrir facsímil</v>
      </c>
      <c r="K2910" s="3" t="s">
        <v>23</v>
      </c>
    </row>
    <row r="2911" spans="1:11" ht="42" customHeight="1">
      <c r="A2911" s="2" t="s">
        <v>8056</v>
      </c>
      <c r="B2911" s="2" t="s">
        <v>8056</v>
      </c>
      <c r="C2911" s="2" t="s">
        <v>17</v>
      </c>
      <c r="D2911" s="2" t="s">
        <v>27</v>
      </c>
      <c r="E2911" s="4">
        <v>-31873</v>
      </c>
      <c r="F2911" s="3" t="s">
        <v>213</v>
      </c>
      <c r="G2911" s="3" t="s">
        <v>1076</v>
      </c>
      <c r="H2911" s="2" t="s">
        <v>21</v>
      </c>
      <c r="I2911" s="2" t="s">
        <v>8057</v>
      </c>
      <c r="J2911" s="3" t="str">
        <f>HYPERLINK("https://www.boe.es/gazeta/dias/1812/09/24/pdfs/GMR-1812-18.pdf#page=3","Abrir facsímil")</f>
        <v>Abrir facsímil</v>
      </c>
      <c r="K2911" s="3" t="s">
        <v>23</v>
      </c>
    </row>
    <row r="2912" spans="1:11" ht="42" customHeight="1">
      <c r="A2912" s="2" t="s">
        <v>8058</v>
      </c>
      <c r="B2912" s="2" t="s">
        <v>8058</v>
      </c>
      <c r="C2912" s="2" t="s">
        <v>26</v>
      </c>
      <c r="D2912" s="2" t="s">
        <v>27</v>
      </c>
      <c r="E2912" s="4">
        <v>-32116</v>
      </c>
      <c r="F2912" s="3" t="s">
        <v>993</v>
      </c>
      <c r="G2912" s="3" t="s">
        <v>994</v>
      </c>
      <c r="H2912" s="2" t="s">
        <v>21</v>
      </c>
      <c r="I2912" s="2" t="s">
        <v>8059</v>
      </c>
      <c r="J2912" s="3" t="str">
        <f>HYPERLINK("https://www.boe.es/gazeta/dias/1812/01/25/pdfs/GEI-1812-11.pdf#page=4","Abrir facsímil")</f>
        <v>Abrir facsímil</v>
      </c>
      <c r="K2912" s="3" t="s">
        <v>23</v>
      </c>
    </row>
    <row r="2913" spans="1:11" ht="42" customHeight="1">
      <c r="A2913" s="2" t="s">
        <v>8058</v>
      </c>
      <c r="B2913" s="2" t="s">
        <v>8058</v>
      </c>
      <c r="C2913" s="2" t="s">
        <v>17</v>
      </c>
      <c r="D2913" s="2" t="s">
        <v>27</v>
      </c>
      <c r="E2913" s="4">
        <v>-32018</v>
      </c>
      <c r="F2913" s="3" t="s">
        <v>365</v>
      </c>
      <c r="G2913" s="3" t="s">
        <v>8060</v>
      </c>
      <c r="H2913" s="2" t="s">
        <v>21</v>
      </c>
      <c r="I2913" s="2" t="s">
        <v>8061</v>
      </c>
      <c r="J2913" s="3" t="str">
        <f>HYPERLINK("https://www.boe.es/gazeta/dias/1812/05/02/pdfs/GRE-1812-55.pdf#page=4","Abrir facsímil")</f>
        <v>Abrir facsímil</v>
      </c>
      <c r="K2913" s="3" t="s">
        <v>23</v>
      </c>
    </row>
    <row r="2914" spans="1:11" ht="42" customHeight="1">
      <c r="A2914" s="2" t="s">
        <v>8058</v>
      </c>
      <c r="B2914" s="2" t="s">
        <v>8058</v>
      </c>
      <c r="C2914" s="2" t="s">
        <v>17</v>
      </c>
      <c r="D2914" s="2" t="s">
        <v>27</v>
      </c>
      <c r="E2914" s="4">
        <v>-32015</v>
      </c>
      <c r="F2914" s="3" t="s">
        <v>77</v>
      </c>
      <c r="G2914" s="3" t="s">
        <v>4787</v>
      </c>
      <c r="H2914" s="2" t="s">
        <v>21</v>
      </c>
      <c r="I2914" s="2" t="s">
        <v>8062</v>
      </c>
      <c r="J2914" s="3" t="str">
        <f>HYPERLINK("https://www.boe.es/gazeta/dias/1812/05/05/pdfs/GRE-1812-56.pdf#page=7","Abrir facsímil")</f>
        <v>Abrir facsímil</v>
      </c>
      <c r="K2914" s="3" t="s">
        <v>23</v>
      </c>
    </row>
    <row r="2915" spans="1:11" ht="42" customHeight="1">
      <c r="A2915" s="2" t="s">
        <v>8058</v>
      </c>
      <c r="B2915" s="2" t="s">
        <v>8058</v>
      </c>
      <c r="C2915" s="2" t="s">
        <v>17</v>
      </c>
      <c r="D2915" s="2" t="s">
        <v>27</v>
      </c>
      <c r="E2915" s="4">
        <v>-31962</v>
      </c>
      <c r="F2915" s="3" t="s">
        <v>153</v>
      </c>
      <c r="G2915" s="3" t="s">
        <v>8063</v>
      </c>
      <c r="H2915" s="2" t="s">
        <v>21</v>
      </c>
      <c r="I2915" s="2" t="s">
        <v>8064</v>
      </c>
      <c r="J2915" s="3" t="str">
        <f>HYPERLINK("https://www.boe.es/gazeta/dias/1812/06/27/pdfs/GRE-1812-79.pdf#page=5","Abrir facsímil")</f>
        <v>Abrir facsímil</v>
      </c>
      <c r="K2915" s="3" t="s">
        <v>23</v>
      </c>
    </row>
    <row r="2916" spans="1:11" ht="42" customHeight="1">
      <c r="A2916" s="2" t="s">
        <v>8058</v>
      </c>
      <c r="B2916" s="2" t="s">
        <v>8058</v>
      </c>
      <c r="C2916" s="2" t="s">
        <v>17</v>
      </c>
      <c r="D2916" s="2" t="s">
        <v>27</v>
      </c>
      <c r="E2916" s="4">
        <v>-31903</v>
      </c>
      <c r="F2916" s="3" t="s">
        <v>626</v>
      </c>
      <c r="G2916" s="3" t="s">
        <v>196</v>
      </c>
      <c r="H2916" s="2" t="s">
        <v>21</v>
      </c>
      <c r="I2916" s="2" t="s">
        <v>8065</v>
      </c>
      <c r="J2916" s="3" t="str">
        <f>HYPERLINK("https://www.boe.es/gazeta/dias/1812/08/25/pdfs/GMR-1812-5.pdf#page=7","Abrir facsímil")</f>
        <v>Abrir facsímil</v>
      </c>
      <c r="K2916" s="3" t="s">
        <v>23</v>
      </c>
    </row>
    <row r="2917" spans="1:11" ht="42" customHeight="1">
      <c r="A2917" s="2" t="s">
        <v>8058</v>
      </c>
      <c r="B2917" s="2" t="s">
        <v>8058</v>
      </c>
      <c r="C2917" s="2" t="s">
        <v>17</v>
      </c>
      <c r="D2917" s="2" t="s">
        <v>194</v>
      </c>
      <c r="E2917" s="4">
        <v>-31880</v>
      </c>
      <c r="F2917" s="3" t="s">
        <v>705</v>
      </c>
      <c r="G2917" s="3" t="s">
        <v>8066</v>
      </c>
      <c r="H2917" s="2" t="s">
        <v>21</v>
      </c>
      <c r="I2917" s="2" t="s">
        <v>8067</v>
      </c>
      <c r="J2917" s="3" t="str">
        <f>HYPERLINK("https://www.boe.es/gazeta/dias/1812/09/17/pdfs/GMR-1812-15.pdf#page=5","Abrir facsímil")</f>
        <v>Abrir facsímil</v>
      </c>
      <c r="K2917" s="3" t="s">
        <v>23</v>
      </c>
    </row>
    <row r="2918" spans="1:11" ht="42" customHeight="1">
      <c r="A2918" s="2" t="s">
        <v>8058</v>
      </c>
      <c r="B2918" s="2" t="s">
        <v>8058</v>
      </c>
      <c r="C2918" s="2" t="s">
        <v>17</v>
      </c>
      <c r="D2918" s="2" t="s">
        <v>27</v>
      </c>
      <c r="E2918" s="4">
        <v>-31868</v>
      </c>
      <c r="F2918" s="3" t="s">
        <v>711</v>
      </c>
      <c r="G2918" s="3" t="s">
        <v>5080</v>
      </c>
      <c r="H2918" s="2" t="s">
        <v>21</v>
      </c>
      <c r="I2918" s="2" t="s">
        <v>8068</v>
      </c>
      <c r="J2918" s="3" t="str">
        <f>HYPERLINK("https://www.boe.es/gazeta/dias/1812/09/29/pdfs/GRE-1812-132.pdf#page=6","Abrir facsímil")</f>
        <v>Abrir facsímil</v>
      </c>
      <c r="K2918" s="3" t="s">
        <v>23</v>
      </c>
    </row>
    <row r="2919" spans="1:11" ht="42" customHeight="1">
      <c r="A2919" s="2" t="s">
        <v>8058</v>
      </c>
      <c r="B2919" s="2" t="s">
        <v>8058</v>
      </c>
      <c r="C2919" s="2" t="s">
        <v>17</v>
      </c>
      <c r="D2919" s="2" t="s">
        <v>27</v>
      </c>
      <c r="E2919" s="4">
        <v>-31852</v>
      </c>
      <c r="F2919" s="3" t="s">
        <v>4370</v>
      </c>
      <c r="G2919" s="3" t="s">
        <v>1497</v>
      </c>
      <c r="H2919" s="2" t="s">
        <v>21</v>
      </c>
      <c r="I2919" s="2" t="s">
        <v>8069</v>
      </c>
      <c r="J2919" s="3" t="str">
        <f>HYPERLINK("https://www.boe.es/gazeta/dias/1812/10/15/pdfs/GMR-1812-27.pdf#page=5","Abrir facsímil")</f>
        <v>Abrir facsímil</v>
      </c>
      <c r="K2919" s="3" t="s">
        <v>23</v>
      </c>
    </row>
    <row r="2920" spans="1:11" ht="42" customHeight="1">
      <c r="A2920" s="2" t="s">
        <v>8070</v>
      </c>
      <c r="B2920" s="2" t="s">
        <v>8071</v>
      </c>
      <c r="C2920" s="2" t="s">
        <v>17</v>
      </c>
      <c r="D2920" s="2" t="s">
        <v>27</v>
      </c>
      <c r="E2920" s="4">
        <v>-31966</v>
      </c>
      <c r="F2920" s="3" t="s">
        <v>387</v>
      </c>
      <c r="G2920" s="3" t="s">
        <v>388</v>
      </c>
      <c r="H2920" s="2" t="s">
        <v>21</v>
      </c>
      <c r="I2920" s="2" t="s">
        <v>8072</v>
      </c>
      <c r="J2920" s="3" t="str">
        <f>HYPERLINK("https://www.boe.es/gazeta/dias/1812/06/23/pdfs/GMD-1812-175.pdf#page=2","Abrir facsímil")</f>
        <v>Abrir facsímil</v>
      </c>
      <c r="K2920" s="3" t="s">
        <v>23</v>
      </c>
    </row>
    <row r="2921" spans="1:11" ht="42" customHeight="1">
      <c r="A2921" s="2" t="s">
        <v>8073</v>
      </c>
      <c r="B2921" s="2" t="s">
        <v>8074</v>
      </c>
      <c r="C2921" s="2" t="s">
        <v>17</v>
      </c>
      <c r="D2921" s="2" t="s">
        <v>18</v>
      </c>
      <c r="E2921" s="4">
        <v>-32095</v>
      </c>
      <c r="F2921" s="3" t="s">
        <v>284</v>
      </c>
      <c r="G2921" s="3" t="s">
        <v>29</v>
      </c>
      <c r="H2921" s="2" t="s">
        <v>21</v>
      </c>
      <c r="I2921" s="2" t="s">
        <v>8075</v>
      </c>
      <c r="J2921" s="3" t="str">
        <f>HYPERLINK("https://www.boe.es/gazeta/dias/1812/02/15/pdfs/GRE-1812-20.pdf#page=8","Abrir facsímil")</f>
        <v>Abrir facsímil</v>
      </c>
      <c r="K2921" s="3" t="s">
        <v>23</v>
      </c>
    </row>
    <row r="2922" spans="1:11" ht="42" customHeight="1">
      <c r="A2922" s="2" t="s">
        <v>8076</v>
      </c>
      <c r="B2922" s="2" t="s">
        <v>8077</v>
      </c>
      <c r="C2922" s="2" t="s">
        <v>17</v>
      </c>
      <c r="D2922" s="2" t="s">
        <v>18</v>
      </c>
      <c r="E2922" s="4">
        <v>-32104</v>
      </c>
      <c r="F2922" s="3" t="s">
        <v>996</v>
      </c>
      <c r="G2922" s="3" t="s">
        <v>2044</v>
      </c>
      <c r="H2922" s="2" t="s">
        <v>21</v>
      </c>
      <c r="I2922" s="2" t="s">
        <v>8078</v>
      </c>
      <c r="J2922" s="3" t="str">
        <f>HYPERLINK("https://www.boe.es/gazeta/dias/1812/02/06/pdfs/GRE-1812-16.pdf#page=3","Abrir facsímil")</f>
        <v>Abrir facsímil</v>
      </c>
      <c r="K2922" s="3" t="s">
        <v>23</v>
      </c>
    </row>
    <row r="2923" spans="1:11" ht="42" customHeight="1">
      <c r="A2923" s="2" t="s">
        <v>8079</v>
      </c>
      <c r="B2923" s="2" t="s">
        <v>8080</v>
      </c>
      <c r="C2923" s="2" t="s">
        <v>17</v>
      </c>
      <c r="D2923" s="2" t="s">
        <v>27</v>
      </c>
      <c r="E2923" s="4">
        <v>-31854</v>
      </c>
      <c r="F2923" s="3" t="s">
        <v>1574</v>
      </c>
      <c r="G2923" s="3" t="s">
        <v>1700</v>
      </c>
      <c r="H2923" s="2" t="s">
        <v>21</v>
      </c>
      <c r="I2923" s="2" t="s">
        <v>8081</v>
      </c>
      <c r="J2923" s="3" t="str">
        <f>HYPERLINK("https://www.boe.es/gazeta/dias/1812/10/13/pdfs/GMR-1812-26.pdf#page=4","Abrir facsímil")</f>
        <v>Abrir facsímil</v>
      </c>
      <c r="K2923" s="3" t="s">
        <v>23</v>
      </c>
    </row>
    <row r="2924" spans="1:11" ht="42" customHeight="1">
      <c r="A2924" s="2" t="s">
        <v>8082</v>
      </c>
      <c r="B2924" s="2" t="s">
        <v>8083</v>
      </c>
      <c r="C2924" s="2" t="s">
        <v>186</v>
      </c>
      <c r="D2924" s="2" t="s">
        <v>275</v>
      </c>
      <c r="E2924" s="4">
        <v>-32139</v>
      </c>
      <c r="F2924" s="3" t="s">
        <v>518</v>
      </c>
      <c r="G2924" s="3" t="s">
        <v>125</v>
      </c>
      <c r="H2924" s="2" t="s">
        <v>21</v>
      </c>
      <c r="I2924" s="2" t="s">
        <v>8084</v>
      </c>
      <c r="J2924" s="3" t="str">
        <f>HYPERLINK("https://www.boe.es/gazeta/dias/1812/01/02/pdfs/GEI-1812-1.pdf#page=8","Abrir facsímil")</f>
        <v>Abrir facsímil</v>
      </c>
      <c r="K2924" s="3" t="s">
        <v>23</v>
      </c>
    </row>
    <row r="2925" spans="1:11" ht="42" customHeight="1">
      <c r="A2925" s="2" t="s">
        <v>8085</v>
      </c>
      <c r="B2925" s="2" t="s">
        <v>8086</v>
      </c>
      <c r="C2925" s="2" t="s">
        <v>17</v>
      </c>
      <c r="D2925" s="2" t="s">
        <v>27</v>
      </c>
      <c r="E2925" s="4">
        <v>-31959</v>
      </c>
      <c r="F2925" s="3" t="s">
        <v>1035</v>
      </c>
      <c r="G2925" s="3" t="s">
        <v>130</v>
      </c>
      <c r="H2925" s="2" t="s">
        <v>21</v>
      </c>
      <c r="I2925" s="2" t="s">
        <v>8087</v>
      </c>
      <c r="J2925" s="3" t="str">
        <f>HYPERLINK("https://www.boe.es/gazeta/dias/1812/06/30/pdfs/GRE-1812-80.pdf#page=4","Abrir facsímil")</f>
        <v>Abrir facsímil</v>
      </c>
      <c r="K2925" s="3" t="s">
        <v>23</v>
      </c>
    </row>
    <row r="2926" spans="1:11" ht="42" customHeight="1">
      <c r="A2926" s="2" t="s">
        <v>8088</v>
      </c>
      <c r="B2926" s="2" t="s">
        <v>8089</v>
      </c>
      <c r="C2926" s="2" t="s">
        <v>67</v>
      </c>
      <c r="D2926" s="2" t="s">
        <v>27</v>
      </c>
      <c r="E2926" s="4">
        <v>-31967</v>
      </c>
      <c r="F2926" s="3" t="s">
        <v>1635</v>
      </c>
      <c r="G2926" s="3" t="s">
        <v>130</v>
      </c>
      <c r="H2926" s="2" t="s">
        <v>21</v>
      </c>
      <c r="I2926" s="2" t="s">
        <v>8090</v>
      </c>
      <c r="J2926" s="3" t="str">
        <f>HYPERLINK("https://www.boe.es/gazeta/dias/1812/06/22/pdfs/GMD-1812-174.pdf#page=4","Abrir facsímil")</f>
        <v>Abrir facsímil</v>
      </c>
      <c r="K2926" s="3" t="s">
        <v>23</v>
      </c>
    </row>
    <row r="2927" spans="1:11" ht="42" customHeight="1">
      <c r="A2927" s="2" t="s">
        <v>8091</v>
      </c>
      <c r="B2927" s="2" t="s">
        <v>8092</v>
      </c>
      <c r="C2927" s="2" t="s">
        <v>26</v>
      </c>
      <c r="D2927" s="2" t="s">
        <v>27</v>
      </c>
      <c r="E2927" s="4">
        <v>-31934</v>
      </c>
      <c r="F2927" s="3" t="s">
        <v>6490</v>
      </c>
      <c r="G2927" s="3" t="s">
        <v>233</v>
      </c>
      <c r="H2927" s="2" t="s">
        <v>21</v>
      </c>
      <c r="I2927" s="2" t="s">
        <v>8093</v>
      </c>
      <c r="J2927" s="3" t="str">
        <f>HYPERLINK("https://www.boe.es/gazeta/dias/1812/07/25/pdfs/GMD-1812-207.pdf#page=2","Abrir facsímil")</f>
        <v>Abrir facsímil</v>
      </c>
      <c r="K2927" s="3" t="s">
        <v>23</v>
      </c>
    </row>
    <row r="2928" spans="1:11" ht="42" customHeight="1">
      <c r="A2928" s="2" t="s">
        <v>8094</v>
      </c>
      <c r="B2928" s="2" t="s">
        <v>8095</v>
      </c>
      <c r="C2928" s="2" t="s">
        <v>26</v>
      </c>
      <c r="D2928" s="2" t="s">
        <v>27</v>
      </c>
      <c r="E2928" s="4">
        <v>-31941</v>
      </c>
      <c r="F2928" s="3" t="s">
        <v>57</v>
      </c>
      <c r="G2928" s="3" t="s">
        <v>58</v>
      </c>
      <c r="H2928" s="2" t="s">
        <v>21</v>
      </c>
      <c r="I2928" s="2" t="s">
        <v>8096</v>
      </c>
      <c r="J2928" s="3" t="str">
        <f>HYPERLINK("https://www.boe.es/gazeta/dias/1812/07/18/pdfs/GMD-1812-200.pdf#page=4","Abrir facsímil")</f>
        <v>Abrir facsímil</v>
      </c>
      <c r="K2928" s="3" t="s">
        <v>23</v>
      </c>
    </row>
    <row r="2929" spans="1:11" ht="42" customHeight="1">
      <c r="A2929" s="2" t="s">
        <v>8097</v>
      </c>
      <c r="B2929" s="2" t="s">
        <v>8097</v>
      </c>
      <c r="C2929" s="2" t="s">
        <v>105</v>
      </c>
      <c r="D2929" s="2" t="s">
        <v>27</v>
      </c>
      <c r="E2929" s="4">
        <v>-31997</v>
      </c>
      <c r="F2929" s="3" t="s">
        <v>6881</v>
      </c>
      <c r="G2929" s="3" t="s">
        <v>6882</v>
      </c>
      <c r="H2929" s="2" t="s">
        <v>21</v>
      </c>
      <c r="I2929" s="2" t="s">
        <v>8098</v>
      </c>
      <c r="J2929" s="3" t="str">
        <f>HYPERLINK("https://www.boe.es/gazeta/dias/1812/05/23/pdfs/GRE-1812-64.pdf#page=4","Abrir facsímil")</f>
        <v>Abrir facsímil</v>
      </c>
      <c r="K2929" s="3" t="s">
        <v>23</v>
      </c>
    </row>
    <row r="2930" spans="1:11" ht="42" customHeight="1">
      <c r="A2930" s="2" t="s">
        <v>8099</v>
      </c>
      <c r="B2930" s="2" t="s">
        <v>8100</v>
      </c>
      <c r="C2930" s="2" t="s">
        <v>105</v>
      </c>
      <c r="D2930" s="2" t="s">
        <v>27</v>
      </c>
      <c r="E2930" s="4">
        <v>-32121</v>
      </c>
      <c r="F2930" s="3" t="s">
        <v>1237</v>
      </c>
      <c r="G2930" s="3" t="s">
        <v>404</v>
      </c>
      <c r="H2930" s="2" t="s">
        <v>21</v>
      </c>
      <c r="I2930" s="2" t="s">
        <v>8101</v>
      </c>
      <c r="J2930" s="3" t="str">
        <f>HYPERLINK("https://www.boe.es/gazeta/dias/1812/01/20/pdfs/GMD-1812-20.pdf#page=4","Abrir facsímil")</f>
        <v>Abrir facsímil</v>
      </c>
      <c r="K2930" s="3" t="s">
        <v>23</v>
      </c>
    </row>
    <row r="2931" spans="1:11" ht="42" customHeight="1">
      <c r="A2931" s="2" t="s">
        <v>8102</v>
      </c>
      <c r="B2931" s="2" t="s">
        <v>8103</v>
      </c>
      <c r="C2931" s="2" t="s">
        <v>17</v>
      </c>
      <c r="D2931" s="2" t="s">
        <v>27</v>
      </c>
      <c r="E2931" s="4">
        <v>-31945</v>
      </c>
      <c r="F2931" s="3" t="s">
        <v>1485</v>
      </c>
      <c r="G2931" s="3" t="s">
        <v>1486</v>
      </c>
      <c r="H2931" s="2" t="s">
        <v>21</v>
      </c>
      <c r="I2931" s="2" t="s">
        <v>8104</v>
      </c>
      <c r="J2931" s="3" t="str">
        <f>HYPERLINK("https://www.boe.es/gazeta/dias/1812/07/14/pdfs/GRE-1812-88.pdf#page=1","Abrir facsímil")</f>
        <v>Abrir facsímil</v>
      </c>
      <c r="K2931" s="3" t="s">
        <v>23</v>
      </c>
    </row>
    <row r="2932" spans="1:11" ht="42" customHeight="1">
      <c r="A2932" s="2" t="s">
        <v>8105</v>
      </c>
      <c r="B2932" s="2" t="s">
        <v>8105</v>
      </c>
      <c r="C2932" s="2" t="s">
        <v>17</v>
      </c>
      <c r="D2932" s="2" t="s">
        <v>18</v>
      </c>
      <c r="E2932" s="4">
        <v>-31980</v>
      </c>
      <c r="F2932" s="3" t="s">
        <v>40</v>
      </c>
      <c r="G2932" s="3" t="s">
        <v>8106</v>
      </c>
      <c r="H2932" s="2" t="s">
        <v>21</v>
      </c>
      <c r="I2932" s="2" t="s">
        <v>8107</v>
      </c>
      <c r="J2932" s="3" t="str">
        <f>HYPERLINK("https://www.boe.es/gazeta/dias/1812/06/09/pdfs/GRE-1812-71.pdf#page=3","Abrir facsímil")</f>
        <v>Abrir facsímil</v>
      </c>
      <c r="K2932" s="3" t="s">
        <v>23</v>
      </c>
    </row>
    <row r="2933" spans="1:11" ht="42" customHeight="1">
      <c r="A2933" s="2" t="s">
        <v>8108</v>
      </c>
      <c r="B2933" s="2" t="s">
        <v>8108</v>
      </c>
      <c r="C2933" s="2" t="s">
        <v>17</v>
      </c>
      <c r="D2933" s="2" t="s">
        <v>27</v>
      </c>
      <c r="E2933" s="4">
        <v>-32085</v>
      </c>
      <c r="F2933" s="3" t="s">
        <v>3321</v>
      </c>
      <c r="G2933" s="3" t="s">
        <v>1930</v>
      </c>
      <c r="H2933" s="2" t="s">
        <v>21</v>
      </c>
      <c r="I2933" s="2" t="s">
        <v>8109</v>
      </c>
      <c r="J2933" s="3" t="str">
        <f>HYPERLINK("https://www.boe.es/gazeta/dias/1812/02/25/pdfs/GRE-1812-25.pdf#page=5","Abrir facsímil")</f>
        <v>Abrir facsímil</v>
      </c>
      <c r="K2933" s="3" t="s">
        <v>23</v>
      </c>
    </row>
    <row r="2934" spans="1:11" ht="42" customHeight="1">
      <c r="A2934" s="2" t="s">
        <v>8110</v>
      </c>
      <c r="B2934" s="2" t="s">
        <v>8110</v>
      </c>
      <c r="C2934" s="2" t="s">
        <v>17</v>
      </c>
      <c r="D2934" s="2" t="s">
        <v>18</v>
      </c>
      <c r="E2934" s="4">
        <v>-31922</v>
      </c>
      <c r="F2934" s="3" t="s">
        <v>375</v>
      </c>
      <c r="G2934" s="3" t="s">
        <v>136</v>
      </c>
      <c r="H2934" s="2" t="s">
        <v>21</v>
      </c>
      <c r="I2934" s="2" t="s">
        <v>8111</v>
      </c>
      <c r="J2934" s="3" t="str">
        <f>HYPERLINK("https://www.boe.es/gazeta/dias/1812/08/06/pdfs/GRE-1812-100.pdf#page=2","Abrir facsímil")</f>
        <v>Abrir facsímil</v>
      </c>
      <c r="K2934" s="3" t="s">
        <v>23</v>
      </c>
    </row>
    <row r="2935" spans="1:11" ht="42" customHeight="1">
      <c r="A2935" s="2" t="s">
        <v>8112</v>
      </c>
      <c r="B2935" s="2" t="s">
        <v>8113</v>
      </c>
      <c r="C2935" s="2" t="s">
        <v>26</v>
      </c>
      <c r="D2935" s="2" t="s">
        <v>27</v>
      </c>
      <c r="E2935" s="4">
        <v>-31922</v>
      </c>
      <c r="F2935" s="3" t="s">
        <v>375</v>
      </c>
      <c r="G2935" s="3" t="s">
        <v>5327</v>
      </c>
      <c r="H2935" s="2" t="s">
        <v>30</v>
      </c>
      <c r="I2935" s="2" t="s">
        <v>8114</v>
      </c>
      <c r="J2935" s="3" t="str">
        <f>HYPERLINK("https://www.boe.es/gazeta/dias/1812/08/06/pdfs/GRE-1812-100.pdf#page=3","Abrir facsímil")</f>
        <v>Abrir facsímil</v>
      </c>
      <c r="K2935" s="3" t="s">
        <v>32</v>
      </c>
    </row>
    <row r="2936" spans="1:11" ht="42" customHeight="1">
      <c r="A2936" s="2" t="s">
        <v>8115</v>
      </c>
      <c r="B2936" s="2" t="s">
        <v>8116</v>
      </c>
      <c r="C2936" s="2" t="s">
        <v>26</v>
      </c>
      <c r="D2936" s="2" t="s">
        <v>27</v>
      </c>
      <c r="E2936" s="4">
        <v>-31976</v>
      </c>
      <c r="F2936" s="3" t="s">
        <v>54</v>
      </c>
      <c r="G2936" s="3" t="s">
        <v>55</v>
      </c>
      <c r="H2936" s="2" t="s">
        <v>30</v>
      </c>
      <c r="I2936" s="2" t="s">
        <v>8117</v>
      </c>
      <c r="J2936" s="3" t="str">
        <f>HYPERLINK("https://www.boe.es/gazeta/dias/1812/06/13/pdfs/GRE-1812-73.pdf#page=6","Abrir facsímil")</f>
        <v>Abrir facsímil</v>
      </c>
      <c r="K2936" s="3" t="s">
        <v>32</v>
      </c>
    </row>
    <row r="2937" spans="1:11" ht="42" customHeight="1">
      <c r="A2937" s="2" t="s">
        <v>8118</v>
      </c>
      <c r="B2937" s="2" t="s">
        <v>8119</v>
      </c>
      <c r="C2937" s="2" t="s">
        <v>26</v>
      </c>
      <c r="D2937" s="2" t="s">
        <v>573</v>
      </c>
      <c r="E2937" s="4">
        <v>-31900</v>
      </c>
      <c r="F2937" s="3" t="s">
        <v>276</v>
      </c>
      <c r="G2937" s="3" t="s">
        <v>277</v>
      </c>
      <c r="H2937" s="2" t="s">
        <v>30</v>
      </c>
      <c r="I2937" s="2" t="s">
        <v>8120</v>
      </c>
      <c r="J2937" s="3" t="str">
        <f>HYPERLINK("https://www.boe.es/gazeta/dias/1812/08/28/pdfs/GRE-1812-113E.pdf#page=8","Abrir facsímil")</f>
        <v>Abrir facsímil</v>
      </c>
      <c r="K2937" s="3" t="s">
        <v>32</v>
      </c>
    </row>
    <row r="2938" spans="1:11" ht="42" customHeight="1">
      <c r="A2938" s="2" t="s">
        <v>8121</v>
      </c>
      <c r="B2938" s="2" t="s">
        <v>8122</v>
      </c>
      <c r="C2938" s="2" t="s">
        <v>26</v>
      </c>
      <c r="D2938" s="2" t="s">
        <v>27</v>
      </c>
      <c r="E2938" s="4">
        <v>-31880</v>
      </c>
      <c r="F2938" s="3" t="s">
        <v>3148</v>
      </c>
      <c r="G2938" s="3" t="s">
        <v>8123</v>
      </c>
      <c r="H2938" s="2" t="s">
        <v>30</v>
      </c>
      <c r="I2938" s="2" t="s">
        <v>8124</v>
      </c>
      <c r="J2938" s="3" t="str">
        <f>HYPERLINK("https://www.boe.es/gazeta/dias/1812/09/17/pdfs/GRE-1812-126.pdf#page=3","Abrir facsímil")</f>
        <v>Abrir facsímil</v>
      </c>
      <c r="K2938" s="3" t="s">
        <v>32</v>
      </c>
    </row>
    <row r="2939" spans="1:11" ht="42" customHeight="1">
      <c r="A2939" s="2" t="s">
        <v>8125</v>
      </c>
      <c r="B2939" s="2" t="s">
        <v>8126</v>
      </c>
      <c r="C2939" s="2" t="s">
        <v>17</v>
      </c>
      <c r="D2939" s="2" t="s">
        <v>27</v>
      </c>
      <c r="E2939" s="4">
        <v>-31950</v>
      </c>
      <c r="F2939" s="3" t="s">
        <v>1024</v>
      </c>
      <c r="G2939" s="3" t="s">
        <v>1740</v>
      </c>
      <c r="H2939" s="2" t="s">
        <v>30</v>
      </c>
      <c r="I2939" s="2" t="s">
        <v>8127</v>
      </c>
      <c r="J2939" s="3" t="str">
        <f>HYPERLINK("https://www.boe.es/gazeta/dias/1812/07/09/pdfs/GRE-1812-84.pdf#page=4","Abrir facsímil")</f>
        <v>Abrir facsímil</v>
      </c>
      <c r="K2939" s="3" t="s">
        <v>32</v>
      </c>
    </row>
    <row r="2940" spans="1:11" ht="42" customHeight="1">
      <c r="A2940" s="2" t="s">
        <v>8128</v>
      </c>
      <c r="B2940" s="2" t="s">
        <v>8129</v>
      </c>
      <c r="C2940" s="2" t="s">
        <v>26</v>
      </c>
      <c r="D2940" s="2" t="s">
        <v>27</v>
      </c>
      <c r="E2940" s="4">
        <v>-32109</v>
      </c>
      <c r="F2940" s="3" t="s">
        <v>62</v>
      </c>
      <c r="G2940" s="3" t="s">
        <v>63</v>
      </c>
      <c r="H2940" s="2" t="s">
        <v>30</v>
      </c>
      <c r="I2940" s="2" t="s">
        <v>8130</v>
      </c>
      <c r="J2940" s="3" t="str">
        <f>HYPERLINK("https://www.boe.es/gazeta/dias/1812/02/01/pdfs/GRE-1812-14.pdf#page=10","Abrir facsímil")</f>
        <v>Abrir facsímil</v>
      </c>
      <c r="K2940" s="3" t="s">
        <v>32</v>
      </c>
    </row>
    <row r="2941" spans="1:11" ht="42" customHeight="1">
      <c r="A2941" s="2" t="s">
        <v>8131</v>
      </c>
      <c r="B2941" s="2" t="s">
        <v>8132</v>
      </c>
      <c r="C2941" s="2" t="s">
        <v>67</v>
      </c>
      <c r="D2941" s="2" t="s">
        <v>27</v>
      </c>
      <c r="E2941" s="4">
        <v>-32011</v>
      </c>
      <c r="F2941" s="3" t="s">
        <v>1656</v>
      </c>
      <c r="G2941" s="3" t="s">
        <v>777</v>
      </c>
      <c r="H2941" s="2" t="s">
        <v>21</v>
      </c>
      <c r="I2941" s="2" t="s">
        <v>8133</v>
      </c>
      <c r="J2941" s="3" t="str">
        <f>HYPERLINK("https://www.boe.es/gazeta/dias/1812/05/09/pdfs/GMD-1812-130.pdf#page=2","Abrir facsímil")</f>
        <v>Abrir facsímil</v>
      </c>
      <c r="K2941" s="3" t="s">
        <v>23</v>
      </c>
    </row>
    <row r="2942" spans="1:11" ht="42" customHeight="1">
      <c r="A2942" s="2" t="s">
        <v>8134</v>
      </c>
      <c r="B2942" s="2" t="s">
        <v>8134</v>
      </c>
      <c r="C2942" s="2" t="s">
        <v>17</v>
      </c>
      <c r="D2942" s="2" t="s">
        <v>27</v>
      </c>
      <c r="E2942" s="4">
        <v>-31905</v>
      </c>
      <c r="F2942" s="3" t="s">
        <v>855</v>
      </c>
      <c r="G2942" s="3" t="s">
        <v>4865</v>
      </c>
      <c r="H2942" s="2" t="s">
        <v>21</v>
      </c>
      <c r="I2942" s="2" t="s">
        <v>8135</v>
      </c>
      <c r="J2942" s="3" t="str">
        <f>HYPERLINK("https://www.boe.es/gazeta/dias/1812/08/23/pdfs/GMR-1812-4.pdf#page=12","Abrir facsímil")</f>
        <v>Abrir facsímil</v>
      </c>
      <c r="K2942" s="3" t="s">
        <v>23</v>
      </c>
    </row>
    <row r="2943" spans="1:11" ht="42" customHeight="1">
      <c r="A2943" s="2" t="s">
        <v>8136</v>
      </c>
      <c r="B2943" s="2" t="s">
        <v>8136</v>
      </c>
      <c r="C2943" s="2" t="s">
        <v>49</v>
      </c>
      <c r="D2943" s="2" t="s">
        <v>27</v>
      </c>
      <c r="E2943" s="4">
        <v>-32048</v>
      </c>
      <c r="F2943" s="3" t="s">
        <v>3938</v>
      </c>
      <c r="G2943" s="3" t="s">
        <v>2871</v>
      </c>
      <c r="H2943" s="2" t="s">
        <v>21</v>
      </c>
      <c r="I2943" s="2" t="s">
        <v>8137</v>
      </c>
      <c r="J2943" s="3" t="str">
        <f>HYPERLINK("https://www.boe.es/gazeta/dias/1812/04/02/pdfs/GMD-1812-93.pdf#page=1","Abrir facsímil")</f>
        <v>Abrir facsímil</v>
      </c>
      <c r="K2943" s="3" t="s">
        <v>23</v>
      </c>
    </row>
    <row r="2944" spans="1:11" ht="42" customHeight="1">
      <c r="A2944" s="2" t="s">
        <v>8138</v>
      </c>
      <c r="B2944" s="2" t="s">
        <v>8139</v>
      </c>
      <c r="C2944" s="2" t="s">
        <v>26</v>
      </c>
      <c r="D2944" s="2" t="s">
        <v>27</v>
      </c>
      <c r="E2944" s="4">
        <v>-31938</v>
      </c>
      <c r="F2944" s="3" t="s">
        <v>370</v>
      </c>
      <c r="G2944" s="3" t="s">
        <v>371</v>
      </c>
      <c r="H2944" s="2" t="s">
        <v>21</v>
      </c>
      <c r="I2944" s="2" t="s">
        <v>8140</v>
      </c>
      <c r="J2944" s="3" t="str">
        <f>HYPERLINK("https://www.boe.es/gazeta/dias/1812/07/21/pdfs/GRE-1812-91.pdf#page=8","Abrir facsímil")</f>
        <v>Abrir facsímil</v>
      </c>
      <c r="K2944" s="3" t="s">
        <v>23</v>
      </c>
    </row>
    <row r="2945" spans="1:11" ht="42" customHeight="1">
      <c r="A2945" s="2" t="s">
        <v>8141</v>
      </c>
      <c r="B2945" s="2" t="s">
        <v>8141</v>
      </c>
      <c r="C2945" s="2" t="s">
        <v>17</v>
      </c>
      <c r="D2945" s="2" t="s">
        <v>27</v>
      </c>
      <c r="E2945" s="4">
        <v>-31903</v>
      </c>
      <c r="F2945" s="3" t="s">
        <v>626</v>
      </c>
      <c r="G2945" s="3" t="s">
        <v>20</v>
      </c>
      <c r="H2945" s="2" t="s">
        <v>21</v>
      </c>
      <c r="I2945" s="2" t="s">
        <v>8142</v>
      </c>
      <c r="J2945" s="3" t="str">
        <f>HYPERLINK("https://www.boe.es/gazeta/dias/1812/08/25/pdfs/GMR-1812-5.pdf#page=4","Abrir facsímil")</f>
        <v>Abrir facsímil</v>
      </c>
      <c r="K2945" s="3" t="s">
        <v>23</v>
      </c>
    </row>
    <row r="2946" spans="1:11" ht="42" customHeight="1">
      <c r="A2946" s="2" t="s">
        <v>8143</v>
      </c>
      <c r="B2946" s="2" t="s">
        <v>8143</v>
      </c>
      <c r="C2946" s="2" t="s">
        <v>186</v>
      </c>
      <c r="D2946" s="2" t="s">
        <v>27</v>
      </c>
      <c r="E2946" s="4">
        <v>-32135</v>
      </c>
      <c r="F2946" s="3" t="s">
        <v>4558</v>
      </c>
      <c r="G2946" s="3" t="s">
        <v>2708</v>
      </c>
      <c r="H2946" s="2" t="s">
        <v>21</v>
      </c>
      <c r="I2946" s="2" t="s">
        <v>8144</v>
      </c>
      <c r="J2946" s="3" t="str">
        <f>HYPERLINK("https://www.boe.es/gazeta/dias/1812/01/06/pdfs/GMD-1812-7.pdf#page=3","Abrir facsímil")</f>
        <v>Abrir facsímil</v>
      </c>
      <c r="K2946" s="3" t="s">
        <v>23</v>
      </c>
    </row>
    <row r="2947" spans="1:11" ht="42" customHeight="1">
      <c r="A2947" s="2" t="s">
        <v>8143</v>
      </c>
      <c r="B2947" s="2" t="s">
        <v>8143</v>
      </c>
      <c r="C2947" s="2" t="s">
        <v>186</v>
      </c>
      <c r="D2947" s="2" t="s">
        <v>27</v>
      </c>
      <c r="E2947" s="4">
        <v>-32134</v>
      </c>
      <c r="F2947" s="3" t="s">
        <v>4558</v>
      </c>
      <c r="G2947" s="3" t="s">
        <v>2708</v>
      </c>
      <c r="H2947" s="2" t="s">
        <v>21</v>
      </c>
      <c r="I2947" s="2" t="s">
        <v>8144</v>
      </c>
      <c r="J2947" s="3" t="str">
        <f>HYPERLINK("https://www.boe.es/gazeta/dias/1812/01/07/pdfs/GMD-1812-7.pdf#page=3","Abrir facsímil")</f>
        <v>Abrir facsímil</v>
      </c>
      <c r="K2947" s="3" t="s">
        <v>23</v>
      </c>
    </row>
    <row r="2948" spans="1:11" ht="42" customHeight="1">
      <c r="A2948" s="2" t="s">
        <v>8145</v>
      </c>
      <c r="B2948" s="2" t="s">
        <v>8146</v>
      </c>
      <c r="C2948" s="2" t="s">
        <v>26</v>
      </c>
      <c r="D2948" s="2" t="s">
        <v>27</v>
      </c>
      <c r="E2948" s="4">
        <v>-31976</v>
      </c>
      <c r="F2948" s="3" t="s">
        <v>54</v>
      </c>
      <c r="G2948" s="3" t="s">
        <v>55</v>
      </c>
      <c r="H2948" s="2" t="s">
        <v>21</v>
      </c>
      <c r="I2948" s="2" t="s">
        <v>8147</v>
      </c>
      <c r="J2948" s="3" t="str">
        <f>HYPERLINK("https://www.boe.es/gazeta/dias/1812/06/13/pdfs/GRE-1812-73.pdf#page=6","Abrir facsímil")</f>
        <v>Abrir facsímil</v>
      </c>
      <c r="K2948" s="3" t="s">
        <v>23</v>
      </c>
    </row>
    <row r="2949" spans="1:11" ht="42" customHeight="1">
      <c r="A2949" s="2" t="s">
        <v>8148</v>
      </c>
      <c r="B2949" s="2" t="s">
        <v>8149</v>
      </c>
      <c r="C2949" s="2" t="s">
        <v>17</v>
      </c>
      <c r="D2949" s="2" t="s">
        <v>27</v>
      </c>
      <c r="E2949" s="4">
        <v>-31801</v>
      </c>
      <c r="F2949" s="3" t="s">
        <v>1914</v>
      </c>
      <c r="G2949" s="3" t="s">
        <v>8150</v>
      </c>
      <c r="H2949" s="2" t="s">
        <v>21</v>
      </c>
      <c r="I2949" s="2" t="s">
        <v>8151</v>
      </c>
      <c r="J2949" s="3" t="str">
        <f>HYPERLINK("https://www.boe.es/gazeta/dias/1812/12/05/pdfs/GRE-1812-161.pdf#page=6","Abrir facsímil")</f>
        <v>Abrir facsímil</v>
      </c>
      <c r="K2949" s="3" t="s">
        <v>23</v>
      </c>
    </row>
    <row r="2950" spans="1:11" ht="42" customHeight="1">
      <c r="A2950" s="2" t="s">
        <v>8152</v>
      </c>
      <c r="B2950" s="2" t="s">
        <v>8153</v>
      </c>
      <c r="C2950" s="2" t="s">
        <v>26</v>
      </c>
      <c r="D2950" s="2" t="s">
        <v>27</v>
      </c>
      <c r="E2950" s="4">
        <v>-31936</v>
      </c>
      <c r="F2950" s="3" t="s">
        <v>614</v>
      </c>
      <c r="G2950" s="3" t="s">
        <v>615</v>
      </c>
      <c r="H2950" s="2" t="s">
        <v>21</v>
      </c>
      <c r="I2950" s="2" t="s">
        <v>8154</v>
      </c>
      <c r="J2950" s="3" t="str">
        <f>HYPERLINK("https://www.boe.es/gazeta/dias/1812/07/23/pdfs/GRE-1812-92.pdf#page=8","Abrir facsímil")</f>
        <v>Abrir facsímil</v>
      </c>
      <c r="K2950" s="3" t="s">
        <v>23</v>
      </c>
    </row>
    <row r="2951" spans="1:11" ht="42" customHeight="1">
      <c r="A2951" s="2" t="s">
        <v>8155</v>
      </c>
      <c r="B2951" s="2" t="s">
        <v>8156</v>
      </c>
      <c r="C2951" s="2" t="s">
        <v>26</v>
      </c>
      <c r="D2951" s="2" t="s">
        <v>275</v>
      </c>
      <c r="E2951" s="4">
        <v>-32114</v>
      </c>
      <c r="F2951" s="3" t="s">
        <v>480</v>
      </c>
      <c r="G2951" s="3" t="s">
        <v>481</v>
      </c>
      <c r="H2951" s="2" t="s">
        <v>21</v>
      </c>
      <c r="I2951" s="2" t="s">
        <v>8157</v>
      </c>
      <c r="J2951" s="3" t="str">
        <f>HYPERLINK("https://www.boe.es/gazeta/dias/1812/01/27/pdfs/GMD-1812-27.pdf#page=4","Abrir facsímil")</f>
        <v>Abrir facsímil</v>
      </c>
      <c r="K2951" s="3" t="s">
        <v>23</v>
      </c>
    </row>
    <row r="2952" spans="1:11" ht="42" customHeight="1">
      <c r="A2952" s="2" t="s">
        <v>8158</v>
      </c>
      <c r="B2952" s="2" t="s">
        <v>8159</v>
      </c>
      <c r="C2952" s="2" t="s">
        <v>49</v>
      </c>
      <c r="D2952" s="2" t="s">
        <v>27</v>
      </c>
      <c r="E2952" s="4">
        <v>-31945</v>
      </c>
      <c r="F2952" s="3" t="s">
        <v>1485</v>
      </c>
      <c r="G2952" s="3" t="s">
        <v>4494</v>
      </c>
      <c r="H2952" s="2" t="s">
        <v>21</v>
      </c>
      <c r="I2952" s="2" t="s">
        <v>8160</v>
      </c>
      <c r="J2952" s="3" t="str">
        <f>HYPERLINK("https://www.boe.es/gazeta/dias/1812/07/14/pdfs/GRE-1812-88.pdf#page=8","Abrir facsímil")</f>
        <v>Abrir facsímil</v>
      </c>
      <c r="K2952" s="3" t="s">
        <v>23</v>
      </c>
    </row>
    <row r="2953" spans="1:11" ht="42" customHeight="1">
      <c r="A2953" s="2" t="s">
        <v>8161</v>
      </c>
      <c r="B2953" s="2" t="s">
        <v>8162</v>
      </c>
      <c r="C2953" s="2" t="s">
        <v>17</v>
      </c>
      <c r="D2953" s="2" t="s">
        <v>18</v>
      </c>
      <c r="E2953" s="4">
        <v>-32069</v>
      </c>
      <c r="F2953" s="3" t="s">
        <v>445</v>
      </c>
      <c r="G2953" s="3" t="s">
        <v>446</v>
      </c>
      <c r="H2953" s="2" t="s">
        <v>21</v>
      </c>
      <c r="I2953" s="2" t="s">
        <v>8163</v>
      </c>
      <c r="J2953" s="3" t="str">
        <f>HYPERLINK("https://www.boe.es/gazeta/dias/1812/03/12/pdfs/GRE-1812-32.pdf#page=8","Abrir facsímil")</f>
        <v>Abrir facsímil</v>
      </c>
      <c r="K2953" s="3" t="s">
        <v>23</v>
      </c>
    </row>
    <row r="2954" spans="1:11" ht="42" customHeight="1">
      <c r="A2954" s="2" t="s">
        <v>8164</v>
      </c>
      <c r="B2954" s="2" t="s">
        <v>8165</v>
      </c>
      <c r="C2954" s="2" t="s">
        <v>26</v>
      </c>
      <c r="D2954" s="2" t="s">
        <v>27</v>
      </c>
      <c r="E2954" s="4">
        <v>-32034</v>
      </c>
      <c r="F2954" s="3" t="s">
        <v>28</v>
      </c>
      <c r="G2954" s="3" t="s">
        <v>45</v>
      </c>
      <c r="H2954" s="2" t="s">
        <v>21</v>
      </c>
      <c r="I2954" s="2" t="s">
        <v>8166</v>
      </c>
      <c r="J2954" s="3" t="str">
        <f>HYPERLINK("https://www.boe.es/gazeta/dias/1812/04/16/pdfs/GMD-1812-107.pdf#page=5","Abrir facsímil")</f>
        <v>Abrir facsímil</v>
      </c>
      <c r="K2954" s="3" t="s">
        <v>23</v>
      </c>
    </row>
    <row r="2955" spans="1:11" ht="42" customHeight="1">
      <c r="A2955" s="2" t="s">
        <v>8167</v>
      </c>
      <c r="B2955" s="2" t="s">
        <v>8168</v>
      </c>
      <c r="C2955" s="2" t="s">
        <v>26</v>
      </c>
      <c r="D2955" s="2" t="s">
        <v>27</v>
      </c>
      <c r="E2955" s="4">
        <v>-32125</v>
      </c>
      <c r="F2955" s="3" t="s">
        <v>335</v>
      </c>
      <c r="G2955" s="3" t="s">
        <v>336</v>
      </c>
      <c r="H2955" s="2" t="s">
        <v>21</v>
      </c>
      <c r="I2955" s="2" t="s">
        <v>8169</v>
      </c>
      <c r="J2955" s="3" t="str">
        <f>HYPERLINK("https://www.boe.es/gazeta/dias/1812/01/16/pdfs/GEI-1812-7.pdf#page=8","Abrir facsímil")</f>
        <v>Abrir facsímil</v>
      </c>
      <c r="K2955" s="3" t="s">
        <v>23</v>
      </c>
    </row>
    <row r="2956" spans="1:11" ht="42" customHeight="1">
      <c r="A2956" s="2" t="s">
        <v>8167</v>
      </c>
      <c r="B2956" s="2" t="s">
        <v>8168</v>
      </c>
      <c r="C2956" s="2" t="s">
        <v>17</v>
      </c>
      <c r="D2956" s="2" t="s">
        <v>27</v>
      </c>
      <c r="E2956" s="4">
        <v>-32116</v>
      </c>
      <c r="F2956" s="3" t="s">
        <v>382</v>
      </c>
      <c r="G2956" s="3" t="s">
        <v>136</v>
      </c>
      <c r="H2956" s="2" t="s">
        <v>21</v>
      </c>
      <c r="I2956" s="2" t="s">
        <v>8170</v>
      </c>
      <c r="J2956" s="3" t="str">
        <f>HYPERLINK("https://www.boe.es/gazeta/dias/1812/01/25/pdfs/GMD-1812-25.pdf#page=4","Abrir facsímil")</f>
        <v>Abrir facsímil</v>
      </c>
      <c r="K2956" s="3" t="s">
        <v>23</v>
      </c>
    </row>
    <row r="2957" spans="1:11" ht="42" customHeight="1">
      <c r="A2957" s="2" t="s">
        <v>8171</v>
      </c>
      <c r="B2957" s="2" t="s">
        <v>8172</v>
      </c>
      <c r="C2957" s="2" t="s">
        <v>26</v>
      </c>
      <c r="D2957" s="2" t="s">
        <v>27</v>
      </c>
      <c r="E2957" s="4">
        <v>-31936</v>
      </c>
      <c r="F2957" s="3" t="s">
        <v>614</v>
      </c>
      <c r="G2957" s="3" t="s">
        <v>615</v>
      </c>
      <c r="H2957" s="2" t="s">
        <v>21</v>
      </c>
      <c r="I2957" s="2" t="s">
        <v>8173</v>
      </c>
      <c r="J2957" s="3" t="str">
        <f>HYPERLINK("https://www.boe.es/gazeta/dias/1812/07/23/pdfs/GRE-1812-92.pdf#page=8","Abrir facsímil")</f>
        <v>Abrir facsímil</v>
      </c>
      <c r="K2957" s="3" t="s">
        <v>23</v>
      </c>
    </row>
    <row r="2958" spans="1:11" ht="42" customHeight="1">
      <c r="A2958" s="2" t="s">
        <v>8174</v>
      </c>
      <c r="B2958" s="2" t="s">
        <v>8175</v>
      </c>
      <c r="C2958" s="2" t="s">
        <v>17</v>
      </c>
      <c r="D2958" s="2" t="s">
        <v>18</v>
      </c>
      <c r="E2958" s="4">
        <v>-32125</v>
      </c>
      <c r="F2958" s="3" t="s">
        <v>964</v>
      </c>
      <c r="G2958" s="3" t="s">
        <v>1842</v>
      </c>
      <c r="H2958" s="2" t="s">
        <v>21</v>
      </c>
      <c r="I2958" s="2" t="s">
        <v>8176</v>
      </c>
      <c r="J2958" s="3" t="str">
        <f>HYPERLINK("https://www.boe.es/gazeta/dias/1812/01/16/pdfs/GEI-H-1812-7.pdf#page=4","Abrir facsímil")</f>
        <v>Abrir facsímil</v>
      </c>
      <c r="K2958" s="3" t="s">
        <v>23</v>
      </c>
    </row>
    <row r="2959" spans="1:11" ht="42" customHeight="1">
      <c r="A2959" s="2" t="s">
        <v>8177</v>
      </c>
      <c r="B2959" s="2" t="s">
        <v>8178</v>
      </c>
      <c r="C2959" s="2" t="s">
        <v>26</v>
      </c>
      <c r="D2959" s="2" t="s">
        <v>27</v>
      </c>
      <c r="E2959" s="4">
        <v>-32055</v>
      </c>
      <c r="F2959" s="3" t="s">
        <v>1271</v>
      </c>
      <c r="G2959" s="3" t="s">
        <v>130</v>
      </c>
      <c r="H2959" s="2" t="s">
        <v>21</v>
      </c>
      <c r="I2959" s="2" t="s">
        <v>8179</v>
      </c>
      <c r="J2959" s="3" t="str">
        <f>HYPERLINK("https://www.boe.es/gazeta/dias/1812/03/26/pdfs/GMD-1812-86.pdf#page=4","Abrir facsímil")</f>
        <v>Abrir facsímil</v>
      </c>
      <c r="K2959" s="3" t="s">
        <v>23</v>
      </c>
    </row>
    <row r="2960" spans="1:11" ht="42" customHeight="1">
      <c r="A2960" s="2" t="s">
        <v>8180</v>
      </c>
      <c r="B2960" s="2" t="s">
        <v>8180</v>
      </c>
      <c r="C2960" s="2" t="s">
        <v>26</v>
      </c>
      <c r="D2960" s="2" t="s">
        <v>27</v>
      </c>
      <c r="E2960" s="4">
        <v>-31775</v>
      </c>
      <c r="F2960" s="3" t="s">
        <v>660</v>
      </c>
      <c r="G2960" s="3" t="s">
        <v>2138</v>
      </c>
      <c r="H2960" s="2" t="s">
        <v>21</v>
      </c>
      <c r="I2960" s="2" t="s">
        <v>8181</v>
      </c>
      <c r="J2960" s="3" t="str">
        <f>HYPERLINK("https://www.boe.es/gazeta/dias/1812/12/31/pdfs/GRE-1812-172.pdf#page=8","Abrir facsímil")</f>
        <v>Abrir facsímil</v>
      </c>
      <c r="K2960" s="3" t="s">
        <v>23</v>
      </c>
    </row>
    <row r="2961" spans="1:11" ht="42" customHeight="1">
      <c r="A2961" s="2" t="s">
        <v>8182</v>
      </c>
      <c r="B2961" s="2" t="s">
        <v>8182</v>
      </c>
      <c r="C2961" s="2" t="s">
        <v>26</v>
      </c>
      <c r="D2961" s="2" t="s">
        <v>27</v>
      </c>
      <c r="E2961" s="4">
        <v>-31924</v>
      </c>
      <c r="F2961" s="3" t="s">
        <v>8183</v>
      </c>
      <c r="G2961" s="3" t="s">
        <v>599</v>
      </c>
      <c r="H2961" s="2" t="s">
        <v>21</v>
      </c>
      <c r="I2961" s="2" t="s">
        <v>8184</v>
      </c>
      <c r="J2961" s="3" t="str">
        <f>HYPERLINK("https://www.boe.es/gazeta/dias/1812/08/04/pdfs/GMD-1812-217.pdf#page=4","Abrir facsímil")</f>
        <v>Abrir facsímil</v>
      </c>
      <c r="K2961" s="3" t="s">
        <v>23</v>
      </c>
    </row>
    <row r="2962" spans="1:11" ht="42" customHeight="1">
      <c r="A2962" s="2" t="s">
        <v>8185</v>
      </c>
      <c r="B2962" s="2" t="s">
        <v>8186</v>
      </c>
      <c r="C2962" s="2" t="s">
        <v>26</v>
      </c>
      <c r="D2962" s="2" t="s">
        <v>27</v>
      </c>
      <c r="E2962" s="4">
        <v>-31924</v>
      </c>
      <c r="F2962" s="3" t="s">
        <v>8183</v>
      </c>
      <c r="G2962" s="3" t="s">
        <v>599</v>
      </c>
      <c r="H2962" s="2" t="s">
        <v>30</v>
      </c>
      <c r="I2962" s="2" t="s">
        <v>8187</v>
      </c>
      <c r="J2962" s="3" t="str">
        <f>HYPERLINK("https://www.boe.es/gazeta/dias/1812/08/04/pdfs/GMD-1812-217.pdf#page=4","Abrir facsímil")</f>
        <v>Abrir facsímil</v>
      </c>
      <c r="K2962" s="3" t="s">
        <v>32</v>
      </c>
    </row>
    <row r="2963" spans="1:11" ht="42" customHeight="1">
      <c r="A2963" s="2" t="s">
        <v>8188</v>
      </c>
      <c r="B2963" s="2" t="s">
        <v>8189</v>
      </c>
      <c r="C2963" s="2" t="s">
        <v>26</v>
      </c>
      <c r="D2963" s="2" t="s">
        <v>27</v>
      </c>
      <c r="E2963" s="4">
        <v>-32125</v>
      </c>
      <c r="F2963" s="3" t="s">
        <v>335</v>
      </c>
      <c r="G2963" s="3" t="s">
        <v>336</v>
      </c>
      <c r="H2963" s="2" t="s">
        <v>21</v>
      </c>
      <c r="I2963" s="2" t="s">
        <v>8190</v>
      </c>
      <c r="J2963" s="3" t="str">
        <f>HYPERLINK("https://www.boe.es/gazeta/dias/1812/01/16/pdfs/GEI-1812-7.pdf#page=8","Abrir facsímil")</f>
        <v>Abrir facsímil</v>
      </c>
      <c r="K2963" s="3" t="s">
        <v>23</v>
      </c>
    </row>
    <row r="2964" spans="1:11" ht="42" customHeight="1">
      <c r="A2964" s="2" t="s">
        <v>8191</v>
      </c>
      <c r="B2964" s="2" t="s">
        <v>8192</v>
      </c>
      <c r="C2964" s="2" t="s">
        <v>26</v>
      </c>
      <c r="D2964" s="2" t="s">
        <v>27</v>
      </c>
      <c r="E2964" s="4">
        <v>-32074</v>
      </c>
      <c r="F2964" s="3" t="s">
        <v>816</v>
      </c>
      <c r="G2964" s="3" t="s">
        <v>777</v>
      </c>
      <c r="H2964" s="2" t="s">
        <v>21</v>
      </c>
      <c r="I2964" s="2" t="s">
        <v>8193</v>
      </c>
      <c r="J2964" s="3" t="str">
        <f>HYPERLINK("https://www.boe.es/gazeta/dias/1812/03/07/pdfs/GRE-1812-30.pdf#page=8","Abrir facsímil")</f>
        <v>Abrir facsímil</v>
      </c>
      <c r="K2964" s="3" t="s">
        <v>23</v>
      </c>
    </row>
    <row r="2965" spans="1:11" ht="42" customHeight="1">
      <c r="A2965" s="2" t="s">
        <v>8194</v>
      </c>
      <c r="B2965" s="2" t="s">
        <v>8195</v>
      </c>
      <c r="C2965" s="2" t="s">
        <v>49</v>
      </c>
      <c r="D2965" s="2" t="s">
        <v>275</v>
      </c>
      <c r="E2965" s="4">
        <v>-32067</v>
      </c>
      <c r="F2965" s="3" t="s">
        <v>199</v>
      </c>
      <c r="G2965" s="3" t="s">
        <v>3583</v>
      </c>
      <c r="H2965" s="2" t="s">
        <v>21</v>
      </c>
      <c r="I2965" s="2" t="s">
        <v>8196</v>
      </c>
      <c r="J2965" s="3" t="str">
        <f>HYPERLINK("https://www.boe.es/gazeta/dias/1812/03/14/pdfs/GRE-1812-33.pdf#page=4","Abrir facsímil")</f>
        <v>Abrir facsímil</v>
      </c>
      <c r="K2965" s="3" t="s">
        <v>23</v>
      </c>
    </row>
    <row r="2966" spans="1:11" ht="42" customHeight="1">
      <c r="A2966" s="2" t="s">
        <v>8197</v>
      </c>
      <c r="B2966" s="2" t="s">
        <v>8198</v>
      </c>
      <c r="C2966" s="2" t="s">
        <v>26</v>
      </c>
      <c r="D2966" s="2" t="s">
        <v>27</v>
      </c>
      <c r="E2966" s="4">
        <v>-31994</v>
      </c>
      <c r="F2966" s="3" t="s">
        <v>207</v>
      </c>
      <c r="G2966" s="3" t="s">
        <v>1176</v>
      </c>
      <c r="H2966" s="2" t="s">
        <v>21</v>
      </c>
      <c r="I2966" s="2" t="s">
        <v>8199</v>
      </c>
      <c r="J2966" s="3" t="str">
        <f>HYPERLINK("https://www.boe.es/gazeta/dias/1812/05/26/pdfs/GRE-1812-65.pdf#page=8","Abrir facsímil")</f>
        <v>Abrir facsímil</v>
      </c>
      <c r="K2966" s="3" t="s">
        <v>23</v>
      </c>
    </row>
    <row r="2967" spans="1:11" ht="42" customHeight="1">
      <c r="A2967" s="2" t="s">
        <v>8200</v>
      </c>
      <c r="B2967" s="2" t="s">
        <v>8201</v>
      </c>
      <c r="C2967" s="2" t="s">
        <v>26</v>
      </c>
      <c r="D2967" s="2" t="s">
        <v>27</v>
      </c>
      <c r="E2967" s="4">
        <v>-31861</v>
      </c>
      <c r="F2967" s="3" t="s">
        <v>216</v>
      </c>
      <c r="G2967" s="3" t="s">
        <v>196</v>
      </c>
      <c r="H2967" s="2" t="s">
        <v>21</v>
      </c>
      <c r="I2967" s="2" t="s">
        <v>8202</v>
      </c>
      <c r="J2967" s="3" t="str">
        <f>HYPERLINK("https://www.boe.es/gazeta/dias/1812/10/06/pdfs/GRE-1812-135.pdf#page=6","Abrir facsímil")</f>
        <v>Abrir facsímil</v>
      </c>
      <c r="K2967" s="3" t="s">
        <v>23</v>
      </c>
    </row>
    <row r="2968" spans="1:11" ht="42" customHeight="1">
      <c r="A2968" s="2" t="s">
        <v>8203</v>
      </c>
      <c r="B2968" s="2" t="s">
        <v>8204</v>
      </c>
      <c r="C2968" s="2" t="s">
        <v>17</v>
      </c>
      <c r="D2968" s="2" t="s">
        <v>27</v>
      </c>
      <c r="E2968" s="4">
        <v>-32127</v>
      </c>
      <c r="F2968" s="3" t="s">
        <v>88</v>
      </c>
      <c r="G2968" s="3" t="s">
        <v>89</v>
      </c>
      <c r="H2968" s="2" t="s">
        <v>21</v>
      </c>
      <c r="I2968" s="2" t="s">
        <v>8205</v>
      </c>
      <c r="J2968" s="3" t="str">
        <f>HYPERLINK("https://www.boe.es/gazeta/dias/1812/01/14/pdfs/GEI-1812-6.pdf#page=8","Abrir facsímil")</f>
        <v>Abrir facsímil</v>
      </c>
      <c r="K2968" s="3" t="s">
        <v>23</v>
      </c>
    </row>
    <row r="2969" spans="1:11" ht="42" customHeight="1">
      <c r="A2969" s="2" t="s">
        <v>8206</v>
      </c>
      <c r="B2969" s="2" t="s">
        <v>8207</v>
      </c>
      <c r="C2969" s="2" t="s">
        <v>26</v>
      </c>
      <c r="D2969" s="2" t="s">
        <v>27</v>
      </c>
      <c r="E2969" s="4">
        <v>-32015</v>
      </c>
      <c r="F2969" s="3" t="s">
        <v>77</v>
      </c>
      <c r="G2969" s="3" t="s">
        <v>78</v>
      </c>
      <c r="H2969" s="2" t="s">
        <v>21</v>
      </c>
      <c r="I2969" s="2" t="s">
        <v>8208</v>
      </c>
      <c r="J2969" s="3" t="str">
        <f>HYPERLINK("https://www.boe.es/gazeta/dias/1812/05/05/pdfs/GRE-1812-56.pdf#page=8","Abrir facsímil")</f>
        <v>Abrir facsímil</v>
      </c>
      <c r="K2969" s="3" t="s">
        <v>23</v>
      </c>
    </row>
    <row r="2970" spans="1:11" ht="42" customHeight="1">
      <c r="A2970" s="2" t="s">
        <v>8209</v>
      </c>
      <c r="B2970" s="2" t="s">
        <v>8210</v>
      </c>
      <c r="C2970" s="2" t="s">
        <v>115</v>
      </c>
      <c r="D2970" s="2" t="s">
        <v>27</v>
      </c>
      <c r="E2970" s="4">
        <v>-32113</v>
      </c>
      <c r="F2970" s="3" t="s">
        <v>4341</v>
      </c>
      <c r="G2970" s="3" t="s">
        <v>688</v>
      </c>
      <c r="H2970" s="2" t="s">
        <v>21</v>
      </c>
      <c r="I2970" s="2" t="s">
        <v>8211</v>
      </c>
      <c r="J2970" s="3" t="str">
        <f>HYPERLINK("https://www.boe.es/gazeta/dias/1812/01/28/pdfs/GMD-1812-28.pdf#page=2","Abrir facsímil")</f>
        <v>Abrir facsímil</v>
      </c>
      <c r="K2970" s="3" t="s">
        <v>23</v>
      </c>
    </row>
    <row r="2971" spans="1:11" ht="42" customHeight="1">
      <c r="A2971" s="2" t="s">
        <v>8212</v>
      </c>
      <c r="B2971" s="2" t="s">
        <v>8213</v>
      </c>
      <c r="C2971" s="2" t="s">
        <v>26</v>
      </c>
      <c r="D2971" s="2" t="s">
        <v>27</v>
      </c>
      <c r="E2971" s="4">
        <v>-32032</v>
      </c>
      <c r="F2971" s="3" t="s">
        <v>531</v>
      </c>
      <c r="G2971" s="3" t="s">
        <v>532</v>
      </c>
      <c r="H2971" s="2" t="s">
        <v>21</v>
      </c>
      <c r="I2971" s="2" t="s">
        <v>8214</v>
      </c>
      <c r="J2971" s="3" t="str">
        <f>HYPERLINK("https://www.boe.es/gazeta/dias/1812/04/18/pdfs/GMD-1812-109.pdf#page=4","Abrir facsímil")</f>
        <v>Abrir facsímil</v>
      </c>
      <c r="K2971" s="3" t="s">
        <v>23</v>
      </c>
    </row>
    <row r="2972" spans="1:11" ht="42" customHeight="1">
      <c r="A2972" s="2" t="s">
        <v>8215</v>
      </c>
      <c r="B2972" s="2" t="s">
        <v>8216</v>
      </c>
      <c r="C2972" s="2" t="s">
        <v>17</v>
      </c>
      <c r="D2972" s="2" t="s">
        <v>27</v>
      </c>
      <c r="E2972" s="4">
        <v>-32140</v>
      </c>
      <c r="F2972" s="3" t="s">
        <v>822</v>
      </c>
      <c r="G2972" s="3" t="s">
        <v>106</v>
      </c>
      <c r="H2972" s="2" t="s">
        <v>21</v>
      </c>
      <c r="I2972" s="2" t="s">
        <v>8217</v>
      </c>
      <c r="J2972" s="3" t="str">
        <f>HYPERLINK("https://www.boe.es/gazeta/dias/1812/01/01/pdfs/GMD-1812-1.pdf#page=4","Abrir facsímil")</f>
        <v>Abrir facsímil</v>
      </c>
      <c r="K2972" s="3" t="s">
        <v>23</v>
      </c>
    </row>
    <row r="2973" spans="1:11" ht="42" customHeight="1">
      <c r="A2973" s="2" t="s">
        <v>8218</v>
      </c>
      <c r="B2973" s="2" t="s">
        <v>8219</v>
      </c>
      <c r="C2973" s="2" t="s">
        <v>17</v>
      </c>
      <c r="D2973" s="2" t="s">
        <v>18</v>
      </c>
      <c r="E2973" s="4">
        <v>-31982</v>
      </c>
      <c r="F2973" s="3" t="s">
        <v>1630</v>
      </c>
      <c r="G2973" s="3" t="s">
        <v>1631</v>
      </c>
      <c r="H2973" s="2" t="s">
        <v>21</v>
      </c>
      <c r="I2973" s="2" t="s">
        <v>8220</v>
      </c>
      <c r="J2973" s="3" t="str">
        <f>HYPERLINK("https://www.boe.es/gazeta/dias/1812/06/07/pdfs/GMD-1812-159.pdf#page=4","Abrir facsímil")</f>
        <v>Abrir facsímil</v>
      </c>
      <c r="K2973" s="3" t="s">
        <v>23</v>
      </c>
    </row>
    <row r="2974" spans="1:11" ht="42" customHeight="1">
      <c r="A2974" s="2" t="s">
        <v>8221</v>
      </c>
      <c r="B2974" s="2" t="s">
        <v>8222</v>
      </c>
      <c r="C2974" s="2" t="s">
        <v>17</v>
      </c>
      <c r="D2974" s="2" t="s">
        <v>18</v>
      </c>
      <c r="E2974" s="4">
        <v>-32108</v>
      </c>
      <c r="F2974" s="3" t="s">
        <v>1143</v>
      </c>
      <c r="G2974" s="3" t="s">
        <v>45</v>
      </c>
      <c r="H2974" s="2" t="s">
        <v>21</v>
      </c>
      <c r="I2974" s="2" t="s">
        <v>8223</v>
      </c>
      <c r="J2974" s="3" t="str">
        <f>HYPERLINK("https://www.boe.es/gazeta/dias/1812/02/02/pdfs/GMD-1812-33.pdf#page=4","Abrir facsímil")</f>
        <v>Abrir facsímil</v>
      </c>
      <c r="K2974" s="3" t="s">
        <v>23</v>
      </c>
    </row>
    <row r="2975" spans="1:11" ht="42" customHeight="1">
      <c r="A2975" s="2" t="s">
        <v>8224</v>
      </c>
      <c r="B2975" s="2" t="s">
        <v>8225</v>
      </c>
      <c r="C2975" s="2" t="s">
        <v>17</v>
      </c>
      <c r="D2975" s="2" t="s">
        <v>27</v>
      </c>
      <c r="E2975" s="4">
        <v>-31850</v>
      </c>
      <c r="F2975" s="3" t="s">
        <v>2178</v>
      </c>
      <c r="G2975" s="3" t="s">
        <v>29</v>
      </c>
      <c r="H2975" s="2" t="s">
        <v>30</v>
      </c>
      <c r="I2975" s="2" t="s">
        <v>8226</v>
      </c>
      <c r="J2975" s="3" t="str">
        <f>HYPERLINK("https://www.boe.es/gazeta/dias/1812/10/17/pdfs/GRE-1812-140.pdf#page=8","Abrir facsímil")</f>
        <v>Abrir facsímil</v>
      </c>
      <c r="K2975" s="3" t="s">
        <v>32</v>
      </c>
    </row>
    <row r="2976" spans="1:11" ht="42" customHeight="1">
      <c r="A2976" s="2" t="s">
        <v>8227</v>
      </c>
      <c r="B2976" s="2" t="s">
        <v>8228</v>
      </c>
      <c r="C2976" s="2" t="s">
        <v>26</v>
      </c>
      <c r="D2976" s="2" t="s">
        <v>27</v>
      </c>
      <c r="E2976" s="4">
        <v>-31901</v>
      </c>
      <c r="F2976" s="3" t="s">
        <v>590</v>
      </c>
      <c r="G2976" s="3" t="s">
        <v>742</v>
      </c>
      <c r="H2976" s="2" t="s">
        <v>21</v>
      </c>
      <c r="I2976" s="2" t="s">
        <v>8229</v>
      </c>
      <c r="J2976" s="3" t="str">
        <f>HYPERLINK("https://www.boe.es/gazeta/dias/1812/08/27/pdfs/GMR-1812-6.pdf#page=5","Abrir facsímil")</f>
        <v>Abrir facsímil</v>
      </c>
      <c r="K2976" s="3" t="s">
        <v>23</v>
      </c>
    </row>
    <row r="2977" spans="1:11" ht="42" customHeight="1">
      <c r="A2977" s="2" t="s">
        <v>8230</v>
      </c>
      <c r="B2977" s="2" t="s">
        <v>8231</v>
      </c>
      <c r="C2977" s="2" t="s">
        <v>26</v>
      </c>
      <c r="D2977" s="2" t="s">
        <v>27</v>
      </c>
      <c r="E2977" s="4">
        <v>-31901</v>
      </c>
      <c r="F2977" s="3" t="s">
        <v>590</v>
      </c>
      <c r="G2977" s="3" t="s">
        <v>742</v>
      </c>
      <c r="H2977" s="2" t="s">
        <v>21</v>
      </c>
      <c r="I2977" s="2" t="s">
        <v>8232</v>
      </c>
      <c r="J2977" s="3" t="str">
        <f>HYPERLINK("https://www.boe.es/gazeta/dias/1812/08/27/pdfs/GMR-1812-6.pdf#page=5","Abrir facsímil")</f>
        <v>Abrir facsímil</v>
      </c>
      <c r="K2977" s="3" t="s">
        <v>23</v>
      </c>
    </row>
    <row r="2978" spans="1:11" ht="42" customHeight="1">
      <c r="A2978" s="2" t="s">
        <v>8233</v>
      </c>
      <c r="B2978" s="2" t="s">
        <v>8234</v>
      </c>
      <c r="C2978" s="2" t="s">
        <v>26</v>
      </c>
      <c r="D2978" s="2" t="s">
        <v>27</v>
      </c>
      <c r="E2978" s="4">
        <v>-31901</v>
      </c>
      <c r="F2978" s="3" t="s">
        <v>590</v>
      </c>
      <c r="G2978" s="3" t="s">
        <v>742</v>
      </c>
      <c r="H2978" s="2" t="s">
        <v>30</v>
      </c>
      <c r="I2978" s="2" t="s">
        <v>8235</v>
      </c>
      <c r="J2978" s="3" t="str">
        <f>HYPERLINK("https://www.boe.es/gazeta/dias/1812/08/27/pdfs/GMR-1812-6.pdf#page=5","Abrir facsímil")</f>
        <v>Abrir facsímil</v>
      </c>
      <c r="K2978" s="3" t="s">
        <v>32</v>
      </c>
    </row>
    <row r="2979" spans="1:11" ht="42" customHeight="1">
      <c r="A2979" s="2" t="s">
        <v>8236</v>
      </c>
      <c r="B2979" s="2" t="s">
        <v>8237</v>
      </c>
      <c r="C2979" s="2" t="s">
        <v>17</v>
      </c>
      <c r="D2979" s="2" t="s">
        <v>18</v>
      </c>
      <c r="E2979" s="4">
        <v>-32134</v>
      </c>
      <c r="F2979" s="3" t="s">
        <v>50</v>
      </c>
      <c r="G2979" s="3" t="s">
        <v>45</v>
      </c>
      <c r="H2979" s="2" t="s">
        <v>30</v>
      </c>
      <c r="I2979" s="2" t="s">
        <v>8238</v>
      </c>
      <c r="J2979" s="3" t="str">
        <f>HYPERLINK("https://www.boe.es/gazeta/dias/1812/01/07/pdfs/GEI-1812-3.pdf#page=4","Abrir facsímil")</f>
        <v>Abrir facsímil</v>
      </c>
      <c r="K2979" s="3" t="s">
        <v>32</v>
      </c>
    </row>
    <row r="2980" spans="1:11" ht="42" customHeight="1">
      <c r="A2980" s="2" t="s">
        <v>8239</v>
      </c>
      <c r="B2980" s="2" t="s">
        <v>8240</v>
      </c>
      <c r="C2980" s="2" t="s">
        <v>186</v>
      </c>
      <c r="D2980" s="2" t="s">
        <v>27</v>
      </c>
      <c r="E2980" s="4">
        <v>-32060</v>
      </c>
      <c r="F2980" s="3" t="s">
        <v>399</v>
      </c>
      <c r="G2980" s="3" t="s">
        <v>136</v>
      </c>
      <c r="H2980" s="2" t="s">
        <v>21</v>
      </c>
      <c r="I2980" s="2" t="s">
        <v>8241</v>
      </c>
      <c r="J2980" s="3" t="str">
        <f>HYPERLINK("https://www.boe.es/gazeta/dias/1812/03/21/pdfs/GMD-1812-81.pdf#page=4","Abrir facsímil")</f>
        <v>Abrir facsímil</v>
      </c>
      <c r="K2980" s="3" t="s">
        <v>23</v>
      </c>
    </row>
    <row r="2981" spans="1:11" ht="42" customHeight="1">
      <c r="A2981" s="2" t="s">
        <v>8242</v>
      </c>
      <c r="B2981" s="2" t="s">
        <v>8243</v>
      </c>
      <c r="C2981" s="2" t="s">
        <v>67</v>
      </c>
      <c r="D2981" s="2" t="s">
        <v>27</v>
      </c>
      <c r="E2981" s="4">
        <v>-32055</v>
      </c>
      <c r="F2981" s="3" t="s">
        <v>1271</v>
      </c>
      <c r="G2981" s="3" t="s">
        <v>130</v>
      </c>
      <c r="H2981" s="2" t="s">
        <v>21</v>
      </c>
      <c r="I2981" s="2" t="s">
        <v>8244</v>
      </c>
      <c r="J2981" s="3" t="str">
        <f>HYPERLINK("https://www.boe.es/gazeta/dias/1812/03/26/pdfs/GMD-1812-86.pdf#page=4","Abrir facsímil")</f>
        <v>Abrir facsímil</v>
      </c>
      <c r="K2981" s="3" t="s">
        <v>23</v>
      </c>
    </row>
    <row r="2982" spans="1:11" ht="42" customHeight="1">
      <c r="A2982" s="2" t="s">
        <v>8245</v>
      </c>
      <c r="B2982" s="2" t="s">
        <v>8246</v>
      </c>
      <c r="C2982" s="2" t="s">
        <v>26</v>
      </c>
      <c r="D2982" s="2" t="s">
        <v>27</v>
      </c>
      <c r="E2982" s="4">
        <v>-31938</v>
      </c>
      <c r="F2982" s="3" t="s">
        <v>324</v>
      </c>
      <c r="G2982" s="3" t="s">
        <v>237</v>
      </c>
      <c r="H2982" s="2" t="s">
        <v>21</v>
      </c>
      <c r="I2982" s="2" t="s">
        <v>8247</v>
      </c>
      <c r="J2982" s="3" t="str">
        <f>HYPERLINK("https://www.boe.es/gazeta/dias/1812/07/21/pdfs/GMD-1812-203.pdf#page=2","Abrir facsímil")</f>
        <v>Abrir facsímil</v>
      </c>
      <c r="K2982" s="3" t="s">
        <v>23</v>
      </c>
    </row>
    <row r="2983" spans="1:11" ht="42" customHeight="1">
      <c r="A2983" s="2" t="s">
        <v>8248</v>
      </c>
      <c r="B2983" s="2" t="s">
        <v>8248</v>
      </c>
      <c r="C2983" s="2" t="s">
        <v>82</v>
      </c>
      <c r="D2983" s="2" t="s">
        <v>27</v>
      </c>
      <c r="E2983" s="4">
        <v>-32097</v>
      </c>
      <c r="F2983" s="3" t="s">
        <v>4288</v>
      </c>
      <c r="G2983" s="3" t="s">
        <v>140</v>
      </c>
      <c r="H2983" s="2" t="s">
        <v>21</v>
      </c>
      <c r="I2983" s="2" t="s">
        <v>8249</v>
      </c>
      <c r="J2983" s="3" t="str">
        <f>HYPERLINK("https://www.boe.es/gazeta/dias/1812/02/13/pdfs/GMD-1812-44.pdf#page=2","Abrir facsímil")</f>
        <v>Abrir facsímil</v>
      </c>
      <c r="K2983" s="3" t="s">
        <v>23</v>
      </c>
    </row>
    <row r="2984" spans="1:11" ht="42" customHeight="1">
      <c r="A2984" s="2" t="s">
        <v>8250</v>
      </c>
      <c r="B2984" s="2" t="s">
        <v>8250</v>
      </c>
      <c r="C2984" s="2" t="s">
        <v>17</v>
      </c>
      <c r="D2984" s="2" t="s">
        <v>275</v>
      </c>
      <c r="E2984" s="4">
        <v>-32105</v>
      </c>
      <c r="F2984" s="3" t="s">
        <v>8251</v>
      </c>
      <c r="G2984" s="3" t="s">
        <v>45</v>
      </c>
      <c r="H2984" s="2" t="s">
        <v>21</v>
      </c>
      <c r="I2984" s="2" t="s">
        <v>8252</v>
      </c>
      <c r="J2984" s="3" t="str">
        <f>HYPERLINK("https://www.boe.es/gazeta/dias/1812/02/05/pdfs/GMD-1812-36.pdf#page=4","Abrir facsímil")</f>
        <v>Abrir facsímil</v>
      </c>
      <c r="K2984" s="3" t="s">
        <v>23</v>
      </c>
    </row>
    <row r="2985" spans="1:11" ht="42" customHeight="1">
      <c r="A2985" s="2" t="s">
        <v>8250</v>
      </c>
      <c r="B2985" s="2" t="s">
        <v>8250</v>
      </c>
      <c r="C2985" s="2" t="s">
        <v>17</v>
      </c>
      <c r="D2985" s="2" t="s">
        <v>27</v>
      </c>
      <c r="E2985" s="4">
        <v>-31882</v>
      </c>
      <c r="F2985" s="3" t="s">
        <v>1798</v>
      </c>
      <c r="G2985" s="3" t="s">
        <v>8253</v>
      </c>
      <c r="H2985" s="2" t="s">
        <v>21</v>
      </c>
      <c r="I2985" s="2" t="s">
        <v>8254</v>
      </c>
      <c r="J2985" s="3" t="str">
        <f>HYPERLINK("https://www.boe.es/gazeta/dias/1812/09/15/pdfs/GMR-1812-14.pdf#page=6","Abrir facsímil")</f>
        <v>Abrir facsímil</v>
      </c>
      <c r="K2985" s="3" t="s">
        <v>23</v>
      </c>
    </row>
    <row r="2986" spans="1:11" ht="42" customHeight="1">
      <c r="A2986" s="2" t="s">
        <v>8250</v>
      </c>
      <c r="B2986" s="2" t="s">
        <v>8250</v>
      </c>
      <c r="C2986" s="2" t="s">
        <v>17</v>
      </c>
      <c r="D2986" s="2" t="s">
        <v>27</v>
      </c>
      <c r="E2986" s="4">
        <v>-31873</v>
      </c>
      <c r="F2986" s="3" t="s">
        <v>213</v>
      </c>
      <c r="G2986" s="3" t="s">
        <v>2262</v>
      </c>
      <c r="H2986" s="2" t="s">
        <v>21</v>
      </c>
      <c r="I2986" s="2" t="s">
        <v>8255</v>
      </c>
      <c r="J2986" s="3" t="str">
        <f>HYPERLINK("https://www.boe.es/gazeta/dias/1812/09/24/pdfs/GMR-1812-18.pdf#page=5","Abrir facsímil")</f>
        <v>Abrir facsímil</v>
      </c>
      <c r="K2986" s="3" t="s">
        <v>23</v>
      </c>
    </row>
    <row r="2987" spans="1:11" ht="42" customHeight="1">
      <c r="A2987" s="2" t="s">
        <v>8256</v>
      </c>
      <c r="B2987" s="2" t="s">
        <v>8257</v>
      </c>
      <c r="C2987" s="2" t="s">
        <v>105</v>
      </c>
      <c r="D2987" s="2" t="s">
        <v>27</v>
      </c>
      <c r="E2987" s="4">
        <v>-31983</v>
      </c>
      <c r="F2987" s="3" t="s">
        <v>809</v>
      </c>
      <c r="G2987" s="3" t="s">
        <v>7258</v>
      </c>
      <c r="H2987" s="2" t="s">
        <v>21</v>
      </c>
      <c r="I2987" s="2" t="s">
        <v>8258</v>
      </c>
      <c r="J2987" s="3" t="str">
        <f>HYPERLINK("https://www.boe.es/gazeta/dias/1812/06/06/pdfs/GRE-1812-70.pdf#page=4","Abrir facsímil")</f>
        <v>Abrir facsímil</v>
      </c>
      <c r="K2987" s="3" t="s">
        <v>23</v>
      </c>
    </row>
    <row r="2988" spans="1:11" ht="42" customHeight="1">
      <c r="A2988" s="2" t="s">
        <v>8259</v>
      </c>
      <c r="B2988" s="2" t="s">
        <v>8260</v>
      </c>
      <c r="C2988" s="2" t="s">
        <v>186</v>
      </c>
      <c r="D2988" s="2" t="s">
        <v>275</v>
      </c>
      <c r="E2988" s="4">
        <v>-32100</v>
      </c>
      <c r="F2988" s="3" t="s">
        <v>492</v>
      </c>
      <c r="G2988" s="3" t="s">
        <v>493</v>
      </c>
      <c r="H2988" s="2" t="s">
        <v>21</v>
      </c>
      <c r="I2988" s="2" t="s">
        <v>8261</v>
      </c>
      <c r="J2988" s="3" t="str">
        <f>HYPERLINK("https://www.boe.es/gazeta/dias/1812/02/10/pdfs/GRE-1812-31.pdf#page=8","Abrir facsímil")</f>
        <v>Abrir facsímil</v>
      </c>
      <c r="K2988" s="3" t="s">
        <v>23</v>
      </c>
    </row>
    <row r="2989" spans="1:11" ht="42" customHeight="1">
      <c r="A2989" s="2" t="s">
        <v>8259</v>
      </c>
      <c r="B2989" s="2" t="s">
        <v>8260</v>
      </c>
      <c r="C2989" s="2" t="s">
        <v>186</v>
      </c>
      <c r="D2989" s="2" t="s">
        <v>275</v>
      </c>
      <c r="E2989" s="4">
        <v>-32071</v>
      </c>
      <c r="F2989" s="3" t="s">
        <v>492</v>
      </c>
      <c r="G2989" s="3" t="s">
        <v>493</v>
      </c>
      <c r="H2989" s="2" t="s">
        <v>21</v>
      </c>
      <c r="I2989" s="2" t="s">
        <v>8261</v>
      </c>
      <c r="J2989" s="3" t="str">
        <f>HYPERLINK("https://www.boe.es/gazeta/dias/1812/03/10/pdfs/GRE-1812-31.pdf#page=8","Abrir facsímil")</f>
        <v>Abrir facsímil</v>
      </c>
      <c r="K2989" s="3" t="s">
        <v>23</v>
      </c>
    </row>
    <row r="2990" spans="1:11" ht="42" customHeight="1">
      <c r="A2990" s="2" t="s">
        <v>8262</v>
      </c>
      <c r="B2990" s="2" t="s">
        <v>8263</v>
      </c>
      <c r="C2990" s="2" t="s">
        <v>26</v>
      </c>
      <c r="D2990" s="2" t="s">
        <v>27</v>
      </c>
      <c r="E2990" s="4">
        <v>-32000</v>
      </c>
      <c r="F2990" s="3" t="s">
        <v>878</v>
      </c>
      <c r="G2990" s="3" t="s">
        <v>214</v>
      </c>
      <c r="H2990" s="2" t="s">
        <v>21</v>
      </c>
      <c r="I2990" s="2" t="s">
        <v>8264</v>
      </c>
      <c r="J2990" s="3" t="str">
        <f>HYPERLINK("https://www.boe.es/gazeta/dias/1812/05/20/pdfs/GMD-1812-141.pdf#page=2","Abrir facsímil")</f>
        <v>Abrir facsímil</v>
      </c>
      <c r="K2990" s="3" t="s">
        <v>23</v>
      </c>
    </row>
    <row r="2991" spans="1:11" ht="42" customHeight="1">
      <c r="A2991" s="2" t="s">
        <v>8265</v>
      </c>
      <c r="B2991" s="2" t="s">
        <v>8266</v>
      </c>
      <c r="C2991" s="2" t="s">
        <v>186</v>
      </c>
      <c r="D2991" s="2" t="s">
        <v>27</v>
      </c>
      <c r="E2991" s="4">
        <v>-31787</v>
      </c>
      <c r="F2991" s="3" t="s">
        <v>1560</v>
      </c>
      <c r="G2991" s="3" t="s">
        <v>404</v>
      </c>
      <c r="H2991" s="2" t="s">
        <v>21</v>
      </c>
      <c r="I2991" s="2" t="s">
        <v>8267</v>
      </c>
      <c r="J2991" s="3" t="str">
        <f>HYPERLINK("https://www.boe.es/gazeta/dias/1812/12/19/pdfs/GRE-1812-167.pdf#page=8","Abrir facsímil")</f>
        <v>Abrir facsímil</v>
      </c>
      <c r="K2991" s="3" t="s">
        <v>23</v>
      </c>
    </row>
    <row r="2992" spans="1:11" ht="42" customHeight="1">
      <c r="A2992" s="2" t="s">
        <v>8268</v>
      </c>
      <c r="B2992" s="2" t="s">
        <v>8268</v>
      </c>
      <c r="C2992" s="2" t="s">
        <v>17</v>
      </c>
      <c r="D2992" s="2" t="s">
        <v>27</v>
      </c>
      <c r="E2992" s="4">
        <v>-31791</v>
      </c>
      <c r="F2992" s="3" t="s">
        <v>905</v>
      </c>
      <c r="G2992" s="3" t="s">
        <v>514</v>
      </c>
      <c r="H2992" s="2" t="s">
        <v>21</v>
      </c>
      <c r="I2992" s="2" t="s">
        <v>8269</v>
      </c>
      <c r="J2992" s="3" t="str">
        <f>HYPERLINK("https://www.boe.es/gazeta/dias/1812/12/15/pdfs/GRE-1812-165.pdf#page=2","Abrir facsímil")</f>
        <v>Abrir facsímil</v>
      </c>
      <c r="K2992" s="3" t="s">
        <v>23</v>
      </c>
    </row>
    <row r="2993" spans="1:11" ht="42" customHeight="1">
      <c r="A2993" s="2" t="s">
        <v>8270</v>
      </c>
      <c r="B2993" s="2" t="s">
        <v>8270</v>
      </c>
      <c r="C2993" s="2" t="s">
        <v>17</v>
      </c>
      <c r="D2993" s="2" t="s">
        <v>27</v>
      </c>
      <c r="E2993" s="4">
        <v>-32025</v>
      </c>
      <c r="F2993" s="3" t="s">
        <v>2323</v>
      </c>
      <c r="G2993" s="3" t="s">
        <v>45</v>
      </c>
      <c r="H2993" s="2" t="s">
        <v>21</v>
      </c>
      <c r="I2993" s="2" t="s">
        <v>8271</v>
      </c>
      <c r="J2993" s="3" t="str">
        <f>HYPERLINK("https://www.boe.es/gazeta/dias/1812/04/25/pdfs/GRE-1812-52.pdf#page=6","Abrir facsímil")</f>
        <v>Abrir facsímil</v>
      </c>
      <c r="K2993" s="3" t="s">
        <v>23</v>
      </c>
    </row>
    <row r="2994" spans="1:11" ht="42" customHeight="1">
      <c r="A2994" s="2" t="s">
        <v>8270</v>
      </c>
      <c r="B2994" s="2" t="s">
        <v>8270</v>
      </c>
      <c r="C2994" s="2" t="s">
        <v>17</v>
      </c>
      <c r="D2994" s="2" t="s">
        <v>18</v>
      </c>
      <c r="E2994" s="4">
        <v>-31905</v>
      </c>
      <c r="F2994" s="3" t="s">
        <v>855</v>
      </c>
      <c r="G2994" s="3" t="s">
        <v>1826</v>
      </c>
      <c r="H2994" s="2" t="s">
        <v>21</v>
      </c>
      <c r="I2994" s="2" t="s">
        <v>8272</v>
      </c>
      <c r="J2994" s="3" t="str">
        <f>HYPERLINK("https://www.boe.es/gazeta/dias/1812/08/23/pdfs/GMR-1812-4.pdf#page=7","Abrir facsímil")</f>
        <v>Abrir facsímil</v>
      </c>
      <c r="K2994" s="3" t="s">
        <v>23</v>
      </c>
    </row>
    <row r="2995" spans="1:11" ht="42" customHeight="1">
      <c r="A2995" s="2" t="s">
        <v>8273</v>
      </c>
      <c r="B2995" s="2" t="s">
        <v>8274</v>
      </c>
      <c r="C2995" s="2" t="s">
        <v>17</v>
      </c>
      <c r="D2995" s="2" t="s">
        <v>18</v>
      </c>
      <c r="E2995" s="4">
        <v>-31819</v>
      </c>
      <c r="F2995" s="3" t="s">
        <v>1770</v>
      </c>
      <c r="G2995" s="3" t="s">
        <v>45</v>
      </c>
      <c r="H2995" s="2" t="s">
        <v>21</v>
      </c>
      <c r="I2995" s="2" t="s">
        <v>8275</v>
      </c>
      <c r="J2995" s="3" t="str">
        <f>HYPERLINK("https://www.boe.es/gazeta/dias/1812/11/17/pdfs/GRE-1812-153.pdf#page=3","Abrir facsímil")</f>
        <v>Abrir facsímil</v>
      </c>
      <c r="K2995" s="3" t="s">
        <v>23</v>
      </c>
    </row>
    <row r="2996" spans="1:11" ht="42" customHeight="1">
      <c r="A2996" s="2" t="s">
        <v>8276</v>
      </c>
      <c r="B2996" s="2" t="s">
        <v>8277</v>
      </c>
      <c r="C2996" s="2" t="s">
        <v>26</v>
      </c>
      <c r="D2996" s="2" t="s">
        <v>27</v>
      </c>
      <c r="E2996" s="4">
        <v>-31936</v>
      </c>
      <c r="F2996" s="3" t="s">
        <v>614</v>
      </c>
      <c r="G2996" s="3" t="s">
        <v>615</v>
      </c>
      <c r="H2996" s="2" t="s">
        <v>21</v>
      </c>
      <c r="I2996" s="2" t="s">
        <v>8278</v>
      </c>
      <c r="J2996" s="3" t="str">
        <f>HYPERLINK("https://www.boe.es/gazeta/dias/1812/07/23/pdfs/GRE-1812-92.pdf#page=8","Abrir facsímil")</f>
        <v>Abrir facsímil</v>
      </c>
      <c r="K2996" s="3" t="s">
        <v>23</v>
      </c>
    </row>
    <row r="2997" spans="1:11" ht="42" customHeight="1">
      <c r="A2997" s="2" t="s">
        <v>8279</v>
      </c>
      <c r="B2997" s="2" t="s">
        <v>8280</v>
      </c>
      <c r="C2997" s="2" t="s">
        <v>26</v>
      </c>
      <c r="D2997" s="2" t="s">
        <v>27</v>
      </c>
      <c r="E2997" s="4">
        <v>-32083</v>
      </c>
      <c r="F2997" s="3" t="s">
        <v>1496</v>
      </c>
      <c r="G2997" s="3" t="s">
        <v>1497</v>
      </c>
      <c r="H2997" s="2" t="s">
        <v>21</v>
      </c>
      <c r="I2997" s="2" t="s">
        <v>8281</v>
      </c>
      <c r="J2997" s="3" t="str">
        <f>HYPERLINK("https://www.boe.es/gazeta/dias/1812/02/27/pdfs/GRE-1812-26.pdf#page=1","Abrir facsímil")</f>
        <v>Abrir facsímil</v>
      </c>
      <c r="K2997" s="3" t="s">
        <v>23</v>
      </c>
    </row>
    <row r="2998" spans="1:11" ht="42" customHeight="1">
      <c r="A2998" s="2" t="s">
        <v>8282</v>
      </c>
      <c r="B2998" s="2" t="s">
        <v>8283</v>
      </c>
      <c r="C2998" s="2" t="s">
        <v>17</v>
      </c>
      <c r="D2998" s="2" t="s">
        <v>27</v>
      </c>
      <c r="E2998" s="4">
        <v>-31875</v>
      </c>
      <c r="F2998" s="3" t="s">
        <v>708</v>
      </c>
      <c r="G2998" s="3" t="s">
        <v>514</v>
      </c>
      <c r="H2998" s="2" t="s">
        <v>21</v>
      </c>
      <c r="I2998" s="2" t="s">
        <v>8284</v>
      </c>
      <c r="J2998" s="3" t="str">
        <f>HYPERLINK("https://www.boe.es/gazeta/dias/1812/09/22/pdfs/GMR-1812-17.pdf#page=5","Abrir facsímil")</f>
        <v>Abrir facsímil</v>
      </c>
      <c r="K2998" s="3" t="s">
        <v>23</v>
      </c>
    </row>
    <row r="2999" spans="1:11" ht="42" customHeight="1">
      <c r="A2999" s="2" t="s">
        <v>8285</v>
      </c>
      <c r="B2999" s="2" t="s">
        <v>8285</v>
      </c>
      <c r="C2999" s="2" t="s">
        <v>17</v>
      </c>
      <c r="D2999" s="2" t="s">
        <v>27</v>
      </c>
      <c r="E2999" s="4">
        <v>-32010</v>
      </c>
      <c r="F2999" s="3" t="s">
        <v>243</v>
      </c>
      <c r="G2999" s="3" t="s">
        <v>45</v>
      </c>
      <c r="H2999" s="2" t="s">
        <v>21</v>
      </c>
      <c r="I2999" s="2" t="s">
        <v>8286</v>
      </c>
      <c r="J2999" s="3" t="str">
        <f>HYPERLINK("https://www.boe.es/gazeta/dias/1812/05/10/pdfs/GMD-1812-131.pdf#page=3","Abrir facsímil")</f>
        <v>Abrir facsímil</v>
      </c>
      <c r="K2999" s="3" t="s">
        <v>23</v>
      </c>
    </row>
    <row r="3000" spans="1:11" ht="42" customHeight="1">
      <c r="A3000" s="2" t="s">
        <v>8287</v>
      </c>
      <c r="B3000" s="2" t="s">
        <v>8288</v>
      </c>
      <c r="C3000" s="2" t="s">
        <v>17</v>
      </c>
      <c r="D3000" s="2" t="s">
        <v>18</v>
      </c>
      <c r="E3000" s="4">
        <v>-31980</v>
      </c>
      <c r="F3000" s="3" t="s">
        <v>40</v>
      </c>
      <c r="G3000" s="3" t="s">
        <v>41</v>
      </c>
      <c r="H3000" s="2" t="s">
        <v>21</v>
      </c>
      <c r="I3000" s="2" t="s">
        <v>8289</v>
      </c>
      <c r="J3000" s="3" t="str">
        <f>HYPERLINK("https://www.boe.es/gazeta/dias/1812/06/09/pdfs/GRE-1812-71.pdf#page=6","Abrir facsímil")</f>
        <v>Abrir facsímil</v>
      </c>
      <c r="K3000" s="3" t="s">
        <v>23</v>
      </c>
    </row>
    <row r="3001" spans="1:11" ht="42" customHeight="1">
      <c r="A3001" s="2" t="s">
        <v>8290</v>
      </c>
      <c r="B3001" s="2" t="s">
        <v>8290</v>
      </c>
      <c r="C3001" s="2" t="s">
        <v>17</v>
      </c>
      <c r="D3001" s="2" t="s">
        <v>18</v>
      </c>
      <c r="E3001" s="4">
        <v>-32063</v>
      </c>
      <c r="F3001" s="3" t="s">
        <v>384</v>
      </c>
      <c r="G3001" s="3" t="s">
        <v>20</v>
      </c>
      <c r="H3001" s="2" t="s">
        <v>21</v>
      </c>
      <c r="I3001" s="2" t="s">
        <v>8291</v>
      </c>
      <c r="J3001" s="3" t="str">
        <f>HYPERLINK("https://www.boe.es/gazeta/dias/1812/03/18/pdfs/GMD-1812-78.pdf#page=4","Abrir facsímil")</f>
        <v>Abrir facsímil</v>
      </c>
      <c r="K3001" s="3" t="s">
        <v>23</v>
      </c>
    </row>
    <row r="3002" spans="1:11" ht="42" customHeight="1">
      <c r="A3002" s="2" t="s">
        <v>8292</v>
      </c>
      <c r="B3002" s="2" t="s">
        <v>8292</v>
      </c>
      <c r="C3002" s="2" t="s">
        <v>17</v>
      </c>
      <c r="D3002" s="2" t="s">
        <v>27</v>
      </c>
      <c r="E3002" s="4">
        <v>-31861</v>
      </c>
      <c r="F3002" s="3" t="s">
        <v>1080</v>
      </c>
      <c r="G3002" s="3" t="s">
        <v>233</v>
      </c>
      <c r="H3002" s="2" t="s">
        <v>21</v>
      </c>
      <c r="I3002" s="2" t="s">
        <v>8293</v>
      </c>
      <c r="J3002" s="3" t="str">
        <f>HYPERLINK("https://www.boe.es/gazeta/dias/1812/10/06/pdfs/GMR-1812-23.pdf#page=12","Abrir facsímil")</f>
        <v>Abrir facsímil</v>
      </c>
      <c r="K3002" s="3" t="s">
        <v>23</v>
      </c>
    </row>
    <row r="3003" spans="1:11" ht="42" customHeight="1">
      <c r="A3003" s="2" t="s">
        <v>8292</v>
      </c>
      <c r="B3003" s="2" t="s">
        <v>8292</v>
      </c>
      <c r="C3003" s="2" t="s">
        <v>17</v>
      </c>
      <c r="D3003" s="2" t="s">
        <v>27</v>
      </c>
      <c r="E3003" s="4">
        <v>-31850</v>
      </c>
      <c r="F3003" s="3" t="s">
        <v>2178</v>
      </c>
      <c r="G3003" s="3" t="s">
        <v>2179</v>
      </c>
      <c r="H3003" s="2" t="s">
        <v>21</v>
      </c>
      <c r="I3003" s="2" t="s">
        <v>8294</v>
      </c>
      <c r="J3003" s="3" t="str">
        <f>HYPERLINK("https://www.boe.es/gazeta/dias/1812/10/17/pdfs/GRE-1812-140.pdf#page=3","Abrir facsímil")</f>
        <v>Abrir facsímil</v>
      </c>
      <c r="K3003" s="3" t="s">
        <v>23</v>
      </c>
    </row>
    <row r="3004" spans="1:11" ht="42" customHeight="1">
      <c r="A3004" s="2" t="s">
        <v>8295</v>
      </c>
      <c r="B3004" s="2" t="s">
        <v>8296</v>
      </c>
      <c r="C3004" s="2" t="s">
        <v>105</v>
      </c>
      <c r="D3004" s="2" t="s">
        <v>27</v>
      </c>
      <c r="E3004" s="4">
        <v>-31829</v>
      </c>
      <c r="F3004" s="3" t="s">
        <v>328</v>
      </c>
      <c r="G3004" s="3" t="s">
        <v>20</v>
      </c>
      <c r="H3004" s="2" t="s">
        <v>21</v>
      </c>
      <c r="I3004" s="2" t="s">
        <v>8297</v>
      </c>
      <c r="J3004" s="3" t="str">
        <f>HYPERLINK("https://www.boe.es/gazeta/dias/1812/11/07/pdfs/GMD-1812-227.pdf#page=4","Abrir facsímil")</f>
        <v>Abrir facsímil</v>
      </c>
      <c r="K3004" s="3" t="s">
        <v>23</v>
      </c>
    </row>
    <row r="3005" spans="1:11" ht="42" customHeight="1">
      <c r="A3005" s="2" t="s">
        <v>8298</v>
      </c>
      <c r="B3005" s="2" t="s">
        <v>8299</v>
      </c>
      <c r="C3005" s="2" t="s">
        <v>17</v>
      </c>
      <c r="D3005" s="2" t="s">
        <v>27</v>
      </c>
      <c r="E3005" s="4">
        <v>-31784</v>
      </c>
      <c r="F3005" s="3" t="s">
        <v>1648</v>
      </c>
      <c r="G3005" s="3" t="s">
        <v>45</v>
      </c>
      <c r="H3005" s="2" t="s">
        <v>21</v>
      </c>
      <c r="I3005" s="2" t="s">
        <v>8300</v>
      </c>
      <c r="J3005" s="3" t="str">
        <f>HYPERLINK("https://www.boe.es/gazeta/dias/1812/12/22/pdfs/GMD-1812-245.pdf#page=2","Abrir facsímil")</f>
        <v>Abrir facsímil</v>
      </c>
      <c r="K3005" s="3" t="s">
        <v>23</v>
      </c>
    </row>
    <row r="3006" spans="1:11" ht="42" customHeight="1">
      <c r="A3006" s="2" t="s">
        <v>8301</v>
      </c>
      <c r="B3006" s="2" t="s">
        <v>8302</v>
      </c>
      <c r="C3006" s="2" t="s">
        <v>26</v>
      </c>
      <c r="D3006" s="2" t="s">
        <v>275</v>
      </c>
      <c r="E3006" s="4">
        <v>-31936</v>
      </c>
      <c r="F3006" s="3" t="s">
        <v>603</v>
      </c>
      <c r="G3006" s="3" t="s">
        <v>2410</v>
      </c>
      <c r="H3006" s="2" t="s">
        <v>21</v>
      </c>
      <c r="I3006" s="2" t="s">
        <v>8303</v>
      </c>
      <c r="J3006" s="3" t="str">
        <f>HYPERLINK("https://www.boe.es/gazeta/dias/1812/07/23/pdfs/GMD-1812-205.pdf#page=4","Abrir facsímil")</f>
        <v>Abrir facsímil</v>
      </c>
      <c r="K3006" s="3" t="s">
        <v>23</v>
      </c>
    </row>
    <row r="3007" spans="1:11" ht="42" customHeight="1">
      <c r="A3007" s="2" t="s">
        <v>8304</v>
      </c>
      <c r="B3007" s="2" t="s">
        <v>8305</v>
      </c>
      <c r="C3007" s="2" t="s">
        <v>17</v>
      </c>
      <c r="D3007" s="2" t="s">
        <v>27</v>
      </c>
      <c r="E3007" s="4">
        <v>-32029</v>
      </c>
      <c r="F3007" s="3" t="s">
        <v>3605</v>
      </c>
      <c r="G3007" s="3" t="s">
        <v>514</v>
      </c>
      <c r="H3007" s="2" t="s">
        <v>21</v>
      </c>
      <c r="I3007" s="2" t="s">
        <v>8306</v>
      </c>
      <c r="J3007" s="3" t="str">
        <f>HYPERLINK("https://www.boe.es/gazeta/dias/1812/04/21/pdfs/GMD-1812-112.pdf#page=3","Abrir facsímil")</f>
        <v>Abrir facsímil</v>
      </c>
      <c r="K3007" s="3" t="s">
        <v>23</v>
      </c>
    </row>
    <row r="3008" spans="1:11" ht="42" customHeight="1">
      <c r="A3008" s="2" t="s">
        <v>8307</v>
      </c>
      <c r="B3008" s="2" t="s">
        <v>8308</v>
      </c>
      <c r="C3008" s="2" t="s">
        <v>26</v>
      </c>
      <c r="D3008" s="2" t="s">
        <v>275</v>
      </c>
      <c r="E3008" s="4">
        <v>-31962</v>
      </c>
      <c r="F3008" s="3" t="s">
        <v>643</v>
      </c>
      <c r="G3008" s="3" t="s">
        <v>644</v>
      </c>
      <c r="H3008" s="2" t="s">
        <v>21</v>
      </c>
      <c r="I3008" s="2" t="s">
        <v>8309</v>
      </c>
      <c r="J3008" s="3" t="str">
        <f>HYPERLINK("https://www.boe.es/gazeta/dias/1812/06/27/pdfs/GMD-1812-179.pdf#page=2","Abrir facsímil")</f>
        <v>Abrir facsímil</v>
      </c>
      <c r="K3008" s="3" t="s">
        <v>23</v>
      </c>
    </row>
    <row r="3009" spans="1:11" ht="42" customHeight="1">
      <c r="A3009" s="2" t="s">
        <v>8310</v>
      </c>
      <c r="B3009" s="2" t="s">
        <v>8311</v>
      </c>
      <c r="C3009" s="2" t="s">
        <v>17</v>
      </c>
      <c r="D3009" s="2" t="s">
        <v>27</v>
      </c>
      <c r="E3009" s="4">
        <v>-31824</v>
      </c>
      <c r="F3009" s="3" t="s">
        <v>3123</v>
      </c>
      <c r="G3009" s="3" t="s">
        <v>4531</v>
      </c>
      <c r="H3009" s="2" t="s">
        <v>21</v>
      </c>
      <c r="I3009" s="2" t="s">
        <v>8312</v>
      </c>
      <c r="J3009" s="3" t="str">
        <f>HYPERLINK("https://www.boe.es/gazeta/dias/1812/11/12/pdfs/GRE-1812-151.pdf#page=6","Abrir facsímil")</f>
        <v>Abrir facsímil</v>
      </c>
      <c r="K3009" s="3" t="s">
        <v>23</v>
      </c>
    </row>
    <row r="3010" spans="1:11" ht="42" customHeight="1">
      <c r="A3010" s="2" t="s">
        <v>8313</v>
      </c>
      <c r="B3010" s="2" t="s">
        <v>8313</v>
      </c>
      <c r="C3010" s="2" t="s">
        <v>17</v>
      </c>
      <c r="D3010" s="2" t="s">
        <v>194</v>
      </c>
      <c r="E3010" s="4">
        <v>-31798</v>
      </c>
      <c r="F3010" s="3" t="s">
        <v>1849</v>
      </c>
      <c r="G3010" s="3" t="s">
        <v>214</v>
      </c>
      <c r="H3010" s="2" t="s">
        <v>21</v>
      </c>
      <c r="I3010" s="2" t="s">
        <v>8314</v>
      </c>
      <c r="J3010" s="3" t="str">
        <f>HYPERLINK("https://www.boe.es/gazeta/dias/1812/12/08/pdfs/GMD-1812-231.pdf#page=1","Abrir facsímil")</f>
        <v>Abrir facsímil</v>
      </c>
      <c r="K3010" s="3" t="s">
        <v>23</v>
      </c>
    </row>
    <row r="3011" spans="1:11" ht="42" customHeight="1">
      <c r="A3011" s="2" t="s">
        <v>8315</v>
      </c>
      <c r="B3011" s="2" t="s">
        <v>8315</v>
      </c>
      <c r="C3011" s="2" t="s">
        <v>17</v>
      </c>
      <c r="D3011" s="2" t="s">
        <v>27</v>
      </c>
      <c r="E3011" s="4">
        <v>-31871</v>
      </c>
      <c r="F3011" s="3" t="s">
        <v>1399</v>
      </c>
      <c r="G3011" s="3" t="s">
        <v>794</v>
      </c>
      <c r="H3011" s="2" t="s">
        <v>21</v>
      </c>
      <c r="I3011" s="2" t="s">
        <v>8316</v>
      </c>
      <c r="J3011" s="3" t="str">
        <f>HYPERLINK("https://www.boe.es/gazeta/dias/1812/09/26/pdfs/GMR-1812-19.pdf#page=7","Abrir facsímil")</f>
        <v>Abrir facsímil</v>
      </c>
      <c r="K3011" s="3" t="s">
        <v>23</v>
      </c>
    </row>
    <row r="3012" spans="1:11" ht="42" customHeight="1">
      <c r="A3012" s="2" t="s">
        <v>8317</v>
      </c>
      <c r="B3012" s="2" t="s">
        <v>8318</v>
      </c>
      <c r="C3012" s="2" t="s">
        <v>17</v>
      </c>
      <c r="D3012" s="2" t="s">
        <v>573</v>
      </c>
      <c r="E3012" s="4">
        <v>-31895</v>
      </c>
      <c r="F3012" s="3" t="s">
        <v>3980</v>
      </c>
      <c r="G3012" s="3" t="s">
        <v>874</v>
      </c>
      <c r="H3012" s="2" t="s">
        <v>21</v>
      </c>
      <c r="I3012" s="2" t="s">
        <v>8319</v>
      </c>
      <c r="J3012" s="3" t="str">
        <f>HYPERLINK("https://www.boe.es/gazeta/dias/1812/09/02/pdfs/GRE-1812-118E.pdf#page=2","Abrir facsímil")</f>
        <v>Abrir facsímil</v>
      </c>
      <c r="K3012" s="3" t="s">
        <v>23</v>
      </c>
    </row>
    <row r="3013" spans="1:11" ht="42" customHeight="1">
      <c r="A3013" s="2" t="s">
        <v>8317</v>
      </c>
      <c r="B3013" s="2" t="s">
        <v>8318</v>
      </c>
      <c r="C3013" s="2" t="s">
        <v>17</v>
      </c>
      <c r="D3013" s="2" t="s">
        <v>18</v>
      </c>
      <c r="E3013" s="4">
        <v>-31882</v>
      </c>
      <c r="F3013" s="3" t="s">
        <v>1798</v>
      </c>
      <c r="G3013" s="3" t="s">
        <v>5578</v>
      </c>
      <c r="H3013" s="2" t="s">
        <v>21</v>
      </c>
      <c r="I3013" s="2" t="s">
        <v>8320</v>
      </c>
      <c r="J3013" s="3" t="str">
        <f>HYPERLINK("https://www.boe.es/gazeta/dias/1812/09/15/pdfs/GMR-1812-14.pdf#page=13","Abrir facsímil")</f>
        <v>Abrir facsímil</v>
      </c>
      <c r="K3013" s="3" t="s">
        <v>23</v>
      </c>
    </row>
    <row r="3014" spans="1:11" ht="42" customHeight="1">
      <c r="A3014" s="2" t="s">
        <v>8321</v>
      </c>
      <c r="B3014" s="2" t="s">
        <v>8322</v>
      </c>
      <c r="C3014" s="2" t="s">
        <v>17</v>
      </c>
      <c r="D3014" s="2" t="s">
        <v>27</v>
      </c>
      <c r="E3014" s="4">
        <v>-31824</v>
      </c>
      <c r="F3014" s="3" t="s">
        <v>3123</v>
      </c>
      <c r="G3014" s="3" t="s">
        <v>20</v>
      </c>
      <c r="H3014" s="2" t="s">
        <v>21</v>
      </c>
      <c r="I3014" s="2" t="s">
        <v>8323</v>
      </c>
      <c r="J3014" s="3" t="str">
        <f>HYPERLINK("https://www.boe.es/gazeta/dias/1812/11/12/pdfs/GRE-1812-151.pdf#page=5","Abrir facsímil")</f>
        <v>Abrir facsímil</v>
      </c>
      <c r="K3014" s="3" t="s">
        <v>23</v>
      </c>
    </row>
    <row r="3015" spans="1:11" ht="42" customHeight="1">
      <c r="A3015" s="2" t="s">
        <v>8324</v>
      </c>
      <c r="B3015" s="2" t="s">
        <v>8324</v>
      </c>
      <c r="C3015" s="2" t="s">
        <v>17</v>
      </c>
      <c r="D3015" s="2" t="s">
        <v>18</v>
      </c>
      <c r="E3015" s="4">
        <v>-32063</v>
      </c>
      <c r="F3015" s="3" t="s">
        <v>384</v>
      </c>
      <c r="G3015" s="3" t="s">
        <v>20</v>
      </c>
      <c r="H3015" s="2" t="s">
        <v>21</v>
      </c>
      <c r="I3015" s="2" t="s">
        <v>8325</v>
      </c>
      <c r="J3015" s="3" t="str">
        <f>HYPERLINK("https://www.boe.es/gazeta/dias/1812/03/18/pdfs/GMD-1812-78.pdf#page=4","Abrir facsímil")</f>
        <v>Abrir facsímil</v>
      </c>
      <c r="K3015" s="3" t="s">
        <v>23</v>
      </c>
    </row>
    <row r="3016" spans="1:11" ht="42" customHeight="1">
      <c r="A3016" s="2" t="s">
        <v>8326</v>
      </c>
      <c r="B3016" s="2" t="s">
        <v>8327</v>
      </c>
      <c r="C3016" s="2" t="s">
        <v>26</v>
      </c>
      <c r="D3016" s="2" t="s">
        <v>27</v>
      </c>
      <c r="E3016" s="4">
        <v>-32100</v>
      </c>
      <c r="F3016" s="3" t="s">
        <v>492</v>
      </c>
      <c r="G3016" s="3" t="s">
        <v>493</v>
      </c>
      <c r="H3016" s="2" t="s">
        <v>21</v>
      </c>
      <c r="I3016" s="2" t="s">
        <v>8328</v>
      </c>
      <c r="J3016" s="3" t="str">
        <f>HYPERLINK("https://www.boe.es/gazeta/dias/1812/02/10/pdfs/GRE-1812-31.pdf#page=8","Abrir facsímil")</f>
        <v>Abrir facsímil</v>
      </c>
      <c r="K3016" s="3" t="s">
        <v>23</v>
      </c>
    </row>
    <row r="3017" spans="1:11" ht="42" customHeight="1">
      <c r="A3017" s="2" t="s">
        <v>8326</v>
      </c>
      <c r="B3017" s="2" t="s">
        <v>8327</v>
      </c>
      <c r="C3017" s="2" t="s">
        <v>26</v>
      </c>
      <c r="D3017" s="2" t="s">
        <v>27</v>
      </c>
      <c r="E3017" s="4">
        <v>-32071</v>
      </c>
      <c r="F3017" s="3" t="s">
        <v>492</v>
      </c>
      <c r="G3017" s="3" t="s">
        <v>493</v>
      </c>
      <c r="H3017" s="2" t="s">
        <v>21</v>
      </c>
      <c r="I3017" s="2" t="s">
        <v>8328</v>
      </c>
      <c r="J3017" s="3" t="str">
        <f>HYPERLINK("https://www.boe.es/gazeta/dias/1812/03/10/pdfs/GRE-1812-31.pdf#page=8","Abrir facsímil")</f>
        <v>Abrir facsímil</v>
      </c>
      <c r="K3017" s="3" t="s">
        <v>23</v>
      </c>
    </row>
    <row r="3018" spans="1:11" ht="42" customHeight="1">
      <c r="A3018" s="2" t="s">
        <v>8329</v>
      </c>
      <c r="B3018" s="2" t="s">
        <v>8330</v>
      </c>
      <c r="C3018" s="2" t="s">
        <v>17</v>
      </c>
      <c r="D3018" s="2" t="s">
        <v>18</v>
      </c>
      <c r="E3018" s="4">
        <v>-32097</v>
      </c>
      <c r="F3018" s="3" t="s">
        <v>3797</v>
      </c>
      <c r="G3018" s="3" t="s">
        <v>3798</v>
      </c>
      <c r="H3018" s="2" t="s">
        <v>21</v>
      </c>
      <c r="I3018" s="2" t="s">
        <v>8331</v>
      </c>
      <c r="J3018" s="3" t="str">
        <f>HYPERLINK("https://www.boe.es/gazeta/dias/1812/02/13/pdfs/GRE-1812-19.pdf#page=3","Abrir facsímil")</f>
        <v>Abrir facsímil</v>
      </c>
      <c r="K3018" s="3" t="s">
        <v>23</v>
      </c>
    </row>
    <row r="3019" spans="1:11" ht="42" customHeight="1">
      <c r="A3019" s="2" t="s">
        <v>8332</v>
      </c>
      <c r="B3019" s="2" t="s">
        <v>8332</v>
      </c>
      <c r="C3019" s="2" t="s">
        <v>17</v>
      </c>
      <c r="D3019" s="2" t="s">
        <v>27</v>
      </c>
      <c r="E3019" s="4">
        <v>-31843</v>
      </c>
      <c r="F3019" s="3" t="s">
        <v>3493</v>
      </c>
      <c r="G3019" s="3" t="s">
        <v>136</v>
      </c>
      <c r="H3019" s="2" t="s">
        <v>21</v>
      </c>
      <c r="I3019" s="2" t="s">
        <v>8333</v>
      </c>
      <c r="J3019" s="3" t="str">
        <f>HYPERLINK("https://www.boe.es/gazeta/dias/1812/10/24/pdfs/GMR-1812-31.pdf#page=4","Abrir facsímil")</f>
        <v>Abrir facsímil</v>
      </c>
      <c r="K3019" s="3" t="s">
        <v>23</v>
      </c>
    </row>
    <row r="3020" spans="1:11" ht="42" customHeight="1">
      <c r="A3020" s="2" t="s">
        <v>8334</v>
      </c>
      <c r="B3020" s="2" t="s">
        <v>8335</v>
      </c>
      <c r="C3020" s="2" t="s">
        <v>17</v>
      </c>
      <c r="D3020" s="2" t="s">
        <v>18</v>
      </c>
      <c r="E3020" s="4">
        <v>-32006</v>
      </c>
      <c r="F3020" s="3" t="s">
        <v>190</v>
      </c>
      <c r="G3020" s="3" t="s">
        <v>196</v>
      </c>
      <c r="H3020" s="2" t="s">
        <v>21</v>
      </c>
      <c r="I3020" s="2" t="s">
        <v>8336</v>
      </c>
      <c r="J3020" s="3" t="str">
        <f>HYPERLINK("https://www.boe.es/gazeta/dias/1812/05/14/pdfs/GRE-1812-60.pdf#page=1","Abrir facsímil")</f>
        <v>Abrir facsímil</v>
      </c>
      <c r="K3020" s="3" t="s">
        <v>23</v>
      </c>
    </row>
    <row r="3021" spans="1:11" ht="42" customHeight="1">
      <c r="A3021" s="2" t="s">
        <v>8337</v>
      </c>
      <c r="B3021" s="2" t="s">
        <v>8338</v>
      </c>
      <c r="C3021" s="2" t="s">
        <v>17</v>
      </c>
      <c r="D3021" s="2" t="s">
        <v>18</v>
      </c>
      <c r="E3021" s="4">
        <v>-32053</v>
      </c>
      <c r="F3021" s="3" t="s">
        <v>910</v>
      </c>
      <c r="G3021" s="3" t="s">
        <v>911</v>
      </c>
      <c r="H3021" s="2" t="s">
        <v>21</v>
      </c>
      <c r="I3021" s="2" t="s">
        <v>8339</v>
      </c>
      <c r="J3021" s="3" t="str">
        <f>HYPERLINK("https://www.boe.es/gazeta/dias/1812/03/28/pdfs/GRE-1812-39.pdf#page=8","Abrir facsímil")</f>
        <v>Abrir facsímil</v>
      </c>
      <c r="K3021" s="3" t="s">
        <v>23</v>
      </c>
    </row>
    <row r="3022" spans="1:11" ht="42" customHeight="1">
      <c r="A3022" s="2" t="s">
        <v>8340</v>
      </c>
      <c r="B3022" s="2" t="s">
        <v>8341</v>
      </c>
      <c r="C3022" s="2" t="s">
        <v>26</v>
      </c>
      <c r="D3022" s="2" t="s">
        <v>134</v>
      </c>
      <c r="E3022" s="4">
        <v>-31983</v>
      </c>
      <c r="F3022" s="3" t="s">
        <v>1437</v>
      </c>
      <c r="G3022" s="3" t="s">
        <v>1438</v>
      </c>
      <c r="H3022" s="2" t="s">
        <v>21</v>
      </c>
      <c r="I3022" s="2" t="s">
        <v>8342</v>
      </c>
      <c r="J3022" s="3" t="str">
        <f>HYPERLINK("https://www.boe.es/gazeta/dias/1812/06/06/pdfs/GRE-F-1812-70.pdf#page=4","Abrir facsímil")</f>
        <v>Abrir facsímil</v>
      </c>
      <c r="K3022" s="3" t="s">
        <v>23</v>
      </c>
    </row>
    <row r="3023" spans="1:11" ht="42" customHeight="1">
      <c r="A3023" s="2" t="s">
        <v>8343</v>
      </c>
      <c r="B3023" s="2" t="s">
        <v>8343</v>
      </c>
      <c r="C3023" s="2" t="s">
        <v>17</v>
      </c>
      <c r="D3023" s="2" t="s">
        <v>27</v>
      </c>
      <c r="E3023" s="4">
        <v>-31798</v>
      </c>
      <c r="F3023" s="3" t="s">
        <v>1849</v>
      </c>
      <c r="G3023" s="3" t="s">
        <v>214</v>
      </c>
      <c r="H3023" s="2" t="s">
        <v>21</v>
      </c>
      <c r="I3023" s="2" t="s">
        <v>8344</v>
      </c>
      <c r="J3023" s="3" t="str">
        <f>HYPERLINK("https://www.boe.es/gazeta/dias/1812/12/08/pdfs/GMD-1812-231.pdf#page=1","Abrir facsímil")</f>
        <v>Abrir facsímil</v>
      </c>
      <c r="K3023" s="3" t="s">
        <v>23</v>
      </c>
    </row>
    <row r="3024" spans="1:11" ht="42" customHeight="1">
      <c r="A3024" s="2" t="s">
        <v>8343</v>
      </c>
      <c r="B3024" s="2" t="s">
        <v>8343</v>
      </c>
      <c r="C3024" s="2" t="s">
        <v>17</v>
      </c>
      <c r="D3024" s="2" t="s">
        <v>18</v>
      </c>
      <c r="E3024" s="4">
        <v>-31795</v>
      </c>
      <c r="F3024" s="3" t="s">
        <v>2344</v>
      </c>
      <c r="G3024" s="3" t="s">
        <v>2156</v>
      </c>
      <c r="H3024" s="2" t="s">
        <v>21</v>
      </c>
      <c r="I3024" s="2" t="s">
        <v>8345</v>
      </c>
      <c r="J3024" s="3" t="str">
        <f>HYPERLINK("https://www.boe.es/gazeta/dias/1812/12/11/pdfs/GMD-1812-234.pdf#page=2","Abrir facsímil")</f>
        <v>Abrir facsímil</v>
      </c>
      <c r="K3024" s="3" t="s">
        <v>23</v>
      </c>
    </row>
    <row r="3025" spans="1:11" ht="42" customHeight="1">
      <c r="A3025" s="2" t="s">
        <v>8346</v>
      </c>
      <c r="B3025" s="2" t="s">
        <v>8347</v>
      </c>
      <c r="C3025" s="2" t="s">
        <v>17</v>
      </c>
      <c r="D3025" s="2" t="s">
        <v>27</v>
      </c>
      <c r="E3025" s="4">
        <v>-31936</v>
      </c>
      <c r="F3025" s="3" t="s">
        <v>614</v>
      </c>
      <c r="G3025" s="3" t="s">
        <v>615</v>
      </c>
      <c r="H3025" s="2" t="s">
        <v>21</v>
      </c>
      <c r="I3025" s="2" t="s">
        <v>8348</v>
      </c>
      <c r="J3025" s="3" t="str">
        <f>HYPERLINK("https://www.boe.es/gazeta/dias/1812/07/23/pdfs/GRE-1812-92.pdf#page=8","Abrir facsímil")</f>
        <v>Abrir facsímil</v>
      </c>
      <c r="K3025" s="3" t="s">
        <v>23</v>
      </c>
    </row>
    <row r="3026" spans="1:11" ht="42" customHeight="1">
      <c r="A3026" s="2" t="s">
        <v>8349</v>
      </c>
      <c r="B3026" s="2" t="s">
        <v>8350</v>
      </c>
      <c r="C3026" s="2" t="s">
        <v>186</v>
      </c>
      <c r="D3026" s="2" t="s">
        <v>275</v>
      </c>
      <c r="E3026" s="4">
        <v>-32036</v>
      </c>
      <c r="F3026" s="3" t="s">
        <v>781</v>
      </c>
      <c r="G3026" s="3" t="s">
        <v>782</v>
      </c>
      <c r="H3026" s="2" t="s">
        <v>21</v>
      </c>
      <c r="I3026" s="2" t="s">
        <v>8351</v>
      </c>
      <c r="J3026" s="3" t="str">
        <f>HYPERLINK("https://www.boe.es/gazeta/dias/1812/04/14/pdfs/GRE-1812-47.pdf#page=8","Abrir facsímil")</f>
        <v>Abrir facsímil</v>
      </c>
      <c r="K3026" s="3" t="s">
        <v>23</v>
      </c>
    </row>
    <row r="3027" spans="1:11" ht="42" customHeight="1">
      <c r="A3027" s="2" t="s">
        <v>8352</v>
      </c>
      <c r="B3027" s="2" t="s">
        <v>8352</v>
      </c>
      <c r="C3027" s="2" t="s">
        <v>17</v>
      </c>
      <c r="D3027" s="2" t="s">
        <v>18</v>
      </c>
      <c r="E3027" s="4">
        <v>-31959</v>
      </c>
      <c r="F3027" s="3" t="s">
        <v>1035</v>
      </c>
      <c r="G3027" s="3" t="s">
        <v>4321</v>
      </c>
      <c r="H3027" s="2" t="s">
        <v>21</v>
      </c>
      <c r="I3027" s="2" t="s">
        <v>8353</v>
      </c>
      <c r="J3027" s="3" t="str">
        <f>HYPERLINK("https://www.boe.es/gazeta/dias/1812/06/30/pdfs/GRE-1812-80.pdf#page=5","Abrir facsímil")</f>
        <v>Abrir facsímil</v>
      </c>
      <c r="K3027" s="3" t="s">
        <v>23</v>
      </c>
    </row>
    <row r="3028" spans="1:11" ht="42" customHeight="1">
      <c r="A3028" s="2" t="s">
        <v>8354</v>
      </c>
      <c r="B3028" s="2" t="s">
        <v>8355</v>
      </c>
      <c r="C3028" s="2" t="s">
        <v>26</v>
      </c>
      <c r="D3028" s="2" t="s">
        <v>27</v>
      </c>
      <c r="E3028" s="4">
        <v>-32065</v>
      </c>
      <c r="F3028" s="3" t="s">
        <v>259</v>
      </c>
      <c r="G3028" s="3" t="s">
        <v>20</v>
      </c>
      <c r="H3028" s="2" t="s">
        <v>21</v>
      </c>
      <c r="I3028" s="2" t="s">
        <v>8356</v>
      </c>
      <c r="J3028" s="3" t="str">
        <f>HYPERLINK("https://www.boe.es/gazeta/dias/1812/03/16/pdfs/GMD-1812-76.pdf#page=4","Abrir facsímil")</f>
        <v>Abrir facsímil</v>
      </c>
      <c r="K3028" s="3" t="s">
        <v>23</v>
      </c>
    </row>
    <row r="3029" spans="1:11" ht="42" customHeight="1">
      <c r="A3029" s="2" t="s">
        <v>8357</v>
      </c>
      <c r="B3029" s="2" t="s">
        <v>8358</v>
      </c>
      <c r="C3029" s="2" t="s">
        <v>26</v>
      </c>
      <c r="D3029" s="2" t="s">
        <v>27</v>
      </c>
      <c r="E3029" s="4">
        <v>-32065</v>
      </c>
      <c r="F3029" s="3" t="s">
        <v>259</v>
      </c>
      <c r="G3029" s="3" t="s">
        <v>20</v>
      </c>
      <c r="H3029" s="2" t="s">
        <v>21</v>
      </c>
      <c r="I3029" s="2" t="s">
        <v>8359</v>
      </c>
      <c r="J3029" s="3" t="str">
        <f>HYPERLINK("https://www.boe.es/gazeta/dias/1812/03/16/pdfs/GMD-1812-76.pdf#page=4","Abrir facsímil")</f>
        <v>Abrir facsímil</v>
      </c>
      <c r="K3029" s="3" t="s">
        <v>23</v>
      </c>
    </row>
    <row r="3030" spans="1:11" ht="42" customHeight="1">
      <c r="A3030" s="2" t="s">
        <v>8360</v>
      </c>
      <c r="B3030" s="2" t="s">
        <v>8361</v>
      </c>
      <c r="C3030" s="2" t="s">
        <v>17</v>
      </c>
      <c r="D3030" s="2" t="s">
        <v>573</v>
      </c>
      <c r="E3030" s="4">
        <v>-31898</v>
      </c>
      <c r="F3030" s="3" t="s">
        <v>1952</v>
      </c>
      <c r="G3030" s="3" t="s">
        <v>8362</v>
      </c>
      <c r="H3030" s="2" t="s">
        <v>21</v>
      </c>
      <c r="I3030" s="2" t="s">
        <v>8363</v>
      </c>
      <c r="J3030" s="3" t="str">
        <f>HYPERLINK("https://www.boe.es/gazeta/dias/1812/08/30/pdfs/GRE-1812-116E.pdf#page=2","Abrir facsímil")</f>
        <v>Abrir facsímil</v>
      </c>
      <c r="K3030" s="3" t="s">
        <v>23</v>
      </c>
    </row>
    <row r="3031" spans="1:11" ht="42" customHeight="1">
      <c r="A3031" s="2" t="s">
        <v>8364</v>
      </c>
      <c r="B3031" s="2" t="s">
        <v>8365</v>
      </c>
      <c r="C3031" s="2" t="s">
        <v>186</v>
      </c>
      <c r="D3031" s="2" t="s">
        <v>27</v>
      </c>
      <c r="E3031" s="4">
        <v>-32020</v>
      </c>
      <c r="F3031" s="3" t="s">
        <v>1860</v>
      </c>
      <c r="G3031" s="3" t="s">
        <v>36</v>
      </c>
      <c r="H3031" s="2" t="s">
        <v>21</v>
      </c>
      <c r="I3031" s="2" t="s">
        <v>8366</v>
      </c>
      <c r="J3031" s="3" t="str">
        <f>HYPERLINK("https://www.boe.es/gazeta/dias/1812/04/30/pdfs/GMD-1812-121.pdf#page=3","Abrir facsímil")</f>
        <v>Abrir facsímil</v>
      </c>
      <c r="K3031" s="3" t="s">
        <v>23</v>
      </c>
    </row>
    <row r="3032" spans="1:11" ht="42" customHeight="1">
      <c r="A3032" s="2" t="s">
        <v>8367</v>
      </c>
      <c r="B3032" s="2" t="s">
        <v>8368</v>
      </c>
      <c r="C3032" s="2" t="s">
        <v>17</v>
      </c>
      <c r="D3032" s="2" t="s">
        <v>18</v>
      </c>
      <c r="E3032" s="4">
        <v>-31934</v>
      </c>
      <c r="F3032" s="3" t="s">
        <v>509</v>
      </c>
      <c r="G3032" s="3" t="s">
        <v>4482</v>
      </c>
      <c r="H3032" s="2" t="s">
        <v>21</v>
      </c>
      <c r="I3032" s="2" t="s">
        <v>8369</v>
      </c>
      <c r="J3032" s="3" t="str">
        <f>HYPERLINK("https://www.boe.es/gazeta/dias/1812/07/25/pdfs/GRE-1812-93.pdf#page=8","Abrir facsímil")</f>
        <v>Abrir facsímil</v>
      </c>
      <c r="K3032" s="3" t="s">
        <v>23</v>
      </c>
    </row>
    <row r="3033" spans="1:11" ht="42" customHeight="1">
      <c r="A3033" s="2" t="s">
        <v>8370</v>
      </c>
      <c r="B3033" s="2" t="s">
        <v>8370</v>
      </c>
      <c r="C3033" s="2" t="s">
        <v>17</v>
      </c>
      <c r="D3033" s="2" t="s">
        <v>27</v>
      </c>
      <c r="E3033" s="4">
        <v>-31878</v>
      </c>
      <c r="F3033" s="3" t="s">
        <v>2891</v>
      </c>
      <c r="G3033" s="3" t="s">
        <v>404</v>
      </c>
      <c r="H3033" s="2" t="s">
        <v>21</v>
      </c>
      <c r="I3033" s="2" t="s">
        <v>8371</v>
      </c>
      <c r="J3033" s="3" t="str">
        <f>HYPERLINK("https://www.boe.es/gazeta/dias/1812/09/19/pdfs/GRE-1812-127.pdf#page=6","Abrir facsímil")</f>
        <v>Abrir facsímil</v>
      </c>
      <c r="K3033" s="3" t="s">
        <v>23</v>
      </c>
    </row>
    <row r="3034" spans="1:11" ht="42" customHeight="1">
      <c r="A3034" s="2" t="s">
        <v>8372</v>
      </c>
      <c r="B3034" s="2" t="s">
        <v>8373</v>
      </c>
      <c r="C3034" s="2" t="s">
        <v>26</v>
      </c>
      <c r="D3034" s="2" t="s">
        <v>27</v>
      </c>
      <c r="E3034" s="4">
        <v>-32116</v>
      </c>
      <c r="F3034" s="3" t="s">
        <v>964</v>
      </c>
      <c r="G3034" s="3" t="s">
        <v>125</v>
      </c>
      <c r="H3034" s="2" t="s">
        <v>21</v>
      </c>
      <c r="I3034" s="2" t="s">
        <v>8374</v>
      </c>
      <c r="J3034" s="3" t="str">
        <f>HYPERLINK("https://www.boe.es/gazeta/dias/1812/01/25/pdfs/GEI-H-1812-11.pdf#page=1","Abrir facsímil")</f>
        <v>Abrir facsímil</v>
      </c>
      <c r="K3034" s="3" t="s">
        <v>23</v>
      </c>
    </row>
    <row r="3035" spans="1:11" ht="42" customHeight="1">
      <c r="A3035" s="2" t="s">
        <v>8375</v>
      </c>
      <c r="B3035" s="2" t="s">
        <v>8376</v>
      </c>
      <c r="C3035" s="2" t="s">
        <v>49</v>
      </c>
      <c r="D3035" s="2" t="s">
        <v>27</v>
      </c>
      <c r="E3035" s="4">
        <v>-31857</v>
      </c>
      <c r="F3035" s="3" t="s">
        <v>1000</v>
      </c>
      <c r="G3035" s="3" t="s">
        <v>1001</v>
      </c>
      <c r="H3035" s="2" t="s">
        <v>21</v>
      </c>
      <c r="I3035" s="2" t="s">
        <v>8377</v>
      </c>
      <c r="J3035" s="3" t="str">
        <f>HYPERLINK("https://www.boe.es/gazeta/dias/1812/10/10/pdfs/GRE-1812-137.pdf#page=7","Abrir facsímil")</f>
        <v>Abrir facsímil</v>
      </c>
      <c r="K3035" s="3" t="s">
        <v>23</v>
      </c>
    </row>
    <row r="3036" spans="1:11" ht="42" customHeight="1">
      <c r="A3036" s="2" t="s">
        <v>8378</v>
      </c>
      <c r="B3036" s="2" t="s">
        <v>8379</v>
      </c>
      <c r="C3036" s="2" t="s">
        <v>49</v>
      </c>
      <c r="D3036" s="2" t="s">
        <v>18</v>
      </c>
      <c r="E3036" s="4">
        <v>-31857</v>
      </c>
      <c r="F3036" s="3" t="s">
        <v>1000</v>
      </c>
      <c r="G3036" s="3" t="s">
        <v>1001</v>
      </c>
      <c r="H3036" s="2" t="s">
        <v>21</v>
      </c>
      <c r="I3036" s="2" t="s">
        <v>8380</v>
      </c>
      <c r="J3036" s="3" t="str">
        <f>HYPERLINK("https://www.boe.es/gazeta/dias/1812/10/10/pdfs/GRE-1812-137.pdf#page=7","Abrir facsímil")</f>
        <v>Abrir facsímil</v>
      </c>
      <c r="K3036" s="3" t="s">
        <v>23</v>
      </c>
    </row>
    <row r="3037" spans="1:11" ht="42" customHeight="1">
      <c r="A3037" s="2" t="s">
        <v>8381</v>
      </c>
      <c r="B3037" s="2" t="s">
        <v>8382</v>
      </c>
      <c r="C3037" s="2" t="s">
        <v>26</v>
      </c>
      <c r="D3037" s="2" t="s">
        <v>27</v>
      </c>
      <c r="E3037" s="4">
        <v>-32130</v>
      </c>
      <c r="F3037" s="3" t="s">
        <v>927</v>
      </c>
      <c r="G3037" s="3" t="s">
        <v>130</v>
      </c>
      <c r="H3037" s="2" t="s">
        <v>21</v>
      </c>
      <c r="I3037" s="2" t="s">
        <v>8383</v>
      </c>
      <c r="J3037" s="3" t="str">
        <f>HYPERLINK("https://www.boe.es/gazeta/dias/1812/01/11/pdfs/GMD-1812-11.pdf#page=4","Abrir facsímil")</f>
        <v>Abrir facsímil</v>
      </c>
      <c r="K3037" s="3" t="s">
        <v>23</v>
      </c>
    </row>
    <row r="3038" spans="1:11" ht="42" customHeight="1">
      <c r="A3038" s="2" t="s">
        <v>8384</v>
      </c>
      <c r="B3038" s="2" t="s">
        <v>8385</v>
      </c>
      <c r="C3038" s="2" t="s">
        <v>26</v>
      </c>
      <c r="D3038" s="2" t="s">
        <v>27</v>
      </c>
      <c r="E3038" s="4">
        <v>-31963</v>
      </c>
      <c r="F3038" s="3" t="s">
        <v>171</v>
      </c>
      <c r="G3038" s="3" t="s">
        <v>172</v>
      </c>
      <c r="H3038" s="2" t="s">
        <v>21</v>
      </c>
      <c r="I3038" s="2" t="s">
        <v>8386</v>
      </c>
      <c r="J3038" s="3" t="str">
        <f>HYPERLINK("https://www.boe.es/gazeta/dias/1812/06/26/pdfs/GMD-1812-178.pdf#page=3","Abrir facsímil")</f>
        <v>Abrir facsímil</v>
      </c>
      <c r="K3038" s="3" t="s">
        <v>23</v>
      </c>
    </row>
    <row r="3039" spans="1:11" ht="42" customHeight="1">
      <c r="A3039" s="2" t="s">
        <v>8387</v>
      </c>
      <c r="B3039" s="2" t="s">
        <v>8388</v>
      </c>
      <c r="C3039" s="2" t="s">
        <v>49</v>
      </c>
      <c r="D3039" s="2" t="s">
        <v>18</v>
      </c>
      <c r="E3039" s="4">
        <v>-31992</v>
      </c>
      <c r="F3039" s="3" t="s">
        <v>1292</v>
      </c>
      <c r="G3039" s="3" t="s">
        <v>1424</v>
      </c>
      <c r="H3039" s="2" t="s">
        <v>21</v>
      </c>
      <c r="I3039" s="2" t="s">
        <v>8389</v>
      </c>
      <c r="J3039" s="3" t="str">
        <f>HYPERLINK("https://www.boe.es/gazeta/dias/1812/05/28/pdfs/GRE-1812-66.pdf#page=5","Abrir facsímil")</f>
        <v>Abrir facsímil</v>
      </c>
      <c r="K3039" s="3" t="s">
        <v>23</v>
      </c>
    </row>
    <row r="3040" spans="1:11" ht="42" customHeight="1">
      <c r="A3040" s="2" t="s">
        <v>8390</v>
      </c>
      <c r="B3040" s="2" t="s">
        <v>8391</v>
      </c>
      <c r="C3040" s="2" t="s">
        <v>26</v>
      </c>
      <c r="D3040" s="2" t="s">
        <v>27</v>
      </c>
      <c r="E3040" s="4">
        <v>-32034</v>
      </c>
      <c r="F3040" s="3" t="s">
        <v>28</v>
      </c>
      <c r="G3040" s="3" t="s">
        <v>29</v>
      </c>
      <c r="H3040" s="2" t="s">
        <v>21</v>
      </c>
      <c r="I3040" s="2" t="s">
        <v>8392</v>
      </c>
      <c r="J3040" s="3" t="str">
        <f>HYPERLINK("https://www.boe.es/gazeta/dias/1812/04/16/pdfs/GMD-1812-107.pdf#page=8","Abrir facsímil")</f>
        <v>Abrir facsímil</v>
      </c>
      <c r="K3040" s="3" t="s">
        <v>23</v>
      </c>
    </row>
    <row r="3041" spans="1:11" ht="42" customHeight="1">
      <c r="A3041" s="2" t="s">
        <v>8393</v>
      </c>
      <c r="B3041" s="2" t="s">
        <v>8394</v>
      </c>
      <c r="C3041" s="2" t="s">
        <v>26</v>
      </c>
      <c r="D3041" s="2" t="s">
        <v>27</v>
      </c>
      <c r="E3041" s="4">
        <v>-32001</v>
      </c>
      <c r="F3041" s="3" t="s">
        <v>1938</v>
      </c>
      <c r="G3041" s="3" t="s">
        <v>678</v>
      </c>
      <c r="H3041" s="2" t="s">
        <v>21</v>
      </c>
      <c r="I3041" s="2" t="s">
        <v>8395</v>
      </c>
      <c r="J3041" s="3" t="str">
        <f>HYPERLINK("https://www.boe.es/gazeta/dias/1812/05/19/pdfs/GRE-1812-62.pdf#page=8","Abrir facsímil")</f>
        <v>Abrir facsímil</v>
      </c>
      <c r="K3041" s="3" t="s">
        <v>23</v>
      </c>
    </row>
    <row r="3042" spans="1:11" ht="42" customHeight="1">
      <c r="A3042" s="2" t="s">
        <v>8396</v>
      </c>
      <c r="B3042" s="2" t="s">
        <v>8397</v>
      </c>
      <c r="C3042" s="2" t="s">
        <v>49</v>
      </c>
      <c r="D3042" s="2" t="s">
        <v>27</v>
      </c>
      <c r="E3042" s="4">
        <v>-31966</v>
      </c>
      <c r="F3042" s="3" t="s">
        <v>3665</v>
      </c>
      <c r="G3042" s="3" t="s">
        <v>3666</v>
      </c>
      <c r="H3042" s="2" t="s">
        <v>21</v>
      </c>
      <c r="I3042" s="2" t="s">
        <v>8398</v>
      </c>
      <c r="J3042" s="3" t="str">
        <f>HYPERLINK("https://www.boe.es/gazeta/dias/1812/06/23/pdfs/GRE-1812-77.pdf#page=8","Abrir facsímil")</f>
        <v>Abrir facsímil</v>
      </c>
      <c r="K3042" s="3" t="s">
        <v>23</v>
      </c>
    </row>
    <row r="3043" spans="1:11" ht="42" customHeight="1">
      <c r="A3043" s="2" t="s">
        <v>8399</v>
      </c>
      <c r="B3043" s="2" t="s">
        <v>8400</v>
      </c>
      <c r="C3043" s="2" t="s">
        <v>26</v>
      </c>
      <c r="D3043" s="2" t="s">
        <v>27</v>
      </c>
      <c r="E3043" s="4">
        <v>-31939</v>
      </c>
      <c r="F3043" s="3" t="s">
        <v>408</v>
      </c>
      <c r="G3043" s="3" t="s">
        <v>404</v>
      </c>
      <c r="H3043" s="2" t="s">
        <v>21</v>
      </c>
      <c r="I3043" s="2" t="s">
        <v>8401</v>
      </c>
      <c r="J3043" s="3" t="str">
        <f>HYPERLINK("https://www.boe.es/gazeta/dias/1812/07/20/pdfs/GMD-1812-202.pdf#page=2","Abrir facsímil")</f>
        <v>Abrir facsímil</v>
      </c>
      <c r="K3043" s="3" t="s">
        <v>23</v>
      </c>
    </row>
    <row r="3044" spans="1:11" ht="42" customHeight="1">
      <c r="A3044" s="2" t="s">
        <v>8402</v>
      </c>
      <c r="B3044" s="2" t="s">
        <v>8403</v>
      </c>
      <c r="C3044" s="2" t="s">
        <v>105</v>
      </c>
      <c r="D3044" s="2" t="s">
        <v>27</v>
      </c>
      <c r="E3044" s="4">
        <v>-31965</v>
      </c>
      <c r="F3044" s="3" t="s">
        <v>1180</v>
      </c>
      <c r="G3044" s="3" t="s">
        <v>777</v>
      </c>
      <c r="H3044" s="2" t="s">
        <v>21</v>
      </c>
      <c r="I3044" s="2" t="s">
        <v>8404</v>
      </c>
      <c r="J3044" s="3" t="str">
        <f>HYPERLINK("https://www.boe.es/gazeta/dias/1812/06/24/pdfs/GMD-1812-176.pdf#page=2","Abrir facsímil")</f>
        <v>Abrir facsímil</v>
      </c>
      <c r="K3044" s="3" t="s">
        <v>23</v>
      </c>
    </row>
    <row r="3045" spans="1:11" ht="42" customHeight="1">
      <c r="A3045" s="2" t="s">
        <v>8405</v>
      </c>
      <c r="B3045" s="2" t="s">
        <v>8406</v>
      </c>
      <c r="C3045" s="2" t="s">
        <v>26</v>
      </c>
      <c r="D3045" s="2" t="s">
        <v>27</v>
      </c>
      <c r="E3045" s="4">
        <v>-32060</v>
      </c>
      <c r="F3045" s="3" t="s">
        <v>399</v>
      </c>
      <c r="G3045" s="3" t="s">
        <v>136</v>
      </c>
      <c r="H3045" s="2" t="s">
        <v>21</v>
      </c>
      <c r="I3045" s="2" t="s">
        <v>8407</v>
      </c>
      <c r="J3045" s="3" t="str">
        <f>HYPERLINK("https://www.boe.es/gazeta/dias/1812/03/21/pdfs/GMD-1812-81.pdf#page=4","Abrir facsímil")</f>
        <v>Abrir facsímil</v>
      </c>
      <c r="K3045" s="3" t="s">
        <v>23</v>
      </c>
    </row>
    <row r="3046" spans="1:11" ht="42" customHeight="1">
      <c r="A3046" s="2" t="s">
        <v>8408</v>
      </c>
      <c r="B3046" s="2" t="s">
        <v>8409</v>
      </c>
      <c r="C3046" s="2" t="s">
        <v>26</v>
      </c>
      <c r="D3046" s="2" t="s">
        <v>27</v>
      </c>
      <c r="E3046" s="4">
        <v>-32001</v>
      </c>
      <c r="F3046" s="3" t="s">
        <v>1938</v>
      </c>
      <c r="G3046" s="3" t="s">
        <v>1939</v>
      </c>
      <c r="H3046" s="2" t="s">
        <v>21</v>
      </c>
      <c r="I3046" s="2" t="s">
        <v>8410</v>
      </c>
      <c r="J3046" s="3" t="str">
        <f>HYPERLINK("https://www.boe.es/gazeta/dias/1812/05/19/pdfs/GRE-1812-62.pdf#page=7","Abrir facsímil")</f>
        <v>Abrir facsímil</v>
      </c>
      <c r="K3046" s="3" t="s">
        <v>23</v>
      </c>
    </row>
    <row r="3047" spans="1:11" ht="42" customHeight="1">
      <c r="A3047" s="2" t="s">
        <v>8411</v>
      </c>
      <c r="B3047" s="2" t="s">
        <v>8412</v>
      </c>
      <c r="C3047" s="2" t="s">
        <v>49</v>
      </c>
      <c r="D3047" s="2" t="s">
        <v>27</v>
      </c>
      <c r="E3047" s="4">
        <v>-32120</v>
      </c>
      <c r="F3047" s="3" t="s">
        <v>3524</v>
      </c>
      <c r="G3047" s="3" t="s">
        <v>2262</v>
      </c>
      <c r="H3047" s="2" t="s">
        <v>21</v>
      </c>
      <c r="I3047" s="2" t="s">
        <v>8413</v>
      </c>
      <c r="J3047" s="3" t="str">
        <f>HYPERLINK("https://www.boe.es/gazeta/dias/1812/01/21/pdfs/GEI-1812-9.pdf#page=5","Abrir facsímil")</f>
        <v>Abrir facsímil</v>
      </c>
      <c r="K3047" s="3" t="s">
        <v>23</v>
      </c>
    </row>
    <row r="3048" spans="1:11" ht="42" customHeight="1">
      <c r="A3048" s="2" t="s">
        <v>8414</v>
      </c>
      <c r="B3048" s="2" t="s">
        <v>8415</v>
      </c>
      <c r="C3048" s="2" t="s">
        <v>17</v>
      </c>
      <c r="D3048" s="2" t="s">
        <v>275</v>
      </c>
      <c r="E3048" s="4">
        <v>-32118</v>
      </c>
      <c r="F3048" s="3" t="s">
        <v>964</v>
      </c>
      <c r="G3048" s="3" t="s">
        <v>965</v>
      </c>
      <c r="H3048" s="2" t="s">
        <v>21</v>
      </c>
      <c r="I3048" s="2" t="s">
        <v>8416</v>
      </c>
      <c r="J3048" s="3" t="str">
        <f>HYPERLINK("https://www.boe.es/gazeta/dias/1812/01/23/pdfs/GEI-H-1812-10.pdf#page=4","Abrir facsímil")</f>
        <v>Abrir facsímil</v>
      </c>
      <c r="K3048" s="3" t="s">
        <v>23</v>
      </c>
    </row>
    <row r="3049" spans="1:11" ht="42" customHeight="1">
      <c r="A3049" s="2" t="s">
        <v>8417</v>
      </c>
      <c r="B3049" s="2" t="s">
        <v>8418</v>
      </c>
      <c r="C3049" s="2" t="s">
        <v>67</v>
      </c>
      <c r="D3049" s="2" t="s">
        <v>27</v>
      </c>
      <c r="E3049" s="4">
        <v>-32110</v>
      </c>
      <c r="F3049" s="3" t="s">
        <v>68</v>
      </c>
      <c r="G3049" s="3" t="s">
        <v>20</v>
      </c>
      <c r="H3049" s="2" t="s">
        <v>21</v>
      </c>
      <c r="I3049" s="2" t="s">
        <v>8419</v>
      </c>
      <c r="J3049" s="3" t="str">
        <f>HYPERLINK("https://www.boe.es/gazeta/dias/1812/01/31/pdfs/GMD-1812-31.pdf#page=3","Abrir facsímil")</f>
        <v>Abrir facsímil</v>
      </c>
      <c r="K3049" s="3" t="s">
        <v>23</v>
      </c>
    </row>
    <row r="3050" spans="1:11" ht="42" customHeight="1">
      <c r="A3050" s="2" t="s">
        <v>8420</v>
      </c>
      <c r="B3050" s="2" t="s">
        <v>8420</v>
      </c>
      <c r="C3050" s="2" t="s">
        <v>17</v>
      </c>
      <c r="D3050" s="2" t="s">
        <v>27</v>
      </c>
      <c r="E3050" s="4">
        <v>-32060</v>
      </c>
      <c r="F3050" s="3" t="s">
        <v>399</v>
      </c>
      <c r="G3050" s="3" t="s">
        <v>801</v>
      </c>
      <c r="H3050" s="2" t="s">
        <v>21</v>
      </c>
      <c r="I3050" s="2" t="s">
        <v>8421</v>
      </c>
      <c r="J3050" s="3" t="str">
        <f>HYPERLINK("https://www.boe.es/gazeta/dias/1812/03/21/pdfs/GMD-1812-81.pdf#page=3","Abrir facsímil")</f>
        <v>Abrir facsímil</v>
      </c>
      <c r="K3050" s="3" t="s">
        <v>23</v>
      </c>
    </row>
    <row r="3051" spans="1:11" ht="42" customHeight="1">
      <c r="A3051" s="2" t="s">
        <v>8422</v>
      </c>
      <c r="B3051" s="2" t="s">
        <v>8423</v>
      </c>
      <c r="C3051" s="2" t="s">
        <v>26</v>
      </c>
      <c r="D3051" s="2" t="s">
        <v>27</v>
      </c>
      <c r="E3051" s="4">
        <v>-32034</v>
      </c>
      <c r="F3051" s="3" t="s">
        <v>28</v>
      </c>
      <c r="G3051" s="3" t="s">
        <v>45</v>
      </c>
      <c r="H3051" s="2" t="s">
        <v>21</v>
      </c>
      <c r="I3051" s="2" t="s">
        <v>8424</v>
      </c>
      <c r="J3051" s="3" t="str">
        <f>HYPERLINK("https://www.boe.es/gazeta/dias/1812/04/16/pdfs/GMD-1812-107.pdf#page=5","Abrir facsímil")</f>
        <v>Abrir facsímil</v>
      </c>
      <c r="K3051" s="3" t="s">
        <v>23</v>
      </c>
    </row>
    <row r="3052" spans="1:11" ht="42" customHeight="1">
      <c r="A3052" s="2" t="s">
        <v>8425</v>
      </c>
      <c r="B3052" s="2" t="s">
        <v>8426</v>
      </c>
      <c r="C3052" s="2" t="s">
        <v>17</v>
      </c>
      <c r="D3052" s="2" t="s">
        <v>27</v>
      </c>
      <c r="E3052" s="4">
        <v>-31915</v>
      </c>
      <c r="F3052" s="3" t="s">
        <v>1592</v>
      </c>
      <c r="G3052" s="3" t="s">
        <v>130</v>
      </c>
      <c r="H3052" s="2" t="s">
        <v>21</v>
      </c>
      <c r="I3052" s="2" t="s">
        <v>8427</v>
      </c>
      <c r="J3052" s="3" t="str">
        <f>HYPERLINK("https://www.boe.es/gazeta/dias/1812/08/13/pdfs/GRE-1812-104.pdf#page=4","Abrir facsímil")</f>
        <v>Abrir facsímil</v>
      </c>
      <c r="K3052" s="3" t="s">
        <v>23</v>
      </c>
    </row>
    <row r="3053" spans="1:11" ht="42" customHeight="1">
      <c r="A3053" s="2" t="s">
        <v>8428</v>
      </c>
      <c r="B3053" s="2" t="s">
        <v>8429</v>
      </c>
      <c r="C3053" s="2" t="s">
        <v>17</v>
      </c>
      <c r="D3053" s="2" t="s">
        <v>27</v>
      </c>
      <c r="E3053" s="4">
        <v>-31910</v>
      </c>
      <c r="F3053" s="3" t="s">
        <v>72</v>
      </c>
      <c r="G3053" s="3" t="s">
        <v>3300</v>
      </c>
      <c r="H3053" s="2" t="s">
        <v>21</v>
      </c>
      <c r="I3053" s="2" t="s">
        <v>8430</v>
      </c>
      <c r="J3053" s="3" t="str">
        <f>HYPERLINK("https://www.boe.es/gazeta/dias/1812/08/18/pdfs/GRE-1812-106.pdf#page=3","Abrir facsímil")</f>
        <v>Abrir facsímil</v>
      </c>
      <c r="K3053" s="3" t="s">
        <v>23</v>
      </c>
    </row>
    <row r="3054" spans="1:11" ht="42" customHeight="1">
      <c r="A3054" s="2" t="s">
        <v>8431</v>
      </c>
      <c r="B3054" s="2" t="s">
        <v>8432</v>
      </c>
      <c r="C3054" s="2" t="s">
        <v>67</v>
      </c>
      <c r="D3054" s="2" t="s">
        <v>27</v>
      </c>
      <c r="E3054" s="4">
        <v>-32095</v>
      </c>
      <c r="F3054" s="3" t="s">
        <v>181</v>
      </c>
      <c r="G3054" s="3" t="s">
        <v>182</v>
      </c>
      <c r="H3054" s="2" t="s">
        <v>21</v>
      </c>
      <c r="I3054" s="2" t="s">
        <v>8433</v>
      </c>
      <c r="J3054" s="3" t="str">
        <f>HYPERLINK("https://www.boe.es/gazeta/dias/1812/02/15/pdfs/GMD-1812-47.pdf#page=4","Abrir facsímil")</f>
        <v>Abrir facsímil</v>
      </c>
      <c r="K3054" s="3" t="s">
        <v>23</v>
      </c>
    </row>
    <row r="3055" spans="1:11" ht="42" customHeight="1">
      <c r="A3055" s="2" t="s">
        <v>8431</v>
      </c>
      <c r="B3055" s="2" t="s">
        <v>8432</v>
      </c>
      <c r="C3055" s="2" t="s">
        <v>67</v>
      </c>
      <c r="D3055" s="2" t="s">
        <v>27</v>
      </c>
      <c r="E3055" s="4">
        <v>-32094</v>
      </c>
      <c r="F3055" s="3" t="s">
        <v>181</v>
      </c>
      <c r="G3055" s="3" t="s">
        <v>182</v>
      </c>
      <c r="H3055" s="2" t="s">
        <v>21</v>
      </c>
      <c r="I3055" s="2" t="s">
        <v>8433</v>
      </c>
      <c r="J3055" s="3" t="str">
        <f>HYPERLINK("https://www.boe.es/gazeta/dias/1812/02/16/pdfs/GMD-1812-47.pdf#page=4","Abrir facsímil")</f>
        <v>Abrir facsímil</v>
      </c>
      <c r="K3055" s="3" t="s">
        <v>23</v>
      </c>
    </row>
    <row r="3056" spans="1:11" ht="42" customHeight="1">
      <c r="A3056" s="2" t="s">
        <v>8434</v>
      </c>
      <c r="B3056" s="2" t="s">
        <v>8435</v>
      </c>
      <c r="C3056" s="2" t="s">
        <v>26</v>
      </c>
      <c r="D3056" s="2" t="s">
        <v>27</v>
      </c>
      <c r="E3056" s="4">
        <v>-31969</v>
      </c>
      <c r="F3056" s="3" t="s">
        <v>83</v>
      </c>
      <c r="G3056" s="3" t="s">
        <v>84</v>
      </c>
      <c r="H3056" s="2" t="s">
        <v>21</v>
      </c>
      <c r="I3056" s="2" t="s">
        <v>8436</v>
      </c>
      <c r="J3056" s="3" t="str">
        <f>HYPERLINK("https://www.boe.es/gazeta/dias/1812/06/20/pdfs/GRE-1812-76.pdf#page=8","Abrir facsímil")</f>
        <v>Abrir facsímil</v>
      </c>
      <c r="K3056" s="3" t="s">
        <v>23</v>
      </c>
    </row>
    <row r="3057" spans="1:11" ht="42" customHeight="1">
      <c r="A3057" s="2" t="s">
        <v>8437</v>
      </c>
      <c r="B3057" s="2" t="s">
        <v>8438</v>
      </c>
      <c r="C3057" s="2" t="s">
        <v>26</v>
      </c>
      <c r="D3057" s="2" t="s">
        <v>27</v>
      </c>
      <c r="E3057" s="4">
        <v>-32109</v>
      </c>
      <c r="F3057" s="3" t="s">
        <v>62</v>
      </c>
      <c r="G3057" s="3" t="s">
        <v>63</v>
      </c>
      <c r="H3057" s="2" t="s">
        <v>21</v>
      </c>
      <c r="I3057" s="2" t="s">
        <v>8439</v>
      </c>
      <c r="J3057" s="3" t="str">
        <f>HYPERLINK("https://www.boe.es/gazeta/dias/1812/02/01/pdfs/GRE-1812-14.pdf#page=10","Abrir facsímil")</f>
        <v>Abrir facsímil</v>
      </c>
      <c r="K3057" s="3" t="s">
        <v>23</v>
      </c>
    </row>
    <row r="3058" spans="1:11" ht="42" customHeight="1">
      <c r="A3058" s="2" t="s">
        <v>8440</v>
      </c>
      <c r="B3058" s="2" t="s">
        <v>8441</v>
      </c>
      <c r="C3058" s="2" t="s">
        <v>26</v>
      </c>
      <c r="D3058" s="2" t="s">
        <v>27</v>
      </c>
      <c r="E3058" s="4">
        <v>-32109</v>
      </c>
      <c r="F3058" s="3" t="s">
        <v>62</v>
      </c>
      <c r="G3058" s="3" t="s">
        <v>106</v>
      </c>
      <c r="H3058" s="2" t="s">
        <v>21</v>
      </c>
      <c r="I3058" s="2" t="s">
        <v>8442</v>
      </c>
      <c r="J3058" s="3" t="str">
        <f>HYPERLINK("https://www.boe.es/gazeta/dias/1812/02/01/pdfs/GRE-1812-14.pdf#page=11","Abrir facsímil")</f>
        <v>Abrir facsímil</v>
      </c>
      <c r="K3058" s="3" t="s">
        <v>23</v>
      </c>
    </row>
    <row r="3059" spans="1:11" ht="42" customHeight="1">
      <c r="A3059" s="2" t="s">
        <v>8443</v>
      </c>
      <c r="B3059" s="2" t="s">
        <v>8444</v>
      </c>
      <c r="C3059" s="2" t="s">
        <v>26</v>
      </c>
      <c r="D3059" s="2" t="s">
        <v>27</v>
      </c>
      <c r="E3059" s="4">
        <v>-32055</v>
      </c>
      <c r="F3059" s="3" t="s">
        <v>459</v>
      </c>
      <c r="G3059" s="3" t="s">
        <v>20</v>
      </c>
      <c r="H3059" s="2" t="s">
        <v>21</v>
      </c>
      <c r="I3059" s="2" t="s">
        <v>8445</v>
      </c>
      <c r="J3059" s="3" t="str">
        <f>HYPERLINK("https://www.boe.es/gazeta/dias/1812/03/26/pdfs/GRE-1812-38.pdf#page=8","Abrir facsímil")</f>
        <v>Abrir facsímil</v>
      </c>
      <c r="K3059" s="3" t="s">
        <v>23</v>
      </c>
    </row>
    <row r="3060" spans="1:11" ht="42" customHeight="1">
      <c r="A3060" s="2" t="s">
        <v>8446</v>
      </c>
      <c r="B3060" s="2" t="s">
        <v>8447</v>
      </c>
      <c r="C3060" s="2" t="s">
        <v>26</v>
      </c>
      <c r="D3060" s="2" t="s">
        <v>27</v>
      </c>
      <c r="E3060" s="4">
        <v>-32034</v>
      </c>
      <c r="F3060" s="3" t="s">
        <v>28</v>
      </c>
      <c r="G3060" s="3" t="s">
        <v>317</v>
      </c>
      <c r="H3060" s="2" t="s">
        <v>21</v>
      </c>
      <c r="I3060" s="2" t="s">
        <v>8448</v>
      </c>
      <c r="J3060" s="3" t="str">
        <f>HYPERLINK("https://www.boe.es/gazeta/dias/1812/04/16/pdfs/GMD-1812-107.pdf#page=6","Abrir facsímil")</f>
        <v>Abrir facsímil</v>
      </c>
      <c r="K3060" s="3" t="s">
        <v>23</v>
      </c>
    </row>
    <row r="3061" spans="1:11" ht="42" customHeight="1">
      <c r="A3061" s="2" t="s">
        <v>8449</v>
      </c>
      <c r="B3061" s="2" t="s">
        <v>8449</v>
      </c>
      <c r="C3061" s="2" t="s">
        <v>17</v>
      </c>
      <c r="D3061" s="2" t="s">
        <v>27</v>
      </c>
      <c r="E3061" s="4">
        <v>-31829</v>
      </c>
      <c r="F3061" s="3" t="s">
        <v>3229</v>
      </c>
      <c r="G3061" s="3" t="s">
        <v>8450</v>
      </c>
      <c r="H3061" s="2" t="s">
        <v>21</v>
      </c>
      <c r="I3061" s="2" t="s">
        <v>8451</v>
      </c>
      <c r="J3061" s="3" t="str">
        <f>HYPERLINK("https://www.boe.es/gazeta/dias/1812/11/07/pdfs/GRE-1812-149.pdf#page=4","Abrir facsímil")</f>
        <v>Abrir facsímil</v>
      </c>
      <c r="K3061" s="3" t="s">
        <v>23</v>
      </c>
    </row>
    <row r="3062" spans="1:11" ht="42" customHeight="1">
      <c r="A3062" s="2" t="s">
        <v>8452</v>
      </c>
      <c r="B3062" s="2" t="s">
        <v>8453</v>
      </c>
      <c r="C3062" s="2" t="s">
        <v>17</v>
      </c>
      <c r="D3062" s="2" t="s">
        <v>573</v>
      </c>
      <c r="E3062" s="4">
        <v>-31898</v>
      </c>
      <c r="F3062" s="3" t="s">
        <v>1952</v>
      </c>
      <c r="G3062" s="3" t="s">
        <v>8362</v>
      </c>
      <c r="H3062" s="2" t="s">
        <v>30</v>
      </c>
      <c r="I3062" s="2" t="s">
        <v>8454</v>
      </c>
      <c r="J3062" s="3" t="str">
        <f>HYPERLINK("https://www.boe.es/gazeta/dias/1812/08/30/pdfs/GRE-1812-116E.pdf#page=2","Abrir facsímil")</f>
        <v>Abrir facsímil</v>
      </c>
      <c r="K3062" s="3" t="s">
        <v>32</v>
      </c>
    </row>
    <row r="3063" spans="1:11" ht="42" customHeight="1">
      <c r="A3063" s="2" t="s">
        <v>8452</v>
      </c>
      <c r="B3063" s="2" t="s">
        <v>8453</v>
      </c>
      <c r="C3063" s="2" t="s">
        <v>17</v>
      </c>
      <c r="D3063" s="2" t="s">
        <v>18</v>
      </c>
      <c r="E3063" s="4">
        <v>-31898</v>
      </c>
      <c r="F3063" s="3" t="s">
        <v>1952</v>
      </c>
      <c r="G3063" s="3" t="s">
        <v>196</v>
      </c>
      <c r="H3063" s="2" t="s">
        <v>30</v>
      </c>
      <c r="I3063" s="2" t="s">
        <v>8455</v>
      </c>
      <c r="J3063" s="3" t="str">
        <f>HYPERLINK("https://www.boe.es/gazeta/dias/1812/08/30/pdfs/GRE-1812-116E.pdf#page=3","Abrir facsímil")</f>
        <v>Abrir facsímil</v>
      </c>
      <c r="K3063" s="3" t="s">
        <v>32</v>
      </c>
    </row>
    <row r="3064" spans="1:11" ht="42" customHeight="1">
      <c r="A3064" s="2" t="s">
        <v>8456</v>
      </c>
      <c r="B3064" s="2" t="s">
        <v>8457</v>
      </c>
      <c r="C3064" s="2" t="s">
        <v>26</v>
      </c>
      <c r="D3064" s="2" t="s">
        <v>27</v>
      </c>
      <c r="E3064" s="4">
        <v>-32081</v>
      </c>
      <c r="F3064" s="3" t="s">
        <v>232</v>
      </c>
      <c r="G3064" s="3" t="s">
        <v>233</v>
      </c>
      <c r="H3064" s="2" t="s">
        <v>21</v>
      </c>
      <c r="I3064" s="2" t="s">
        <v>8458</v>
      </c>
      <c r="J3064" s="3" t="str">
        <f>HYPERLINK("https://www.boe.es/gazeta/dias/1812/02/29/pdfs/GRE-1812-27.pdf#page=8","Abrir facsímil")</f>
        <v>Abrir facsímil</v>
      </c>
      <c r="K3064" s="3" t="s">
        <v>23</v>
      </c>
    </row>
    <row r="3065" spans="1:11" ht="42" customHeight="1">
      <c r="A3065" s="2" t="s">
        <v>8459</v>
      </c>
      <c r="B3065" s="2" t="s">
        <v>8460</v>
      </c>
      <c r="C3065" s="2" t="s">
        <v>26</v>
      </c>
      <c r="D3065" s="2" t="s">
        <v>27</v>
      </c>
      <c r="E3065" s="4">
        <v>-32125</v>
      </c>
      <c r="F3065" s="3" t="s">
        <v>335</v>
      </c>
      <c r="G3065" s="3" t="s">
        <v>336</v>
      </c>
      <c r="H3065" s="2" t="s">
        <v>21</v>
      </c>
      <c r="I3065" s="2" t="s">
        <v>8461</v>
      </c>
      <c r="J3065" s="3" t="str">
        <f>HYPERLINK("https://www.boe.es/gazeta/dias/1812/01/16/pdfs/GEI-1812-7.pdf#page=8","Abrir facsímil")</f>
        <v>Abrir facsímil</v>
      </c>
      <c r="K3065" s="3" t="s">
        <v>23</v>
      </c>
    </row>
    <row r="3066" spans="1:11" ht="42" customHeight="1">
      <c r="A3066" s="2" t="s">
        <v>8462</v>
      </c>
      <c r="B3066" s="2" t="s">
        <v>8463</v>
      </c>
      <c r="C3066" s="2" t="s">
        <v>26</v>
      </c>
      <c r="D3066" s="2" t="s">
        <v>27</v>
      </c>
      <c r="E3066" s="4">
        <v>-32032</v>
      </c>
      <c r="F3066" s="3" t="s">
        <v>531</v>
      </c>
      <c r="G3066" s="3" t="s">
        <v>532</v>
      </c>
      <c r="H3066" s="2" t="s">
        <v>21</v>
      </c>
      <c r="I3066" s="2" t="s">
        <v>8464</v>
      </c>
      <c r="J3066" s="3" t="str">
        <f>HYPERLINK("https://www.boe.es/gazeta/dias/1812/04/18/pdfs/GMD-1812-109.pdf#page=4","Abrir facsímil")</f>
        <v>Abrir facsímil</v>
      </c>
      <c r="K3066" s="3" t="s">
        <v>23</v>
      </c>
    </row>
    <row r="3067" spans="1:11" ht="42" customHeight="1">
      <c r="A3067" s="2" t="s">
        <v>8465</v>
      </c>
      <c r="B3067" s="2" t="s">
        <v>8466</v>
      </c>
      <c r="C3067" s="2" t="s">
        <v>17</v>
      </c>
      <c r="D3067" s="2" t="s">
        <v>27</v>
      </c>
      <c r="E3067" s="4">
        <v>-32067</v>
      </c>
      <c r="F3067" s="3" t="s">
        <v>199</v>
      </c>
      <c r="G3067" s="3" t="s">
        <v>237</v>
      </c>
      <c r="H3067" s="2" t="s">
        <v>21</v>
      </c>
      <c r="I3067" s="2" t="s">
        <v>8467</v>
      </c>
      <c r="J3067" s="3" t="str">
        <f>HYPERLINK("https://www.boe.es/gazeta/dias/1812/03/14/pdfs/GRE-1812-33.pdf#page=8","Abrir facsímil")</f>
        <v>Abrir facsímil</v>
      </c>
      <c r="K3067" s="3" t="s">
        <v>23</v>
      </c>
    </row>
    <row r="3068" spans="1:11" ht="42" customHeight="1">
      <c r="A3068" s="2" t="s">
        <v>8468</v>
      </c>
      <c r="B3068" s="2" t="s">
        <v>8469</v>
      </c>
      <c r="C3068" s="2" t="s">
        <v>26</v>
      </c>
      <c r="D3068" s="2" t="s">
        <v>27</v>
      </c>
      <c r="E3068" s="4">
        <v>-31969</v>
      </c>
      <c r="F3068" s="3" t="s">
        <v>83</v>
      </c>
      <c r="G3068" s="3" t="s">
        <v>84</v>
      </c>
      <c r="H3068" s="2" t="s">
        <v>21</v>
      </c>
      <c r="I3068" s="2" t="s">
        <v>8470</v>
      </c>
      <c r="J3068" s="3" t="str">
        <f>HYPERLINK("https://www.boe.es/gazeta/dias/1812/06/20/pdfs/GRE-1812-76.pdf#page=8","Abrir facsímil")</f>
        <v>Abrir facsímil</v>
      </c>
      <c r="K3068" s="3" t="s">
        <v>23</v>
      </c>
    </row>
    <row r="3069" spans="1:11" ht="42" customHeight="1">
      <c r="A3069" s="2" t="s">
        <v>8471</v>
      </c>
      <c r="B3069" s="2" t="s">
        <v>8472</v>
      </c>
      <c r="C3069" s="2" t="s">
        <v>26</v>
      </c>
      <c r="D3069" s="2" t="s">
        <v>27</v>
      </c>
      <c r="E3069" s="4">
        <v>-31969</v>
      </c>
      <c r="F3069" s="3" t="s">
        <v>83</v>
      </c>
      <c r="G3069" s="3" t="s">
        <v>84</v>
      </c>
      <c r="H3069" s="2" t="s">
        <v>21</v>
      </c>
      <c r="I3069" s="2" t="s">
        <v>8473</v>
      </c>
      <c r="J3069" s="3" t="str">
        <f>HYPERLINK("https://www.boe.es/gazeta/dias/1812/06/20/pdfs/GRE-1812-76.pdf#page=8","Abrir facsímil")</f>
        <v>Abrir facsímil</v>
      </c>
      <c r="K3069" s="3" t="s">
        <v>23</v>
      </c>
    </row>
    <row r="3070" spans="1:11" ht="42" customHeight="1">
      <c r="A3070" s="2" t="s">
        <v>8474</v>
      </c>
      <c r="B3070" s="2" t="s">
        <v>8475</v>
      </c>
      <c r="C3070" s="2" t="s">
        <v>105</v>
      </c>
      <c r="D3070" s="2" t="s">
        <v>27</v>
      </c>
      <c r="E3070" s="4">
        <v>-31922</v>
      </c>
      <c r="F3070" s="3" t="s">
        <v>622</v>
      </c>
      <c r="G3070" s="3" t="s">
        <v>623</v>
      </c>
      <c r="H3070" s="2" t="s">
        <v>21</v>
      </c>
      <c r="I3070" s="2" t="s">
        <v>8476</v>
      </c>
      <c r="J3070" s="3" t="str">
        <f>HYPERLINK("https://www.boe.es/gazeta/dias/1812/08/06/pdfs/GMD-1812-219.pdf#page=1","Abrir facsímil")</f>
        <v>Abrir facsímil</v>
      </c>
      <c r="K3070" s="3" t="s">
        <v>23</v>
      </c>
    </row>
    <row r="3071" spans="1:11" ht="42" customHeight="1">
      <c r="A3071" s="2" t="s">
        <v>8477</v>
      </c>
      <c r="B3071" s="2" t="s">
        <v>8478</v>
      </c>
      <c r="C3071" s="2" t="s">
        <v>49</v>
      </c>
      <c r="D3071" s="2" t="s">
        <v>27</v>
      </c>
      <c r="E3071" s="4">
        <v>-32075</v>
      </c>
      <c r="F3071" s="3" t="s">
        <v>301</v>
      </c>
      <c r="G3071" s="3" t="s">
        <v>20</v>
      </c>
      <c r="H3071" s="2" t="s">
        <v>21</v>
      </c>
      <c r="I3071" s="2" t="s">
        <v>8479</v>
      </c>
      <c r="J3071" s="3" t="str">
        <f>HYPERLINK("https://www.boe.es/gazeta/dias/1812/03/06/pdfs/GMD-1812-66.pdf#page=4","Abrir facsímil")</f>
        <v>Abrir facsímil</v>
      </c>
      <c r="K3071" s="3" t="s">
        <v>23</v>
      </c>
    </row>
    <row r="3072" spans="1:11" ht="42" customHeight="1">
      <c r="A3072" s="2" t="s">
        <v>8480</v>
      </c>
      <c r="B3072" s="2" t="s">
        <v>8481</v>
      </c>
      <c r="C3072" s="2" t="s">
        <v>115</v>
      </c>
      <c r="D3072" s="2" t="s">
        <v>27</v>
      </c>
      <c r="E3072" s="4">
        <v>-31936</v>
      </c>
      <c r="F3072" s="3" t="s">
        <v>603</v>
      </c>
      <c r="G3072" s="3" t="s">
        <v>2410</v>
      </c>
      <c r="H3072" s="2" t="s">
        <v>30</v>
      </c>
      <c r="I3072" s="2" t="s">
        <v>8482</v>
      </c>
      <c r="J3072" s="3" t="str">
        <f>HYPERLINK("https://www.boe.es/gazeta/dias/1812/07/23/pdfs/GMD-1812-205.pdf#page=4","Abrir facsímil")</f>
        <v>Abrir facsímil</v>
      </c>
      <c r="K3072" s="3" t="s">
        <v>32</v>
      </c>
    </row>
    <row r="3073" spans="1:11" ht="42" customHeight="1">
      <c r="A3073" s="2" t="s">
        <v>8483</v>
      </c>
      <c r="B3073" s="2" t="s">
        <v>8483</v>
      </c>
      <c r="C3073" s="2" t="s">
        <v>17</v>
      </c>
      <c r="D3073" s="2" t="s">
        <v>27</v>
      </c>
      <c r="E3073" s="4">
        <v>-32099</v>
      </c>
      <c r="F3073" s="3" t="s">
        <v>2566</v>
      </c>
      <c r="G3073" s="3" t="s">
        <v>8484</v>
      </c>
      <c r="H3073" s="2" t="s">
        <v>21</v>
      </c>
      <c r="I3073" s="2" t="s">
        <v>8485</v>
      </c>
      <c r="J3073" s="3" t="str">
        <f>HYPERLINK("https://www.boe.es/gazeta/dias/1812/02/11/pdfs/GRE-1812-18.pdf#page=1","Abrir facsímil")</f>
        <v>Abrir facsímil</v>
      </c>
      <c r="K3073" s="3" t="s">
        <v>23</v>
      </c>
    </row>
    <row r="3074" spans="1:11" ht="42" customHeight="1">
      <c r="A3074" s="2" t="s">
        <v>8483</v>
      </c>
      <c r="B3074" s="2" t="s">
        <v>8483</v>
      </c>
      <c r="C3074" s="2" t="s">
        <v>26</v>
      </c>
      <c r="D3074" s="2" t="s">
        <v>27</v>
      </c>
      <c r="E3074" s="4">
        <v>-32088</v>
      </c>
      <c r="F3074" s="3" t="s">
        <v>250</v>
      </c>
      <c r="G3074" s="3" t="s">
        <v>251</v>
      </c>
      <c r="H3074" s="2" t="s">
        <v>21</v>
      </c>
      <c r="I3074" s="2" t="s">
        <v>8486</v>
      </c>
      <c r="J3074" s="3" t="str">
        <f>HYPERLINK("https://www.boe.es/gazeta/dias/1812/02/22/pdfs/GRE-1812-23.pdf#page=8","Abrir facsímil")</f>
        <v>Abrir facsímil</v>
      </c>
      <c r="K3074" s="3" t="s">
        <v>23</v>
      </c>
    </row>
    <row r="3075" spans="1:11" ht="42" customHeight="1">
      <c r="A3075" s="2" t="s">
        <v>8483</v>
      </c>
      <c r="B3075" s="2" t="s">
        <v>8483</v>
      </c>
      <c r="C3075" s="2" t="s">
        <v>17</v>
      </c>
      <c r="D3075" s="2" t="s">
        <v>27</v>
      </c>
      <c r="E3075" s="4">
        <v>-31987</v>
      </c>
      <c r="F3075" s="3" t="s">
        <v>3031</v>
      </c>
      <c r="G3075" s="3" t="s">
        <v>1907</v>
      </c>
      <c r="H3075" s="2" t="s">
        <v>21</v>
      </c>
      <c r="I3075" s="2" t="s">
        <v>8487</v>
      </c>
      <c r="J3075" s="3" t="str">
        <f>HYPERLINK("https://www.boe.es/gazeta/dias/1812/06/02/pdfs/GRE-1812-68.pdf#page=4","Abrir facsímil")</f>
        <v>Abrir facsímil</v>
      </c>
      <c r="K3075" s="3" t="s">
        <v>23</v>
      </c>
    </row>
    <row r="3076" spans="1:11" ht="42" customHeight="1">
      <c r="A3076" s="2" t="s">
        <v>8483</v>
      </c>
      <c r="B3076" s="2" t="s">
        <v>8483</v>
      </c>
      <c r="C3076" s="2" t="s">
        <v>17</v>
      </c>
      <c r="D3076" s="2" t="s">
        <v>18</v>
      </c>
      <c r="E3076" s="4">
        <v>-31978</v>
      </c>
      <c r="F3076" s="3" t="s">
        <v>1790</v>
      </c>
      <c r="G3076" s="3" t="s">
        <v>58</v>
      </c>
      <c r="H3076" s="2" t="s">
        <v>21</v>
      </c>
      <c r="I3076" s="2" t="s">
        <v>8488</v>
      </c>
      <c r="J3076" s="3" t="str">
        <f>HYPERLINK("https://www.boe.es/gazeta/dias/1812/06/11/pdfs/GRE-1812-72.pdf#page=6","Abrir facsímil")</f>
        <v>Abrir facsímil</v>
      </c>
      <c r="K3076" s="3" t="s">
        <v>23</v>
      </c>
    </row>
    <row r="3077" spans="1:11" ht="42" customHeight="1">
      <c r="A3077" s="2" t="s">
        <v>8483</v>
      </c>
      <c r="B3077" s="2" t="s">
        <v>8483</v>
      </c>
      <c r="C3077" s="2" t="s">
        <v>17</v>
      </c>
      <c r="D3077" s="2" t="s">
        <v>18</v>
      </c>
      <c r="E3077" s="4">
        <v>-31861</v>
      </c>
      <c r="F3077" s="3" t="s">
        <v>216</v>
      </c>
      <c r="G3077" s="3" t="s">
        <v>196</v>
      </c>
      <c r="H3077" s="2" t="s">
        <v>21</v>
      </c>
      <c r="I3077" s="2" t="s">
        <v>8489</v>
      </c>
      <c r="J3077" s="3" t="str">
        <f>HYPERLINK("https://www.boe.es/gazeta/dias/1812/10/06/pdfs/GRE-1812-135.pdf#page=6","Abrir facsímil")</f>
        <v>Abrir facsímil</v>
      </c>
      <c r="K3077" s="3" t="s">
        <v>23</v>
      </c>
    </row>
    <row r="3078" spans="1:11" ht="42" customHeight="1">
      <c r="A3078" s="2" t="s">
        <v>8490</v>
      </c>
      <c r="B3078" s="2" t="s">
        <v>8491</v>
      </c>
      <c r="C3078" s="2" t="s">
        <v>17</v>
      </c>
      <c r="D3078" s="2" t="s">
        <v>27</v>
      </c>
      <c r="E3078" s="4">
        <v>-32053</v>
      </c>
      <c r="F3078" s="3" t="s">
        <v>910</v>
      </c>
      <c r="G3078" s="3" t="s">
        <v>214</v>
      </c>
      <c r="H3078" s="2" t="s">
        <v>21</v>
      </c>
      <c r="I3078" s="2" t="s">
        <v>8492</v>
      </c>
      <c r="J3078" s="3" t="str">
        <f>HYPERLINK("https://www.boe.es/gazeta/dias/1812/03/28/pdfs/GRE-1812-39.pdf#page=7","Abrir facsímil")</f>
        <v>Abrir facsímil</v>
      </c>
      <c r="K3078" s="3" t="s">
        <v>23</v>
      </c>
    </row>
    <row r="3079" spans="1:11" ht="42" customHeight="1">
      <c r="A3079" s="2" t="s">
        <v>8490</v>
      </c>
      <c r="B3079" s="2" t="s">
        <v>8491</v>
      </c>
      <c r="C3079" s="2" t="s">
        <v>17</v>
      </c>
      <c r="D3079" s="2" t="s">
        <v>18</v>
      </c>
      <c r="E3079" s="4">
        <v>-31980</v>
      </c>
      <c r="F3079" s="3" t="s">
        <v>40</v>
      </c>
      <c r="G3079" s="3" t="s">
        <v>7947</v>
      </c>
      <c r="H3079" s="2" t="s">
        <v>21</v>
      </c>
      <c r="I3079" s="2" t="s">
        <v>8493</v>
      </c>
      <c r="J3079" s="3" t="str">
        <f>HYPERLINK("https://www.boe.es/gazeta/dias/1812/06/09/pdfs/GRE-1812-71.pdf#page=5","Abrir facsímil")</f>
        <v>Abrir facsímil</v>
      </c>
      <c r="K3079" s="3" t="s">
        <v>23</v>
      </c>
    </row>
    <row r="3080" spans="1:11" ht="42" customHeight="1">
      <c r="A3080" s="2" t="s">
        <v>8490</v>
      </c>
      <c r="B3080" s="2" t="s">
        <v>8491</v>
      </c>
      <c r="C3080" s="2" t="s">
        <v>17</v>
      </c>
      <c r="D3080" s="2" t="s">
        <v>18</v>
      </c>
      <c r="E3080" s="4">
        <v>-31868</v>
      </c>
      <c r="F3080" s="3" t="s">
        <v>711</v>
      </c>
      <c r="G3080" s="3" t="s">
        <v>4861</v>
      </c>
      <c r="H3080" s="2" t="s">
        <v>21</v>
      </c>
      <c r="I3080" s="2" t="s">
        <v>8494</v>
      </c>
      <c r="J3080" s="3" t="str">
        <f>HYPERLINK("https://www.boe.es/gazeta/dias/1812/09/29/pdfs/GRE-1812-132.pdf#page=4","Abrir facsímil")</f>
        <v>Abrir facsímil</v>
      </c>
      <c r="K3080" s="3" t="s">
        <v>23</v>
      </c>
    </row>
    <row r="3081" spans="1:11" ht="42" customHeight="1">
      <c r="A3081" s="2" t="s">
        <v>8495</v>
      </c>
      <c r="B3081" s="2" t="s">
        <v>8496</v>
      </c>
      <c r="C3081" s="2" t="s">
        <v>26</v>
      </c>
      <c r="D3081" s="2" t="s">
        <v>27</v>
      </c>
      <c r="E3081" s="4">
        <v>-32137</v>
      </c>
      <c r="F3081" s="3" t="s">
        <v>355</v>
      </c>
      <c r="G3081" s="3" t="s">
        <v>117</v>
      </c>
      <c r="H3081" s="2" t="s">
        <v>21</v>
      </c>
      <c r="I3081" s="2" t="s">
        <v>8497</v>
      </c>
      <c r="J3081" s="3" t="str">
        <f>HYPERLINK("https://www.boe.es/gazeta/dias/1812/01/04/pdfs/GEI-1812-2.pdf#page=8","Abrir facsímil")</f>
        <v>Abrir facsímil</v>
      </c>
      <c r="K3081" s="3" t="s">
        <v>23</v>
      </c>
    </row>
    <row r="3082" spans="1:11" ht="42" customHeight="1">
      <c r="A3082" s="2" t="s">
        <v>8498</v>
      </c>
      <c r="B3082" s="2" t="s">
        <v>8498</v>
      </c>
      <c r="C3082" s="2" t="s">
        <v>17</v>
      </c>
      <c r="D3082" s="2" t="s">
        <v>27</v>
      </c>
      <c r="E3082" s="4">
        <v>-31967</v>
      </c>
      <c r="F3082" s="3" t="s">
        <v>1635</v>
      </c>
      <c r="G3082" s="3" t="s">
        <v>4600</v>
      </c>
      <c r="H3082" s="2" t="s">
        <v>21</v>
      </c>
      <c r="I3082" s="2" t="s">
        <v>8499</v>
      </c>
      <c r="J3082" s="3" t="str">
        <f>HYPERLINK("https://www.boe.es/gazeta/dias/1812/06/22/pdfs/GMD-1812-174.pdf#page=1","Abrir facsímil")</f>
        <v>Abrir facsímil</v>
      </c>
      <c r="K3082" s="3" t="s">
        <v>23</v>
      </c>
    </row>
    <row r="3083" spans="1:11" ht="42" customHeight="1">
      <c r="A3083" s="2" t="s">
        <v>8498</v>
      </c>
      <c r="B3083" s="2" t="s">
        <v>8498</v>
      </c>
      <c r="C3083" s="2" t="s">
        <v>17</v>
      </c>
      <c r="D3083" s="2" t="s">
        <v>18</v>
      </c>
      <c r="E3083" s="4">
        <v>-31866</v>
      </c>
      <c r="F3083" s="3" t="s">
        <v>2438</v>
      </c>
      <c r="G3083" s="3" t="s">
        <v>6406</v>
      </c>
      <c r="H3083" s="2" t="s">
        <v>21</v>
      </c>
      <c r="I3083" s="2" t="s">
        <v>8500</v>
      </c>
      <c r="J3083" s="3" t="str">
        <f>HYPERLINK("https://www.boe.es/gazeta/dias/1812/10/01/pdfs/GMR-1812-21.pdf#page=4","Abrir facsímil")</f>
        <v>Abrir facsímil</v>
      </c>
      <c r="K3083" s="3" t="s">
        <v>23</v>
      </c>
    </row>
    <row r="3084" spans="1:11" ht="42" customHeight="1">
      <c r="A3084" s="2" t="s">
        <v>8501</v>
      </c>
      <c r="B3084" s="2" t="s">
        <v>8502</v>
      </c>
      <c r="C3084" s="2" t="s">
        <v>17</v>
      </c>
      <c r="D3084" s="2" t="s">
        <v>27</v>
      </c>
      <c r="E3084" s="4">
        <v>-31920</v>
      </c>
      <c r="F3084" s="3" t="s">
        <v>8503</v>
      </c>
      <c r="G3084" s="3" t="s">
        <v>1128</v>
      </c>
      <c r="H3084" s="2" t="s">
        <v>21</v>
      </c>
      <c r="I3084" s="2" t="s">
        <v>8504</v>
      </c>
      <c r="J3084" s="3" t="str">
        <f>HYPERLINK("https://www.boe.es/gazeta/dias/1812/08/08/pdfs/GRE-1812-102.pdf#page=3","Abrir facsímil")</f>
        <v>Abrir facsímil</v>
      </c>
      <c r="K3084" s="3" t="s">
        <v>23</v>
      </c>
    </row>
    <row r="3085" spans="1:11" ht="42" customHeight="1">
      <c r="A3085" s="2" t="s">
        <v>8505</v>
      </c>
      <c r="B3085" s="2" t="s">
        <v>8506</v>
      </c>
      <c r="C3085" s="2" t="s">
        <v>17</v>
      </c>
      <c r="D3085" s="2" t="s">
        <v>18</v>
      </c>
      <c r="E3085" s="4">
        <v>-32063</v>
      </c>
      <c r="F3085" s="3" t="s">
        <v>384</v>
      </c>
      <c r="G3085" s="3" t="s">
        <v>366</v>
      </c>
      <c r="H3085" s="2" t="s">
        <v>21</v>
      </c>
      <c r="I3085" s="2" t="s">
        <v>8507</v>
      </c>
      <c r="J3085" s="3" t="str">
        <f>HYPERLINK("https://www.boe.es/gazeta/dias/1812/03/18/pdfs/GMD-1812-78.pdf#page=2","Abrir facsímil")</f>
        <v>Abrir facsímil</v>
      </c>
      <c r="K3085" s="3" t="s">
        <v>23</v>
      </c>
    </row>
    <row r="3086" spans="1:11" ht="42" customHeight="1">
      <c r="A3086" s="2" t="s">
        <v>8508</v>
      </c>
      <c r="B3086" s="2" t="s">
        <v>8509</v>
      </c>
      <c r="C3086" s="2" t="s">
        <v>26</v>
      </c>
      <c r="D3086" s="2" t="s">
        <v>27</v>
      </c>
      <c r="E3086" s="4">
        <v>-31922</v>
      </c>
      <c r="F3086" s="3" t="s">
        <v>622</v>
      </c>
      <c r="G3086" s="3" t="s">
        <v>623</v>
      </c>
      <c r="H3086" s="2" t="s">
        <v>21</v>
      </c>
      <c r="I3086" s="2" t="s">
        <v>8510</v>
      </c>
      <c r="J3086" s="3" t="str">
        <f>HYPERLINK("https://www.boe.es/gazeta/dias/1812/08/06/pdfs/GMD-1812-219.pdf#page=1","Abrir facsímil")</f>
        <v>Abrir facsímil</v>
      </c>
      <c r="K3086" s="3" t="s">
        <v>23</v>
      </c>
    </row>
    <row r="3087" spans="1:11" ht="42" customHeight="1">
      <c r="A3087" s="2" t="s">
        <v>8511</v>
      </c>
      <c r="B3087" s="2" t="s">
        <v>8511</v>
      </c>
      <c r="C3087" s="2" t="s">
        <v>17</v>
      </c>
      <c r="D3087" s="2" t="s">
        <v>27</v>
      </c>
      <c r="E3087" s="4">
        <v>-32063</v>
      </c>
      <c r="F3087" s="3" t="s">
        <v>384</v>
      </c>
      <c r="G3087" s="3" t="s">
        <v>125</v>
      </c>
      <c r="H3087" s="2" t="s">
        <v>21</v>
      </c>
      <c r="I3087" s="2" t="s">
        <v>8512</v>
      </c>
      <c r="J3087" s="3" t="str">
        <f>HYPERLINK("https://www.boe.es/gazeta/dias/1812/03/18/pdfs/GMD-1812-78.pdf#page=3","Abrir facsímil")</f>
        <v>Abrir facsímil</v>
      </c>
      <c r="K3087" s="3" t="s">
        <v>23</v>
      </c>
    </row>
    <row r="3088" spans="1:11" ht="42" customHeight="1">
      <c r="A3088" s="2" t="s">
        <v>8513</v>
      </c>
      <c r="B3088" s="2" t="s">
        <v>8513</v>
      </c>
      <c r="C3088" s="2" t="s">
        <v>115</v>
      </c>
      <c r="D3088" s="2" t="s">
        <v>27</v>
      </c>
      <c r="E3088" s="4">
        <v>-31957</v>
      </c>
      <c r="F3088" s="3" t="s">
        <v>598</v>
      </c>
      <c r="G3088" s="3" t="s">
        <v>599</v>
      </c>
      <c r="H3088" s="2" t="s">
        <v>21</v>
      </c>
      <c r="I3088" s="2" t="s">
        <v>8514</v>
      </c>
      <c r="J3088" s="3" t="str">
        <f>HYPERLINK("https://www.boe.es/gazeta/dias/1812/07/02/pdfs/GMD-1812-184.pdf#page=2","Abrir facsímil")</f>
        <v>Abrir facsímil</v>
      </c>
      <c r="K3088" s="3" t="s">
        <v>23</v>
      </c>
    </row>
    <row r="3089" spans="1:11" ht="42" customHeight="1">
      <c r="A3089" s="2" t="s">
        <v>8515</v>
      </c>
      <c r="B3089" s="2" t="s">
        <v>8516</v>
      </c>
      <c r="C3089" s="2" t="s">
        <v>26</v>
      </c>
      <c r="D3089" s="2" t="s">
        <v>27</v>
      </c>
      <c r="E3089" s="4">
        <v>-32010</v>
      </c>
      <c r="F3089" s="3" t="s">
        <v>243</v>
      </c>
      <c r="G3089" s="3" t="s">
        <v>45</v>
      </c>
      <c r="H3089" s="2" t="s">
        <v>21</v>
      </c>
      <c r="I3089" s="2" t="s">
        <v>8517</v>
      </c>
      <c r="J3089" s="3" t="str">
        <f>HYPERLINK("https://www.boe.es/gazeta/dias/1812/05/10/pdfs/GMD-1812-131.pdf#page=3","Abrir facsímil")</f>
        <v>Abrir facsímil</v>
      </c>
      <c r="K3089" s="3" t="s">
        <v>23</v>
      </c>
    </row>
    <row r="3090" spans="1:11" ht="42" customHeight="1">
      <c r="A3090" s="2" t="s">
        <v>8518</v>
      </c>
      <c r="B3090" s="2" t="s">
        <v>8519</v>
      </c>
      <c r="C3090" s="2" t="s">
        <v>26</v>
      </c>
      <c r="D3090" s="2" t="s">
        <v>27</v>
      </c>
      <c r="E3090" s="4">
        <v>-32065</v>
      </c>
      <c r="F3090" s="3" t="s">
        <v>259</v>
      </c>
      <c r="G3090" s="3" t="s">
        <v>20</v>
      </c>
      <c r="H3090" s="2" t="s">
        <v>21</v>
      </c>
      <c r="I3090" s="2" t="s">
        <v>8520</v>
      </c>
      <c r="J3090" s="3" t="str">
        <f>HYPERLINK("https://www.boe.es/gazeta/dias/1812/03/16/pdfs/GMD-1812-76.pdf#page=4","Abrir facsímil")</f>
        <v>Abrir facsímil</v>
      </c>
      <c r="K3090" s="3" t="s">
        <v>23</v>
      </c>
    </row>
    <row r="3091" spans="1:11" ht="42" customHeight="1">
      <c r="A3091" s="2" t="s">
        <v>8521</v>
      </c>
      <c r="B3091" s="2" t="s">
        <v>8522</v>
      </c>
      <c r="C3091" s="2" t="s">
        <v>26</v>
      </c>
      <c r="D3091" s="2" t="s">
        <v>27</v>
      </c>
      <c r="E3091" s="4">
        <v>-32109</v>
      </c>
      <c r="F3091" s="3" t="s">
        <v>62</v>
      </c>
      <c r="G3091" s="3" t="s">
        <v>472</v>
      </c>
      <c r="H3091" s="2" t="s">
        <v>21</v>
      </c>
      <c r="I3091" s="2" t="s">
        <v>8523</v>
      </c>
      <c r="J3091" s="3" t="str">
        <f>HYPERLINK("https://www.boe.es/gazeta/dias/1812/02/01/pdfs/GRE-1812-14.pdf#page=12","Abrir facsímil")</f>
        <v>Abrir facsímil</v>
      </c>
      <c r="K3091" s="3" t="s">
        <v>23</v>
      </c>
    </row>
    <row r="3092" spans="1:11" ht="42" customHeight="1">
      <c r="A3092" s="2" t="s">
        <v>8524</v>
      </c>
      <c r="B3092" s="2" t="s">
        <v>8524</v>
      </c>
      <c r="C3092" s="2" t="s">
        <v>17</v>
      </c>
      <c r="D3092" s="2" t="s">
        <v>18</v>
      </c>
      <c r="E3092" s="4">
        <v>-31928</v>
      </c>
      <c r="F3092" s="3" t="s">
        <v>7417</v>
      </c>
      <c r="G3092" s="3" t="s">
        <v>3409</v>
      </c>
      <c r="H3092" s="2" t="s">
        <v>21</v>
      </c>
      <c r="I3092" s="2" t="s">
        <v>8525</v>
      </c>
      <c r="J3092" s="3" t="str">
        <f>HYPERLINK("https://www.boe.es/gazeta/dias/1812/07/31/pdfs/GMD-1812-213.pdf#page=1","Abrir facsímil")</f>
        <v>Abrir facsímil</v>
      </c>
      <c r="K3092" s="3" t="s">
        <v>23</v>
      </c>
    </row>
    <row r="3093" spans="1:11" ht="42" customHeight="1">
      <c r="A3093" s="2" t="s">
        <v>8526</v>
      </c>
      <c r="B3093" s="2" t="s">
        <v>8527</v>
      </c>
      <c r="C3093" s="2" t="s">
        <v>67</v>
      </c>
      <c r="D3093" s="2" t="s">
        <v>27</v>
      </c>
      <c r="E3093" s="4">
        <v>-31833</v>
      </c>
      <c r="F3093" s="3" t="s">
        <v>267</v>
      </c>
      <c r="G3093" s="3" t="s">
        <v>268</v>
      </c>
      <c r="H3093" s="2" t="s">
        <v>21</v>
      </c>
      <c r="I3093" s="2" t="s">
        <v>8528</v>
      </c>
      <c r="J3093" s="3" t="str">
        <f>HYPERLINK("https://www.boe.es/gazeta/dias/1812/11/03/pdfs/GRE-1812-147.pdf#page=8","Abrir facsímil")</f>
        <v>Abrir facsímil</v>
      </c>
      <c r="K3093" s="3" t="s">
        <v>23</v>
      </c>
    </row>
    <row r="3094" spans="1:11" ht="42" customHeight="1">
      <c r="A3094" s="2" t="s">
        <v>8529</v>
      </c>
      <c r="B3094" s="2" t="s">
        <v>8530</v>
      </c>
      <c r="C3094" s="2" t="s">
        <v>26</v>
      </c>
      <c r="D3094" s="2" t="s">
        <v>194</v>
      </c>
      <c r="E3094" s="4">
        <v>-31981</v>
      </c>
      <c r="F3094" s="3" t="s">
        <v>5059</v>
      </c>
      <c r="G3094" s="3" t="s">
        <v>45</v>
      </c>
      <c r="H3094" s="2" t="s">
        <v>21</v>
      </c>
      <c r="I3094" s="2" t="s">
        <v>8531</v>
      </c>
      <c r="J3094" s="3" t="str">
        <f>HYPERLINK("https://www.boe.es/gazeta/dias/1812/06/08/pdfs/GMD-1812-160.pdf#page=3","Abrir facsímil")</f>
        <v>Abrir facsímil</v>
      </c>
      <c r="K3094" s="3" t="s">
        <v>23</v>
      </c>
    </row>
    <row r="3095" spans="1:11" ht="42" customHeight="1">
      <c r="A3095" s="2" t="s">
        <v>8532</v>
      </c>
      <c r="B3095" s="2" t="s">
        <v>8532</v>
      </c>
      <c r="C3095" s="2" t="s">
        <v>26</v>
      </c>
      <c r="D3095" s="2" t="s">
        <v>27</v>
      </c>
      <c r="E3095" s="4">
        <v>-32000</v>
      </c>
      <c r="F3095" s="3" t="s">
        <v>878</v>
      </c>
      <c r="G3095" s="3" t="s">
        <v>214</v>
      </c>
      <c r="H3095" s="2" t="s">
        <v>21</v>
      </c>
      <c r="I3095" s="2" t="s">
        <v>8533</v>
      </c>
      <c r="J3095" s="3" t="str">
        <f>HYPERLINK("https://www.boe.es/gazeta/dias/1812/05/20/pdfs/GMD-1812-141.pdf#page=2","Abrir facsímil")</f>
        <v>Abrir facsímil</v>
      </c>
      <c r="K3095" s="3" t="s">
        <v>23</v>
      </c>
    </row>
    <row r="3096" spans="1:11" ht="42" customHeight="1">
      <c r="A3096" s="2" t="s">
        <v>8534</v>
      </c>
      <c r="B3096" s="2" t="s">
        <v>8535</v>
      </c>
      <c r="C3096" s="2" t="s">
        <v>17</v>
      </c>
      <c r="D3096" s="2" t="s">
        <v>18</v>
      </c>
      <c r="E3096" s="4">
        <v>-32112</v>
      </c>
      <c r="F3096" s="3" t="s">
        <v>2794</v>
      </c>
      <c r="G3096" s="3" t="s">
        <v>58</v>
      </c>
      <c r="H3096" s="2" t="s">
        <v>21</v>
      </c>
      <c r="I3096" s="2" t="s">
        <v>8536</v>
      </c>
      <c r="J3096" s="3" t="str">
        <f>HYPERLINK("https://www.boe.es/gazeta/dias/1812/01/29/pdfs/GMD-1812-29.pdf#page=4","Abrir facsímil")</f>
        <v>Abrir facsímil</v>
      </c>
      <c r="K3096" s="3" t="s">
        <v>23</v>
      </c>
    </row>
    <row r="3097" spans="1:11" ht="42" customHeight="1">
      <c r="A3097" s="2" t="s">
        <v>8537</v>
      </c>
      <c r="B3097" s="2" t="s">
        <v>8537</v>
      </c>
      <c r="C3097" s="2" t="s">
        <v>17</v>
      </c>
      <c r="D3097" s="2" t="s">
        <v>134</v>
      </c>
      <c r="E3097" s="4">
        <v>-32025</v>
      </c>
      <c r="F3097" s="3" t="s">
        <v>1122</v>
      </c>
      <c r="G3097" s="3" t="s">
        <v>1125</v>
      </c>
      <c r="H3097" s="2" t="s">
        <v>21</v>
      </c>
      <c r="I3097" s="2" t="s">
        <v>8538</v>
      </c>
      <c r="J3097" s="3" t="str">
        <f>HYPERLINK("https://www.boe.es/gazeta/dias/1812/04/25/pdfs/GRE-F-1812-52.pdf#page=4","Abrir facsímil")</f>
        <v>Abrir facsímil</v>
      </c>
      <c r="K3097" s="3" t="s">
        <v>23</v>
      </c>
    </row>
    <row r="3098" spans="1:11" ht="42" customHeight="1">
      <c r="A3098" s="2" t="s">
        <v>8539</v>
      </c>
      <c r="B3098" s="2" t="s">
        <v>8539</v>
      </c>
      <c r="C3098" s="2" t="s">
        <v>17</v>
      </c>
      <c r="D3098" s="2" t="s">
        <v>275</v>
      </c>
      <c r="E3098" s="4">
        <v>-32063</v>
      </c>
      <c r="F3098" s="3" t="s">
        <v>384</v>
      </c>
      <c r="G3098" s="3" t="s">
        <v>125</v>
      </c>
      <c r="H3098" s="2" t="s">
        <v>21</v>
      </c>
      <c r="I3098" s="2" t="s">
        <v>8540</v>
      </c>
      <c r="J3098" s="3" t="str">
        <f>HYPERLINK("https://www.boe.es/gazeta/dias/1812/03/18/pdfs/GMD-1812-78.pdf#page=3","Abrir facsímil")</f>
        <v>Abrir facsímil</v>
      </c>
      <c r="K3098" s="3" t="s">
        <v>23</v>
      </c>
    </row>
    <row r="3099" spans="1:11" ht="42" customHeight="1">
      <c r="A3099" s="2" t="s">
        <v>8541</v>
      </c>
      <c r="B3099" s="2" t="s">
        <v>8541</v>
      </c>
      <c r="C3099" s="2" t="s">
        <v>17</v>
      </c>
      <c r="D3099" s="2" t="s">
        <v>18</v>
      </c>
      <c r="E3099" s="4">
        <v>-31882</v>
      </c>
      <c r="F3099" s="3" t="s">
        <v>1798</v>
      </c>
      <c r="G3099" s="3" t="s">
        <v>8253</v>
      </c>
      <c r="H3099" s="2" t="s">
        <v>21</v>
      </c>
      <c r="I3099" s="2" t="s">
        <v>8542</v>
      </c>
      <c r="J3099" s="3" t="str">
        <f>HYPERLINK("https://www.boe.es/gazeta/dias/1812/09/15/pdfs/GMR-1812-14.pdf#page=6","Abrir facsímil")</f>
        <v>Abrir facsímil</v>
      </c>
      <c r="K3099" s="3" t="s">
        <v>23</v>
      </c>
    </row>
    <row r="3100" spans="1:11" ht="42" customHeight="1">
      <c r="A3100" s="2" t="s">
        <v>8543</v>
      </c>
      <c r="B3100" s="2" t="s">
        <v>8543</v>
      </c>
      <c r="C3100" s="2" t="s">
        <v>26</v>
      </c>
      <c r="D3100" s="2" t="s">
        <v>27</v>
      </c>
      <c r="E3100" s="4">
        <v>-31994</v>
      </c>
      <c r="F3100" s="3" t="s">
        <v>207</v>
      </c>
      <c r="G3100" s="3" t="s">
        <v>8544</v>
      </c>
      <c r="H3100" s="2" t="s">
        <v>21</v>
      </c>
      <c r="I3100" s="2" t="s">
        <v>8545</v>
      </c>
      <c r="J3100" s="3" t="str">
        <f>HYPERLINK("https://www.boe.es/gazeta/dias/1812/05/26/pdfs/GRE-1812-65.pdf#page=7","Abrir facsímil")</f>
        <v>Abrir facsímil</v>
      </c>
      <c r="K3100" s="3" t="s">
        <v>23</v>
      </c>
    </row>
    <row r="3101" spans="1:11" ht="42" customHeight="1">
      <c r="A3101" s="2" t="s">
        <v>8546</v>
      </c>
      <c r="B3101" s="2" t="s">
        <v>8546</v>
      </c>
      <c r="C3101" s="2" t="s">
        <v>26</v>
      </c>
      <c r="D3101" s="2" t="s">
        <v>27</v>
      </c>
      <c r="E3101" s="4">
        <v>-31913</v>
      </c>
      <c r="F3101" s="3" t="s">
        <v>450</v>
      </c>
      <c r="G3101" s="3" t="s">
        <v>2131</v>
      </c>
      <c r="H3101" s="2" t="s">
        <v>21</v>
      </c>
      <c r="I3101" s="2" t="s">
        <v>8547</v>
      </c>
      <c r="J3101" s="3" t="str">
        <f>HYPERLINK("https://www.boe.es/gazeta/dias/1812/08/15/pdfs/GRE-1812-105.pdf#page=5","Abrir facsímil")</f>
        <v>Abrir facsímil</v>
      </c>
      <c r="K3101" s="3" t="s">
        <v>23</v>
      </c>
    </row>
    <row r="3102" spans="1:11" ht="42" customHeight="1">
      <c r="A3102" s="2" t="s">
        <v>8548</v>
      </c>
      <c r="B3102" s="2" t="s">
        <v>8549</v>
      </c>
      <c r="C3102" s="2" t="s">
        <v>26</v>
      </c>
      <c r="D3102" s="2" t="s">
        <v>573</v>
      </c>
      <c r="E3102" s="4">
        <v>-31900</v>
      </c>
      <c r="F3102" s="3" t="s">
        <v>276</v>
      </c>
      <c r="G3102" s="3" t="s">
        <v>277</v>
      </c>
      <c r="H3102" s="2" t="s">
        <v>21</v>
      </c>
      <c r="I3102" s="2" t="s">
        <v>8550</v>
      </c>
      <c r="J3102" s="3" t="str">
        <f>HYPERLINK("https://www.boe.es/gazeta/dias/1812/08/28/pdfs/GRE-1812-113E.pdf#page=8","Abrir facsímil")</f>
        <v>Abrir facsímil</v>
      </c>
      <c r="K3102" s="3" t="s">
        <v>23</v>
      </c>
    </row>
    <row r="3103" spans="1:11" ht="42" customHeight="1">
      <c r="A3103" s="2" t="s">
        <v>8551</v>
      </c>
      <c r="B3103" s="2" t="s">
        <v>8551</v>
      </c>
      <c r="C3103" s="2" t="s">
        <v>17</v>
      </c>
      <c r="D3103" s="2" t="s">
        <v>27</v>
      </c>
      <c r="E3103" s="4">
        <v>-31924</v>
      </c>
      <c r="F3103" s="3" t="s">
        <v>8183</v>
      </c>
      <c r="G3103" s="3" t="s">
        <v>8552</v>
      </c>
      <c r="H3103" s="2" t="s">
        <v>21</v>
      </c>
      <c r="I3103" s="2" t="s">
        <v>8553</v>
      </c>
      <c r="J3103" s="3" t="str">
        <f>HYPERLINK("https://www.boe.es/gazeta/dias/1812/08/04/pdfs/GMD-1812-217.pdf#page=1","Abrir facsímil")</f>
        <v>Abrir facsímil</v>
      </c>
      <c r="K3103" s="3" t="s">
        <v>23</v>
      </c>
    </row>
    <row r="3104" spans="1:11" ht="42" customHeight="1">
      <c r="A3104" s="2" t="s">
        <v>8554</v>
      </c>
      <c r="B3104" s="2" t="s">
        <v>8554</v>
      </c>
      <c r="C3104" s="2" t="s">
        <v>17</v>
      </c>
      <c r="D3104" s="2" t="s">
        <v>27</v>
      </c>
      <c r="E3104" s="4">
        <v>-32101</v>
      </c>
      <c r="F3104" s="3" t="s">
        <v>228</v>
      </c>
      <c r="G3104" s="3" t="s">
        <v>58</v>
      </c>
      <c r="H3104" s="2" t="s">
        <v>21</v>
      </c>
      <c r="I3104" s="2" t="s">
        <v>8555</v>
      </c>
      <c r="J3104" s="3" t="str">
        <f>HYPERLINK("https://www.boe.es/gazeta/dias/1812/02/09/pdfs/GMD-1812-40.pdf#page=4","Abrir facsímil")</f>
        <v>Abrir facsímil</v>
      </c>
      <c r="K3104" s="3" t="s">
        <v>23</v>
      </c>
    </row>
    <row r="3105" spans="1:11" ht="42" customHeight="1">
      <c r="A3105" s="2" t="s">
        <v>8554</v>
      </c>
      <c r="B3105" s="2" t="s">
        <v>8554</v>
      </c>
      <c r="C3105" s="2" t="s">
        <v>17</v>
      </c>
      <c r="D3105" s="2" t="s">
        <v>27</v>
      </c>
      <c r="E3105" s="4">
        <v>-32089</v>
      </c>
      <c r="F3105" s="3" t="s">
        <v>1918</v>
      </c>
      <c r="G3105" s="3" t="s">
        <v>136</v>
      </c>
      <c r="H3105" s="2" t="s">
        <v>21</v>
      </c>
      <c r="I3105" s="2" t="s">
        <v>8556</v>
      </c>
      <c r="J3105" s="3" t="str">
        <f>HYPERLINK("https://www.boe.es/gazeta/dias/1812/02/21/pdfs/GMD-1812-52.pdf#page=4","Abrir facsímil")</f>
        <v>Abrir facsímil</v>
      </c>
      <c r="K3105" s="3" t="s">
        <v>23</v>
      </c>
    </row>
    <row r="3106" spans="1:11" ht="42" customHeight="1">
      <c r="A3106" s="2" t="s">
        <v>8554</v>
      </c>
      <c r="B3106" s="2" t="s">
        <v>8554</v>
      </c>
      <c r="C3106" s="2" t="s">
        <v>17</v>
      </c>
      <c r="D3106" s="2" t="s">
        <v>27</v>
      </c>
      <c r="E3106" s="4">
        <v>-32062</v>
      </c>
      <c r="F3106" s="3" t="s">
        <v>2168</v>
      </c>
      <c r="G3106" s="3" t="s">
        <v>8557</v>
      </c>
      <c r="H3106" s="2" t="s">
        <v>21</v>
      </c>
      <c r="I3106" s="2" t="s">
        <v>8558</v>
      </c>
      <c r="J3106" s="3" t="str">
        <f>HYPERLINK("https://www.boe.es/gazeta/dias/1812/03/19/pdfs/GRE-1812-35.pdf#page=3","Abrir facsímil")</f>
        <v>Abrir facsímil</v>
      </c>
      <c r="K3106" s="3" t="s">
        <v>23</v>
      </c>
    </row>
    <row r="3107" spans="1:11" ht="42" customHeight="1">
      <c r="A3107" s="2" t="s">
        <v>8559</v>
      </c>
      <c r="B3107" s="2" t="s">
        <v>8560</v>
      </c>
      <c r="C3107" s="2" t="s">
        <v>115</v>
      </c>
      <c r="D3107" s="2" t="s">
        <v>27</v>
      </c>
      <c r="E3107" s="4">
        <v>-32088</v>
      </c>
      <c r="F3107" s="3" t="s">
        <v>1217</v>
      </c>
      <c r="G3107" s="3" t="s">
        <v>1218</v>
      </c>
      <c r="H3107" s="2" t="s">
        <v>21</v>
      </c>
      <c r="I3107" s="2" t="s">
        <v>8561</v>
      </c>
      <c r="J3107" s="3" t="str">
        <f>HYPERLINK("https://www.boe.es/gazeta/dias/1812/02/22/pdfs/GMD-1812-53.pdf#page=4","Abrir facsímil")</f>
        <v>Abrir facsímil</v>
      </c>
      <c r="K3107" s="3" t="s">
        <v>23</v>
      </c>
    </row>
    <row r="3108" spans="1:11" ht="42" customHeight="1">
      <c r="A3108" s="2" t="s">
        <v>8562</v>
      </c>
      <c r="B3108" s="2" t="s">
        <v>8563</v>
      </c>
      <c r="C3108" s="2" t="s">
        <v>26</v>
      </c>
      <c r="D3108" s="2" t="s">
        <v>27</v>
      </c>
      <c r="E3108" s="4">
        <v>-32034</v>
      </c>
      <c r="F3108" s="3" t="s">
        <v>28</v>
      </c>
      <c r="G3108" s="3" t="s">
        <v>130</v>
      </c>
      <c r="H3108" s="2" t="s">
        <v>21</v>
      </c>
      <c r="I3108" s="2" t="s">
        <v>8564</v>
      </c>
      <c r="J3108" s="3" t="str">
        <f>HYPERLINK("https://www.boe.es/gazeta/dias/1812/04/16/pdfs/GMD-1812-107.pdf#page=4","Abrir facsímil")</f>
        <v>Abrir facsímil</v>
      </c>
      <c r="K3108" s="3" t="s">
        <v>23</v>
      </c>
    </row>
    <row r="3109" spans="1:11" ht="42" customHeight="1">
      <c r="A3109" s="2" t="s">
        <v>8565</v>
      </c>
      <c r="B3109" s="2" t="s">
        <v>8566</v>
      </c>
      <c r="C3109" s="2" t="s">
        <v>17</v>
      </c>
      <c r="D3109" s="2" t="s">
        <v>134</v>
      </c>
      <c r="E3109" s="4">
        <v>-31983</v>
      </c>
      <c r="F3109" s="3" t="s">
        <v>1437</v>
      </c>
      <c r="G3109" s="3" t="s">
        <v>1438</v>
      </c>
      <c r="H3109" s="2" t="s">
        <v>30</v>
      </c>
      <c r="I3109" s="2" t="s">
        <v>8567</v>
      </c>
      <c r="J3109" s="3" t="str">
        <f>HYPERLINK("https://www.boe.es/gazeta/dias/1812/06/06/pdfs/GRE-F-1812-70.pdf#page=4","Abrir facsímil")</f>
        <v>Abrir facsímil</v>
      </c>
      <c r="K3109" s="3" t="s">
        <v>32</v>
      </c>
    </row>
    <row r="3110" spans="1:11" ht="42" customHeight="1">
      <c r="A3110" s="2" t="s">
        <v>8568</v>
      </c>
      <c r="B3110" s="2" t="s">
        <v>8569</v>
      </c>
      <c r="C3110" s="2" t="s">
        <v>17</v>
      </c>
      <c r="D3110" s="2" t="s">
        <v>18</v>
      </c>
      <c r="E3110" s="4">
        <v>-31962</v>
      </c>
      <c r="F3110" s="3" t="s">
        <v>153</v>
      </c>
      <c r="G3110" s="3" t="s">
        <v>154</v>
      </c>
      <c r="H3110" s="2" t="s">
        <v>30</v>
      </c>
      <c r="I3110" s="2" t="s">
        <v>8570</v>
      </c>
      <c r="J3110" s="3" t="str">
        <f>HYPERLINK("https://www.boe.es/gazeta/dias/1812/06/27/pdfs/GRE-1812-79.pdf#page=8","Abrir facsímil")</f>
        <v>Abrir facsímil</v>
      </c>
      <c r="K3110" s="3" t="s">
        <v>32</v>
      </c>
    </row>
    <row r="3111" spans="1:11" ht="42" customHeight="1">
      <c r="A3111" s="2" t="s">
        <v>8571</v>
      </c>
      <c r="B3111" s="2" t="s">
        <v>8572</v>
      </c>
      <c r="C3111" s="2" t="s">
        <v>17</v>
      </c>
      <c r="D3111" s="2" t="s">
        <v>27</v>
      </c>
      <c r="E3111" s="4">
        <v>-31922</v>
      </c>
      <c r="F3111" s="3" t="s">
        <v>375</v>
      </c>
      <c r="G3111" s="3" t="s">
        <v>376</v>
      </c>
      <c r="H3111" s="2" t="s">
        <v>30</v>
      </c>
      <c r="I3111" s="2" t="s">
        <v>8573</v>
      </c>
      <c r="J3111" s="3" t="str">
        <f>HYPERLINK("https://www.boe.es/gazeta/dias/1812/08/06/pdfs/GRE-1812-100.pdf#page=7","Abrir facsímil")</f>
        <v>Abrir facsímil</v>
      </c>
      <c r="K3111" s="3" t="s">
        <v>32</v>
      </c>
    </row>
    <row r="3112" spans="1:11" ht="42" customHeight="1">
      <c r="A3112" s="2" t="s">
        <v>8574</v>
      </c>
      <c r="B3112" s="2" t="s">
        <v>8574</v>
      </c>
      <c r="C3112" s="2" t="s">
        <v>26</v>
      </c>
      <c r="D3112" s="2" t="s">
        <v>27</v>
      </c>
      <c r="E3112" s="4">
        <v>-31908</v>
      </c>
      <c r="F3112" s="3" t="s">
        <v>835</v>
      </c>
      <c r="G3112" s="3" t="s">
        <v>8575</v>
      </c>
      <c r="H3112" s="2" t="s">
        <v>21</v>
      </c>
      <c r="I3112" s="2" t="s">
        <v>8576</v>
      </c>
      <c r="J3112" s="3" t="str">
        <f>HYPERLINK("https://www.boe.es/gazeta/dias/1812/08/20/pdfs/GRE-1812-107.pdf#page=1","Abrir facsímil")</f>
        <v>Abrir facsímil</v>
      </c>
      <c r="K3112" s="3" t="s">
        <v>23</v>
      </c>
    </row>
    <row r="3113" spans="1:11" ht="42" customHeight="1">
      <c r="A3113" s="2" t="s">
        <v>8577</v>
      </c>
      <c r="B3113" s="2" t="s">
        <v>8577</v>
      </c>
      <c r="C3113" s="2" t="s">
        <v>26</v>
      </c>
      <c r="D3113" s="2" t="s">
        <v>27</v>
      </c>
      <c r="E3113" s="4">
        <v>-31908</v>
      </c>
      <c r="F3113" s="3" t="s">
        <v>835</v>
      </c>
      <c r="G3113" s="3" t="s">
        <v>8578</v>
      </c>
      <c r="H3113" s="2" t="s">
        <v>21</v>
      </c>
      <c r="I3113" s="2" t="s">
        <v>8579</v>
      </c>
      <c r="J3113" s="3" t="str">
        <f>HYPERLINK("https://www.boe.es/gazeta/dias/1812/08/20/pdfs/GRE-1812-107.pdf#page=2","Abrir facsímil")</f>
        <v>Abrir facsímil</v>
      </c>
      <c r="K3113" s="3" t="s">
        <v>23</v>
      </c>
    </row>
    <row r="3114" spans="1:11" ht="42" customHeight="1">
      <c r="A3114" s="2" t="s">
        <v>8580</v>
      </c>
      <c r="B3114" s="2" t="s">
        <v>8581</v>
      </c>
      <c r="C3114" s="2" t="s">
        <v>17</v>
      </c>
      <c r="D3114" s="2" t="s">
        <v>18</v>
      </c>
      <c r="E3114" s="4">
        <v>-31857</v>
      </c>
      <c r="F3114" s="3" t="s">
        <v>1000</v>
      </c>
      <c r="G3114" s="3" t="s">
        <v>1001</v>
      </c>
      <c r="H3114" s="2" t="s">
        <v>21</v>
      </c>
      <c r="I3114" s="2" t="s">
        <v>8582</v>
      </c>
      <c r="J3114" s="3" t="str">
        <f>HYPERLINK("https://www.boe.es/gazeta/dias/1812/10/10/pdfs/GRE-1812-137.pdf#page=7","Abrir facsímil")</f>
        <v>Abrir facsímil</v>
      </c>
      <c r="K3114" s="3" t="s">
        <v>23</v>
      </c>
    </row>
    <row r="3115" spans="1:11" ht="42" customHeight="1">
      <c r="A3115" s="2" t="s">
        <v>8583</v>
      </c>
      <c r="B3115" s="2" t="s">
        <v>8583</v>
      </c>
      <c r="C3115" s="2" t="s">
        <v>17</v>
      </c>
      <c r="D3115" s="2" t="s">
        <v>27</v>
      </c>
      <c r="E3115" s="4">
        <v>-32050</v>
      </c>
      <c r="F3115" s="3" t="s">
        <v>864</v>
      </c>
      <c r="G3115" s="3" t="s">
        <v>217</v>
      </c>
      <c r="H3115" s="2" t="s">
        <v>21</v>
      </c>
      <c r="I3115" s="2" t="s">
        <v>8584</v>
      </c>
      <c r="J3115" s="3" t="str">
        <f>HYPERLINK("https://www.boe.es/gazeta/dias/1812/03/31/pdfs/GRE-1812-40.pdf#page=3","Abrir facsímil")</f>
        <v>Abrir facsímil</v>
      </c>
      <c r="K3115" s="3" t="s">
        <v>23</v>
      </c>
    </row>
    <row r="3116" spans="1:11" ht="42" customHeight="1">
      <c r="A3116" s="2" t="s">
        <v>8583</v>
      </c>
      <c r="B3116" s="2" t="s">
        <v>8583</v>
      </c>
      <c r="C3116" s="2" t="s">
        <v>26</v>
      </c>
      <c r="D3116" s="2" t="s">
        <v>27</v>
      </c>
      <c r="E3116" s="4">
        <v>-32050</v>
      </c>
      <c r="F3116" s="3" t="s">
        <v>864</v>
      </c>
      <c r="G3116" s="3" t="s">
        <v>4396</v>
      </c>
      <c r="H3116" s="2" t="s">
        <v>21</v>
      </c>
      <c r="I3116" s="2" t="s">
        <v>8585</v>
      </c>
      <c r="J3116" s="3" t="str">
        <f>HYPERLINK("https://www.boe.es/gazeta/dias/1812/03/31/pdfs/GRE-1812-40.pdf#page=4","Abrir facsímil")</f>
        <v>Abrir facsímil</v>
      </c>
      <c r="K3116" s="3" t="s">
        <v>23</v>
      </c>
    </row>
    <row r="3117" spans="1:11" ht="42" customHeight="1">
      <c r="A3117" s="2" t="s">
        <v>8586</v>
      </c>
      <c r="B3117" s="2" t="s">
        <v>8587</v>
      </c>
      <c r="C3117" s="2" t="s">
        <v>17</v>
      </c>
      <c r="D3117" s="2" t="s">
        <v>18</v>
      </c>
      <c r="E3117" s="4">
        <v>-31971</v>
      </c>
      <c r="F3117" s="3" t="s">
        <v>686</v>
      </c>
      <c r="G3117" s="3" t="s">
        <v>8588</v>
      </c>
      <c r="H3117" s="2" t="s">
        <v>21</v>
      </c>
      <c r="I3117" s="2" t="s">
        <v>8589</v>
      </c>
      <c r="J3117" s="3" t="str">
        <f>HYPERLINK("https://www.boe.es/gazeta/dias/1812/06/18/pdfs/GRE-1812-75.pdf#page=6","Abrir facsímil")</f>
        <v>Abrir facsímil</v>
      </c>
      <c r="K3117" s="3" t="s">
        <v>23</v>
      </c>
    </row>
    <row r="3118" spans="1:11" ht="42" customHeight="1">
      <c r="A3118" s="2" t="s">
        <v>8590</v>
      </c>
      <c r="B3118" s="2" t="s">
        <v>8591</v>
      </c>
      <c r="C3118" s="2" t="s">
        <v>17</v>
      </c>
      <c r="D3118" s="2" t="s">
        <v>18</v>
      </c>
      <c r="E3118" s="4">
        <v>-32053</v>
      </c>
      <c r="F3118" s="3" t="s">
        <v>910</v>
      </c>
      <c r="G3118" s="3" t="s">
        <v>911</v>
      </c>
      <c r="H3118" s="2" t="s">
        <v>21</v>
      </c>
      <c r="I3118" s="2" t="s">
        <v>8592</v>
      </c>
      <c r="J3118" s="3" t="str">
        <f>HYPERLINK("https://www.boe.es/gazeta/dias/1812/03/28/pdfs/GRE-1812-39.pdf#page=8","Abrir facsímil")</f>
        <v>Abrir facsímil</v>
      </c>
      <c r="K3118" s="3" t="s">
        <v>23</v>
      </c>
    </row>
    <row r="3119" spans="1:11" ht="42" customHeight="1">
      <c r="A3119" s="2" t="s">
        <v>8593</v>
      </c>
      <c r="B3119" s="2" t="s">
        <v>8594</v>
      </c>
      <c r="C3119" s="2" t="s">
        <v>17</v>
      </c>
      <c r="D3119" s="2" t="s">
        <v>18</v>
      </c>
      <c r="E3119" s="4">
        <v>-31948</v>
      </c>
      <c r="F3119" s="3" t="s">
        <v>431</v>
      </c>
      <c r="G3119" s="3" t="s">
        <v>8595</v>
      </c>
      <c r="H3119" s="2" t="s">
        <v>21</v>
      </c>
      <c r="I3119" s="2" t="s">
        <v>8596</v>
      </c>
      <c r="J3119" s="3" t="str">
        <f>HYPERLINK("https://www.boe.es/gazeta/dias/1812/07/11/pdfs/GRE-1812-86.pdf#page=6","Abrir facsímil")</f>
        <v>Abrir facsímil</v>
      </c>
      <c r="K3119" s="3" t="s">
        <v>23</v>
      </c>
    </row>
    <row r="3120" spans="1:11" ht="42" customHeight="1">
      <c r="A3120" s="2" t="s">
        <v>8597</v>
      </c>
      <c r="B3120" s="2" t="s">
        <v>8597</v>
      </c>
      <c r="C3120" s="2" t="s">
        <v>17</v>
      </c>
      <c r="D3120" s="2" t="s">
        <v>27</v>
      </c>
      <c r="E3120" s="4">
        <v>-32039</v>
      </c>
      <c r="F3120" s="3" t="s">
        <v>557</v>
      </c>
      <c r="G3120" s="3" t="s">
        <v>217</v>
      </c>
      <c r="H3120" s="2" t="s">
        <v>21</v>
      </c>
      <c r="I3120" s="2" t="s">
        <v>8598</v>
      </c>
      <c r="J3120" s="3" t="str">
        <f>HYPERLINK("https://www.boe.es/gazeta/dias/1812/04/11/pdfs/GMD-1812-102.pdf#page=1","Abrir facsímil")</f>
        <v>Abrir facsímil</v>
      </c>
      <c r="K3120" s="3" t="s">
        <v>23</v>
      </c>
    </row>
    <row r="3121" spans="1:11" ht="42" customHeight="1">
      <c r="A3121" s="2" t="s">
        <v>8599</v>
      </c>
      <c r="B3121" s="2" t="s">
        <v>8600</v>
      </c>
      <c r="C3121" s="2" t="s">
        <v>186</v>
      </c>
      <c r="D3121" s="2" t="s">
        <v>27</v>
      </c>
      <c r="E3121" s="4">
        <v>-32002</v>
      </c>
      <c r="F3121" s="3" t="s">
        <v>619</v>
      </c>
      <c r="G3121" s="3" t="s">
        <v>20</v>
      </c>
      <c r="H3121" s="2" t="s">
        <v>21</v>
      </c>
      <c r="I3121" s="2" t="s">
        <v>8601</v>
      </c>
      <c r="J3121" s="3" t="str">
        <f>HYPERLINK("https://www.boe.es/gazeta/dias/1812/05/18/pdfs/GMD-1812-139.pdf#page=3","Abrir facsímil")</f>
        <v>Abrir facsímil</v>
      </c>
      <c r="K3121" s="3" t="s">
        <v>23</v>
      </c>
    </row>
    <row r="3122" spans="1:11" ht="42" customHeight="1">
      <c r="A3122" s="2" t="s">
        <v>8602</v>
      </c>
      <c r="B3122" s="2" t="s">
        <v>8603</v>
      </c>
      <c r="C3122" s="2" t="s">
        <v>49</v>
      </c>
      <c r="D3122" s="2" t="s">
        <v>18</v>
      </c>
      <c r="E3122" s="4">
        <v>-31966</v>
      </c>
      <c r="F3122" s="3" t="s">
        <v>3665</v>
      </c>
      <c r="G3122" s="3" t="s">
        <v>3666</v>
      </c>
      <c r="H3122" s="2" t="s">
        <v>21</v>
      </c>
      <c r="I3122" s="2" t="s">
        <v>8604</v>
      </c>
      <c r="J3122" s="3" t="str">
        <f>HYPERLINK("https://www.boe.es/gazeta/dias/1812/06/23/pdfs/GRE-1812-77.pdf#page=8","Abrir facsímil")</f>
        <v>Abrir facsímil</v>
      </c>
      <c r="K3122" s="3" t="s">
        <v>23</v>
      </c>
    </row>
    <row r="3123" spans="1:11" ht="42" customHeight="1">
      <c r="A3123" s="2" t="s">
        <v>8605</v>
      </c>
      <c r="B3123" s="2" t="s">
        <v>8606</v>
      </c>
      <c r="C3123" s="2" t="s">
        <v>17</v>
      </c>
      <c r="D3123" s="2" t="s">
        <v>134</v>
      </c>
      <c r="E3123" s="4">
        <v>-31955</v>
      </c>
      <c r="F3123" s="3" t="s">
        <v>135</v>
      </c>
      <c r="G3123" s="3" t="s">
        <v>214</v>
      </c>
      <c r="H3123" s="2" t="s">
        <v>21</v>
      </c>
      <c r="I3123" s="2" t="s">
        <v>8607</v>
      </c>
      <c r="J3123" s="3" t="str">
        <f>HYPERLINK("https://www.boe.es/gazeta/dias/1812/07/04/pdfs/GRE-F-1812-82.pdf#page=5","Abrir facsímil")</f>
        <v>Abrir facsímil</v>
      </c>
      <c r="K3123" s="3" t="s">
        <v>23</v>
      </c>
    </row>
    <row r="3124" spans="1:11" ht="42" customHeight="1">
      <c r="A3124" s="2" t="s">
        <v>8608</v>
      </c>
      <c r="B3124" s="2" t="s">
        <v>8608</v>
      </c>
      <c r="C3124" s="2" t="s">
        <v>67</v>
      </c>
      <c r="D3124" s="2" t="s">
        <v>27</v>
      </c>
      <c r="E3124" s="4">
        <v>-32006</v>
      </c>
      <c r="F3124" s="3" t="s">
        <v>1153</v>
      </c>
      <c r="G3124" s="3" t="s">
        <v>1154</v>
      </c>
      <c r="H3124" s="2" t="s">
        <v>21</v>
      </c>
      <c r="I3124" s="2" t="s">
        <v>8609</v>
      </c>
      <c r="J3124" s="3" t="str">
        <f>HYPERLINK("https://www.boe.es/gazeta/dias/1812/05/14/pdfs/GMD-1812-135.pdf#page=3","Abrir facsímil")</f>
        <v>Abrir facsímil</v>
      </c>
      <c r="K3124" s="3" t="s">
        <v>23</v>
      </c>
    </row>
    <row r="3125" spans="1:11" ht="42" customHeight="1">
      <c r="A3125" s="2" t="s">
        <v>8610</v>
      </c>
      <c r="B3125" s="2" t="s">
        <v>8611</v>
      </c>
      <c r="C3125" s="2" t="s">
        <v>26</v>
      </c>
      <c r="D3125" s="2" t="s">
        <v>27</v>
      </c>
      <c r="E3125" s="4">
        <v>-32102</v>
      </c>
      <c r="F3125" s="3" t="s">
        <v>1783</v>
      </c>
      <c r="G3125" s="3" t="s">
        <v>514</v>
      </c>
      <c r="H3125" s="2" t="s">
        <v>21</v>
      </c>
      <c r="I3125" s="2" t="s">
        <v>8612</v>
      </c>
      <c r="J3125" s="3" t="str">
        <f>HYPERLINK("https://www.boe.es/gazeta/dias/1812/02/08/pdfs/GRE-1812-17.pdf#page=3","Abrir facsímil")</f>
        <v>Abrir facsímil</v>
      </c>
      <c r="K3125" s="3" t="s">
        <v>23</v>
      </c>
    </row>
    <row r="3126" spans="1:11" ht="42" customHeight="1">
      <c r="A3126" s="2" t="s">
        <v>8613</v>
      </c>
      <c r="B3126" s="2" t="s">
        <v>8613</v>
      </c>
      <c r="C3126" s="2" t="s">
        <v>17</v>
      </c>
      <c r="D3126" s="2" t="s">
        <v>27</v>
      </c>
      <c r="E3126" s="4">
        <v>-31829</v>
      </c>
      <c r="F3126" s="3" t="s">
        <v>328</v>
      </c>
      <c r="G3126" s="3" t="s">
        <v>1842</v>
      </c>
      <c r="H3126" s="2" t="s">
        <v>21</v>
      </c>
      <c r="I3126" s="2" t="s">
        <v>8614</v>
      </c>
      <c r="J3126" s="3" t="str">
        <f>HYPERLINK("https://www.boe.es/gazeta/dias/1812/11/07/pdfs/GMD-1812-227.pdf#page=3","Abrir facsímil")</f>
        <v>Abrir facsímil</v>
      </c>
      <c r="K3126" s="3" t="s">
        <v>23</v>
      </c>
    </row>
    <row r="3127" spans="1:11" ht="42" customHeight="1">
      <c r="A3127" s="2" t="s">
        <v>8615</v>
      </c>
      <c r="B3127" s="2" t="s">
        <v>8616</v>
      </c>
      <c r="C3127" s="2" t="s">
        <v>26</v>
      </c>
      <c r="D3127" s="2" t="s">
        <v>27</v>
      </c>
      <c r="E3127" s="4">
        <v>-32060</v>
      </c>
      <c r="F3127" s="3" t="s">
        <v>399</v>
      </c>
      <c r="G3127" s="3" t="s">
        <v>136</v>
      </c>
      <c r="H3127" s="2" t="s">
        <v>21</v>
      </c>
      <c r="I3127" s="2" t="s">
        <v>8617</v>
      </c>
      <c r="J3127" s="3" t="str">
        <f>HYPERLINK("https://www.boe.es/gazeta/dias/1812/03/21/pdfs/GMD-1812-81.pdf#page=4","Abrir facsímil")</f>
        <v>Abrir facsímil</v>
      </c>
      <c r="K3127" s="3" t="s">
        <v>23</v>
      </c>
    </row>
    <row r="3128" spans="1:11" ht="42" customHeight="1">
      <c r="A3128" s="2" t="s">
        <v>8618</v>
      </c>
      <c r="B3128" s="2" t="s">
        <v>8619</v>
      </c>
      <c r="C3128" s="2" t="s">
        <v>26</v>
      </c>
      <c r="D3128" s="2" t="s">
        <v>27</v>
      </c>
      <c r="E3128" s="4">
        <v>-31938</v>
      </c>
      <c r="F3128" s="3" t="s">
        <v>324</v>
      </c>
      <c r="G3128" s="3" t="s">
        <v>404</v>
      </c>
      <c r="H3128" s="2" t="s">
        <v>21</v>
      </c>
      <c r="I3128" s="2" t="s">
        <v>8620</v>
      </c>
      <c r="J3128" s="3" t="str">
        <f>HYPERLINK("https://www.boe.es/gazeta/dias/1812/07/21/pdfs/GMD-1812-203.pdf#page=4","Abrir facsímil")</f>
        <v>Abrir facsímil</v>
      </c>
      <c r="K3128" s="3" t="s">
        <v>23</v>
      </c>
    </row>
    <row r="3129" spans="1:11" ht="42" customHeight="1">
      <c r="A3129" s="2" t="s">
        <v>8621</v>
      </c>
      <c r="B3129" s="2" t="s">
        <v>8622</v>
      </c>
      <c r="C3129" s="2" t="s">
        <v>26</v>
      </c>
      <c r="D3129" s="2" t="s">
        <v>27</v>
      </c>
      <c r="E3129" s="4">
        <v>-32034</v>
      </c>
      <c r="F3129" s="3" t="s">
        <v>1008</v>
      </c>
      <c r="G3129" s="3" t="s">
        <v>1009</v>
      </c>
      <c r="H3129" s="2" t="s">
        <v>21</v>
      </c>
      <c r="I3129" s="2" t="s">
        <v>8623</v>
      </c>
      <c r="J3129" s="3" t="str">
        <f>HYPERLINK("https://www.boe.es/gazeta/dias/1812/04/16/pdfs/GRE-1812-48.pdf#page=8","Abrir facsímil")</f>
        <v>Abrir facsímil</v>
      </c>
      <c r="K3129" s="3" t="s">
        <v>23</v>
      </c>
    </row>
    <row r="3130" spans="1:11" ht="42" customHeight="1">
      <c r="A3130" s="2" t="s">
        <v>8624</v>
      </c>
      <c r="B3130" s="2" t="s">
        <v>8625</v>
      </c>
      <c r="C3130" s="2" t="s">
        <v>17</v>
      </c>
      <c r="D3130" s="2" t="s">
        <v>27</v>
      </c>
      <c r="E3130" s="4">
        <v>-31955</v>
      </c>
      <c r="F3130" s="3" t="s">
        <v>789</v>
      </c>
      <c r="G3130" s="3" t="s">
        <v>237</v>
      </c>
      <c r="H3130" s="2" t="s">
        <v>21</v>
      </c>
      <c r="I3130" s="2" t="s">
        <v>8626</v>
      </c>
      <c r="J3130" s="3" t="str">
        <f>HYPERLINK("https://www.boe.es/gazeta/dias/1812/07/04/pdfs/GRE-1812-82.pdf#page=8","Abrir facsímil")</f>
        <v>Abrir facsímil</v>
      </c>
      <c r="K3130" s="3" t="s">
        <v>23</v>
      </c>
    </row>
    <row r="3131" spans="1:11" ht="42" customHeight="1">
      <c r="A3131" s="2" t="s">
        <v>8627</v>
      </c>
      <c r="B3131" s="2" t="s">
        <v>8627</v>
      </c>
      <c r="C3131" s="2" t="s">
        <v>26</v>
      </c>
      <c r="D3131" s="2" t="s">
        <v>27</v>
      </c>
      <c r="E3131" s="4">
        <v>-31987</v>
      </c>
      <c r="F3131" s="3" t="s">
        <v>2309</v>
      </c>
      <c r="G3131" s="3" t="s">
        <v>2310</v>
      </c>
      <c r="H3131" s="2" t="s">
        <v>21</v>
      </c>
      <c r="I3131" s="2" t="s">
        <v>8628</v>
      </c>
      <c r="J3131" s="3" t="str">
        <f>HYPERLINK("https://www.boe.es/gazeta/dias/1812/06/02/pdfs/GMD-1812-154.pdf#page=2","Abrir facsímil")</f>
        <v>Abrir facsímil</v>
      </c>
      <c r="K3131" s="3" t="s">
        <v>23</v>
      </c>
    </row>
    <row r="3132" spans="1:11" ht="42" customHeight="1">
      <c r="A3132" s="2" t="s">
        <v>8629</v>
      </c>
      <c r="B3132" s="2" t="s">
        <v>8630</v>
      </c>
      <c r="C3132" s="2" t="s">
        <v>17</v>
      </c>
      <c r="D3132" s="2" t="s">
        <v>18</v>
      </c>
      <c r="E3132" s="4">
        <v>-31966</v>
      </c>
      <c r="F3132" s="3" t="s">
        <v>3665</v>
      </c>
      <c r="G3132" s="3" t="s">
        <v>237</v>
      </c>
      <c r="H3132" s="2" t="s">
        <v>21</v>
      </c>
      <c r="I3132" s="2" t="s">
        <v>8631</v>
      </c>
      <c r="J3132" s="3" t="str">
        <f>HYPERLINK("https://www.boe.es/gazeta/dias/1812/06/23/pdfs/GRE-1812-77.pdf#page=3","Abrir facsímil")</f>
        <v>Abrir facsímil</v>
      </c>
      <c r="K3132" s="3" t="s">
        <v>23</v>
      </c>
    </row>
    <row r="3133" spans="1:11" ht="42" customHeight="1">
      <c r="A3133" s="2" t="s">
        <v>8632</v>
      </c>
      <c r="B3133" s="2" t="s">
        <v>8633</v>
      </c>
      <c r="C3133" s="2" t="s">
        <v>17</v>
      </c>
      <c r="D3133" s="2" t="s">
        <v>18</v>
      </c>
      <c r="E3133" s="4">
        <v>-32015</v>
      </c>
      <c r="F3133" s="3" t="s">
        <v>77</v>
      </c>
      <c r="G3133" s="3" t="s">
        <v>202</v>
      </c>
      <c r="H3133" s="2" t="s">
        <v>21</v>
      </c>
      <c r="I3133" s="2" t="s">
        <v>8634</v>
      </c>
      <c r="J3133" s="3" t="str">
        <f>HYPERLINK("https://www.boe.es/gazeta/dias/1812/05/05/pdfs/GRE-1812-56.pdf#page=2","Abrir facsímil")</f>
        <v>Abrir facsímil</v>
      </c>
      <c r="K3133" s="3" t="s">
        <v>23</v>
      </c>
    </row>
    <row r="3134" spans="1:11" ht="42" customHeight="1">
      <c r="A3134" s="2" t="s">
        <v>8635</v>
      </c>
      <c r="B3134" s="2" t="s">
        <v>8636</v>
      </c>
      <c r="C3134" s="2" t="s">
        <v>26</v>
      </c>
      <c r="D3134" s="2" t="s">
        <v>27</v>
      </c>
      <c r="E3134" s="4">
        <v>-32095</v>
      </c>
      <c r="F3134" s="3" t="s">
        <v>1099</v>
      </c>
      <c r="G3134" s="3" t="s">
        <v>438</v>
      </c>
      <c r="H3134" s="2" t="s">
        <v>30</v>
      </c>
      <c r="I3134" s="2" t="s">
        <v>8637</v>
      </c>
      <c r="J3134" s="3" t="str">
        <f>HYPERLINK("https://www.boe.es/gazeta/dias/1812/02/15/pdfs/GMD-1812-46.pdf#page=4","Abrir facsímil")</f>
        <v>Abrir facsímil</v>
      </c>
      <c r="K3134" s="3" t="s">
        <v>32</v>
      </c>
    </row>
    <row r="3135" spans="1:11" ht="42" customHeight="1">
      <c r="A3135" s="2" t="s">
        <v>8638</v>
      </c>
      <c r="B3135" s="2" t="s">
        <v>8639</v>
      </c>
      <c r="C3135" s="2" t="s">
        <v>26</v>
      </c>
      <c r="D3135" s="2" t="s">
        <v>134</v>
      </c>
      <c r="E3135" s="4">
        <v>-31983</v>
      </c>
      <c r="F3135" s="3" t="s">
        <v>1437</v>
      </c>
      <c r="G3135" s="3" t="s">
        <v>1438</v>
      </c>
      <c r="H3135" s="2" t="s">
        <v>21</v>
      </c>
      <c r="I3135" s="2" t="s">
        <v>8640</v>
      </c>
      <c r="J3135" s="3" t="str">
        <f>HYPERLINK("https://www.boe.es/gazeta/dias/1812/06/06/pdfs/GRE-F-1812-70.pdf#page=4","Abrir facsímil")</f>
        <v>Abrir facsímil</v>
      </c>
      <c r="K3135" s="3" t="s">
        <v>23</v>
      </c>
    </row>
    <row r="3136" spans="1:11" ht="42" customHeight="1">
      <c r="A3136" s="2" t="s">
        <v>8641</v>
      </c>
      <c r="B3136" s="2" t="s">
        <v>8642</v>
      </c>
      <c r="C3136" s="2" t="s">
        <v>105</v>
      </c>
      <c r="D3136" s="2" t="s">
        <v>27</v>
      </c>
      <c r="E3136" s="4">
        <v>-31871</v>
      </c>
      <c r="F3136" s="3" t="s">
        <v>5985</v>
      </c>
      <c r="G3136" s="3" t="s">
        <v>8643</v>
      </c>
      <c r="H3136" s="2" t="s">
        <v>30</v>
      </c>
      <c r="I3136" s="2" t="s">
        <v>8644</v>
      </c>
      <c r="J3136" s="3" t="str">
        <f>HYPERLINK("https://www.boe.es/gazeta/dias/1812/09/26/pdfs/GRE-1812-131.pdf#page=7","Abrir facsímil")</f>
        <v>Abrir facsímil</v>
      </c>
      <c r="K3136" s="3" t="s">
        <v>32</v>
      </c>
    </row>
    <row r="3137" spans="1:11" ht="42" customHeight="1">
      <c r="A3137" s="2" t="s">
        <v>8645</v>
      </c>
      <c r="B3137" s="2" t="s">
        <v>8645</v>
      </c>
      <c r="C3137" s="2" t="s">
        <v>26</v>
      </c>
      <c r="D3137" s="2" t="s">
        <v>27</v>
      </c>
      <c r="E3137" s="4">
        <v>-32034</v>
      </c>
      <c r="F3137" s="3" t="s">
        <v>1008</v>
      </c>
      <c r="G3137" s="3" t="s">
        <v>1009</v>
      </c>
      <c r="H3137" s="2" t="s">
        <v>21</v>
      </c>
      <c r="I3137" s="2" t="s">
        <v>8646</v>
      </c>
      <c r="J3137" s="3" t="str">
        <f>HYPERLINK("https://www.boe.es/gazeta/dias/1812/04/16/pdfs/GRE-1812-48.pdf#page=8","Abrir facsímil")</f>
        <v>Abrir facsímil</v>
      </c>
      <c r="K3137" s="3" t="s">
        <v>23</v>
      </c>
    </row>
    <row r="3138" spans="1:11" ht="42" customHeight="1">
      <c r="A3138" s="2" t="s">
        <v>8647</v>
      </c>
      <c r="B3138" s="2" t="s">
        <v>8647</v>
      </c>
      <c r="C3138" s="2" t="s">
        <v>82</v>
      </c>
      <c r="D3138" s="2" t="s">
        <v>27</v>
      </c>
      <c r="E3138" s="4">
        <v>-32095</v>
      </c>
      <c r="F3138" s="3" t="s">
        <v>284</v>
      </c>
      <c r="G3138" s="3" t="s">
        <v>29</v>
      </c>
      <c r="H3138" s="2" t="s">
        <v>21</v>
      </c>
      <c r="I3138" s="2" t="s">
        <v>8648</v>
      </c>
      <c r="J3138" s="3" t="str">
        <f>HYPERLINK("https://www.boe.es/gazeta/dias/1812/02/15/pdfs/GRE-1812-20.pdf#page=8","Abrir facsímil")</f>
        <v>Abrir facsímil</v>
      </c>
      <c r="K3138" s="3" t="s">
        <v>23</v>
      </c>
    </row>
    <row r="3139" spans="1:11" ht="42" customHeight="1">
      <c r="A3139" s="2" t="s">
        <v>8649</v>
      </c>
      <c r="B3139" s="2" t="s">
        <v>8649</v>
      </c>
      <c r="C3139" s="2" t="s">
        <v>67</v>
      </c>
      <c r="D3139" s="2" t="s">
        <v>27</v>
      </c>
      <c r="E3139" s="4">
        <v>-32095</v>
      </c>
      <c r="F3139" s="3" t="s">
        <v>284</v>
      </c>
      <c r="G3139" s="3" t="s">
        <v>29</v>
      </c>
      <c r="H3139" s="2" t="s">
        <v>21</v>
      </c>
      <c r="I3139" s="2" t="s">
        <v>8650</v>
      </c>
      <c r="J3139" s="3" t="str">
        <f>HYPERLINK("https://www.boe.es/gazeta/dias/1812/02/15/pdfs/GRE-1812-20.pdf#page=8","Abrir facsímil")</f>
        <v>Abrir facsímil</v>
      </c>
      <c r="K3139" s="3" t="s">
        <v>23</v>
      </c>
    </row>
    <row r="3140" spans="1:11" ht="42" customHeight="1">
      <c r="A3140" s="2" t="s">
        <v>8651</v>
      </c>
      <c r="B3140" s="2" t="s">
        <v>8652</v>
      </c>
      <c r="C3140" s="2" t="s">
        <v>26</v>
      </c>
      <c r="D3140" s="2" t="s">
        <v>27</v>
      </c>
      <c r="E3140" s="4">
        <v>-32002</v>
      </c>
      <c r="F3140" s="3" t="s">
        <v>619</v>
      </c>
      <c r="G3140" s="3" t="s">
        <v>20</v>
      </c>
      <c r="H3140" s="2" t="s">
        <v>21</v>
      </c>
      <c r="I3140" s="2" t="s">
        <v>8653</v>
      </c>
      <c r="J3140" s="3" t="str">
        <f>HYPERLINK("https://www.boe.es/gazeta/dias/1812/05/18/pdfs/GMD-1812-139.pdf#page=3","Abrir facsímil")</f>
        <v>Abrir facsímil</v>
      </c>
      <c r="K3140" s="3" t="s">
        <v>23</v>
      </c>
    </row>
    <row r="3141" spans="1:11" ht="42" customHeight="1">
      <c r="A3141" s="2" t="s">
        <v>8654</v>
      </c>
      <c r="B3141" s="2" t="s">
        <v>8655</v>
      </c>
      <c r="C3141" s="2" t="s">
        <v>26</v>
      </c>
      <c r="D3141" s="2" t="s">
        <v>27</v>
      </c>
      <c r="E3141" s="4">
        <v>-31969</v>
      </c>
      <c r="F3141" s="3" t="s">
        <v>83</v>
      </c>
      <c r="G3141" s="3" t="s">
        <v>84</v>
      </c>
      <c r="H3141" s="2" t="s">
        <v>21</v>
      </c>
      <c r="I3141" s="2" t="s">
        <v>8656</v>
      </c>
      <c r="J3141" s="3" t="str">
        <f>HYPERLINK("https://www.boe.es/gazeta/dias/1812/06/20/pdfs/GRE-1812-76.pdf#page=8","Abrir facsímil")</f>
        <v>Abrir facsímil</v>
      </c>
      <c r="K3141" s="3" t="s">
        <v>23</v>
      </c>
    </row>
    <row r="3142" spans="1:11" ht="42" customHeight="1">
      <c r="A3142" s="2" t="s">
        <v>8657</v>
      </c>
      <c r="B3142" s="2" t="s">
        <v>8658</v>
      </c>
      <c r="C3142" s="2" t="s">
        <v>17</v>
      </c>
      <c r="D3142" s="2" t="s">
        <v>27</v>
      </c>
      <c r="E3142" s="4">
        <v>-31866</v>
      </c>
      <c r="F3142" s="3" t="s">
        <v>845</v>
      </c>
      <c r="G3142" s="3" t="s">
        <v>2358</v>
      </c>
      <c r="H3142" s="2" t="s">
        <v>21</v>
      </c>
      <c r="I3142" s="2" t="s">
        <v>8659</v>
      </c>
      <c r="J3142" s="3" t="str">
        <f>HYPERLINK("https://www.boe.es/gazeta/dias/1812/10/01/pdfs/GRE-1812-133.pdf#page=4","Abrir facsímil")</f>
        <v>Abrir facsímil</v>
      </c>
      <c r="K3142" s="3" t="s">
        <v>23</v>
      </c>
    </row>
    <row r="3143" spans="1:11" ht="42" customHeight="1">
      <c r="A3143" s="2" t="s">
        <v>8660</v>
      </c>
      <c r="B3143" s="2" t="s">
        <v>8661</v>
      </c>
      <c r="C3143" s="2" t="s">
        <v>26</v>
      </c>
      <c r="D3143" s="2" t="s">
        <v>27</v>
      </c>
      <c r="E3143" s="4">
        <v>-31939</v>
      </c>
      <c r="F3143" s="3" t="s">
        <v>408</v>
      </c>
      <c r="G3143" s="3" t="s">
        <v>20</v>
      </c>
      <c r="H3143" s="2" t="s">
        <v>21</v>
      </c>
      <c r="I3143" s="2" t="s">
        <v>8662</v>
      </c>
      <c r="J3143" s="3" t="str">
        <f>HYPERLINK("https://www.boe.es/gazeta/dias/1812/07/20/pdfs/GMD-1812-202.pdf#page=4","Abrir facsímil")</f>
        <v>Abrir facsímil</v>
      </c>
      <c r="K3143" s="3" t="s">
        <v>23</v>
      </c>
    </row>
    <row r="3144" spans="1:11" ht="42" customHeight="1">
      <c r="A3144" s="2" t="s">
        <v>8663</v>
      </c>
      <c r="B3144" s="2" t="s">
        <v>8664</v>
      </c>
      <c r="C3144" s="2" t="s">
        <v>26</v>
      </c>
      <c r="D3144" s="2" t="s">
        <v>27</v>
      </c>
      <c r="E3144" s="4">
        <v>-31950</v>
      </c>
      <c r="F3144" s="3" t="s">
        <v>1024</v>
      </c>
      <c r="G3144" s="3" t="s">
        <v>1740</v>
      </c>
      <c r="H3144" s="2" t="s">
        <v>21</v>
      </c>
      <c r="I3144" s="2" t="s">
        <v>8665</v>
      </c>
      <c r="J3144" s="3" t="str">
        <f>HYPERLINK("https://www.boe.es/gazeta/dias/1812/07/09/pdfs/GRE-1812-84.pdf#page=4","Abrir facsímil")</f>
        <v>Abrir facsímil</v>
      </c>
      <c r="K3144" s="3" t="s">
        <v>23</v>
      </c>
    </row>
    <row r="3145" spans="1:11" ht="42" customHeight="1">
      <c r="A3145" s="2" t="s">
        <v>8666</v>
      </c>
      <c r="B3145" s="2" t="s">
        <v>8667</v>
      </c>
      <c r="C3145" s="2" t="s">
        <v>17</v>
      </c>
      <c r="D3145" s="2" t="s">
        <v>134</v>
      </c>
      <c r="E3145" s="4">
        <v>-31955</v>
      </c>
      <c r="F3145" s="3" t="s">
        <v>135</v>
      </c>
      <c r="G3145" s="3" t="s">
        <v>58</v>
      </c>
      <c r="H3145" s="2" t="s">
        <v>21</v>
      </c>
      <c r="I3145" s="2" t="s">
        <v>8668</v>
      </c>
      <c r="J3145" s="3" t="str">
        <f>HYPERLINK("https://www.boe.es/gazeta/dias/1812/07/04/pdfs/GRE-F-1812-82.pdf#page=6","Abrir facsímil")</f>
        <v>Abrir facsímil</v>
      </c>
      <c r="K3145" s="3" t="s">
        <v>23</v>
      </c>
    </row>
    <row r="3146" spans="1:11" ht="42" customHeight="1">
      <c r="A3146" s="2" t="s">
        <v>8669</v>
      </c>
      <c r="B3146" s="2" t="s">
        <v>8669</v>
      </c>
      <c r="C3146" s="2" t="s">
        <v>17</v>
      </c>
      <c r="D3146" s="2" t="s">
        <v>27</v>
      </c>
      <c r="E3146" s="4">
        <v>-32046</v>
      </c>
      <c r="F3146" s="3" t="s">
        <v>1013</v>
      </c>
      <c r="G3146" s="3" t="s">
        <v>20</v>
      </c>
      <c r="H3146" s="2" t="s">
        <v>21</v>
      </c>
      <c r="I3146" s="2" t="s">
        <v>8670</v>
      </c>
      <c r="J3146" s="3" t="str">
        <f>HYPERLINK("https://www.boe.es/gazeta/dias/1812/04/04/pdfs/GRE-1812-42.pdf#page=7","Abrir facsímil")</f>
        <v>Abrir facsímil</v>
      </c>
      <c r="K3146" s="3" t="s">
        <v>23</v>
      </c>
    </row>
    <row r="3147" spans="1:11" ht="42" customHeight="1">
      <c r="A3147" s="2" t="s">
        <v>8671</v>
      </c>
      <c r="B3147" s="2" t="s">
        <v>8672</v>
      </c>
      <c r="C3147" s="2" t="s">
        <v>17</v>
      </c>
      <c r="D3147" s="2" t="s">
        <v>27</v>
      </c>
      <c r="E3147" s="4">
        <v>-32011</v>
      </c>
      <c r="F3147" s="3" t="s">
        <v>1233</v>
      </c>
      <c r="G3147" s="3" t="s">
        <v>20</v>
      </c>
      <c r="H3147" s="2" t="s">
        <v>21</v>
      </c>
      <c r="I3147" s="2" t="s">
        <v>8673</v>
      </c>
      <c r="J3147" s="3" t="str">
        <f>HYPERLINK("https://www.boe.es/gazeta/dias/1812/05/09/pdfs/GRE-1812-58.pdf#page=6","Abrir facsímil")</f>
        <v>Abrir facsímil</v>
      </c>
      <c r="K3147" s="3" t="s">
        <v>23</v>
      </c>
    </row>
    <row r="3148" spans="1:11" ht="42" customHeight="1">
      <c r="A3148" s="2" t="s">
        <v>8674</v>
      </c>
      <c r="B3148" s="2" t="s">
        <v>8674</v>
      </c>
      <c r="C3148" s="2" t="s">
        <v>49</v>
      </c>
      <c r="D3148" s="2" t="s">
        <v>27</v>
      </c>
      <c r="E3148" s="4">
        <v>-32128</v>
      </c>
      <c r="F3148" s="3" t="s">
        <v>1927</v>
      </c>
      <c r="G3148" s="3" t="s">
        <v>20</v>
      </c>
      <c r="H3148" s="2" t="s">
        <v>21</v>
      </c>
      <c r="I3148" s="2" t="s">
        <v>8675</v>
      </c>
      <c r="J3148" s="3" t="str">
        <f>HYPERLINK("https://www.boe.es/gazeta/dias/1812/01/13/pdfs/GMD-1812-13.pdf#page=1","Abrir facsímil")</f>
        <v>Abrir facsímil</v>
      </c>
      <c r="K3148" s="3" t="s">
        <v>23</v>
      </c>
    </row>
    <row r="3149" spans="1:11" ht="42" customHeight="1">
      <c r="A3149" s="2" t="s">
        <v>8674</v>
      </c>
      <c r="B3149" s="2" t="s">
        <v>8674</v>
      </c>
      <c r="C3149" s="2" t="s">
        <v>186</v>
      </c>
      <c r="D3149" s="2" t="s">
        <v>27</v>
      </c>
      <c r="E3149" s="4">
        <v>-32113</v>
      </c>
      <c r="F3149" s="3" t="s">
        <v>4341</v>
      </c>
      <c r="G3149" s="3" t="s">
        <v>688</v>
      </c>
      <c r="H3149" s="2" t="s">
        <v>21</v>
      </c>
      <c r="I3149" s="2" t="s">
        <v>8676</v>
      </c>
      <c r="J3149" s="3" t="str">
        <f>HYPERLINK("https://www.boe.es/gazeta/dias/1812/01/28/pdfs/GMD-1812-28.pdf#page=2","Abrir facsímil")</f>
        <v>Abrir facsímil</v>
      </c>
      <c r="K3149" s="3" t="s">
        <v>23</v>
      </c>
    </row>
    <row r="3150" spans="1:11" ht="42" customHeight="1">
      <c r="A3150" s="2" t="s">
        <v>8677</v>
      </c>
      <c r="B3150" s="2" t="s">
        <v>8678</v>
      </c>
      <c r="C3150" s="2" t="s">
        <v>26</v>
      </c>
      <c r="D3150" s="2" t="s">
        <v>27</v>
      </c>
      <c r="E3150" s="4">
        <v>-32128</v>
      </c>
      <c r="F3150" s="3" t="s">
        <v>1927</v>
      </c>
      <c r="G3150" s="3" t="s">
        <v>20</v>
      </c>
      <c r="H3150" s="2" t="s">
        <v>21</v>
      </c>
      <c r="I3150" s="2" t="s">
        <v>8679</v>
      </c>
      <c r="J3150" s="3" t="str">
        <f>HYPERLINK("https://www.boe.es/gazeta/dias/1812/01/13/pdfs/GMD-1812-13.pdf#page=1","Abrir facsímil")</f>
        <v>Abrir facsímil</v>
      </c>
      <c r="K3150" s="3" t="s">
        <v>23</v>
      </c>
    </row>
    <row r="3151" spans="1:11" ht="42" customHeight="1">
      <c r="A3151" s="2" t="s">
        <v>8680</v>
      </c>
      <c r="B3151" s="2" t="s">
        <v>8681</v>
      </c>
      <c r="C3151" s="2" t="s">
        <v>26</v>
      </c>
      <c r="D3151" s="2" t="s">
        <v>27</v>
      </c>
      <c r="E3151" s="4">
        <v>-32095</v>
      </c>
      <c r="F3151" s="3" t="s">
        <v>1099</v>
      </c>
      <c r="G3151" s="3" t="s">
        <v>101</v>
      </c>
      <c r="H3151" s="2" t="s">
        <v>21</v>
      </c>
      <c r="I3151" s="2" t="s">
        <v>8682</v>
      </c>
      <c r="J3151" s="3" t="str">
        <f>HYPERLINK("https://www.boe.es/gazeta/dias/1812/02/15/pdfs/GMD-1812-46.pdf#page=1","Abrir facsímil")</f>
        <v>Abrir facsímil</v>
      </c>
      <c r="K3151" s="3" t="s">
        <v>23</v>
      </c>
    </row>
    <row r="3152" spans="1:11" ht="42" customHeight="1">
      <c r="A3152" s="2" t="s">
        <v>8683</v>
      </c>
      <c r="B3152" s="2" t="s">
        <v>8683</v>
      </c>
      <c r="C3152" s="2" t="s">
        <v>105</v>
      </c>
      <c r="D3152" s="2" t="s">
        <v>27</v>
      </c>
      <c r="E3152" s="4">
        <v>-31852</v>
      </c>
      <c r="F3152" s="3" t="s">
        <v>2145</v>
      </c>
      <c r="G3152" s="3" t="s">
        <v>6556</v>
      </c>
      <c r="H3152" s="2" t="s">
        <v>21</v>
      </c>
      <c r="I3152" s="2" t="s">
        <v>8684</v>
      </c>
      <c r="J3152" s="3" t="str">
        <f>HYPERLINK("https://www.boe.es/gazeta/dias/1812/10/15/pdfs/GRE-1812-139.pdf#page=8","Abrir facsímil")</f>
        <v>Abrir facsímil</v>
      </c>
      <c r="K3152" s="3" t="s">
        <v>23</v>
      </c>
    </row>
    <row r="3153" spans="1:11" ht="42" customHeight="1">
      <c r="A3153" s="2" t="s">
        <v>8685</v>
      </c>
      <c r="B3153" s="2" t="s">
        <v>8685</v>
      </c>
      <c r="C3153" s="2" t="s">
        <v>26</v>
      </c>
      <c r="D3153" s="2" t="s">
        <v>27</v>
      </c>
      <c r="E3153" s="4">
        <v>-32090</v>
      </c>
      <c r="F3153" s="3" t="s">
        <v>142</v>
      </c>
      <c r="G3153" s="3" t="s">
        <v>29</v>
      </c>
      <c r="H3153" s="2" t="s">
        <v>21</v>
      </c>
      <c r="I3153" s="2" t="s">
        <v>8686</v>
      </c>
      <c r="J3153" s="3" t="str">
        <f>HYPERLINK("https://www.boe.es/gazeta/dias/1812/02/20/pdfs/GRE-1812-22.pdf#page=8","Abrir facsímil")</f>
        <v>Abrir facsímil</v>
      </c>
      <c r="K3153" s="3" t="s">
        <v>23</v>
      </c>
    </row>
    <row r="3154" spans="1:11" ht="42" customHeight="1">
      <c r="A3154" s="2" t="s">
        <v>8687</v>
      </c>
      <c r="B3154" s="2" t="s">
        <v>8688</v>
      </c>
      <c r="C3154" s="2" t="s">
        <v>115</v>
      </c>
      <c r="D3154" s="2" t="s">
        <v>194</v>
      </c>
      <c r="E3154" s="4">
        <v>-32128</v>
      </c>
      <c r="F3154" s="3" t="s">
        <v>1927</v>
      </c>
      <c r="G3154" s="3" t="s">
        <v>514</v>
      </c>
      <c r="H3154" s="2" t="s">
        <v>21</v>
      </c>
      <c r="I3154" s="2" t="s">
        <v>8689</v>
      </c>
      <c r="J3154" s="3" t="str">
        <f>HYPERLINK("https://www.boe.es/gazeta/dias/1812/01/13/pdfs/GMD-1812-13.pdf#page=2","Abrir facsímil")</f>
        <v>Abrir facsímil</v>
      </c>
      <c r="K3154" s="3" t="s">
        <v>23</v>
      </c>
    </row>
    <row r="3155" spans="1:11" ht="42" customHeight="1">
      <c r="A3155" s="2" t="s">
        <v>8690</v>
      </c>
      <c r="B3155" s="2" t="s">
        <v>8690</v>
      </c>
      <c r="C3155" s="2" t="s">
        <v>17</v>
      </c>
      <c r="D3155" s="2" t="s">
        <v>27</v>
      </c>
      <c r="E3155" s="4">
        <v>-32103</v>
      </c>
      <c r="F3155" s="3" t="s">
        <v>1996</v>
      </c>
      <c r="G3155" s="3" t="s">
        <v>58</v>
      </c>
      <c r="H3155" s="2" t="s">
        <v>21</v>
      </c>
      <c r="I3155" s="2" t="s">
        <v>8691</v>
      </c>
      <c r="J3155" s="3" t="str">
        <f>HYPERLINK("https://www.boe.es/gazeta/dias/1812/02/07/pdfs/GMD-1812-38.pdf#page=4","Abrir facsímil")</f>
        <v>Abrir facsímil</v>
      </c>
      <c r="K3155" s="3" t="s">
        <v>23</v>
      </c>
    </row>
    <row r="3156" spans="1:11" ht="42" customHeight="1">
      <c r="A3156" s="2" t="s">
        <v>8690</v>
      </c>
      <c r="B3156" s="2" t="s">
        <v>8690</v>
      </c>
      <c r="C3156" s="2" t="s">
        <v>26</v>
      </c>
      <c r="D3156" s="2" t="s">
        <v>194</v>
      </c>
      <c r="E3156" s="4">
        <v>-32012</v>
      </c>
      <c r="F3156" s="3" t="s">
        <v>1090</v>
      </c>
      <c r="G3156" s="3" t="s">
        <v>45</v>
      </c>
      <c r="H3156" s="2" t="s">
        <v>21</v>
      </c>
      <c r="I3156" s="2" t="s">
        <v>8692</v>
      </c>
      <c r="J3156" s="3" t="str">
        <f>HYPERLINK("https://www.boe.es/gazeta/dias/1812/05/08/pdfs/GMD-1812-129.pdf#page=4","Abrir facsímil")</f>
        <v>Abrir facsímil</v>
      </c>
      <c r="K3156" s="3" t="s">
        <v>23</v>
      </c>
    </row>
    <row r="3157" spans="1:11" ht="42" customHeight="1">
      <c r="A3157" s="2" t="s">
        <v>8690</v>
      </c>
      <c r="B3157" s="2" t="s">
        <v>8690</v>
      </c>
      <c r="C3157" s="2" t="s">
        <v>26</v>
      </c>
      <c r="D3157" s="2" t="s">
        <v>27</v>
      </c>
      <c r="E3157" s="4">
        <v>-31936</v>
      </c>
      <c r="F3157" s="3" t="s">
        <v>603</v>
      </c>
      <c r="G3157" s="3" t="s">
        <v>2410</v>
      </c>
      <c r="H3157" s="2" t="s">
        <v>21</v>
      </c>
      <c r="I3157" s="2" t="s">
        <v>8693</v>
      </c>
      <c r="J3157" s="3" t="str">
        <f>HYPERLINK("https://www.boe.es/gazeta/dias/1812/07/23/pdfs/GMD-1812-205.pdf#page=4","Abrir facsímil")</f>
        <v>Abrir facsímil</v>
      </c>
      <c r="K3157" s="3" t="s">
        <v>23</v>
      </c>
    </row>
    <row r="3158" spans="1:11" ht="42" customHeight="1">
      <c r="A3158" s="2" t="s">
        <v>8690</v>
      </c>
      <c r="B3158" s="2" t="s">
        <v>8690</v>
      </c>
      <c r="C3158" s="2" t="s">
        <v>17</v>
      </c>
      <c r="D3158" s="2" t="s">
        <v>18</v>
      </c>
      <c r="E3158" s="4">
        <v>-31861</v>
      </c>
      <c r="F3158" s="3" t="s">
        <v>216</v>
      </c>
      <c r="G3158" s="3" t="s">
        <v>3726</v>
      </c>
      <c r="H3158" s="2" t="s">
        <v>21</v>
      </c>
      <c r="I3158" s="2" t="s">
        <v>8694</v>
      </c>
      <c r="J3158" s="3" t="str">
        <f>HYPERLINK("https://www.boe.es/gazeta/dias/1812/10/06/pdfs/GRE-1812-135.pdf#page=8","Abrir facsímil")</f>
        <v>Abrir facsímil</v>
      </c>
      <c r="K3158" s="3" t="s">
        <v>23</v>
      </c>
    </row>
    <row r="3159" spans="1:11" ht="42" customHeight="1">
      <c r="A3159" s="2" t="s">
        <v>8695</v>
      </c>
      <c r="B3159" s="2" t="s">
        <v>8695</v>
      </c>
      <c r="C3159" s="2" t="s">
        <v>17</v>
      </c>
      <c r="D3159" s="2" t="s">
        <v>27</v>
      </c>
      <c r="E3159" s="4">
        <v>-32072</v>
      </c>
      <c r="F3159" s="3" t="s">
        <v>8696</v>
      </c>
      <c r="G3159" s="3" t="s">
        <v>599</v>
      </c>
      <c r="H3159" s="2" t="s">
        <v>21</v>
      </c>
      <c r="I3159" s="2" t="s">
        <v>8697</v>
      </c>
      <c r="J3159" s="3" t="str">
        <f>HYPERLINK("https://www.boe.es/gazeta/dias/1812/03/09/pdfs/GMD-1812-69.pdf#page=2","Abrir facsímil")</f>
        <v>Abrir facsímil</v>
      </c>
      <c r="K3159" s="3" t="s">
        <v>23</v>
      </c>
    </row>
    <row r="3160" spans="1:11" ht="42" customHeight="1">
      <c r="A3160" s="2" t="s">
        <v>8698</v>
      </c>
      <c r="B3160" s="2" t="s">
        <v>8698</v>
      </c>
      <c r="C3160" s="2" t="s">
        <v>17</v>
      </c>
      <c r="D3160" s="2" t="s">
        <v>27</v>
      </c>
      <c r="E3160" s="4">
        <v>-32134</v>
      </c>
      <c r="F3160" s="3" t="s">
        <v>50</v>
      </c>
      <c r="G3160" s="3" t="s">
        <v>20</v>
      </c>
      <c r="H3160" s="2" t="s">
        <v>21</v>
      </c>
      <c r="I3160" s="2" t="s">
        <v>8699</v>
      </c>
      <c r="J3160" s="3" t="str">
        <f>HYPERLINK("https://www.boe.es/gazeta/dias/1812/01/07/pdfs/GEI-1812-3.pdf#page=2","Abrir facsímil")</f>
        <v>Abrir facsímil</v>
      </c>
      <c r="K3160" s="3" t="s">
        <v>23</v>
      </c>
    </row>
    <row r="3161" spans="1:11" ht="42" customHeight="1">
      <c r="A3161" s="2" t="s">
        <v>8698</v>
      </c>
      <c r="B3161" s="2" t="s">
        <v>8698</v>
      </c>
      <c r="C3161" s="2" t="s">
        <v>17</v>
      </c>
      <c r="D3161" s="2" t="s">
        <v>18</v>
      </c>
      <c r="E3161" s="4">
        <v>-32030</v>
      </c>
      <c r="F3161" s="3" t="s">
        <v>2226</v>
      </c>
      <c r="G3161" s="3" t="s">
        <v>20</v>
      </c>
      <c r="H3161" s="2" t="s">
        <v>21</v>
      </c>
      <c r="I3161" s="2" t="s">
        <v>8700</v>
      </c>
      <c r="J3161" s="3" t="str">
        <f>HYPERLINK("https://www.boe.es/gazeta/dias/1812/04/20/pdfs/GMD-1812-111.pdf#page=4","Abrir facsímil")</f>
        <v>Abrir facsímil</v>
      </c>
      <c r="K3161" s="3" t="s">
        <v>23</v>
      </c>
    </row>
    <row r="3162" spans="1:11" ht="42" customHeight="1">
      <c r="A3162" s="2" t="s">
        <v>8698</v>
      </c>
      <c r="B3162" s="2" t="s">
        <v>8698</v>
      </c>
      <c r="C3162" s="2" t="s">
        <v>49</v>
      </c>
      <c r="D3162" s="2" t="s">
        <v>27</v>
      </c>
      <c r="E3162" s="4">
        <v>-32018</v>
      </c>
      <c r="F3162" s="3" t="s">
        <v>365</v>
      </c>
      <c r="G3162" s="3" t="s">
        <v>366</v>
      </c>
      <c r="H3162" s="2" t="s">
        <v>21</v>
      </c>
      <c r="I3162" s="2" t="s">
        <v>8701</v>
      </c>
      <c r="J3162" s="3" t="str">
        <f>HYPERLINK("https://www.boe.es/gazeta/dias/1812/05/02/pdfs/GRE-1812-55.pdf#page=3","Abrir facsímil")</f>
        <v>Abrir facsímil</v>
      </c>
      <c r="K3162" s="3" t="s">
        <v>23</v>
      </c>
    </row>
    <row r="3163" spans="1:11" ht="42" customHeight="1">
      <c r="A3163" s="2" t="s">
        <v>8698</v>
      </c>
      <c r="B3163" s="2" t="s">
        <v>8698</v>
      </c>
      <c r="C3163" s="2" t="s">
        <v>67</v>
      </c>
      <c r="D3163" s="2" t="s">
        <v>27</v>
      </c>
      <c r="E3163" s="4">
        <v>-31994</v>
      </c>
      <c r="F3163" s="3" t="s">
        <v>207</v>
      </c>
      <c r="G3163" s="3" t="s">
        <v>4773</v>
      </c>
      <c r="H3163" s="2" t="s">
        <v>21</v>
      </c>
      <c r="I3163" s="2" t="s">
        <v>8702</v>
      </c>
      <c r="J3163" s="3" t="str">
        <f>HYPERLINK("https://www.boe.es/gazeta/dias/1812/05/26/pdfs/GRE-1812-65.pdf#page=1","Abrir facsímil")</f>
        <v>Abrir facsímil</v>
      </c>
      <c r="K3163" s="3" t="s">
        <v>23</v>
      </c>
    </row>
    <row r="3164" spans="1:11" ht="42" customHeight="1">
      <c r="A3164" s="2" t="s">
        <v>8698</v>
      </c>
      <c r="B3164" s="2" t="s">
        <v>8698</v>
      </c>
      <c r="C3164" s="2" t="s">
        <v>26</v>
      </c>
      <c r="D3164" s="2" t="s">
        <v>27</v>
      </c>
      <c r="E3164" s="4">
        <v>-31994</v>
      </c>
      <c r="F3164" s="3" t="s">
        <v>207</v>
      </c>
      <c r="G3164" s="3" t="s">
        <v>1176</v>
      </c>
      <c r="H3164" s="2" t="s">
        <v>21</v>
      </c>
      <c r="I3164" s="2" t="s">
        <v>8703</v>
      </c>
      <c r="J3164" s="3" t="str">
        <f>HYPERLINK("https://www.boe.es/gazeta/dias/1812/05/26/pdfs/GRE-1812-65.pdf#page=8","Abrir facsímil")</f>
        <v>Abrir facsímil</v>
      </c>
      <c r="K3164" s="3" t="s">
        <v>23</v>
      </c>
    </row>
    <row r="3165" spans="1:11" ht="42" customHeight="1">
      <c r="A3165" s="2" t="s">
        <v>8698</v>
      </c>
      <c r="B3165" s="2" t="s">
        <v>8698</v>
      </c>
      <c r="C3165" s="2" t="s">
        <v>17</v>
      </c>
      <c r="D3165" s="2" t="s">
        <v>27</v>
      </c>
      <c r="E3165" s="4">
        <v>-31945</v>
      </c>
      <c r="F3165" s="3" t="s">
        <v>1485</v>
      </c>
      <c r="G3165" s="3" t="s">
        <v>1486</v>
      </c>
      <c r="H3165" s="2" t="s">
        <v>21</v>
      </c>
      <c r="I3165" s="2" t="s">
        <v>8704</v>
      </c>
      <c r="J3165" s="3" t="str">
        <f>HYPERLINK("https://www.boe.es/gazeta/dias/1812/07/14/pdfs/GRE-1812-88.pdf#page=1","Abrir facsímil")</f>
        <v>Abrir facsímil</v>
      </c>
      <c r="K3165" s="3" t="s">
        <v>23</v>
      </c>
    </row>
    <row r="3166" spans="1:11" ht="42" customHeight="1">
      <c r="A3166" s="2" t="s">
        <v>8698</v>
      </c>
      <c r="B3166" s="2" t="s">
        <v>8698</v>
      </c>
      <c r="C3166" s="2" t="s">
        <v>49</v>
      </c>
      <c r="D3166" s="2" t="s">
        <v>27</v>
      </c>
      <c r="E3166" s="4">
        <v>-31896</v>
      </c>
      <c r="F3166" s="3" t="s">
        <v>3158</v>
      </c>
      <c r="G3166" s="3" t="s">
        <v>794</v>
      </c>
      <c r="H3166" s="2" t="s">
        <v>21</v>
      </c>
      <c r="I3166" s="2" t="s">
        <v>8705</v>
      </c>
      <c r="J3166" s="3" t="str">
        <f>HYPERLINK("https://www.boe.es/gazeta/dias/1812/09/01/pdfs/GRE-1812-117.pdf#page=7","Abrir facsímil")</f>
        <v>Abrir facsímil</v>
      </c>
      <c r="K3166" s="3" t="s">
        <v>23</v>
      </c>
    </row>
    <row r="3167" spans="1:11" ht="42" customHeight="1">
      <c r="A3167" s="2" t="s">
        <v>8698</v>
      </c>
      <c r="B3167" s="2" t="s">
        <v>8698</v>
      </c>
      <c r="C3167" s="2" t="s">
        <v>49</v>
      </c>
      <c r="D3167" s="2" t="s">
        <v>27</v>
      </c>
      <c r="E3167" s="4">
        <v>-31852</v>
      </c>
      <c r="F3167" s="3" t="s">
        <v>2145</v>
      </c>
      <c r="G3167" s="3" t="s">
        <v>2708</v>
      </c>
      <c r="H3167" s="2" t="s">
        <v>21</v>
      </c>
      <c r="I3167" s="2" t="s">
        <v>8706</v>
      </c>
      <c r="J3167" s="3" t="str">
        <f>HYPERLINK("https://www.boe.es/gazeta/dias/1812/10/15/pdfs/GRE-1812-139.pdf#page=4","Abrir facsímil")</f>
        <v>Abrir facsímil</v>
      </c>
      <c r="K3167" s="3" t="s">
        <v>23</v>
      </c>
    </row>
    <row r="3168" spans="1:11" ht="42" customHeight="1">
      <c r="A3168" s="2" t="s">
        <v>8707</v>
      </c>
      <c r="B3168" s="2" t="s">
        <v>8708</v>
      </c>
      <c r="C3168" s="2" t="s">
        <v>17</v>
      </c>
      <c r="D3168" s="2" t="s">
        <v>275</v>
      </c>
      <c r="E3168" s="4">
        <v>-32120</v>
      </c>
      <c r="F3168" s="3" t="s">
        <v>522</v>
      </c>
      <c r="G3168" s="3" t="s">
        <v>523</v>
      </c>
      <c r="H3168" s="2" t="s">
        <v>21</v>
      </c>
      <c r="I3168" s="2" t="s">
        <v>8709</v>
      </c>
      <c r="J3168" s="3" t="str">
        <f>HYPERLINK("https://www.boe.es/gazeta/dias/1812/01/21/pdfs/GMD-1812-21.pdf#page=4","Abrir facsímil")</f>
        <v>Abrir facsímil</v>
      </c>
      <c r="K3168" s="3" t="s">
        <v>23</v>
      </c>
    </row>
    <row r="3169" spans="1:11" ht="42" customHeight="1">
      <c r="A3169" s="2" t="s">
        <v>8710</v>
      </c>
      <c r="B3169" s="2" t="s">
        <v>8711</v>
      </c>
      <c r="C3169" s="2" t="s">
        <v>17</v>
      </c>
      <c r="D3169" s="2" t="s">
        <v>27</v>
      </c>
      <c r="E3169" s="4">
        <v>-31922</v>
      </c>
      <c r="F3169" s="3" t="s">
        <v>375</v>
      </c>
      <c r="G3169" s="3" t="s">
        <v>986</v>
      </c>
      <c r="H3169" s="2" t="s">
        <v>21</v>
      </c>
      <c r="I3169" s="2" t="s">
        <v>8712</v>
      </c>
      <c r="J3169" s="3" t="str">
        <f>HYPERLINK("https://www.boe.es/gazeta/dias/1812/08/06/pdfs/GRE-1812-100.pdf#page=8","Abrir facsímil")</f>
        <v>Abrir facsímil</v>
      </c>
      <c r="K3169" s="3" t="s">
        <v>23</v>
      </c>
    </row>
    <row r="3170" spans="1:11" ht="42" customHeight="1">
      <c r="A3170" s="2" t="s">
        <v>8713</v>
      </c>
      <c r="B3170" s="2" t="s">
        <v>8714</v>
      </c>
      <c r="C3170" s="2" t="s">
        <v>105</v>
      </c>
      <c r="D3170" s="2" t="s">
        <v>27</v>
      </c>
      <c r="E3170" s="4">
        <v>-32088</v>
      </c>
      <c r="F3170" s="3" t="s">
        <v>1217</v>
      </c>
      <c r="G3170" s="3" t="s">
        <v>1218</v>
      </c>
      <c r="H3170" s="2" t="s">
        <v>21</v>
      </c>
      <c r="I3170" s="2" t="s">
        <v>8715</v>
      </c>
      <c r="J3170" s="3" t="str">
        <f>HYPERLINK("https://www.boe.es/gazeta/dias/1812/02/22/pdfs/GMD-1812-53.pdf#page=4","Abrir facsímil")</f>
        <v>Abrir facsímil</v>
      </c>
      <c r="K3170" s="3" t="s">
        <v>23</v>
      </c>
    </row>
    <row r="3171" spans="1:11" ht="42" customHeight="1">
      <c r="A3171" s="2" t="s">
        <v>8713</v>
      </c>
      <c r="B3171" s="2" t="s">
        <v>8714</v>
      </c>
      <c r="C3171" s="2" t="s">
        <v>26</v>
      </c>
      <c r="D3171" s="2" t="s">
        <v>27</v>
      </c>
      <c r="E3171" s="4">
        <v>-32015</v>
      </c>
      <c r="F3171" s="3" t="s">
        <v>77</v>
      </c>
      <c r="G3171" s="3" t="s">
        <v>78</v>
      </c>
      <c r="H3171" s="2" t="s">
        <v>21</v>
      </c>
      <c r="I3171" s="2" t="s">
        <v>8716</v>
      </c>
      <c r="J3171" s="3" t="str">
        <f>HYPERLINK("https://www.boe.es/gazeta/dias/1812/05/05/pdfs/GRE-1812-56.pdf#page=8","Abrir facsímil")</f>
        <v>Abrir facsímil</v>
      </c>
      <c r="K3171" s="3" t="s">
        <v>23</v>
      </c>
    </row>
    <row r="3172" spans="1:11" ht="42" customHeight="1">
      <c r="A3172" s="2" t="s">
        <v>8717</v>
      </c>
      <c r="B3172" s="2" t="s">
        <v>8718</v>
      </c>
      <c r="C3172" s="2" t="s">
        <v>26</v>
      </c>
      <c r="D3172" s="2" t="s">
        <v>27</v>
      </c>
      <c r="E3172" s="4">
        <v>-31943</v>
      </c>
      <c r="F3172" s="3" t="s">
        <v>8719</v>
      </c>
      <c r="G3172" s="3" t="s">
        <v>106</v>
      </c>
      <c r="H3172" s="2" t="s">
        <v>21</v>
      </c>
      <c r="I3172" s="2" t="s">
        <v>8720</v>
      </c>
      <c r="J3172" s="3" t="str">
        <f>HYPERLINK("https://www.boe.es/gazeta/dias/1812/07/16/pdfs/GMD-1812-198.pdf#page=4","Abrir facsímil")</f>
        <v>Abrir facsímil</v>
      </c>
      <c r="K3172" s="3" t="s">
        <v>23</v>
      </c>
    </row>
    <row r="3173" spans="1:11" ht="42" customHeight="1">
      <c r="A3173" s="2" t="s">
        <v>8721</v>
      </c>
      <c r="B3173" s="2" t="s">
        <v>8722</v>
      </c>
      <c r="C3173" s="2" t="s">
        <v>105</v>
      </c>
      <c r="D3173" s="2" t="s">
        <v>27</v>
      </c>
      <c r="E3173" s="4">
        <v>-31787</v>
      </c>
      <c r="F3173" s="3" t="s">
        <v>1560</v>
      </c>
      <c r="G3173" s="3" t="s">
        <v>404</v>
      </c>
      <c r="H3173" s="2" t="s">
        <v>21</v>
      </c>
      <c r="I3173" s="2" t="s">
        <v>8723</v>
      </c>
      <c r="J3173" s="3" t="str">
        <f>HYPERLINK("https://www.boe.es/gazeta/dias/1812/12/19/pdfs/GRE-1812-167.pdf#page=8","Abrir facsímil")</f>
        <v>Abrir facsímil</v>
      </c>
      <c r="K3173" s="3" t="s">
        <v>23</v>
      </c>
    </row>
    <row r="3174" spans="1:11" ht="42" customHeight="1">
      <c r="A3174" s="2" t="s">
        <v>8724</v>
      </c>
      <c r="B3174" s="2" t="s">
        <v>8725</v>
      </c>
      <c r="C3174" s="2" t="s">
        <v>17</v>
      </c>
      <c r="D3174" s="2" t="s">
        <v>27</v>
      </c>
      <c r="E3174" s="4">
        <v>-31964</v>
      </c>
      <c r="F3174" s="3" t="s">
        <v>93</v>
      </c>
      <c r="G3174" s="3" t="s">
        <v>94</v>
      </c>
      <c r="H3174" s="2" t="s">
        <v>21</v>
      </c>
      <c r="I3174" s="2" t="s">
        <v>8726</v>
      </c>
      <c r="J3174" s="3" t="str">
        <f>HYPERLINK("https://www.boe.es/gazeta/dias/1812/06/25/pdfs/GRE-1812-78.pdf#page=4","Abrir facsímil")</f>
        <v>Abrir facsímil</v>
      </c>
      <c r="K3174" s="3" t="s">
        <v>23</v>
      </c>
    </row>
    <row r="3175" spans="1:11" ht="42" customHeight="1">
      <c r="A3175" s="2" t="s">
        <v>8727</v>
      </c>
      <c r="B3175" s="2" t="s">
        <v>8727</v>
      </c>
      <c r="C3175" s="2" t="s">
        <v>49</v>
      </c>
      <c r="D3175" s="2" t="s">
        <v>27</v>
      </c>
      <c r="E3175" s="4">
        <v>-31838</v>
      </c>
      <c r="F3175" s="3" t="s">
        <v>1960</v>
      </c>
      <c r="G3175" s="3" t="s">
        <v>196</v>
      </c>
      <c r="H3175" s="2" t="s">
        <v>21</v>
      </c>
      <c r="I3175" s="2" t="s">
        <v>8728</v>
      </c>
      <c r="J3175" s="3" t="str">
        <f>HYPERLINK("https://www.boe.es/gazeta/dias/1812/10/29/pdfs/GRE-1812-145.pdf#page=8","Abrir facsímil")</f>
        <v>Abrir facsímil</v>
      </c>
      <c r="K3175" s="3" t="s">
        <v>23</v>
      </c>
    </row>
    <row r="3176" spans="1:11" ht="42" customHeight="1">
      <c r="A3176" s="2" t="s">
        <v>8729</v>
      </c>
      <c r="B3176" s="2" t="s">
        <v>8729</v>
      </c>
      <c r="C3176" s="2" t="s">
        <v>49</v>
      </c>
      <c r="D3176" s="2" t="s">
        <v>27</v>
      </c>
      <c r="E3176" s="4">
        <v>-31945</v>
      </c>
      <c r="F3176" s="3" t="s">
        <v>1485</v>
      </c>
      <c r="G3176" s="3" t="s">
        <v>8730</v>
      </c>
      <c r="H3176" s="2" t="s">
        <v>21</v>
      </c>
      <c r="I3176" s="2" t="s">
        <v>8731</v>
      </c>
      <c r="J3176" s="3" t="str">
        <f>HYPERLINK("https://www.boe.es/gazeta/dias/1812/07/14/pdfs/GRE-1812-88.pdf#page=6","Abrir facsímil")</f>
        <v>Abrir facsímil</v>
      </c>
      <c r="K3176" s="3" t="s">
        <v>23</v>
      </c>
    </row>
    <row r="3177" spans="1:11" ht="42" customHeight="1">
      <c r="A3177" s="2" t="s">
        <v>8732</v>
      </c>
      <c r="B3177" s="2" t="s">
        <v>8732</v>
      </c>
      <c r="C3177" s="2" t="s">
        <v>26</v>
      </c>
      <c r="D3177" s="2" t="s">
        <v>27</v>
      </c>
      <c r="E3177" s="4">
        <v>-31906</v>
      </c>
      <c r="F3177" s="3" t="s">
        <v>124</v>
      </c>
      <c r="G3177" s="3" t="s">
        <v>7833</v>
      </c>
      <c r="H3177" s="2" t="s">
        <v>21</v>
      </c>
      <c r="I3177" s="2" t="s">
        <v>8733</v>
      </c>
      <c r="J3177" s="3" t="str">
        <f>HYPERLINK("https://www.boe.es/gazeta/dias/1812/08/22/pdfs/GRE-1812-109.pdf#page=3","Abrir facsímil")</f>
        <v>Abrir facsímil</v>
      </c>
      <c r="K3177" s="3" t="s">
        <v>23</v>
      </c>
    </row>
    <row r="3178" spans="1:11" ht="42" customHeight="1">
      <c r="A3178" s="2" t="s">
        <v>8734</v>
      </c>
      <c r="B3178" s="2" t="s">
        <v>8734</v>
      </c>
      <c r="C3178" s="2" t="s">
        <v>49</v>
      </c>
      <c r="D3178" s="2" t="s">
        <v>27</v>
      </c>
      <c r="E3178" s="4">
        <v>-31775</v>
      </c>
      <c r="F3178" s="3" t="s">
        <v>660</v>
      </c>
      <c r="G3178" s="3" t="s">
        <v>8735</v>
      </c>
      <c r="H3178" s="2" t="s">
        <v>21</v>
      </c>
      <c r="I3178" s="2" t="s">
        <v>8736</v>
      </c>
      <c r="J3178" s="3" t="str">
        <f>HYPERLINK("https://www.boe.es/gazeta/dias/1812/12/31/pdfs/GRE-1812-172.pdf#page=7","Abrir facsímil")</f>
        <v>Abrir facsímil</v>
      </c>
      <c r="K3178" s="3" t="s">
        <v>23</v>
      </c>
    </row>
    <row r="3179" spans="1:11" ht="42" customHeight="1">
      <c r="A3179" s="2" t="s">
        <v>8737</v>
      </c>
      <c r="B3179" s="2" t="s">
        <v>8737</v>
      </c>
      <c r="C3179" s="2" t="s">
        <v>49</v>
      </c>
      <c r="D3179" s="2" t="s">
        <v>134</v>
      </c>
      <c r="E3179" s="4">
        <v>-31889</v>
      </c>
      <c r="F3179" s="3" t="s">
        <v>1973</v>
      </c>
      <c r="G3179" s="3" t="s">
        <v>36</v>
      </c>
      <c r="H3179" s="2" t="s">
        <v>21</v>
      </c>
      <c r="I3179" s="2" t="s">
        <v>8738</v>
      </c>
      <c r="J3179" s="3" t="str">
        <f>HYPERLINK("https://www.boe.es/gazeta/dias/1812/09/08/pdfs/GRE-F-1812-121.pdf#page=3","Abrir facsímil")</f>
        <v>Abrir facsímil</v>
      </c>
      <c r="K3179" s="3" t="s">
        <v>23</v>
      </c>
    </row>
    <row r="3180" spans="1:11" ht="42" customHeight="1">
      <c r="A3180" s="2" t="s">
        <v>8739</v>
      </c>
      <c r="B3180" s="2" t="s">
        <v>8739</v>
      </c>
      <c r="C3180" s="2" t="s">
        <v>26</v>
      </c>
      <c r="D3180" s="2" t="s">
        <v>27</v>
      </c>
      <c r="E3180" s="4">
        <v>-31931</v>
      </c>
      <c r="F3180" s="3" t="s">
        <v>4174</v>
      </c>
      <c r="G3180" s="3" t="s">
        <v>4175</v>
      </c>
      <c r="H3180" s="2" t="s">
        <v>21</v>
      </c>
      <c r="I3180" s="2" t="s">
        <v>8740</v>
      </c>
      <c r="J3180" s="3" t="str">
        <f>HYPERLINK("https://www.boe.es/gazeta/dias/1812/07/28/pdfs/GRE-1812-94.pdf#page=5","Abrir facsímil")</f>
        <v>Abrir facsímil</v>
      </c>
      <c r="K3180" s="3" t="s">
        <v>23</v>
      </c>
    </row>
    <row r="3181" spans="1:11" ht="42" customHeight="1">
      <c r="A3181" s="2" t="s">
        <v>8741</v>
      </c>
      <c r="B3181" s="2" t="s">
        <v>8741</v>
      </c>
      <c r="C3181" s="2" t="s">
        <v>17</v>
      </c>
      <c r="D3181" s="2" t="s">
        <v>18</v>
      </c>
      <c r="E3181" s="4">
        <v>-32072</v>
      </c>
      <c r="F3181" s="3" t="s">
        <v>8696</v>
      </c>
      <c r="G3181" s="3" t="s">
        <v>336</v>
      </c>
      <c r="H3181" s="2" t="s">
        <v>21</v>
      </c>
      <c r="I3181" s="2" t="s">
        <v>8742</v>
      </c>
      <c r="J3181" s="3" t="str">
        <f>HYPERLINK("https://www.boe.es/gazeta/dias/1812/03/09/pdfs/GMD-1812-69.pdf#page=4","Abrir facsímil")</f>
        <v>Abrir facsímil</v>
      </c>
      <c r="K3181" s="3" t="s">
        <v>23</v>
      </c>
    </row>
    <row r="3182" spans="1:11" ht="42" customHeight="1">
      <c r="A3182" s="2" t="s">
        <v>8743</v>
      </c>
      <c r="B3182" s="2" t="s">
        <v>8743</v>
      </c>
      <c r="C3182" s="2" t="s">
        <v>26</v>
      </c>
      <c r="D3182" s="2" t="s">
        <v>275</v>
      </c>
      <c r="E3182" s="4">
        <v>-31980</v>
      </c>
      <c r="F3182" s="3" t="s">
        <v>2667</v>
      </c>
      <c r="G3182" s="3" t="s">
        <v>58</v>
      </c>
      <c r="H3182" s="2" t="s">
        <v>21</v>
      </c>
      <c r="I3182" s="2" t="s">
        <v>8744</v>
      </c>
      <c r="J3182" s="3" t="str">
        <f>HYPERLINK("https://www.boe.es/gazeta/dias/1812/06/09/pdfs/GMD-1812-161.pdf#page=3","Abrir facsímil")</f>
        <v>Abrir facsímil</v>
      </c>
      <c r="K3182" s="3" t="s">
        <v>23</v>
      </c>
    </row>
    <row r="3183" spans="1:11" ht="42" customHeight="1">
      <c r="A3183" s="2" t="s">
        <v>8743</v>
      </c>
      <c r="B3183" s="2" t="s">
        <v>8743</v>
      </c>
      <c r="C3183" s="2" t="s">
        <v>17</v>
      </c>
      <c r="D3183" s="2" t="s">
        <v>18</v>
      </c>
      <c r="E3183" s="4">
        <v>-31976</v>
      </c>
      <c r="F3183" s="3" t="s">
        <v>54</v>
      </c>
      <c r="G3183" s="3" t="s">
        <v>8745</v>
      </c>
      <c r="H3183" s="2" t="s">
        <v>21</v>
      </c>
      <c r="I3183" s="2" t="s">
        <v>8746</v>
      </c>
      <c r="J3183" s="3" t="str">
        <f>HYPERLINK("https://www.boe.es/gazeta/dias/1812/06/13/pdfs/GRE-1812-73.pdf#page=8","Abrir facsímil")</f>
        <v>Abrir facsímil</v>
      </c>
      <c r="K3183" s="3" t="s">
        <v>23</v>
      </c>
    </row>
    <row r="3184" spans="1:11" ht="42" customHeight="1">
      <c r="A3184" s="2" t="s">
        <v>8743</v>
      </c>
      <c r="B3184" s="2" t="s">
        <v>8743</v>
      </c>
      <c r="C3184" s="2" t="s">
        <v>17</v>
      </c>
      <c r="D3184" s="2" t="s">
        <v>18</v>
      </c>
      <c r="E3184" s="4">
        <v>-31966</v>
      </c>
      <c r="F3184" s="3" t="s">
        <v>3665</v>
      </c>
      <c r="G3184" s="3" t="s">
        <v>125</v>
      </c>
      <c r="H3184" s="2" t="s">
        <v>21</v>
      </c>
      <c r="I3184" s="2" t="s">
        <v>8747</v>
      </c>
      <c r="J3184" s="3" t="str">
        <f>HYPERLINK("https://www.boe.es/gazeta/dias/1812/06/23/pdfs/GRE-1812-77.pdf#page=4","Abrir facsímil")</f>
        <v>Abrir facsímil</v>
      </c>
      <c r="K3184" s="3" t="s">
        <v>23</v>
      </c>
    </row>
    <row r="3185" spans="1:11" ht="42" customHeight="1">
      <c r="A3185" s="2" t="s">
        <v>8748</v>
      </c>
      <c r="B3185" s="2" t="s">
        <v>8749</v>
      </c>
      <c r="C3185" s="2" t="s">
        <v>26</v>
      </c>
      <c r="D3185" s="2" t="s">
        <v>27</v>
      </c>
      <c r="E3185" s="4">
        <v>-31864</v>
      </c>
      <c r="F3185" s="3" t="s">
        <v>3014</v>
      </c>
      <c r="G3185" s="3" t="s">
        <v>5929</v>
      </c>
      <c r="H3185" s="2" t="s">
        <v>21</v>
      </c>
      <c r="I3185" s="2" t="s">
        <v>8750</v>
      </c>
      <c r="J3185" s="3" t="str">
        <f>HYPERLINK("https://www.boe.es/gazeta/dias/1812/10/03/pdfs/GRE-1812-134.pdf#page=8","Abrir facsímil")</f>
        <v>Abrir facsímil</v>
      </c>
      <c r="K3185" s="3" t="s">
        <v>23</v>
      </c>
    </row>
    <row r="3186" spans="1:11" ht="42" customHeight="1">
      <c r="A3186" s="2" t="s">
        <v>8751</v>
      </c>
      <c r="B3186" s="2" t="s">
        <v>8752</v>
      </c>
      <c r="C3186" s="2" t="s">
        <v>26</v>
      </c>
      <c r="D3186" s="2" t="s">
        <v>27</v>
      </c>
      <c r="E3186" s="4">
        <v>-31838</v>
      </c>
      <c r="F3186" s="3" t="s">
        <v>1452</v>
      </c>
      <c r="G3186" s="3" t="s">
        <v>8753</v>
      </c>
      <c r="H3186" s="2" t="s">
        <v>21</v>
      </c>
      <c r="I3186" s="2" t="s">
        <v>8754</v>
      </c>
      <c r="J3186" s="3" t="str">
        <f>HYPERLINK("https://www.boe.es/gazeta/dias/1812/10/29/pdfs/GMR-1812-33.pdf#page=7","Abrir facsímil")</f>
        <v>Abrir facsímil</v>
      </c>
      <c r="K3186" s="3" t="s">
        <v>23</v>
      </c>
    </row>
    <row r="3187" spans="1:11" ht="42" customHeight="1">
      <c r="A3187" s="2" t="s">
        <v>8755</v>
      </c>
      <c r="B3187" s="2" t="s">
        <v>8756</v>
      </c>
      <c r="C3187" s="2" t="s">
        <v>26</v>
      </c>
      <c r="D3187" s="2" t="s">
        <v>27</v>
      </c>
      <c r="E3187" s="4">
        <v>-32127</v>
      </c>
      <c r="F3187" s="3" t="s">
        <v>88</v>
      </c>
      <c r="G3187" s="3" t="s">
        <v>89</v>
      </c>
      <c r="H3187" s="2" t="s">
        <v>21</v>
      </c>
      <c r="I3187" s="2" t="s">
        <v>8757</v>
      </c>
      <c r="J3187" s="3" t="str">
        <f>HYPERLINK("https://www.boe.es/gazeta/dias/1812/01/14/pdfs/GEI-1812-6.pdf#page=8","Abrir facsímil")</f>
        <v>Abrir facsímil</v>
      </c>
      <c r="K3187" s="3" t="s">
        <v>23</v>
      </c>
    </row>
    <row r="3188" spans="1:11" ht="42" customHeight="1">
      <c r="A3188" s="2" t="s">
        <v>8758</v>
      </c>
      <c r="B3188" s="2" t="s">
        <v>8759</v>
      </c>
      <c r="C3188" s="2" t="s">
        <v>105</v>
      </c>
      <c r="D3188" s="2" t="s">
        <v>27</v>
      </c>
      <c r="E3188" s="4">
        <v>-32109</v>
      </c>
      <c r="F3188" s="3" t="s">
        <v>2637</v>
      </c>
      <c r="G3188" s="3" t="s">
        <v>1380</v>
      </c>
      <c r="H3188" s="2" t="s">
        <v>21</v>
      </c>
      <c r="I3188" s="2" t="s">
        <v>8760</v>
      </c>
      <c r="J3188" s="3" t="str">
        <f>HYPERLINK("https://www.boe.es/gazeta/dias/1812/02/01/pdfs/GMD-1812-32.pdf#page=4","Abrir facsímil")</f>
        <v>Abrir facsímil</v>
      </c>
      <c r="K3188" s="3" t="s">
        <v>23</v>
      </c>
    </row>
    <row r="3189" spans="1:11" ht="42" customHeight="1">
      <c r="A3189" s="2" t="s">
        <v>8758</v>
      </c>
      <c r="B3189" s="2" t="s">
        <v>8759</v>
      </c>
      <c r="C3189" s="2" t="s">
        <v>17</v>
      </c>
      <c r="D3189" s="2" t="s">
        <v>27</v>
      </c>
      <c r="E3189" s="4">
        <v>-32055</v>
      </c>
      <c r="F3189" s="3" t="s">
        <v>1271</v>
      </c>
      <c r="G3189" s="3" t="s">
        <v>130</v>
      </c>
      <c r="H3189" s="2" t="s">
        <v>21</v>
      </c>
      <c r="I3189" s="2" t="s">
        <v>8761</v>
      </c>
      <c r="J3189" s="3" t="str">
        <f>HYPERLINK("https://www.boe.es/gazeta/dias/1812/03/26/pdfs/GMD-1812-86.pdf#page=4","Abrir facsímil")</f>
        <v>Abrir facsímil</v>
      </c>
      <c r="K3189" s="3" t="s">
        <v>23</v>
      </c>
    </row>
    <row r="3190" spans="1:11" ht="42" customHeight="1">
      <c r="A3190" s="2" t="s">
        <v>8762</v>
      </c>
      <c r="B3190" s="2" t="s">
        <v>8763</v>
      </c>
      <c r="C3190" s="2" t="s">
        <v>17</v>
      </c>
      <c r="D3190" s="2" t="s">
        <v>18</v>
      </c>
      <c r="E3190" s="4">
        <v>-32083</v>
      </c>
      <c r="F3190" s="3" t="s">
        <v>1496</v>
      </c>
      <c r="G3190" s="3" t="s">
        <v>2658</v>
      </c>
      <c r="H3190" s="2" t="s">
        <v>21</v>
      </c>
      <c r="I3190" s="2" t="s">
        <v>8764</v>
      </c>
      <c r="J3190" s="3" t="str">
        <f>HYPERLINK("https://www.boe.es/gazeta/dias/1812/02/27/pdfs/GRE-1812-26.pdf#page=7","Abrir facsímil")</f>
        <v>Abrir facsímil</v>
      </c>
      <c r="K3190" s="3" t="s">
        <v>23</v>
      </c>
    </row>
    <row r="3191" spans="1:11" ht="42" customHeight="1">
      <c r="A3191" s="2" t="s">
        <v>8765</v>
      </c>
      <c r="B3191" s="2" t="s">
        <v>8766</v>
      </c>
      <c r="C3191" s="2" t="s">
        <v>26</v>
      </c>
      <c r="D3191" s="2" t="s">
        <v>27</v>
      </c>
      <c r="E3191" s="4">
        <v>-31940</v>
      </c>
      <c r="F3191" s="3" t="s">
        <v>187</v>
      </c>
      <c r="G3191" s="3" t="s">
        <v>404</v>
      </c>
      <c r="H3191" s="2" t="s">
        <v>21</v>
      </c>
      <c r="I3191" s="2" t="s">
        <v>8767</v>
      </c>
      <c r="J3191" s="3" t="str">
        <f>HYPERLINK("https://www.boe.es/gazeta/dias/1812/07/19/pdfs/GMD-1812-201.pdf#page=3","Abrir facsímil")</f>
        <v>Abrir facsímil</v>
      </c>
      <c r="K3191" s="3" t="s">
        <v>23</v>
      </c>
    </row>
    <row r="3192" spans="1:11" ht="42" customHeight="1">
      <c r="A3192" s="2" t="s">
        <v>8768</v>
      </c>
      <c r="B3192" s="2" t="s">
        <v>8769</v>
      </c>
      <c r="C3192" s="2" t="s">
        <v>26</v>
      </c>
      <c r="D3192" s="2" t="s">
        <v>27</v>
      </c>
      <c r="E3192" s="4">
        <v>-32084</v>
      </c>
      <c r="F3192" s="3" t="s">
        <v>6994</v>
      </c>
      <c r="G3192" s="3" t="s">
        <v>688</v>
      </c>
      <c r="H3192" s="2" t="s">
        <v>21</v>
      </c>
      <c r="I3192" s="2" t="s">
        <v>8770</v>
      </c>
      <c r="J3192" s="3" t="str">
        <f>HYPERLINK("https://www.boe.es/gazeta/dias/1812/02/26/pdfs/GMD-1812-57.pdf#page=4","Abrir facsímil")</f>
        <v>Abrir facsímil</v>
      </c>
      <c r="K3192" s="3" t="s">
        <v>23</v>
      </c>
    </row>
    <row r="3193" spans="1:11" ht="42" customHeight="1">
      <c r="A3193" s="2" t="s">
        <v>8768</v>
      </c>
      <c r="B3193" s="2" t="s">
        <v>8769</v>
      </c>
      <c r="C3193" s="2" t="s">
        <v>26</v>
      </c>
      <c r="D3193" s="2" t="s">
        <v>27</v>
      </c>
      <c r="E3193" s="4">
        <v>-32072</v>
      </c>
      <c r="F3193" s="3" t="s">
        <v>8696</v>
      </c>
      <c r="G3193" s="3" t="s">
        <v>336</v>
      </c>
      <c r="H3193" s="2" t="s">
        <v>21</v>
      </c>
      <c r="I3193" s="2" t="s">
        <v>8771</v>
      </c>
      <c r="J3193" s="3" t="str">
        <f>HYPERLINK("https://www.boe.es/gazeta/dias/1812/03/09/pdfs/GMD-1812-69.pdf#page=4","Abrir facsímil")</f>
        <v>Abrir facsímil</v>
      </c>
      <c r="K3193" s="3" t="s">
        <v>23</v>
      </c>
    </row>
    <row r="3194" spans="1:11" ht="42" customHeight="1">
      <c r="A3194" s="2" t="s">
        <v>8768</v>
      </c>
      <c r="B3194" s="2" t="s">
        <v>8769</v>
      </c>
      <c r="C3194" s="2" t="s">
        <v>17</v>
      </c>
      <c r="D3194" s="2" t="s">
        <v>27</v>
      </c>
      <c r="E3194" s="4">
        <v>-31929</v>
      </c>
      <c r="F3194" s="3" t="s">
        <v>1148</v>
      </c>
      <c r="G3194" s="3" t="s">
        <v>1301</v>
      </c>
      <c r="H3194" s="2" t="s">
        <v>21</v>
      </c>
      <c r="I3194" s="2" t="s">
        <v>8772</v>
      </c>
      <c r="J3194" s="3" t="str">
        <f>HYPERLINK("https://www.boe.es/gazeta/dias/1812/07/30/pdfs/GRE-1812-95.pdf#page=8","Abrir facsímil")</f>
        <v>Abrir facsímil</v>
      </c>
      <c r="K3194" s="3" t="s">
        <v>23</v>
      </c>
    </row>
    <row r="3195" spans="1:11" ht="42" customHeight="1">
      <c r="A3195" s="2" t="s">
        <v>8773</v>
      </c>
      <c r="B3195" s="2" t="s">
        <v>8774</v>
      </c>
      <c r="C3195" s="2" t="s">
        <v>17</v>
      </c>
      <c r="D3195" s="2" t="s">
        <v>18</v>
      </c>
      <c r="E3195" s="4">
        <v>-32063</v>
      </c>
      <c r="F3195" s="3" t="s">
        <v>384</v>
      </c>
      <c r="G3195" s="3" t="s">
        <v>125</v>
      </c>
      <c r="H3195" s="2" t="s">
        <v>21</v>
      </c>
      <c r="I3195" s="2" t="s">
        <v>8775</v>
      </c>
      <c r="J3195" s="3" t="str">
        <f>HYPERLINK("https://www.boe.es/gazeta/dias/1812/03/18/pdfs/GMD-1812-78.pdf#page=3","Abrir facsímil")</f>
        <v>Abrir facsímil</v>
      </c>
      <c r="K3195" s="3" t="s">
        <v>23</v>
      </c>
    </row>
    <row r="3196" spans="1:11" ht="42" customHeight="1">
      <c r="A3196" s="2" t="s">
        <v>8776</v>
      </c>
      <c r="B3196" s="2" t="s">
        <v>8777</v>
      </c>
      <c r="C3196" s="2" t="s">
        <v>26</v>
      </c>
      <c r="D3196" s="2" t="s">
        <v>27</v>
      </c>
      <c r="E3196" s="4">
        <v>-32127</v>
      </c>
      <c r="F3196" s="3" t="s">
        <v>88</v>
      </c>
      <c r="G3196" s="3" t="s">
        <v>89</v>
      </c>
      <c r="H3196" s="2" t="s">
        <v>21</v>
      </c>
      <c r="I3196" s="2" t="s">
        <v>8778</v>
      </c>
      <c r="J3196" s="3" t="str">
        <f>HYPERLINK("https://www.boe.es/gazeta/dias/1812/01/14/pdfs/GEI-1812-6.pdf#page=8","Abrir facsímil")</f>
        <v>Abrir facsímil</v>
      </c>
      <c r="K3196" s="3" t="s">
        <v>23</v>
      </c>
    </row>
    <row r="3197" spans="1:11" ht="42" customHeight="1">
      <c r="A3197" s="2" t="s">
        <v>8779</v>
      </c>
      <c r="B3197" s="2" t="s">
        <v>8780</v>
      </c>
      <c r="C3197" s="2" t="s">
        <v>17</v>
      </c>
      <c r="D3197" s="2" t="s">
        <v>27</v>
      </c>
      <c r="E3197" s="4">
        <v>-31945</v>
      </c>
      <c r="F3197" s="3" t="s">
        <v>1485</v>
      </c>
      <c r="G3197" s="3" t="s">
        <v>2905</v>
      </c>
      <c r="H3197" s="2" t="s">
        <v>21</v>
      </c>
      <c r="I3197" s="2" t="s">
        <v>8781</v>
      </c>
      <c r="J3197" s="3" t="str">
        <f>HYPERLINK("https://www.boe.es/gazeta/dias/1812/07/14/pdfs/GRE-1812-88.pdf#page=2","Abrir facsímil")</f>
        <v>Abrir facsímil</v>
      </c>
      <c r="K3197" s="3" t="s">
        <v>23</v>
      </c>
    </row>
    <row r="3198" spans="1:11" ht="42" customHeight="1">
      <c r="A3198" s="2" t="s">
        <v>8782</v>
      </c>
      <c r="B3198" s="2" t="s">
        <v>8783</v>
      </c>
      <c r="C3198" s="2" t="s">
        <v>49</v>
      </c>
      <c r="D3198" s="2" t="s">
        <v>27</v>
      </c>
      <c r="E3198" s="4">
        <v>-32075</v>
      </c>
      <c r="F3198" s="3" t="s">
        <v>301</v>
      </c>
      <c r="G3198" s="3" t="s">
        <v>20</v>
      </c>
      <c r="H3198" s="2" t="s">
        <v>21</v>
      </c>
      <c r="I3198" s="2" t="s">
        <v>8784</v>
      </c>
      <c r="J3198" s="3" t="str">
        <f>HYPERLINK("https://www.boe.es/gazeta/dias/1812/03/06/pdfs/GMD-1812-66.pdf#page=4","Abrir facsímil")</f>
        <v>Abrir facsímil</v>
      </c>
      <c r="K3198" s="3" t="s">
        <v>23</v>
      </c>
    </row>
    <row r="3199" spans="1:11" ht="42" customHeight="1">
      <c r="A3199" s="2" t="s">
        <v>8782</v>
      </c>
      <c r="B3199" s="2" t="s">
        <v>8783</v>
      </c>
      <c r="C3199" s="2" t="s">
        <v>17</v>
      </c>
      <c r="D3199" s="2" t="s">
        <v>27</v>
      </c>
      <c r="E3199" s="4">
        <v>-31922</v>
      </c>
      <c r="F3199" s="3" t="s">
        <v>375</v>
      </c>
      <c r="G3199" s="3" t="s">
        <v>986</v>
      </c>
      <c r="H3199" s="2" t="s">
        <v>21</v>
      </c>
      <c r="I3199" s="2" t="s">
        <v>8785</v>
      </c>
      <c r="J3199" s="3" t="str">
        <f>HYPERLINK("https://www.boe.es/gazeta/dias/1812/08/06/pdfs/GRE-1812-100.pdf#page=8","Abrir facsímil")</f>
        <v>Abrir facsímil</v>
      </c>
      <c r="K3199" s="3" t="s">
        <v>23</v>
      </c>
    </row>
    <row r="3200" spans="1:11" ht="42" customHeight="1">
      <c r="A3200" s="2" t="s">
        <v>8786</v>
      </c>
      <c r="B3200" s="2" t="s">
        <v>8787</v>
      </c>
      <c r="C3200" s="2" t="s">
        <v>26</v>
      </c>
      <c r="D3200" s="2" t="s">
        <v>27</v>
      </c>
      <c r="E3200" s="4">
        <v>-31938</v>
      </c>
      <c r="F3200" s="3" t="s">
        <v>324</v>
      </c>
      <c r="G3200" s="3" t="s">
        <v>497</v>
      </c>
      <c r="H3200" s="2" t="s">
        <v>21</v>
      </c>
      <c r="I3200" s="2" t="s">
        <v>8788</v>
      </c>
      <c r="J3200" s="3" t="str">
        <f>HYPERLINK("https://www.boe.es/gazeta/dias/1812/07/21/pdfs/GMD-1812-203.pdf#page=3","Abrir facsímil")</f>
        <v>Abrir facsímil</v>
      </c>
      <c r="K3200" s="3" t="s">
        <v>23</v>
      </c>
    </row>
    <row r="3201" spans="1:11" ht="42" customHeight="1">
      <c r="A3201" s="2" t="s">
        <v>8789</v>
      </c>
      <c r="B3201" s="2" t="s">
        <v>8790</v>
      </c>
      <c r="C3201" s="2" t="s">
        <v>17</v>
      </c>
      <c r="D3201" s="2" t="s">
        <v>18</v>
      </c>
      <c r="E3201" s="4">
        <v>-32127</v>
      </c>
      <c r="F3201" s="3" t="s">
        <v>88</v>
      </c>
      <c r="G3201" s="3" t="s">
        <v>89</v>
      </c>
      <c r="H3201" s="2" t="s">
        <v>21</v>
      </c>
      <c r="I3201" s="2" t="s">
        <v>8791</v>
      </c>
      <c r="J3201" s="3" t="str">
        <f>HYPERLINK("https://www.boe.es/gazeta/dias/1812/01/14/pdfs/GEI-1812-6.pdf#page=8","Abrir facsímil")</f>
        <v>Abrir facsímil</v>
      </c>
      <c r="K3201" s="3" t="s">
        <v>23</v>
      </c>
    </row>
    <row r="3202" spans="1:11" ht="42" customHeight="1">
      <c r="A3202" s="2" t="s">
        <v>8792</v>
      </c>
      <c r="B3202" s="2" t="s">
        <v>8793</v>
      </c>
      <c r="C3202" s="2" t="s">
        <v>26</v>
      </c>
      <c r="D3202" s="2" t="s">
        <v>27</v>
      </c>
      <c r="E3202" s="4">
        <v>-31990</v>
      </c>
      <c r="F3202" s="3" t="s">
        <v>5078</v>
      </c>
      <c r="G3202" s="3" t="s">
        <v>1698</v>
      </c>
      <c r="H3202" s="2" t="s">
        <v>21</v>
      </c>
      <c r="I3202" s="2" t="s">
        <v>8794</v>
      </c>
      <c r="J3202" s="3" t="str">
        <f>HYPERLINK("https://www.boe.es/gazeta/dias/1812/05/30/pdfs/GRE-1812-67.pdf#page=5","Abrir facsímil")</f>
        <v>Abrir facsímil</v>
      </c>
      <c r="K3202" s="3" t="s">
        <v>23</v>
      </c>
    </row>
    <row r="3203" spans="1:11" ht="42" customHeight="1">
      <c r="A3203" s="2" t="s">
        <v>8792</v>
      </c>
      <c r="B3203" s="2" t="s">
        <v>8793</v>
      </c>
      <c r="C3203" s="2" t="s">
        <v>17</v>
      </c>
      <c r="D3203" s="2" t="s">
        <v>18</v>
      </c>
      <c r="E3203" s="4">
        <v>-31882</v>
      </c>
      <c r="F3203" s="3" t="s">
        <v>1798</v>
      </c>
      <c r="G3203" s="3" t="s">
        <v>1799</v>
      </c>
      <c r="H3203" s="2" t="s">
        <v>21</v>
      </c>
      <c r="I3203" s="2" t="s">
        <v>8795</v>
      </c>
      <c r="J3203" s="3" t="str">
        <f>HYPERLINK("https://www.boe.es/gazeta/dias/1812/09/15/pdfs/GMR-1812-14.pdf#page=12","Abrir facsímil")</f>
        <v>Abrir facsímil</v>
      </c>
      <c r="K3203" s="3" t="s">
        <v>23</v>
      </c>
    </row>
    <row r="3204" spans="1:11" ht="42" customHeight="1">
      <c r="A3204" s="2" t="s">
        <v>8796</v>
      </c>
      <c r="B3204" s="2" t="s">
        <v>8797</v>
      </c>
      <c r="C3204" s="2" t="s">
        <v>26</v>
      </c>
      <c r="D3204" s="2" t="s">
        <v>275</v>
      </c>
      <c r="E3204" s="4">
        <v>-31955</v>
      </c>
      <c r="F3204" s="3" t="s">
        <v>135</v>
      </c>
      <c r="G3204" s="3" t="s">
        <v>58</v>
      </c>
      <c r="H3204" s="2" t="s">
        <v>21</v>
      </c>
      <c r="I3204" s="2" t="s">
        <v>8798</v>
      </c>
      <c r="J3204" s="3" t="str">
        <f>HYPERLINK("https://www.boe.es/gazeta/dias/1812/07/04/pdfs/GRE-F-1812-82.pdf#page=6","Abrir facsímil")</f>
        <v>Abrir facsímil</v>
      </c>
      <c r="K3204" s="3" t="s">
        <v>23</v>
      </c>
    </row>
    <row r="3205" spans="1:11" ht="42" customHeight="1">
      <c r="A3205" s="2" t="s">
        <v>8799</v>
      </c>
      <c r="B3205" s="2" t="s">
        <v>8800</v>
      </c>
      <c r="C3205" s="2" t="s">
        <v>26</v>
      </c>
      <c r="D3205" s="2" t="s">
        <v>27</v>
      </c>
      <c r="E3205" s="4">
        <v>-32123</v>
      </c>
      <c r="F3205" s="3" t="s">
        <v>2642</v>
      </c>
      <c r="G3205" s="3" t="s">
        <v>20</v>
      </c>
      <c r="H3205" s="2" t="s">
        <v>21</v>
      </c>
      <c r="I3205" s="2" t="s">
        <v>8801</v>
      </c>
      <c r="J3205" s="3" t="str">
        <f>HYPERLINK("https://www.boe.es/gazeta/dias/1812/01/18/pdfs/GMD-1812-18.pdf#page=4","Abrir facsímil")</f>
        <v>Abrir facsímil</v>
      </c>
      <c r="K3205" s="3" t="s">
        <v>23</v>
      </c>
    </row>
    <row r="3206" spans="1:11" ht="42" customHeight="1">
      <c r="A3206" s="2" t="s">
        <v>8802</v>
      </c>
      <c r="B3206" s="2" t="s">
        <v>8803</v>
      </c>
      <c r="C3206" s="2" t="s">
        <v>26</v>
      </c>
      <c r="D3206" s="2" t="s">
        <v>27</v>
      </c>
      <c r="E3206" s="4">
        <v>-32060</v>
      </c>
      <c r="F3206" s="3" t="s">
        <v>399</v>
      </c>
      <c r="G3206" s="3" t="s">
        <v>136</v>
      </c>
      <c r="H3206" s="2" t="s">
        <v>21</v>
      </c>
      <c r="I3206" s="2" t="s">
        <v>8804</v>
      </c>
      <c r="J3206" s="3" t="str">
        <f>HYPERLINK("https://www.boe.es/gazeta/dias/1812/03/21/pdfs/GMD-1812-81.pdf#page=4","Abrir facsímil")</f>
        <v>Abrir facsímil</v>
      </c>
      <c r="K3206" s="3" t="s">
        <v>23</v>
      </c>
    </row>
    <row r="3207" spans="1:11" ht="42" customHeight="1">
      <c r="A3207" s="2" t="s">
        <v>8805</v>
      </c>
      <c r="B3207" s="2" t="s">
        <v>8806</v>
      </c>
      <c r="C3207" s="2" t="s">
        <v>26</v>
      </c>
      <c r="D3207" s="2" t="s">
        <v>27</v>
      </c>
      <c r="E3207" s="4">
        <v>-32062</v>
      </c>
      <c r="F3207" s="3" t="s">
        <v>280</v>
      </c>
      <c r="G3207" s="3" t="s">
        <v>20</v>
      </c>
      <c r="H3207" s="2" t="s">
        <v>21</v>
      </c>
      <c r="I3207" s="2" t="s">
        <v>8807</v>
      </c>
      <c r="J3207" s="3" t="str">
        <f>HYPERLINK("https://www.boe.es/gazeta/dias/1812/03/19/pdfs/GMD-1812-79.pdf#page=4","Abrir facsímil")</f>
        <v>Abrir facsímil</v>
      </c>
      <c r="K3207" s="3" t="s">
        <v>23</v>
      </c>
    </row>
    <row r="3208" spans="1:11" ht="42" customHeight="1">
      <c r="A3208" s="2" t="s">
        <v>8808</v>
      </c>
      <c r="B3208" s="2" t="s">
        <v>8809</v>
      </c>
      <c r="C3208" s="2" t="s">
        <v>26</v>
      </c>
      <c r="D3208" s="2" t="s">
        <v>27</v>
      </c>
      <c r="E3208" s="4">
        <v>-32125</v>
      </c>
      <c r="F3208" s="3" t="s">
        <v>335</v>
      </c>
      <c r="G3208" s="3" t="s">
        <v>336</v>
      </c>
      <c r="H3208" s="2" t="s">
        <v>21</v>
      </c>
      <c r="I3208" s="2" t="s">
        <v>8810</v>
      </c>
      <c r="J3208" s="3" t="str">
        <f>HYPERLINK("https://www.boe.es/gazeta/dias/1812/01/16/pdfs/GEI-1812-7.pdf#page=8","Abrir facsímil")</f>
        <v>Abrir facsímil</v>
      </c>
      <c r="K3208" s="3" t="s">
        <v>23</v>
      </c>
    </row>
    <row r="3209" spans="1:11" ht="42" customHeight="1">
      <c r="A3209" s="2" t="s">
        <v>8808</v>
      </c>
      <c r="B3209" s="2" t="s">
        <v>8809</v>
      </c>
      <c r="C3209" s="2" t="s">
        <v>26</v>
      </c>
      <c r="D3209" s="2" t="s">
        <v>27</v>
      </c>
      <c r="E3209" s="4">
        <v>-32055</v>
      </c>
      <c r="F3209" s="3" t="s">
        <v>1271</v>
      </c>
      <c r="G3209" s="3" t="s">
        <v>130</v>
      </c>
      <c r="H3209" s="2" t="s">
        <v>21</v>
      </c>
      <c r="I3209" s="2" t="s">
        <v>8811</v>
      </c>
      <c r="J3209" s="3" t="str">
        <f>HYPERLINK("https://www.boe.es/gazeta/dias/1812/03/26/pdfs/GMD-1812-86.pdf#page=4","Abrir facsímil")</f>
        <v>Abrir facsímil</v>
      </c>
      <c r="K3209" s="3" t="s">
        <v>23</v>
      </c>
    </row>
    <row r="3210" spans="1:11" ht="42" customHeight="1">
      <c r="A3210" s="2" t="s">
        <v>8808</v>
      </c>
      <c r="B3210" s="2" t="s">
        <v>8809</v>
      </c>
      <c r="C3210" s="2" t="s">
        <v>26</v>
      </c>
      <c r="D3210" s="2" t="s">
        <v>27</v>
      </c>
      <c r="E3210" s="4">
        <v>-31939</v>
      </c>
      <c r="F3210" s="3" t="s">
        <v>408</v>
      </c>
      <c r="G3210" s="3" t="s">
        <v>20</v>
      </c>
      <c r="H3210" s="2" t="s">
        <v>21</v>
      </c>
      <c r="I3210" s="2" t="s">
        <v>8812</v>
      </c>
      <c r="J3210" s="3" t="str">
        <f>HYPERLINK("https://www.boe.es/gazeta/dias/1812/07/20/pdfs/GMD-1812-202.pdf#page=4","Abrir facsímil")</f>
        <v>Abrir facsímil</v>
      </c>
      <c r="K3210" s="3" t="s">
        <v>23</v>
      </c>
    </row>
    <row r="3211" spans="1:11" ht="42" customHeight="1">
      <c r="A3211" s="2" t="s">
        <v>8808</v>
      </c>
      <c r="B3211" s="2" t="s">
        <v>8809</v>
      </c>
      <c r="C3211" s="2" t="s">
        <v>26</v>
      </c>
      <c r="D3211" s="2" t="s">
        <v>27</v>
      </c>
      <c r="E3211" s="4">
        <v>-31938</v>
      </c>
      <c r="F3211" s="3" t="s">
        <v>324</v>
      </c>
      <c r="G3211" s="3" t="s">
        <v>497</v>
      </c>
      <c r="H3211" s="2" t="s">
        <v>21</v>
      </c>
      <c r="I3211" s="2" t="s">
        <v>8813</v>
      </c>
      <c r="J3211" s="3" t="str">
        <f>HYPERLINK("https://www.boe.es/gazeta/dias/1812/07/21/pdfs/GMD-1812-203.pdf#page=3","Abrir facsímil")</f>
        <v>Abrir facsímil</v>
      </c>
      <c r="K3211" s="3" t="s">
        <v>23</v>
      </c>
    </row>
    <row r="3212" spans="1:11" ht="42" customHeight="1">
      <c r="A3212" s="2" t="s">
        <v>8808</v>
      </c>
      <c r="B3212" s="2" t="s">
        <v>8809</v>
      </c>
      <c r="C3212" s="2" t="s">
        <v>17</v>
      </c>
      <c r="D3212" s="2" t="s">
        <v>275</v>
      </c>
      <c r="E3212" s="4">
        <v>-31812</v>
      </c>
      <c r="F3212" s="3" t="s">
        <v>1533</v>
      </c>
      <c r="G3212" s="3" t="s">
        <v>644</v>
      </c>
      <c r="H3212" s="2" t="s">
        <v>21</v>
      </c>
      <c r="I3212" s="2" t="s">
        <v>8814</v>
      </c>
      <c r="J3212" s="3" t="str">
        <f>HYPERLINK("https://www.boe.es/gazeta/dias/1812/11/24/pdfs/GMR-1812-37.pdf#page=4","Abrir facsímil")</f>
        <v>Abrir facsímil</v>
      </c>
      <c r="K3212" s="3" t="s">
        <v>23</v>
      </c>
    </row>
    <row r="3213" spans="1:11" ht="42" customHeight="1">
      <c r="A3213" s="2" t="s">
        <v>8815</v>
      </c>
      <c r="B3213" s="2" t="s">
        <v>8816</v>
      </c>
      <c r="C3213" s="2" t="s">
        <v>17</v>
      </c>
      <c r="D3213" s="2" t="s">
        <v>18</v>
      </c>
      <c r="E3213" s="4">
        <v>-31992</v>
      </c>
      <c r="F3213" s="3" t="s">
        <v>1292</v>
      </c>
      <c r="G3213" s="3" t="s">
        <v>1424</v>
      </c>
      <c r="H3213" s="2" t="s">
        <v>21</v>
      </c>
      <c r="I3213" s="2" t="s">
        <v>8817</v>
      </c>
      <c r="J3213" s="3" t="str">
        <f>HYPERLINK("https://www.boe.es/gazeta/dias/1812/05/28/pdfs/GRE-1812-66.pdf#page=5","Abrir facsímil")</f>
        <v>Abrir facsímil</v>
      </c>
      <c r="K3213" s="3" t="s">
        <v>23</v>
      </c>
    </row>
    <row r="3214" spans="1:11" ht="42" customHeight="1">
      <c r="A3214" s="2" t="s">
        <v>8818</v>
      </c>
      <c r="B3214" s="2" t="s">
        <v>8819</v>
      </c>
      <c r="C3214" s="2" t="s">
        <v>26</v>
      </c>
      <c r="D3214" s="2" t="s">
        <v>27</v>
      </c>
      <c r="E3214" s="4">
        <v>-31940</v>
      </c>
      <c r="F3214" s="3" t="s">
        <v>187</v>
      </c>
      <c r="G3214" s="3" t="s">
        <v>404</v>
      </c>
      <c r="H3214" s="2" t="s">
        <v>21</v>
      </c>
      <c r="I3214" s="2" t="s">
        <v>8820</v>
      </c>
      <c r="J3214" s="3" t="str">
        <f>HYPERLINK("https://www.boe.es/gazeta/dias/1812/07/19/pdfs/GMD-1812-201.pdf#page=3","Abrir facsímil")</f>
        <v>Abrir facsímil</v>
      </c>
      <c r="K3214" s="3" t="s">
        <v>23</v>
      </c>
    </row>
    <row r="3215" spans="1:11" ht="42" customHeight="1">
      <c r="A3215" s="2" t="s">
        <v>8821</v>
      </c>
      <c r="B3215" s="2" t="s">
        <v>8822</v>
      </c>
      <c r="C3215" s="2" t="s">
        <v>26</v>
      </c>
      <c r="D3215" s="2" t="s">
        <v>27</v>
      </c>
      <c r="E3215" s="4">
        <v>-32125</v>
      </c>
      <c r="F3215" s="3" t="s">
        <v>964</v>
      </c>
      <c r="G3215" s="3" t="s">
        <v>1842</v>
      </c>
      <c r="H3215" s="2" t="s">
        <v>21</v>
      </c>
      <c r="I3215" s="2" t="s">
        <v>8823</v>
      </c>
      <c r="J3215" s="3" t="str">
        <f>HYPERLINK("https://www.boe.es/gazeta/dias/1812/01/16/pdfs/GEI-H-1812-7.pdf#page=4","Abrir facsímil")</f>
        <v>Abrir facsímil</v>
      </c>
      <c r="K3215" s="3" t="s">
        <v>23</v>
      </c>
    </row>
    <row r="3216" spans="1:11" ht="42" customHeight="1">
      <c r="A3216" s="2" t="s">
        <v>8821</v>
      </c>
      <c r="B3216" s="2" t="s">
        <v>8822</v>
      </c>
      <c r="C3216" s="2" t="s">
        <v>26</v>
      </c>
      <c r="D3216" s="2" t="s">
        <v>27</v>
      </c>
      <c r="E3216" s="4">
        <v>-31940</v>
      </c>
      <c r="F3216" s="3" t="s">
        <v>187</v>
      </c>
      <c r="G3216" s="3" t="s">
        <v>404</v>
      </c>
      <c r="H3216" s="2" t="s">
        <v>21</v>
      </c>
      <c r="I3216" s="2" t="s">
        <v>8824</v>
      </c>
      <c r="J3216" s="3" t="str">
        <f>HYPERLINK("https://www.boe.es/gazeta/dias/1812/07/19/pdfs/GMD-1812-201.pdf#page=4","Abrir facsímil")</f>
        <v>Abrir facsímil</v>
      </c>
      <c r="K3216" s="3" t="s">
        <v>23</v>
      </c>
    </row>
    <row r="3217" spans="1:11" ht="42" customHeight="1">
      <c r="A3217" s="2" t="s">
        <v>8821</v>
      </c>
      <c r="B3217" s="2" t="s">
        <v>8822</v>
      </c>
      <c r="C3217" s="2" t="s">
        <v>26</v>
      </c>
      <c r="D3217" s="2" t="s">
        <v>27</v>
      </c>
      <c r="E3217" s="4">
        <v>-31938</v>
      </c>
      <c r="F3217" s="3" t="s">
        <v>324</v>
      </c>
      <c r="G3217" s="3" t="s">
        <v>497</v>
      </c>
      <c r="H3217" s="2" t="s">
        <v>21</v>
      </c>
      <c r="I3217" s="2" t="s">
        <v>8825</v>
      </c>
      <c r="J3217" s="3" t="str">
        <f>HYPERLINK("https://www.boe.es/gazeta/dias/1812/07/21/pdfs/GMD-1812-203.pdf#page=3","Abrir facsímil")</f>
        <v>Abrir facsímil</v>
      </c>
      <c r="K3217" s="3" t="s">
        <v>23</v>
      </c>
    </row>
    <row r="3218" spans="1:11" ht="42" customHeight="1">
      <c r="A3218" s="2" t="s">
        <v>8826</v>
      </c>
      <c r="B3218" s="2" t="s">
        <v>8827</v>
      </c>
      <c r="C3218" s="2" t="s">
        <v>49</v>
      </c>
      <c r="D3218" s="2" t="s">
        <v>27</v>
      </c>
      <c r="E3218" s="4">
        <v>-32018</v>
      </c>
      <c r="F3218" s="3" t="s">
        <v>365</v>
      </c>
      <c r="G3218" s="3" t="s">
        <v>366</v>
      </c>
      <c r="H3218" s="2" t="s">
        <v>21</v>
      </c>
      <c r="I3218" s="2" t="s">
        <v>8828</v>
      </c>
      <c r="J3218" s="3" t="str">
        <f>HYPERLINK("https://www.boe.es/gazeta/dias/1812/05/02/pdfs/GRE-1812-55.pdf#page=3","Abrir facsímil")</f>
        <v>Abrir facsímil</v>
      </c>
      <c r="K3218" s="3" t="s">
        <v>23</v>
      </c>
    </row>
    <row r="3219" spans="1:11" ht="42" customHeight="1">
      <c r="A3219" s="2" t="s">
        <v>8829</v>
      </c>
      <c r="B3219" s="2" t="s">
        <v>8830</v>
      </c>
      <c r="C3219" s="2" t="s">
        <v>26</v>
      </c>
      <c r="D3219" s="2" t="s">
        <v>27</v>
      </c>
      <c r="E3219" s="4">
        <v>-31940</v>
      </c>
      <c r="F3219" s="3" t="s">
        <v>187</v>
      </c>
      <c r="G3219" s="3" t="s">
        <v>404</v>
      </c>
      <c r="H3219" s="2" t="s">
        <v>21</v>
      </c>
      <c r="I3219" s="2" t="s">
        <v>8831</v>
      </c>
      <c r="J3219" s="3" t="str">
        <f>HYPERLINK("https://www.boe.es/gazeta/dias/1812/07/19/pdfs/GMD-1812-201.pdf#page=4","Abrir facsímil")</f>
        <v>Abrir facsímil</v>
      </c>
      <c r="K3219" s="3" t="s">
        <v>23</v>
      </c>
    </row>
    <row r="3220" spans="1:11" ht="42" customHeight="1">
      <c r="A3220" s="2" t="s">
        <v>8832</v>
      </c>
      <c r="B3220" s="2" t="s">
        <v>8833</v>
      </c>
      <c r="C3220" s="2" t="s">
        <v>186</v>
      </c>
      <c r="D3220" s="2" t="s">
        <v>275</v>
      </c>
      <c r="E3220" s="4">
        <v>-31917</v>
      </c>
      <c r="F3220" s="3" t="s">
        <v>946</v>
      </c>
      <c r="G3220" s="3" t="s">
        <v>947</v>
      </c>
      <c r="H3220" s="2" t="s">
        <v>21</v>
      </c>
      <c r="I3220" s="2" t="s">
        <v>8834</v>
      </c>
      <c r="J3220" s="3" t="str">
        <f>HYPERLINK("https://www.boe.es/gazeta/dias/1812/08/11/pdfs/GRE-1812-103.pdf#page=8","Abrir facsímil")</f>
        <v>Abrir facsímil</v>
      </c>
      <c r="K3220" s="3" t="s">
        <v>23</v>
      </c>
    </row>
    <row r="3221" spans="1:11" ht="42" customHeight="1">
      <c r="A3221" s="2" t="s">
        <v>8835</v>
      </c>
      <c r="B3221" s="2" t="s">
        <v>8836</v>
      </c>
      <c r="C3221" s="2" t="s">
        <v>26</v>
      </c>
      <c r="D3221" s="2" t="s">
        <v>27</v>
      </c>
      <c r="E3221" s="4">
        <v>-31974</v>
      </c>
      <c r="F3221" s="3" t="s">
        <v>2986</v>
      </c>
      <c r="G3221" s="3" t="s">
        <v>130</v>
      </c>
      <c r="H3221" s="2" t="s">
        <v>21</v>
      </c>
      <c r="I3221" s="2" t="s">
        <v>8837</v>
      </c>
      <c r="J3221" s="3" t="str">
        <f>HYPERLINK("https://www.boe.es/gazeta/dias/1812/06/15/pdfs/GMD-1812-167.pdf#page=4","Abrir facsímil")</f>
        <v>Abrir facsímil</v>
      </c>
      <c r="K3221" s="3" t="s">
        <v>23</v>
      </c>
    </row>
    <row r="3222" spans="1:11" ht="42" customHeight="1">
      <c r="A3222" s="2" t="s">
        <v>8835</v>
      </c>
      <c r="B3222" s="2" t="s">
        <v>8836</v>
      </c>
      <c r="C3222" s="2" t="s">
        <v>26</v>
      </c>
      <c r="D3222" s="2" t="s">
        <v>27</v>
      </c>
      <c r="E3222" s="4">
        <v>-31939</v>
      </c>
      <c r="F3222" s="3" t="s">
        <v>408</v>
      </c>
      <c r="G3222" s="3" t="s">
        <v>20</v>
      </c>
      <c r="H3222" s="2" t="s">
        <v>21</v>
      </c>
      <c r="I3222" s="2" t="s">
        <v>8838</v>
      </c>
      <c r="J3222" s="3" t="str">
        <f>HYPERLINK("https://www.boe.es/gazeta/dias/1812/07/20/pdfs/GMD-1812-202.pdf#page=4","Abrir facsímil")</f>
        <v>Abrir facsímil</v>
      </c>
      <c r="K3222" s="3" t="s">
        <v>23</v>
      </c>
    </row>
    <row r="3223" spans="1:11" ht="42" customHeight="1">
      <c r="A3223" s="2" t="s">
        <v>8835</v>
      </c>
      <c r="B3223" s="2" t="s">
        <v>8836</v>
      </c>
      <c r="C3223" s="2" t="s">
        <v>26</v>
      </c>
      <c r="D3223" s="2" t="s">
        <v>27</v>
      </c>
      <c r="E3223" s="4">
        <v>-31931</v>
      </c>
      <c r="F3223" s="3" t="s">
        <v>4174</v>
      </c>
      <c r="G3223" s="3" t="s">
        <v>336</v>
      </c>
      <c r="H3223" s="2" t="s">
        <v>21</v>
      </c>
      <c r="I3223" s="2" t="s">
        <v>8839</v>
      </c>
      <c r="J3223" s="3" t="str">
        <f>HYPERLINK("https://www.boe.es/gazeta/dias/1812/07/28/pdfs/GRE-1812-94.pdf#page=7","Abrir facsímil")</f>
        <v>Abrir facsímil</v>
      </c>
      <c r="K3223" s="3" t="s">
        <v>23</v>
      </c>
    </row>
    <row r="3224" spans="1:11" ht="42" customHeight="1">
      <c r="A3224" s="2" t="s">
        <v>8835</v>
      </c>
      <c r="B3224" s="2" t="s">
        <v>8836</v>
      </c>
      <c r="C3224" s="2" t="s">
        <v>26</v>
      </c>
      <c r="D3224" s="2" t="s">
        <v>27</v>
      </c>
      <c r="E3224" s="4">
        <v>-31857</v>
      </c>
      <c r="F3224" s="3" t="s">
        <v>1000</v>
      </c>
      <c r="G3224" s="3" t="s">
        <v>136</v>
      </c>
      <c r="H3224" s="2" t="s">
        <v>21</v>
      </c>
      <c r="I3224" s="2" t="s">
        <v>8840</v>
      </c>
      <c r="J3224" s="3" t="str">
        <f>HYPERLINK("https://www.boe.es/gazeta/dias/1812/10/10/pdfs/GRE-1812-137.pdf#page=8","Abrir facsímil")</f>
        <v>Abrir facsímil</v>
      </c>
      <c r="K3224" s="3" t="s">
        <v>23</v>
      </c>
    </row>
    <row r="3225" spans="1:11" ht="42" customHeight="1">
      <c r="A3225" s="2" t="s">
        <v>8835</v>
      </c>
      <c r="B3225" s="2" t="s">
        <v>8836</v>
      </c>
      <c r="C3225" s="2" t="s">
        <v>105</v>
      </c>
      <c r="D3225" s="2" t="s">
        <v>27</v>
      </c>
      <c r="E3225" s="4">
        <v>-31833</v>
      </c>
      <c r="F3225" s="3" t="s">
        <v>267</v>
      </c>
      <c r="G3225" s="3" t="s">
        <v>268</v>
      </c>
      <c r="H3225" s="2" t="s">
        <v>21</v>
      </c>
      <c r="I3225" s="2" t="s">
        <v>8841</v>
      </c>
      <c r="J3225" s="3" t="str">
        <f>HYPERLINK("https://www.boe.es/gazeta/dias/1812/11/03/pdfs/GRE-1812-147.pdf#page=8","Abrir facsímil")</f>
        <v>Abrir facsímil</v>
      </c>
      <c r="K3225" s="3" t="s">
        <v>23</v>
      </c>
    </row>
    <row r="3226" spans="1:11" ht="42" customHeight="1">
      <c r="A3226" s="2" t="s">
        <v>8835</v>
      </c>
      <c r="B3226" s="2" t="s">
        <v>8836</v>
      </c>
      <c r="C3226" s="2" t="s">
        <v>105</v>
      </c>
      <c r="D3226" s="2" t="s">
        <v>27</v>
      </c>
      <c r="E3226" s="4">
        <v>-31816</v>
      </c>
      <c r="F3226" s="3" t="s">
        <v>270</v>
      </c>
      <c r="G3226" s="3" t="s">
        <v>271</v>
      </c>
      <c r="H3226" s="2" t="s">
        <v>21</v>
      </c>
      <c r="I3226" s="2" t="s">
        <v>8842</v>
      </c>
      <c r="J3226" s="3" t="str">
        <f>HYPERLINK("https://www.boe.es/gazeta/dias/1812/11/20/pdfs/GMR-1812-36.pdf#page=6","Abrir facsímil")</f>
        <v>Abrir facsímil</v>
      </c>
      <c r="K3226" s="3" t="s">
        <v>23</v>
      </c>
    </row>
    <row r="3227" spans="1:11" ht="42" customHeight="1">
      <c r="A3227" s="2" t="s">
        <v>8843</v>
      </c>
      <c r="B3227" s="2" t="s">
        <v>8844</v>
      </c>
      <c r="C3227" s="2" t="s">
        <v>105</v>
      </c>
      <c r="D3227" s="2" t="s">
        <v>27</v>
      </c>
      <c r="E3227" s="4">
        <v>-31942</v>
      </c>
      <c r="F3227" s="3" t="s">
        <v>3065</v>
      </c>
      <c r="G3227" s="3" t="s">
        <v>3066</v>
      </c>
      <c r="H3227" s="2" t="s">
        <v>21</v>
      </c>
      <c r="I3227" s="2" t="s">
        <v>8845</v>
      </c>
      <c r="J3227" s="3" t="str">
        <f>HYPERLINK("https://www.boe.es/gazeta/dias/1812/07/17/pdfs/GMD-1812-199.pdf#page=3","Abrir facsímil")</f>
        <v>Abrir facsímil</v>
      </c>
      <c r="K3227" s="3" t="s">
        <v>23</v>
      </c>
    </row>
    <row r="3228" spans="1:11" ht="42" customHeight="1">
      <c r="A3228" s="2" t="s">
        <v>8846</v>
      </c>
      <c r="B3228" s="2" t="s">
        <v>8847</v>
      </c>
      <c r="C3228" s="2" t="s">
        <v>17</v>
      </c>
      <c r="D3228" s="2" t="s">
        <v>18</v>
      </c>
      <c r="E3228" s="4">
        <v>-31992</v>
      </c>
      <c r="F3228" s="3" t="s">
        <v>1292</v>
      </c>
      <c r="G3228" s="3" t="s">
        <v>4854</v>
      </c>
      <c r="H3228" s="2" t="s">
        <v>21</v>
      </c>
      <c r="I3228" s="2" t="s">
        <v>8848</v>
      </c>
      <c r="J3228" s="3" t="str">
        <f>HYPERLINK("https://www.boe.es/gazeta/dias/1812/05/28/pdfs/GRE-1812-66.pdf#page=8","Abrir facsímil")</f>
        <v>Abrir facsímil</v>
      </c>
      <c r="K3228" s="3" t="s">
        <v>23</v>
      </c>
    </row>
    <row r="3229" spans="1:11" ht="42" customHeight="1">
      <c r="A3229" s="2" t="s">
        <v>8846</v>
      </c>
      <c r="B3229" s="2" t="s">
        <v>8847</v>
      </c>
      <c r="C3229" s="2" t="s">
        <v>26</v>
      </c>
      <c r="D3229" s="2" t="s">
        <v>27</v>
      </c>
      <c r="E3229" s="4">
        <v>-31868</v>
      </c>
      <c r="F3229" s="3" t="s">
        <v>711</v>
      </c>
      <c r="G3229" s="3" t="s">
        <v>8849</v>
      </c>
      <c r="H3229" s="2" t="s">
        <v>21</v>
      </c>
      <c r="I3229" s="2" t="s">
        <v>8850</v>
      </c>
      <c r="J3229" s="3" t="str">
        <f>HYPERLINK("https://www.boe.es/gazeta/dias/1812/09/29/pdfs/GRE-1812-132.pdf#page=5","Abrir facsímil")</f>
        <v>Abrir facsímil</v>
      </c>
      <c r="K3229" s="3" t="s">
        <v>23</v>
      </c>
    </row>
    <row r="3230" spans="1:11" ht="42" customHeight="1">
      <c r="A3230" s="2" t="s">
        <v>8846</v>
      </c>
      <c r="B3230" s="2" t="s">
        <v>8847</v>
      </c>
      <c r="C3230" s="2" t="s">
        <v>17</v>
      </c>
      <c r="D3230" s="2" t="s">
        <v>27</v>
      </c>
      <c r="E3230" s="4">
        <v>-31868</v>
      </c>
      <c r="F3230" s="3" t="s">
        <v>711</v>
      </c>
      <c r="G3230" s="3" t="s">
        <v>5080</v>
      </c>
      <c r="H3230" s="2" t="s">
        <v>21</v>
      </c>
      <c r="I3230" s="2" t="s">
        <v>8851</v>
      </c>
      <c r="J3230" s="3" t="str">
        <f>HYPERLINK("https://www.boe.es/gazeta/dias/1812/09/29/pdfs/GRE-1812-132.pdf#page=6","Abrir facsímil")</f>
        <v>Abrir facsímil</v>
      </c>
      <c r="K3230" s="3" t="s">
        <v>23</v>
      </c>
    </row>
    <row r="3231" spans="1:11" ht="42" customHeight="1">
      <c r="A3231" s="2" t="s">
        <v>8846</v>
      </c>
      <c r="B3231" s="2" t="s">
        <v>8847</v>
      </c>
      <c r="C3231" s="2" t="s">
        <v>17</v>
      </c>
      <c r="D3231" s="2" t="s">
        <v>275</v>
      </c>
      <c r="E3231" s="4">
        <v>-31861</v>
      </c>
      <c r="F3231" s="3" t="s">
        <v>1080</v>
      </c>
      <c r="G3231" s="3" t="s">
        <v>8852</v>
      </c>
      <c r="H3231" s="2" t="s">
        <v>21</v>
      </c>
      <c r="I3231" s="2" t="s">
        <v>8853</v>
      </c>
      <c r="J3231" s="3" t="str">
        <f>HYPERLINK("https://www.boe.es/gazeta/dias/1812/10/06/pdfs/GMR-1812-23.pdf#page=11","Abrir facsímil")</f>
        <v>Abrir facsímil</v>
      </c>
      <c r="K3231" s="3" t="s">
        <v>23</v>
      </c>
    </row>
    <row r="3232" spans="1:11" ht="42" customHeight="1">
      <c r="A3232" s="2" t="s">
        <v>8846</v>
      </c>
      <c r="B3232" s="2" t="s">
        <v>8847</v>
      </c>
      <c r="C3232" s="2" t="s">
        <v>17</v>
      </c>
      <c r="D3232" s="2" t="s">
        <v>275</v>
      </c>
      <c r="E3232" s="4">
        <v>-31850</v>
      </c>
      <c r="F3232" s="3" t="s">
        <v>2178</v>
      </c>
      <c r="G3232" s="3" t="s">
        <v>1497</v>
      </c>
      <c r="H3232" s="2" t="s">
        <v>21</v>
      </c>
      <c r="I3232" s="2" t="s">
        <v>8854</v>
      </c>
      <c r="J3232" s="3" t="str">
        <f>HYPERLINK("https://www.boe.es/gazeta/dias/1812/10/17/pdfs/GRE-1812-140.pdf#page=2","Abrir facsímil")</f>
        <v>Abrir facsímil</v>
      </c>
      <c r="K3232" s="3" t="s">
        <v>23</v>
      </c>
    </row>
    <row r="3233" spans="1:11" ht="42" customHeight="1">
      <c r="A3233" s="2" t="s">
        <v>8855</v>
      </c>
      <c r="B3233" s="2" t="s">
        <v>8856</v>
      </c>
      <c r="C3233" s="2" t="s">
        <v>26</v>
      </c>
      <c r="D3233" s="2" t="s">
        <v>27</v>
      </c>
      <c r="E3233" s="4">
        <v>-32081</v>
      </c>
      <c r="F3233" s="3" t="s">
        <v>232</v>
      </c>
      <c r="G3233" s="3" t="s">
        <v>233</v>
      </c>
      <c r="H3233" s="2" t="s">
        <v>21</v>
      </c>
      <c r="I3233" s="2" t="s">
        <v>8857</v>
      </c>
      <c r="J3233" s="3" t="str">
        <f>HYPERLINK("https://www.boe.es/gazeta/dias/1812/02/29/pdfs/GRE-1812-27.pdf#page=8","Abrir facsímil")</f>
        <v>Abrir facsímil</v>
      </c>
      <c r="K3233" s="3" t="s">
        <v>23</v>
      </c>
    </row>
    <row r="3234" spans="1:11" ht="42" customHeight="1">
      <c r="A3234" s="2" t="s">
        <v>8858</v>
      </c>
      <c r="B3234" s="2" t="s">
        <v>8859</v>
      </c>
      <c r="C3234" s="2" t="s">
        <v>26</v>
      </c>
      <c r="D3234" s="2" t="s">
        <v>27</v>
      </c>
      <c r="E3234" s="4">
        <v>-31938</v>
      </c>
      <c r="F3234" s="3" t="s">
        <v>324</v>
      </c>
      <c r="G3234" s="3" t="s">
        <v>497</v>
      </c>
      <c r="H3234" s="2" t="s">
        <v>21</v>
      </c>
      <c r="I3234" s="2" t="s">
        <v>8860</v>
      </c>
      <c r="J3234" s="3" t="str">
        <f>HYPERLINK("https://www.boe.es/gazeta/dias/1812/07/21/pdfs/GMD-1812-203.pdf#page=3","Abrir facsímil")</f>
        <v>Abrir facsímil</v>
      </c>
      <c r="K3234" s="3" t="s">
        <v>23</v>
      </c>
    </row>
    <row r="3235" spans="1:11" ht="42" customHeight="1">
      <c r="A3235" s="2" t="s">
        <v>8861</v>
      </c>
      <c r="B3235" s="2" t="s">
        <v>8861</v>
      </c>
      <c r="C3235" s="2" t="s">
        <v>186</v>
      </c>
      <c r="D3235" s="2" t="s">
        <v>275</v>
      </c>
      <c r="E3235" s="4">
        <v>-32116</v>
      </c>
      <c r="F3235" s="3" t="s">
        <v>993</v>
      </c>
      <c r="G3235" s="3" t="s">
        <v>233</v>
      </c>
      <c r="H3235" s="2" t="s">
        <v>21</v>
      </c>
      <c r="I3235" s="2" t="s">
        <v>8862</v>
      </c>
      <c r="J3235" s="3" t="str">
        <f>HYPERLINK("https://www.boe.es/gazeta/dias/1812/01/25/pdfs/GEI-1812-11.pdf#page=8","Abrir facsímil")</f>
        <v>Abrir facsímil</v>
      </c>
      <c r="K3235" s="3" t="s">
        <v>23</v>
      </c>
    </row>
    <row r="3236" spans="1:11" ht="42" customHeight="1">
      <c r="A3236" s="2" t="s">
        <v>8861</v>
      </c>
      <c r="B3236" s="2" t="s">
        <v>8861</v>
      </c>
      <c r="C3236" s="2" t="s">
        <v>186</v>
      </c>
      <c r="D3236" s="2" t="s">
        <v>275</v>
      </c>
      <c r="E3236" s="4">
        <v>-32111</v>
      </c>
      <c r="F3236" s="3" t="s">
        <v>553</v>
      </c>
      <c r="G3236" s="3" t="s">
        <v>1650</v>
      </c>
      <c r="H3236" s="2" t="s">
        <v>21</v>
      </c>
      <c r="I3236" s="2" t="s">
        <v>8863</v>
      </c>
      <c r="J3236" s="3" t="str">
        <f>HYPERLINK("https://www.boe.es/gazeta/dias/1812/01/30/pdfs/GRE-1812-13.pdf#page=7","Abrir facsímil")</f>
        <v>Abrir facsímil</v>
      </c>
      <c r="K3236" s="3" t="s">
        <v>23</v>
      </c>
    </row>
    <row r="3237" spans="1:11" ht="42" customHeight="1">
      <c r="A3237" s="2" t="s">
        <v>8861</v>
      </c>
      <c r="B3237" s="2" t="s">
        <v>8861</v>
      </c>
      <c r="C3237" s="2" t="s">
        <v>17</v>
      </c>
      <c r="D3237" s="2" t="s">
        <v>27</v>
      </c>
      <c r="E3237" s="4">
        <v>-32109</v>
      </c>
      <c r="F3237" s="3" t="s">
        <v>62</v>
      </c>
      <c r="G3237" s="3" t="s">
        <v>472</v>
      </c>
      <c r="H3237" s="2" t="s">
        <v>21</v>
      </c>
      <c r="I3237" s="2" t="s">
        <v>8864</v>
      </c>
      <c r="J3237" s="3" t="str">
        <f>HYPERLINK("https://www.boe.es/gazeta/dias/1812/02/01/pdfs/GRE-1812-14.pdf#page=12","Abrir facsímil")</f>
        <v>Abrir facsímil</v>
      </c>
      <c r="K3237" s="3" t="s">
        <v>23</v>
      </c>
    </row>
    <row r="3238" spans="1:11" ht="42" customHeight="1">
      <c r="A3238" s="2" t="s">
        <v>8861</v>
      </c>
      <c r="B3238" s="2" t="s">
        <v>8861</v>
      </c>
      <c r="C3238" s="2" t="s">
        <v>115</v>
      </c>
      <c r="D3238" s="2" t="s">
        <v>27</v>
      </c>
      <c r="E3238" s="4">
        <v>-32108</v>
      </c>
      <c r="F3238" s="3" t="s">
        <v>1143</v>
      </c>
      <c r="G3238" s="3" t="s">
        <v>45</v>
      </c>
      <c r="H3238" s="2" t="s">
        <v>21</v>
      </c>
      <c r="I3238" s="2" t="s">
        <v>8865</v>
      </c>
      <c r="J3238" s="3" t="str">
        <f>HYPERLINK("https://www.boe.es/gazeta/dias/1812/02/02/pdfs/GMD-1812-33.pdf#page=4","Abrir facsímil")</f>
        <v>Abrir facsímil</v>
      </c>
      <c r="K3238" s="3" t="s">
        <v>23</v>
      </c>
    </row>
    <row r="3239" spans="1:11" ht="42" customHeight="1">
      <c r="A3239" s="2" t="s">
        <v>8861</v>
      </c>
      <c r="B3239" s="2" t="s">
        <v>8861</v>
      </c>
      <c r="C3239" s="2" t="s">
        <v>26</v>
      </c>
      <c r="D3239" s="2" t="s">
        <v>134</v>
      </c>
      <c r="E3239" s="4">
        <v>-32099</v>
      </c>
      <c r="F3239" s="3" t="s">
        <v>7479</v>
      </c>
      <c r="G3239" s="3" t="s">
        <v>196</v>
      </c>
      <c r="H3239" s="2" t="s">
        <v>21</v>
      </c>
      <c r="I3239" s="2" t="s">
        <v>8866</v>
      </c>
      <c r="J3239" s="3" t="str">
        <f>HYPERLINK("https://www.boe.es/gazeta/dias/1812/02/11/pdfs/F00165-00168.pdf#page=1","Abrir facsímil")</f>
        <v>Abrir facsímil</v>
      </c>
      <c r="K3239" s="3" t="s">
        <v>23</v>
      </c>
    </row>
    <row r="3240" spans="1:11" ht="42" customHeight="1">
      <c r="A3240" s="2" t="s">
        <v>8861</v>
      </c>
      <c r="B3240" s="2" t="s">
        <v>8861</v>
      </c>
      <c r="C3240" s="2" t="s">
        <v>26</v>
      </c>
      <c r="D3240" s="2" t="s">
        <v>134</v>
      </c>
      <c r="E3240" s="4">
        <v>-32099</v>
      </c>
      <c r="F3240" s="3" t="s">
        <v>7479</v>
      </c>
      <c r="G3240" s="3" t="s">
        <v>237</v>
      </c>
      <c r="H3240" s="2" t="s">
        <v>21</v>
      </c>
      <c r="I3240" s="2" t="s">
        <v>8867</v>
      </c>
      <c r="J3240" s="3" t="str">
        <f>HYPERLINK("https://www.boe.es/gazeta/dias/1812/02/11/pdfs/F00165-00168.pdf#page=2","Abrir facsímil")</f>
        <v>Abrir facsímil</v>
      </c>
      <c r="K3240" s="3" t="s">
        <v>23</v>
      </c>
    </row>
    <row r="3241" spans="1:11" ht="42" customHeight="1">
      <c r="A3241" s="2" t="s">
        <v>8861</v>
      </c>
      <c r="B3241" s="2" t="s">
        <v>8861</v>
      </c>
      <c r="C3241" s="2" t="s">
        <v>49</v>
      </c>
      <c r="D3241" s="2" t="s">
        <v>27</v>
      </c>
      <c r="E3241" s="4">
        <v>-32083</v>
      </c>
      <c r="F3241" s="3" t="s">
        <v>1496</v>
      </c>
      <c r="G3241" s="3" t="s">
        <v>2658</v>
      </c>
      <c r="H3241" s="2" t="s">
        <v>21</v>
      </c>
      <c r="I3241" s="2" t="s">
        <v>8868</v>
      </c>
      <c r="J3241" s="3" t="str">
        <f>HYPERLINK("https://www.boe.es/gazeta/dias/1812/02/27/pdfs/GRE-1812-26.pdf#page=7","Abrir facsímil")</f>
        <v>Abrir facsímil</v>
      </c>
      <c r="K3241" s="3" t="s">
        <v>23</v>
      </c>
    </row>
    <row r="3242" spans="1:11" ht="42" customHeight="1">
      <c r="A3242" s="2" t="s">
        <v>8861</v>
      </c>
      <c r="B3242" s="2" t="s">
        <v>8861</v>
      </c>
      <c r="C3242" s="2" t="s">
        <v>49</v>
      </c>
      <c r="D3242" s="2" t="s">
        <v>18</v>
      </c>
      <c r="E3242" s="4">
        <v>-32078</v>
      </c>
      <c r="F3242" s="3" t="s">
        <v>145</v>
      </c>
      <c r="G3242" s="3" t="s">
        <v>715</v>
      </c>
      <c r="H3242" s="2" t="s">
        <v>21</v>
      </c>
      <c r="I3242" s="2" t="s">
        <v>8869</v>
      </c>
      <c r="J3242" s="3" t="str">
        <f>HYPERLINK("https://www.boe.es/gazeta/dias/1812/03/03/pdfs/GRE-1812-28.pdf#page=8","Abrir facsímil")</f>
        <v>Abrir facsímil</v>
      </c>
      <c r="K3242" s="3" t="s">
        <v>23</v>
      </c>
    </row>
    <row r="3243" spans="1:11" ht="42" customHeight="1">
      <c r="A3243" s="2" t="s">
        <v>8861</v>
      </c>
      <c r="B3243" s="2" t="s">
        <v>8861</v>
      </c>
      <c r="C3243" s="2" t="s">
        <v>17</v>
      </c>
      <c r="D3243" s="2" t="s">
        <v>18</v>
      </c>
      <c r="E3243" s="4">
        <v>-32043</v>
      </c>
      <c r="F3243" s="3" t="s">
        <v>4582</v>
      </c>
      <c r="G3243" s="3" t="s">
        <v>336</v>
      </c>
      <c r="H3243" s="2" t="s">
        <v>21</v>
      </c>
      <c r="I3243" s="2" t="s">
        <v>8870</v>
      </c>
      <c r="J3243" s="3" t="str">
        <f>HYPERLINK("https://www.boe.es/gazeta/dias/1812/04/07/pdfs/GRE-1812-43.pdf#page=3","Abrir facsímil")</f>
        <v>Abrir facsímil</v>
      </c>
      <c r="K3243" s="3" t="s">
        <v>23</v>
      </c>
    </row>
    <row r="3244" spans="1:11" ht="42" customHeight="1">
      <c r="A3244" s="2" t="s">
        <v>8861</v>
      </c>
      <c r="B3244" s="2" t="s">
        <v>8861</v>
      </c>
      <c r="C3244" s="2" t="s">
        <v>17</v>
      </c>
      <c r="D3244" s="2" t="s">
        <v>27</v>
      </c>
      <c r="E3244" s="4">
        <v>-32034</v>
      </c>
      <c r="F3244" s="3" t="s">
        <v>28</v>
      </c>
      <c r="G3244" s="3" t="s">
        <v>20</v>
      </c>
      <c r="H3244" s="2" t="s">
        <v>21</v>
      </c>
      <c r="I3244" s="2" t="s">
        <v>8871</v>
      </c>
      <c r="J3244" s="3" t="str">
        <f>HYPERLINK("https://www.boe.es/gazeta/dias/1812/04/16/pdfs/GMD-1812-107.pdf#page=3","Abrir facsímil")</f>
        <v>Abrir facsímil</v>
      </c>
      <c r="K3244" s="3" t="s">
        <v>23</v>
      </c>
    </row>
    <row r="3245" spans="1:11" ht="42" customHeight="1">
      <c r="A3245" s="2" t="s">
        <v>8861</v>
      </c>
      <c r="B3245" s="2" t="s">
        <v>8861</v>
      </c>
      <c r="C3245" s="2" t="s">
        <v>17</v>
      </c>
      <c r="D3245" s="2" t="s">
        <v>18</v>
      </c>
      <c r="E3245" s="4">
        <v>-32030</v>
      </c>
      <c r="F3245" s="3" t="s">
        <v>2226</v>
      </c>
      <c r="G3245" s="3" t="s">
        <v>20</v>
      </c>
      <c r="H3245" s="2" t="s">
        <v>21</v>
      </c>
      <c r="I3245" s="2" t="s">
        <v>8872</v>
      </c>
      <c r="J3245" s="3" t="str">
        <f>HYPERLINK("https://www.boe.es/gazeta/dias/1812/04/20/pdfs/GMD-1812-111.pdf#page=4","Abrir facsímil")</f>
        <v>Abrir facsímil</v>
      </c>
      <c r="K3245" s="3" t="s">
        <v>23</v>
      </c>
    </row>
    <row r="3246" spans="1:11" ht="42" customHeight="1">
      <c r="A3246" s="2" t="s">
        <v>8861</v>
      </c>
      <c r="B3246" s="2" t="s">
        <v>8861</v>
      </c>
      <c r="C3246" s="2" t="s">
        <v>49</v>
      </c>
      <c r="D3246" s="2" t="s">
        <v>27</v>
      </c>
      <c r="E3246" s="4">
        <v>-32020</v>
      </c>
      <c r="F3246" s="3" t="s">
        <v>2818</v>
      </c>
      <c r="G3246" s="3" t="s">
        <v>8873</v>
      </c>
      <c r="H3246" s="2" t="s">
        <v>21</v>
      </c>
      <c r="I3246" s="2" t="s">
        <v>8874</v>
      </c>
      <c r="J3246" s="3" t="str">
        <f>HYPERLINK("https://www.boe.es/gazeta/dias/1812/04/30/pdfs/GRE-1812-54.pdf#page=5","Abrir facsímil")</f>
        <v>Abrir facsímil</v>
      </c>
      <c r="K3246" s="3" t="s">
        <v>23</v>
      </c>
    </row>
    <row r="3247" spans="1:11" ht="42" customHeight="1">
      <c r="A3247" s="2" t="s">
        <v>8861</v>
      </c>
      <c r="B3247" s="2" t="s">
        <v>8861</v>
      </c>
      <c r="C3247" s="2" t="s">
        <v>26</v>
      </c>
      <c r="D3247" s="2" t="s">
        <v>27</v>
      </c>
      <c r="E3247" s="4">
        <v>-32013</v>
      </c>
      <c r="F3247" s="3" t="s">
        <v>849</v>
      </c>
      <c r="G3247" s="3" t="s">
        <v>7184</v>
      </c>
      <c r="H3247" s="2" t="s">
        <v>21</v>
      </c>
      <c r="I3247" s="2" t="s">
        <v>8875</v>
      </c>
      <c r="J3247" s="3" t="str">
        <f>HYPERLINK("https://www.boe.es/gazeta/dias/1812/05/07/pdfs/GRE-1812-57.pdf#page=7","Abrir facsímil")</f>
        <v>Abrir facsímil</v>
      </c>
      <c r="K3247" s="3" t="s">
        <v>23</v>
      </c>
    </row>
    <row r="3248" spans="1:11" ht="42" customHeight="1">
      <c r="A3248" s="2" t="s">
        <v>8861</v>
      </c>
      <c r="B3248" s="2" t="s">
        <v>8861</v>
      </c>
      <c r="C3248" s="2" t="s">
        <v>49</v>
      </c>
      <c r="D3248" s="2" t="s">
        <v>27</v>
      </c>
      <c r="E3248" s="4">
        <v>-32011</v>
      </c>
      <c r="F3248" s="3" t="s">
        <v>1233</v>
      </c>
      <c r="G3248" s="3" t="s">
        <v>8876</v>
      </c>
      <c r="H3248" s="2" t="s">
        <v>21</v>
      </c>
      <c r="I3248" s="2" t="s">
        <v>8877</v>
      </c>
      <c r="J3248" s="3" t="str">
        <f>HYPERLINK("https://www.boe.es/gazeta/dias/1812/05/09/pdfs/GRE-1812-58.pdf#page=7","Abrir facsímil")</f>
        <v>Abrir facsímil</v>
      </c>
      <c r="K3248" s="3" t="s">
        <v>23</v>
      </c>
    </row>
    <row r="3249" spans="1:11" ht="42" customHeight="1">
      <c r="A3249" s="2" t="s">
        <v>8861</v>
      </c>
      <c r="B3249" s="2" t="s">
        <v>8861</v>
      </c>
      <c r="C3249" s="2" t="s">
        <v>49</v>
      </c>
      <c r="D3249" s="2" t="s">
        <v>27</v>
      </c>
      <c r="E3249" s="4">
        <v>-32008</v>
      </c>
      <c r="F3249" s="3" t="s">
        <v>8878</v>
      </c>
      <c r="G3249" s="3" t="s">
        <v>1288</v>
      </c>
      <c r="H3249" s="2" t="s">
        <v>21</v>
      </c>
      <c r="I3249" s="2" t="s">
        <v>8879</v>
      </c>
      <c r="J3249" s="3" t="str">
        <f>HYPERLINK("https://www.boe.es/gazeta/dias/1812/05/12/pdfs/GRE-1812-59.pdf#page=7","Abrir facsímil")</f>
        <v>Abrir facsímil</v>
      </c>
      <c r="K3249" s="3" t="s">
        <v>23</v>
      </c>
    </row>
    <row r="3250" spans="1:11" ht="42" customHeight="1">
      <c r="A3250" s="2" t="s">
        <v>8861</v>
      </c>
      <c r="B3250" s="2" t="s">
        <v>8861</v>
      </c>
      <c r="C3250" s="2" t="s">
        <v>49</v>
      </c>
      <c r="D3250" s="2" t="s">
        <v>27</v>
      </c>
      <c r="E3250" s="4">
        <v>-32006</v>
      </c>
      <c r="F3250" s="3" t="s">
        <v>190</v>
      </c>
      <c r="G3250" s="3" t="s">
        <v>1380</v>
      </c>
      <c r="H3250" s="2" t="s">
        <v>21</v>
      </c>
      <c r="I3250" s="2" t="s">
        <v>8880</v>
      </c>
      <c r="J3250" s="3" t="str">
        <f>HYPERLINK("https://www.boe.es/gazeta/dias/1812/05/14/pdfs/GRE-1812-60.pdf#page=6","Abrir facsímil")</f>
        <v>Abrir facsímil</v>
      </c>
      <c r="K3250" s="3" t="s">
        <v>23</v>
      </c>
    </row>
    <row r="3251" spans="1:11" ht="42" customHeight="1">
      <c r="A3251" s="2" t="s">
        <v>8861</v>
      </c>
      <c r="B3251" s="2" t="s">
        <v>8861</v>
      </c>
      <c r="C3251" s="2" t="s">
        <v>49</v>
      </c>
      <c r="D3251" s="2" t="s">
        <v>27</v>
      </c>
      <c r="E3251" s="4">
        <v>-31999</v>
      </c>
      <c r="F3251" s="3" t="s">
        <v>806</v>
      </c>
      <c r="G3251" s="3" t="s">
        <v>8881</v>
      </c>
      <c r="H3251" s="2" t="s">
        <v>21</v>
      </c>
      <c r="I3251" s="2" t="s">
        <v>8882</v>
      </c>
      <c r="J3251" s="3" t="str">
        <f>HYPERLINK("https://www.boe.es/gazeta/dias/1812/05/21/pdfs/GRE-1812-63.pdf#page=7","Abrir facsímil")</f>
        <v>Abrir facsímil</v>
      </c>
      <c r="K3251" s="3" t="s">
        <v>23</v>
      </c>
    </row>
    <row r="3252" spans="1:11" ht="42" customHeight="1">
      <c r="A3252" s="2" t="s">
        <v>8861</v>
      </c>
      <c r="B3252" s="2" t="s">
        <v>8861</v>
      </c>
      <c r="C3252" s="2" t="s">
        <v>26</v>
      </c>
      <c r="D3252" s="2" t="s">
        <v>27</v>
      </c>
      <c r="E3252" s="4">
        <v>-31990</v>
      </c>
      <c r="F3252" s="3" t="s">
        <v>629</v>
      </c>
      <c r="G3252" s="3" t="s">
        <v>514</v>
      </c>
      <c r="H3252" s="2" t="s">
        <v>21</v>
      </c>
      <c r="I3252" s="2" t="s">
        <v>8883</v>
      </c>
      <c r="J3252" s="3" t="str">
        <f>HYPERLINK("https://www.boe.es/gazeta/dias/1812/05/30/pdfs/GMD-1812-151.pdf#page=3","Abrir facsímil")</f>
        <v>Abrir facsímil</v>
      </c>
      <c r="K3252" s="3" t="s">
        <v>23</v>
      </c>
    </row>
    <row r="3253" spans="1:11" ht="42" customHeight="1">
      <c r="A3253" s="2" t="s">
        <v>8861</v>
      </c>
      <c r="B3253" s="2" t="s">
        <v>8861</v>
      </c>
      <c r="C3253" s="2" t="s">
        <v>26</v>
      </c>
      <c r="D3253" s="2" t="s">
        <v>27</v>
      </c>
      <c r="E3253" s="4">
        <v>-31988</v>
      </c>
      <c r="F3253" s="3" t="s">
        <v>1094</v>
      </c>
      <c r="G3253" s="3" t="s">
        <v>36</v>
      </c>
      <c r="H3253" s="2" t="s">
        <v>21</v>
      </c>
      <c r="I3253" s="2" t="s">
        <v>8884</v>
      </c>
      <c r="J3253" s="3" t="str">
        <f>HYPERLINK("https://www.boe.es/gazeta/dias/1812/06/01/pdfs/GMD-1812-153.pdf#page=3","Abrir facsímil")</f>
        <v>Abrir facsímil</v>
      </c>
      <c r="K3253" s="3" t="s">
        <v>23</v>
      </c>
    </row>
    <row r="3254" spans="1:11" ht="42" customHeight="1">
      <c r="A3254" s="2" t="s">
        <v>8861</v>
      </c>
      <c r="B3254" s="2" t="s">
        <v>8861</v>
      </c>
      <c r="C3254" s="2" t="s">
        <v>105</v>
      </c>
      <c r="D3254" s="2" t="s">
        <v>275</v>
      </c>
      <c r="E3254" s="4">
        <v>-31987</v>
      </c>
      <c r="F3254" s="3" t="s">
        <v>3031</v>
      </c>
      <c r="G3254" s="3" t="s">
        <v>8885</v>
      </c>
      <c r="H3254" s="2" t="s">
        <v>21</v>
      </c>
      <c r="I3254" s="2" t="s">
        <v>8886</v>
      </c>
      <c r="J3254" s="3" t="str">
        <f>HYPERLINK("https://www.boe.es/gazeta/dias/1812/06/02/pdfs/GRE-1812-68.pdf#page=1","Abrir facsímil")</f>
        <v>Abrir facsímil</v>
      </c>
      <c r="K3254" s="3" t="s">
        <v>23</v>
      </c>
    </row>
    <row r="3255" spans="1:11" ht="42" customHeight="1">
      <c r="A3255" s="2" t="s">
        <v>8861</v>
      </c>
      <c r="B3255" s="2" t="s">
        <v>8861</v>
      </c>
      <c r="C3255" s="2" t="s">
        <v>49</v>
      </c>
      <c r="D3255" s="2" t="s">
        <v>134</v>
      </c>
      <c r="E3255" s="4">
        <v>-31983</v>
      </c>
      <c r="F3255" s="3" t="s">
        <v>1437</v>
      </c>
      <c r="G3255" s="3" t="s">
        <v>196</v>
      </c>
      <c r="H3255" s="2" t="s">
        <v>21</v>
      </c>
      <c r="I3255" s="2" t="s">
        <v>8887</v>
      </c>
      <c r="J3255" s="3" t="str">
        <f>HYPERLINK("https://www.boe.es/gazeta/dias/1812/06/06/pdfs/GRE-F-1812-70.pdf#page=1","Abrir facsímil")</f>
        <v>Abrir facsímil</v>
      </c>
      <c r="K3255" s="3" t="s">
        <v>23</v>
      </c>
    </row>
    <row r="3256" spans="1:11" ht="42" customHeight="1">
      <c r="A3256" s="2" t="s">
        <v>8861</v>
      </c>
      <c r="B3256" s="2" t="s">
        <v>8861</v>
      </c>
      <c r="C3256" s="2" t="s">
        <v>17</v>
      </c>
      <c r="D3256" s="2" t="s">
        <v>27</v>
      </c>
      <c r="E3256" s="4">
        <v>-31973</v>
      </c>
      <c r="F3256" s="3" t="s">
        <v>1735</v>
      </c>
      <c r="G3256" s="3" t="s">
        <v>8888</v>
      </c>
      <c r="H3256" s="2" t="s">
        <v>21</v>
      </c>
      <c r="I3256" s="2" t="s">
        <v>8889</v>
      </c>
      <c r="J3256" s="3" t="str">
        <f>HYPERLINK("https://www.boe.es/gazeta/dias/1812/06/16/pdfs/GRE-1812-74.pdf#page=7","Abrir facsímil")</f>
        <v>Abrir facsímil</v>
      </c>
      <c r="K3256" s="3" t="s">
        <v>23</v>
      </c>
    </row>
    <row r="3257" spans="1:11" ht="42" customHeight="1">
      <c r="A3257" s="2" t="s">
        <v>8861</v>
      </c>
      <c r="B3257" s="2" t="s">
        <v>8861</v>
      </c>
      <c r="C3257" s="2" t="s">
        <v>49</v>
      </c>
      <c r="D3257" s="2" t="s">
        <v>27</v>
      </c>
      <c r="E3257" s="4">
        <v>-31971</v>
      </c>
      <c r="F3257" s="3" t="s">
        <v>686</v>
      </c>
      <c r="G3257" s="3" t="s">
        <v>237</v>
      </c>
      <c r="H3257" s="2" t="s">
        <v>21</v>
      </c>
      <c r="I3257" s="2" t="s">
        <v>8890</v>
      </c>
      <c r="J3257" s="3" t="str">
        <f>HYPERLINK("https://www.boe.es/gazeta/dias/1812/06/18/pdfs/GRE-1812-75.pdf#page=7","Abrir facsímil")</f>
        <v>Abrir facsímil</v>
      </c>
      <c r="K3257" s="3" t="s">
        <v>23</v>
      </c>
    </row>
    <row r="3258" spans="1:11" ht="42" customHeight="1">
      <c r="A3258" s="2" t="s">
        <v>8861</v>
      </c>
      <c r="B3258" s="2" t="s">
        <v>8861</v>
      </c>
      <c r="C3258" s="2" t="s">
        <v>17</v>
      </c>
      <c r="D3258" s="2" t="s">
        <v>27</v>
      </c>
      <c r="E3258" s="4">
        <v>-31967</v>
      </c>
      <c r="F3258" s="3" t="s">
        <v>1635</v>
      </c>
      <c r="G3258" s="3" t="s">
        <v>20</v>
      </c>
      <c r="H3258" s="2" t="s">
        <v>21</v>
      </c>
      <c r="I3258" s="2" t="s">
        <v>8891</v>
      </c>
      <c r="J3258" s="3" t="str">
        <f>HYPERLINK("https://www.boe.es/gazeta/dias/1812/06/22/pdfs/GMD-1812-174.pdf#page=2","Abrir facsímil")</f>
        <v>Abrir facsímil</v>
      </c>
      <c r="K3258" s="3" t="s">
        <v>23</v>
      </c>
    </row>
    <row r="3259" spans="1:11" ht="42" customHeight="1">
      <c r="A3259" s="2" t="s">
        <v>8861</v>
      </c>
      <c r="B3259" s="2" t="s">
        <v>8861</v>
      </c>
      <c r="C3259" s="2" t="s">
        <v>105</v>
      </c>
      <c r="D3259" s="2" t="s">
        <v>27</v>
      </c>
      <c r="E3259" s="4">
        <v>-31966</v>
      </c>
      <c r="F3259" s="3" t="s">
        <v>3665</v>
      </c>
      <c r="G3259" s="3" t="s">
        <v>7401</v>
      </c>
      <c r="H3259" s="2" t="s">
        <v>21</v>
      </c>
      <c r="I3259" s="2" t="s">
        <v>8892</v>
      </c>
      <c r="J3259" s="3" t="str">
        <f>HYPERLINK("https://www.boe.es/gazeta/dias/1812/06/23/pdfs/GRE-1812-77.pdf#page=1","Abrir facsímil")</f>
        <v>Abrir facsímil</v>
      </c>
      <c r="K3259" s="3" t="s">
        <v>23</v>
      </c>
    </row>
    <row r="3260" spans="1:11" ht="42" customHeight="1">
      <c r="A3260" s="2" t="s">
        <v>8861</v>
      </c>
      <c r="B3260" s="2" t="s">
        <v>8861</v>
      </c>
      <c r="C3260" s="2" t="s">
        <v>17</v>
      </c>
      <c r="D3260" s="2" t="s">
        <v>27</v>
      </c>
      <c r="E3260" s="4">
        <v>-31966</v>
      </c>
      <c r="F3260" s="3" t="s">
        <v>3665</v>
      </c>
      <c r="G3260" s="3" t="s">
        <v>237</v>
      </c>
      <c r="H3260" s="2" t="s">
        <v>21</v>
      </c>
      <c r="I3260" s="2" t="s">
        <v>8893</v>
      </c>
      <c r="J3260" s="3" t="str">
        <f>HYPERLINK("https://www.boe.es/gazeta/dias/1812/06/23/pdfs/GRE-1812-77.pdf#page=3","Abrir facsímil")</f>
        <v>Abrir facsímil</v>
      </c>
      <c r="K3260" s="3" t="s">
        <v>23</v>
      </c>
    </row>
    <row r="3261" spans="1:11" ht="42" customHeight="1">
      <c r="A3261" s="2" t="s">
        <v>8861</v>
      </c>
      <c r="B3261" s="2" t="s">
        <v>8861</v>
      </c>
      <c r="C3261" s="2" t="s">
        <v>49</v>
      </c>
      <c r="D3261" s="2" t="s">
        <v>27</v>
      </c>
      <c r="E3261" s="4">
        <v>-31962</v>
      </c>
      <c r="F3261" s="3" t="s">
        <v>153</v>
      </c>
      <c r="G3261" s="3" t="s">
        <v>8894</v>
      </c>
      <c r="H3261" s="2" t="s">
        <v>21</v>
      </c>
      <c r="I3261" s="2" t="s">
        <v>8895</v>
      </c>
      <c r="J3261" s="3" t="str">
        <f>HYPERLINK("https://www.boe.es/gazeta/dias/1812/06/27/pdfs/GRE-1812-79.pdf#page=7","Abrir facsímil")</f>
        <v>Abrir facsímil</v>
      </c>
      <c r="K3261" s="3" t="s">
        <v>23</v>
      </c>
    </row>
    <row r="3262" spans="1:11" ht="42" customHeight="1">
      <c r="A3262" s="2" t="s">
        <v>8861</v>
      </c>
      <c r="B3262" s="2" t="s">
        <v>8861</v>
      </c>
      <c r="C3262" s="2" t="s">
        <v>49</v>
      </c>
      <c r="D3262" s="2" t="s">
        <v>27</v>
      </c>
      <c r="E3262" s="4">
        <v>-31955</v>
      </c>
      <c r="F3262" s="3" t="s">
        <v>789</v>
      </c>
      <c r="G3262" s="3" t="s">
        <v>8896</v>
      </c>
      <c r="H3262" s="2" t="s">
        <v>21</v>
      </c>
      <c r="I3262" s="2" t="s">
        <v>8897</v>
      </c>
      <c r="J3262" s="3" t="str">
        <f>HYPERLINK("https://www.boe.es/gazeta/dias/1812/07/04/pdfs/GRE-1812-82.pdf#page=4","Abrir facsímil")</f>
        <v>Abrir facsímil</v>
      </c>
      <c r="K3262" s="3" t="s">
        <v>23</v>
      </c>
    </row>
    <row r="3263" spans="1:11" ht="42" customHeight="1">
      <c r="A3263" s="2" t="s">
        <v>8861</v>
      </c>
      <c r="B3263" s="2" t="s">
        <v>8861</v>
      </c>
      <c r="C3263" s="2" t="s">
        <v>17</v>
      </c>
      <c r="D3263" s="2" t="s">
        <v>134</v>
      </c>
      <c r="E3263" s="4">
        <v>-31955</v>
      </c>
      <c r="F3263" s="3" t="s">
        <v>135</v>
      </c>
      <c r="G3263" s="3" t="s">
        <v>136</v>
      </c>
      <c r="H3263" s="2" t="s">
        <v>21</v>
      </c>
      <c r="I3263" s="2" t="s">
        <v>8898</v>
      </c>
      <c r="J3263" s="3" t="str">
        <f>HYPERLINK("https://www.boe.es/gazeta/dias/1812/07/04/pdfs/GRE-F-1812-82.pdf#page=8","Abrir facsímil")</f>
        <v>Abrir facsímil</v>
      </c>
      <c r="K3263" s="3" t="s">
        <v>23</v>
      </c>
    </row>
    <row r="3264" spans="1:11" ht="42" customHeight="1">
      <c r="A3264" s="2" t="s">
        <v>8861</v>
      </c>
      <c r="B3264" s="2" t="s">
        <v>8861</v>
      </c>
      <c r="C3264" s="2" t="s">
        <v>49</v>
      </c>
      <c r="D3264" s="2" t="s">
        <v>27</v>
      </c>
      <c r="E3264" s="4">
        <v>-31952</v>
      </c>
      <c r="F3264" s="3" t="s">
        <v>210</v>
      </c>
      <c r="G3264" s="3" t="s">
        <v>8899</v>
      </c>
      <c r="H3264" s="2" t="s">
        <v>21</v>
      </c>
      <c r="I3264" s="2" t="s">
        <v>8900</v>
      </c>
      <c r="J3264" s="3" t="str">
        <f>HYPERLINK("https://www.boe.es/gazeta/dias/1812/07/07/pdfs/GRE-1812-83.pdf#page=7","Abrir facsímil")</f>
        <v>Abrir facsímil</v>
      </c>
      <c r="K3264" s="3" t="s">
        <v>23</v>
      </c>
    </row>
    <row r="3265" spans="1:11" ht="42" customHeight="1">
      <c r="A3265" s="2" t="s">
        <v>8861</v>
      </c>
      <c r="B3265" s="2" t="s">
        <v>8861</v>
      </c>
      <c r="C3265" s="2" t="s">
        <v>26</v>
      </c>
      <c r="D3265" s="2" t="s">
        <v>27</v>
      </c>
      <c r="E3265" s="4">
        <v>-31950</v>
      </c>
      <c r="F3265" s="3" t="s">
        <v>1024</v>
      </c>
      <c r="G3265" s="3" t="s">
        <v>1989</v>
      </c>
      <c r="H3265" s="2" t="s">
        <v>21</v>
      </c>
      <c r="I3265" s="2" t="s">
        <v>8901</v>
      </c>
      <c r="J3265" s="3" t="str">
        <f>HYPERLINK("https://www.boe.es/gazeta/dias/1812/07/09/pdfs/GRE-1812-84.pdf#page=2","Abrir facsímil")</f>
        <v>Abrir facsímil</v>
      </c>
      <c r="K3265" s="3" t="s">
        <v>23</v>
      </c>
    </row>
    <row r="3266" spans="1:11" ht="42" customHeight="1">
      <c r="A3266" s="2" t="s">
        <v>8861</v>
      </c>
      <c r="B3266" s="2" t="s">
        <v>8861</v>
      </c>
      <c r="C3266" s="2" t="s">
        <v>17</v>
      </c>
      <c r="D3266" s="2" t="s">
        <v>27</v>
      </c>
      <c r="E3266" s="4">
        <v>-31945</v>
      </c>
      <c r="F3266" s="3" t="s">
        <v>1485</v>
      </c>
      <c r="G3266" s="3" t="s">
        <v>45</v>
      </c>
      <c r="H3266" s="2" t="s">
        <v>21</v>
      </c>
      <c r="I3266" s="2" t="s">
        <v>8902</v>
      </c>
      <c r="J3266" s="3" t="str">
        <f>HYPERLINK("https://www.boe.es/gazeta/dias/1812/07/14/pdfs/GRE-1812-88.pdf#page=3","Abrir facsímil")</f>
        <v>Abrir facsímil</v>
      </c>
      <c r="K3266" s="3" t="s">
        <v>23</v>
      </c>
    </row>
    <row r="3267" spans="1:11" ht="42" customHeight="1">
      <c r="A3267" s="2" t="s">
        <v>8861</v>
      </c>
      <c r="B3267" s="2" t="s">
        <v>8861</v>
      </c>
      <c r="C3267" s="2" t="s">
        <v>17</v>
      </c>
      <c r="D3267" s="2" t="s">
        <v>18</v>
      </c>
      <c r="E3267" s="4">
        <v>-31943</v>
      </c>
      <c r="F3267" s="3" t="s">
        <v>8719</v>
      </c>
      <c r="G3267" s="3" t="s">
        <v>8903</v>
      </c>
      <c r="H3267" s="2" t="s">
        <v>21</v>
      </c>
      <c r="I3267" s="2" t="s">
        <v>8904</v>
      </c>
      <c r="J3267" s="3" t="str">
        <f>HYPERLINK("https://www.boe.es/gazeta/dias/1812/07/16/pdfs/GMD-1812-198.pdf#page=1","Abrir facsímil")</f>
        <v>Abrir facsímil</v>
      </c>
      <c r="K3267" s="3" t="s">
        <v>23</v>
      </c>
    </row>
    <row r="3268" spans="1:11" ht="42" customHeight="1">
      <c r="A3268" s="2" t="s">
        <v>8861</v>
      </c>
      <c r="B3268" s="2" t="s">
        <v>8861</v>
      </c>
      <c r="C3268" s="2" t="s">
        <v>49</v>
      </c>
      <c r="D3268" s="2" t="s">
        <v>18</v>
      </c>
      <c r="E3268" s="4">
        <v>-31941</v>
      </c>
      <c r="F3268" s="3" t="s">
        <v>2048</v>
      </c>
      <c r="G3268" s="3" t="s">
        <v>6343</v>
      </c>
      <c r="H3268" s="2" t="s">
        <v>21</v>
      </c>
      <c r="I3268" s="2" t="s">
        <v>8905</v>
      </c>
      <c r="J3268" s="3" t="str">
        <f>HYPERLINK("https://www.boe.es/gazeta/dias/1812/07/18/pdfs/GRE-1812-90.pdf#page=7","Abrir facsímil")</f>
        <v>Abrir facsímil</v>
      </c>
      <c r="K3268" s="3" t="s">
        <v>23</v>
      </c>
    </row>
    <row r="3269" spans="1:11" ht="42" customHeight="1">
      <c r="A3269" s="2" t="s">
        <v>8861</v>
      </c>
      <c r="B3269" s="2" t="s">
        <v>8861</v>
      </c>
      <c r="C3269" s="2" t="s">
        <v>49</v>
      </c>
      <c r="D3269" s="2" t="s">
        <v>27</v>
      </c>
      <c r="E3269" s="4">
        <v>-31938</v>
      </c>
      <c r="F3269" s="3" t="s">
        <v>370</v>
      </c>
      <c r="G3269" s="3" t="s">
        <v>8906</v>
      </c>
      <c r="H3269" s="2" t="s">
        <v>21</v>
      </c>
      <c r="I3269" s="2" t="s">
        <v>8907</v>
      </c>
      <c r="J3269" s="3" t="str">
        <f>HYPERLINK("https://www.boe.es/gazeta/dias/1812/07/21/pdfs/GRE-1812-91.pdf#page=3","Abrir facsímil")</f>
        <v>Abrir facsímil</v>
      </c>
      <c r="K3269" s="3" t="s">
        <v>23</v>
      </c>
    </row>
    <row r="3270" spans="1:11" ht="42" customHeight="1">
      <c r="A3270" s="2" t="s">
        <v>8861</v>
      </c>
      <c r="B3270" s="2" t="s">
        <v>8861</v>
      </c>
      <c r="C3270" s="2" t="s">
        <v>49</v>
      </c>
      <c r="D3270" s="2" t="s">
        <v>27</v>
      </c>
      <c r="E3270" s="4">
        <v>-31929</v>
      </c>
      <c r="F3270" s="3" t="s">
        <v>1148</v>
      </c>
      <c r="G3270" s="3" t="s">
        <v>4122</v>
      </c>
      <c r="H3270" s="2" t="s">
        <v>21</v>
      </c>
      <c r="I3270" s="2" t="s">
        <v>8908</v>
      </c>
      <c r="J3270" s="3" t="str">
        <f>HYPERLINK("https://www.boe.es/gazeta/dias/1812/07/30/pdfs/GRE-1812-95.pdf#page=5","Abrir facsímil")</f>
        <v>Abrir facsímil</v>
      </c>
      <c r="K3270" s="3" t="s">
        <v>23</v>
      </c>
    </row>
    <row r="3271" spans="1:11" ht="42" customHeight="1">
      <c r="A3271" s="2" t="s">
        <v>8861</v>
      </c>
      <c r="B3271" s="2" t="s">
        <v>8861</v>
      </c>
      <c r="C3271" s="2" t="s">
        <v>49</v>
      </c>
      <c r="D3271" s="2" t="s">
        <v>27</v>
      </c>
      <c r="E3271" s="4">
        <v>-31924</v>
      </c>
      <c r="F3271" s="3" t="s">
        <v>1948</v>
      </c>
      <c r="G3271" s="3" t="s">
        <v>8909</v>
      </c>
      <c r="H3271" s="2" t="s">
        <v>21</v>
      </c>
      <c r="I3271" s="2" t="s">
        <v>8910</v>
      </c>
      <c r="J3271" s="3" t="str">
        <f>HYPERLINK("https://www.boe.es/gazeta/dias/1812/08/04/pdfs/GRE-1812-99.pdf#page=7","Abrir facsímil")</f>
        <v>Abrir facsímil</v>
      </c>
      <c r="K3271" s="3" t="s">
        <v>23</v>
      </c>
    </row>
    <row r="3272" spans="1:11" ht="42" customHeight="1">
      <c r="A3272" s="2" t="s">
        <v>8861</v>
      </c>
      <c r="B3272" s="2" t="s">
        <v>8861</v>
      </c>
      <c r="C3272" s="2" t="s">
        <v>49</v>
      </c>
      <c r="D3272" s="2" t="s">
        <v>27</v>
      </c>
      <c r="E3272" s="4">
        <v>-31920</v>
      </c>
      <c r="F3272" s="3" t="s">
        <v>8503</v>
      </c>
      <c r="G3272" s="3" t="s">
        <v>8911</v>
      </c>
      <c r="H3272" s="2" t="s">
        <v>21</v>
      </c>
      <c r="I3272" s="2" t="s">
        <v>8912</v>
      </c>
      <c r="J3272" s="3" t="str">
        <f>HYPERLINK("https://www.boe.es/gazeta/dias/1812/08/08/pdfs/GRE-1812-102.pdf#page=7","Abrir facsímil")</f>
        <v>Abrir facsímil</v>
      </c>
      <c r="K3272" s="3" t="s">
        <v>23</v>
      </c>
    </row>
    <row r="3273" spans="1:11" ht="42" customHeight="1">
      <c r="A3273" s="2" t="s">
        <v>8861</v>
      </c>
      <c r="B3273" s="2" t="s">
        <v>8861</v>
      </c>
      <c r="C3273" s="2" t="s">
        <v>26</v>
      </c>
      <c r="D3273" s="2" t="s">
        <v>27</v>
      </c>
      <c r="E3273" s="4">
        <v>-31917</v>
      </c>
      <c r="F3273" s="3" t="s">
        <v>946</v>
      </c>
      <c r="G3273" s="3" t="s">
        <v>404</v>
      </c>
      <c r="H3273" s="2" t="s">
        <v>21</v>
      </c>
      <c r="I3273" s="2" t="s">
        <v>8913</v>
      </c>
      <c r="J3273" s="3" t="str">
        <f>HYPERLINK("https://www.boe.es/gazeta/dias/1812/08/11/pdfs/GRE-1812-103.pdf#page=2","Abrir facsímil")</f>
        <v>Abrir facsímil</v>
      </c>
      <c r="K3273" s="3" t="s">
        <v>23</v>
      </c>
    </row>
    <row r="3274" spans="1:11" ht="42" customHeight="1">
      <c r="A3274" s="2" t="s">
        <v>8914</v>
      </c>
      <c r="B3274" s="2" t="s">
        <v>8914</v>
      </c>
      <c r="C3274" s="2" t="s">
        <v>17</v>
      </c>
      <c r="D3274" s="2" t="s">
        <v>18</v>
      </c>
      <c r="E3274" s="4">
        <v>-31910</v>
      </c>
      <c r="F3274" s="3" t="s">
        <v>2149</v>
      </c>
      <c r="G3274" s="3" t="s">
        <v>3587</v>
      </c>
      <c r="H3274" s="2" t="s">
        <v>30</v>
      </c>
      <c r="I3274" s="2" t="s">
        <v>8915</v>
      </c>
      <c r="J3274" s="3" t="str">
        <f>HYPERLINK("https://www.boe.es/gazeta/dias/1812/08/18/pdfs/GRE-F-1812-106.pdf#page=4","Abrir facsímil")</f>
        <v>Abrir facsímil</v>
      </c>
      <c r="K3274" s="3" t="s">
        <v>32</v>
      </c>
    </row>
    <row r="3275" spans="1:11" ht="42" customHeight="1">
      <c r="A3275" s="2" t="s">
        <v>8861</v>
      </c>
      <c r="B3275" s="2" t="s">
        <v>8861</v>
      </c>
      <c r="C3275" s="2" t="s">
        <v>49</v>
      </c>
      <c r="D3275" s="2" t="s">
        <v>27</v>
      </c>
      <c r="E3275" s="4">
        <v>-31901</v>
      </c>
      <c r="F3275" s="3" t="s">
        <v>2199</v>
      </c>
      <c r="G3275" s="3" t="s">
        <v>2836</v>
      </c>
      <c r="H3275" s="2" t="s">
        <v>21</v>
      </c>
      <c r="I3275" s="2" t="s">
        <v>8916</v>
      </c>
      <c r="J3275" s="3" t="str">
        <f>HYPERLINK("https://www.boe.es/gazeta/dias/1812/08/27/pdfs/GRE-1812-111.pdf#page=5","Abrir facsímil")</f>
        <v>Abrir facsímil</v>
      </c>
      <c r="K3275" s="3" t="s">
        <v>23</v>
      </c>
    </row>
    <row r="3276" spans="1:11" ht="42" customHeight="1">
      <c r="A3276" s="2" t="s">
        <v>8861</v>
      </c>
      <c r="B3276" s="2" t="s">
        <v>8861</v>
      </c>
      <c r="C3276" s="2" t="s">
        <v>105</v>
      </c>
      <c r="D3276" s="2" t="s">
        <v>27</v>
      </c>
      <c r="E3276" s="4">
        <v>-31899</v>
      </c>
      <c r="F3276" s="3" t="s">
        <v>8917</v>
      </c>
      <c r="G3276" s="3" t="s">
        <v>8918</v>
      </c>
      <c r="H3276" s="2" t="s">
        <v>21</v>
      </c>
      <c r="I3276" s="2" t="s">
        <v>8919</v>
      </c>
      <c r="J3276" s="3" t="str">
        <f>HYPERLINK("https://www.boe.es/gazeta/dias/1812/08/29/pdfs/GRE-1812-114.pdf#page=8","Abrir facsímil")</f>
        <v>Abrir facsímil</v>
      </c>
      <c r="K3276" s="3" t="s">
        <v>23</v>
      </c>
    </row>
    <row r="3277" spans="1:11" ht="42" customHeight="1">
      <c r="A3277" s="2" t="s">
        <v>8861</v>
      </c>
      <c r="B3277" s="2" t="s">
        <v>8861</v>
      </c>
      <c r="C3277" s="2" t="s">
        <v>49</v>
      </c>
      <c r="D3277" s="2" t="s">
        <v>27</v>
      </c>
      <c r="E3277" s="4">
        <v>-31894</v>
      </c>
      <c r="F3277" s="3" t="s">
        <v>793</v>
      </c>
      <c r="G3277" s="3" t="s">
        <v>794</v>
      </c>
      <c r="H3277" s="2" t="s">
        <v>21</v>
      </c>
      <c r="I3277" s="2" t="s">
        <v>8920</v>
      </c>
      <c r="J3277" s="3" t="str">
        <f>HYPERLINK("https://www.boe.es/gazeta/dias/1812/09/03/pdfs/GRE-1812-119.pdf#page=7","Abrir facsímil")</f>
        <v>Abrir facsímil</v>
      </c>
      <c r="K3277" s="3" t="s">
        <v>23</v>
      </c>
    </row>
    <row r="3278" spans="1:11" ht="42" customHeight="1">
      <c r="A3278" s="2" t="s">
        <v>8861</v>
      </c>
      <c r="B3278" s="2" t="s">
        <v>8861</v>
      </c>
      <c r="C3278" s="2" t="s">
        <v>17</v>
      </c>
      <c r="D3278" s="2" t="s">
        <v>194</v>
      </c>
      <c r="E3278" s="4">
        <v>-31889</v>
      </c>
      <c r="F3278" s="3" t="s">
        <v>424</v>
      </c>
      <c r="G3278" s="3" t="s">
        <v>6808</v>
      </c>
      <c r="H3278" s="2" t="s">
        <v>21</v>
      </c>
      <c r="I3278" s="2" t="s">
        <v>8921</v>
      </c>
      <c r="J3278" s="3" t="str">
        <f>HYPERLINK("https://www.boe.es/gazeta/dias/1812/09/08/pdfs/GRE-1812-121.pdf#page=7","Abrir facsímil")</f>
        <v>Abrir facsímil</v>
      </c>
      <c r="K3278" s="3" t="s">
        <v>23</v>
      </c>
    </row>
    <row r="3279" spans="1:11" ht="42" customHeight="1">
      <c r="A3279" s="2" t="s">
        <v>8861</v>
      </c>
      <c r="B3279" s="2" t="s">
        <v>8861</v>
      </c>
      <c r="C3279" s="2" t="s">
        <v>26</v>
      </c>
      <c r="D3279" s="2" t="s">
        <v>27</v>
      </c>
      <c r="E3279" s="4">
        <v>-31882</v>
      </c>
      <c r="F3279" s="3" t="s">
        <v>1200</v>
      </c>
      <c r="G3279" s="3" t="s">
        <v>20</v>
      </c>
      <c r="H3279" s="2" t="s">
        <v>21</v>
      </c>
      <c r="I3279" s="2" t="s">
        <v>8922</v>
      </c>
      <c r="J3279" s="3" t="str">
        <f>HYPERLINK("https://www.boe.es/gazeta/dias/1812/09/15/pdfs/GRE-1812-125.pdf#page=3","Abrir facsímil")</f>
        <v>Abrir facsímil</v>
      </c>
      <c r="K3279" s="3" t="s">
        <v>23</v>
      </c>
    </row>
    <row r="3280" spans="1:11" ht="42" customHeight="1">
      <c r="A3280" s="2" t="s">
        <v>8914</v>
      </c>
      <c r="B3280" s="2" t="s">
        <v>8914</v>
      </c>
      <c r="C3280" s="2" t="s">
        <v>105</v>
      </c>
      <c r="D3280" s="2" t="s">
        <v>194</v>
      </c>
      <c r="E3280" s="4">
        <v>-31866</v>
      </c>
      <c r="F3280" s="3" t="s">
        <v>2438</v>
      </c>
      <c r="G3280" s="3" t="s">
        <v>5474</v>
      </c>
      <c r="H3280" s="2" t="s">
        <v>30</v>
      </c>
      <c r="I3280" s="2" t="s">
        <v>8923</v>
      </c>
      <c r="J3280" s="3" t="str">
        <f>HYPERLINK("https://www.boe.es/gazeta/dias/1812/10/01/pdfs/GMR-1812-21.pdf#page=7","Abrir facsímil")</f>
        <v>Abrir facsímil</v>
      </c>
      <c r="K3280" s="3" t="s">
        <v>32</v>
      </c>
    </row>
    <row r="3281" spans="1:11" ht="42" customHeight="1">
      <c r="A3281" s="2" t="s">
        <v>8861</v>
      </c>
      <c r="B3281" s="2" t="s">
        <v>8861</v>
      </c>
      <c r="C3281" s="2" t="s">
        <v>49</v>
      </c>
      <c r="D3281" s="2" t="s">
        <v>27</v>
      </c>
      <c r="E3281" s="4">
        <v>-31866</v>
      </c>
      <c r="F3281" s="3" t="s">
        <v>845</v>
      </c>
      <c r="G3281" s="3" t="s">
        <v>8924</v>
      </c>
      <c r="H3281" s="2" t="s">
        <v>21</v>
      </c>
      <c r="I3281" s="2" t="s">
        <v>8925</v>
      </c>
      <c r="J3281" s="3" t="str">
        <f>HYPERLINK("https://www.boe.es/gazeta/dias/1812/10/01/pdfs/GRE-1812-133.pdf#page=3","Abrir facsímil")</f>
        <v>Abrir facsímil</v>
      </c>
      <c r="K3281" s="3" t="s">
        <v>23</v>
      </c>
    </row>
    <row r="3282" spans="1:11" ht="42" customHeight="1">
      <c r="A3282" s="2" t="s">
        <v>8861</v>
      </c>
      <c r="B3282" s="2" t="s">
        <v>8861</v>
      </c>
      <c r="C3282" s="2" t="s">
        <v>49</v>
      </c>
      <c r="D3282" s="2" t="s">
        <v>27</v>
      </c>
      <c r="E3282" s="4">
        <v>-31864</v>
      </c>
      <c r="F3282" s="3" t="s">
        <v>3014</v>
      </c>
      <c r="G3282" s="3" t="s">
        <v>8926</v>
      </c>
      <c r="H3282" s="2" t="s">
        <v>21</v>
      </c>
      <c r="I3282" s="2" t="s">
        <v>8927</v>
      </c>
      <c r="J3282" s="3" t="str">
        <f>HYPERLINK("https://www.boe.es/gazeta/dias/1812/10/03/pdfs/GRE-1812-134.pdf#page=3","Abrir facsímil")</f>
        <v>Abrir facsímil</v>
      </c>
      <c r="K3282" s="3" t="s">
        <v>23</v>
      </c>
    </row>
    <row r="3283" spans="1:11" ht="42" customHeight="1">
      <c r="A3283" s="2" t="s">
        <v>8861</v>
      </c>
      <c r="B3283" s="2" t="s">
        <v>8861</v>
      </c>
      <c r="C3283" s="2" t="s">
        <v>49</v>
      </c>
      <c r="D3283" s="2" t="s">
        <v>27</v>
      </c>
      <c r="E3283" s="4">
        <v>-31864</v>
      </c>
      <c r="F3283" s="3" t="s">
        <v>3014</v>
      </c>
      <c r="G3283" s="3" t="s">
        <v>8928</v>
      </c>
      <c r="H3283" s="2" t="s">
        <v>21</v>
      </c>
      <c r="I3283" s="2" t="s">
        <v>8929</v>
      </c>
      <c r="J3283" s="3" t="str">
        <f>HYPERLINK("https://www.boe.es/gazeta/dias/1812/10/03/pdfs/GRE-1812-134.pdf#page=6","Abrir facsímil")</f>
        <v>Abrir facsímil</v>
      </c>
      <c r="K3283" s="3" t="s">
        <v>23</v>
      </c>
    </row>
    <row r="3284" spans="1:11" ht="42" customHeight="1">
      <c r="A3284" s="2" t="s">
        <v>8861</v>
      </c>
      <c r="B3284" s="2" t="s">
        <v>8861</v>
      </c>
      <c r="C3284" s="2" t="s">
        <v>49</v>
      </c>
      <c r="D3284" s="2" t="s">
        <v>27</v>
      </c>
      <c r="E3284" s="4">
        <v>-31859</v>
      </c>
      <c r="F3284" s="3" t="s">
        <v>3024</v>
      </c>
      <c r="G3284" s="3" t="s">
        <v>217</v>
      </c>
      <c r="H3284" s="2" t="s">
        <v>21</v>
      </c>
      <c r="I3284" s="2" t="s">
        <v>8930</v>
      </c>
      <c r="J3284" s="3" t="str">
        <f>HYPERLINK("https://www.boe.es/gazeta/dias/1812/10/08/pdfs/GRE-1812-136.pdf#page=5","Abrir facsímil")</f>
        <v>Abrir facsímil</v>
      </c>
      <c r="K3284" s="3" t="s">
        <v>23</v>
      </c>
    </row>
    <row r="3285" spans="1:11" ht="42" customHeight="1">
      <c r="A3285" s="2" t="s">
        <v>8861</v>
      </c>
      <c r="B3285" s="2" t="s">
        <v>8861</v>
      </c>
      <c r="C3285" s="2" t="s">
        <v>49</v>
      </c>
      <c r="D3285" s="2" t="s">
        <v>27</v>
      </c>
      <c r="E3285" s="4">
        <v>-31845</v>
      </c>
      <c r="F3285" s="3" t="s">
        <v>726</v>
      </c>
      <c r="G3285" s="3" t="s">
        <v>8931</v>
      </c>
      <c r="H3285" s="2" t="s">
        <v>21</v>
      </c>
      <c r="I3285" s="2" t="s">
        <v>8932</v>
      </c>
      <c r="J3285" s="3" t="str">
        <f>HYPERLINK("https://www.boe.es/gazeta/dias/1812/10/22/pdfs/GRE-1812-142.pdf#page=5","Abrir facsímil")</f>
        <v>Abrir facsímil</v>
      </c>
      <c r="K3285" s="3" t="s">
        <v>23</v>
      </c>
    </row>
    <row r="3286" spans="1:11" ht="42" customHeight="1">
      <c r="A3286" s="2" t="s">
        <v>8861</v>
      </c>
      <c r="B3286" s="2" t="s">
        <v>8861</v>
      </c>
      <c r="C3286" s="2" t="s">
        <v>49</v>
      </c>
      <c r="D3286" s="2" t="s">
        <v>275</v>
      </c>
      <c r="E3286" s="4">
        <v>-31838</v>
      </c>
      <c r="F3286" s="3" t="s">
        <v>1960</v>
      </c>
      <c r="G3286" s="3" t="s">
        <v>8933</v>
      </c>
      <c r="H3286" s="2" t="s">
        <v>21</v>
      </c>
      <c r="I3286" s="2" t="s">
        <v>8934</v>
      </c>
      <c r="J3286" s="3" t="str">
        <f>HYPERLINK("https://www.boe.es/gazeta/dias/1812/10/29/pdfs/GRE-1812-145.pdf#page=5","Abrir facsímil")</f>
        <v>Abrir facsímil</v>
      </c>
      <c r="K3286" s="3" t="s">
        <v>23</v>
      </c>
    </row>
    <row r="3287" spans="1:11" ht="42" customHeight="1">
      <c r="A3287" s="2" t="s">
        <v>8861</v>
      </c>
      <c r="B3287" s="2" t="s">
        <v>8861</v>
      </c>
      <c r="C3287" s="2" t="s">
        <v>49</v>
      </c>
      <c r="D3287" s="2" t="s">
        <v>27</v>
      </c>
      <c r="E3287" s="4">
        <v>-31836</v>
      </c>
      <c r="F3287" s="3" t="s">
        <v>729</v>
      </c>
      <c r="G3287" s="3" t="s">
        <v>8935</v>
      </c>
      <c r="H3287" s="2" t="s">
        <v>21</v>
      </c>
      <c r="I3287" s="2" t="s">
        <v>8936</v>
      </c>
      <c r="J3287" s="3" t="str">
        <f>HYPERLINK("https://www.boe.es/gazeta/dias/1812/10/31/pdfs/GRE-1812-146.pdf#page=4","Abrir facsímil")</f>
        <v>Abrir facsímil</v>
      </c>
      <c r="K3287" s="3" t="s">
        <v>23</v>
      </c>
    </row>
    <row r="3288" spans="1:11" ht="42" customHeight="1">
      <c r="A3288" s="2" t="s">
        <v>8861</v>
      </c>
      <c r="B3288" s="2" t="s">
        <v>8861</v>
      </c>
      <c r="C3288" s="2" t="s">
        <v>49</v>
      </c>
      <c r="D3288" s="2" t="s">
        <v>134</v>
      </c>
      <c r="E3288" s="4">
        <v>-31831</v>
      </c>
      <c r="F3288" s="3" t="s">
        <v>8937</v>
      </c>
      <c r="G3288" s="3" t="s">
        <v>101</v>
      </c>
      <c r="H3288" s="2" t="s">
        <v>21</v>
      </c>
      <c r="I3288" s="2" t="s">
        <v>8938</v>
      </c>
      <c r="J3288" s="3" t="str">
        <f>HYPERLINK("https://www.boe.es/gazeta/dias/1812/11/05/pdfs/GRE-F-1812-148.pdf#page=1","Abrir facsímil")</f>
        <v>Abrir facsímil</v>
      </c>
      <c r="K3288" s="3" t="s">
        <v>23</v>
      </c>
    </row>
    <row r="3289" spans="1:11" ht="42" customHeight="1">
      <c r="A3289" s="2" t="s">
        <v>8861</v>
      </c>
      <c r="B3289" s="2" t="s">
        <v>8861</v>
      </c>
      <c r="C3289" s="2" t="s">
        <v>49</v>
      </c>
      <c r="D3289" s="2" t="s">
        <v>275</v>
      </c>
      <c r="E3289" s="4">
        <v>-31831</v>
      </c>
      <c r="F3289" s="3" t="s">
        <v>8937</v>
      </c>
      <c r="G3289" s="3" t="s">
        <v>8939</v>
      </c>
      <c r="H3289" s="2" t="s">
        <v>21</v>
      </c>
      <c r="I3289" s="2" t="s">
        <v>8940</v>
      </c>
      <c r="J3289" s="3" t="str">
        <f>HYPERLINK("https://www.boe.es/gazeta/dias/1812/11/05/pdfs/GRE-F-1812-148.pdf#page=15","Abrir facsímil")</f>
        <v>Abrir facsímil</v>
      </c>
      <c r="K3289" s="3" t="s">
        <v>23</v>
      </c>
    </row>
    <row r="3290" spans="1:11" ht="42" customHeight="1">
      <c r="A3290" s="2" t="s">
        <v>8861</v>
      </c>
      <c r="B3290" s="2" t="s">
        <v>8861</v>
      </c>
      <c r="C3290" s="2" t="s">
        <v>49</v>
      </c>
      <c r="D3290" s="2" t="s">
        <v>27</v>
      </c>
      <c r="E3290" s="4">
        <v>-31826</v>
      </c>
      <c r="F3290" s="3" t="s">
        <v>7488</v>
      </c>
      <c r="G3290" s="3" t="s">
        <v>8941</v>
      </c>
      <c r="H3290" s="2" t="s">
        <v>21</v>
      </c>
      <c r="I3290" s="2" t="s">
        <v>8942</v>
      </c>
      <c r="J3290" s="3" t="str">
        <f>HYPERLINK("https://www.boe.es/gazeta/dias/1812/11/10/pdfs/GRE-1812-150.pdf#page=7","Abrir facsímil")</f>
        <v>Abrir facsímil</v>
      </c>
      <c r="K3290" s="3" t="s">
        <v>23</v>
      </c>
    </row>
    <row r="3291" spans="1:11" ht="42" customHeight="1">
      <c r="A3291" s="2" t="s">
        <v>8861</v>
      </c>
      <c r="B3291" s="2" t="s">
        <v>8861</v>
      </c>
      <c r="C3291" s="2" t="s">
        <v>49</v>
      </c>
      <c r="D3291" s="2" t="s">
        <v>27</v>
      </c>
      <c r="E3291" s="4">
        <v>-31817</v>
      </c>
      <c r="F3291" s="3" t="s">
        <v>454</v>
      </c>
      <c r="G3291" s="3" t="s">
        <v>217</v>
      </c>
      <c r="H3291" s="2" t="s">
        <v>21</v>
      </c>
      <c r="I3291" s="2" t="s">
        <v>8943</v>
      </c>
      <c r="J3291" s="3" t="str">
        <f>HYPERLINK("https://www.boe.es/gazeta/dias/1812/11/19/pdfs/GRE-1812-154.pdf#page=5","Abrir facsímil")</f>
        <v>Abrir facsímil</v>
      </c>
      <c r="K3291" s="3" t="s">
        <v>23</v>
      </c>
    </row>
    <row r="3292" spans="1:11" ht="42" customHeight="1">
      <c r="A3292" s="2" t="s">
        <v>8861</v>
      </c>
      <c r="B3292" s="2" t="s">
        <v>8861</v>
      </c>
      <c r="C3292" s="2" t="s">
        <v>49</v>
      </c>
      <c r="D3292" s="2" t="s">
        <v>27</v>
      </c>
      <c r="E3292" s="4">
        <v>-31817</v>
      </c>
      <c r="F3292" s="3" t="s">
        <v>454</v>
      </c>
      <c r="G3292" s="3" t="s">
        <v>5565</v>
      </c>
      <c r="H3292" s="2" t="s">
        <v>21</v>
      </c>
      <c r="I3292" s="2" t="s">
        <v>8944</v>
      </c>
      <c r="J3292" s="3" t="str">
        <f>HYPERLINK("https://www.boe.es/gazeta/dias/1812/11/19/pdfs/GRE-1812-154.pdf#page=6","Abrir facsímil")</f>
        <v>Abrir facsímil</v>
      </c>
      <c r="K3292" s="3" t="s">
        <v>23</v>
      </c>
    </row>
    <row r="3293" spans="1:11" ht="42" customHeight="1">
      <c r="A3293" s="2" t="s">
        <v>8861</v>
      </c>
      <c r="B3293" s="2" t="s">
        <v>8861</v>
      </c>
      <c r="C3293" s="2" t="s">
        <v>26</v>
      </c>
      <c r="D3293" s="2" t="s">
        <v>27</v>
      </c>
      <c r="E3293" s="4">
        <v>-31816</v>
      </c>
      <c r="F3293" s="3" t="s">
        <v>270</v>
      </c>
      <c r="G3293" s="3" t="s">
        <v>140</v>
      </c>
      <c r="H3293" s="2" t="s">
        <v>21</v>
      </c>
      <c r="I3293" s="2" t="s">
        <v>8945</v>
      </c>
      <c r="J3293" s="3" t="str">
        <f>HYPERLINK("https://www.boe.es/gazeta/dias/1812/11/20/pdfs/GMR-1812-36.pdf#page=2","Abrir facsímil")</f>
        <v>Abrir facsímil</v>
      </c>
      <c r="K3293" s="3" t="s">
        <v>23</v>
      </c>
    </row>
    <row r="3294" spans="1:11" ht="42" customHeight="1">
      <c r="A3294" s="2" t="s">
        <v>8861</v>
      </c>
      <c r="B3294" s="2" t="s">
        <v>8861</v>
      </c>
      <c r="C3294" s="2" t="s">
        <v>17</v>
      </c>
      <c r="D3294" s="2" t="s">
        <v>27</v>
      </c>
      <c r="E3294" s="4">
        <v>-31810</v>
      </c>
      <c r="F3294" s="3" t="s">
        <v>2305</v>
      </c>
      <c r="G3294" s="3" t="s">
        <v>45</v>
      </c>
      <c r="H3294" s="2" t="s">
        <v>21</v>
      </c>
      <c r="I3294" s="2" t="s">
        <v>8946</v>
      </c>
      <c r="J3294" s="3" t="str">
        <f>HYPERLINK("https://www.boe.es/gazeta/dias/1812/11/26/pdfs/GRE-1812-157.pdf#page=6","Abrir facsímil")</f>
        <v>Abrir facsímil</v>
      </c>
      <c r="K3294" s="3" t="s">
        <v>23</v>
      </c>
    </row>
    <row r="3295" spans="1:11" ht="42" customHeight="1">
      <c r="A3295" s="2" t="s">
        <v>8861</v>
      </c>
      <c r="B3295" s="2" t="s">
        <v>8861</v>
      </c>
      <c r="C3295" s="2" t="s">
        <v>26</v>
      </c>
      <c r="D3295" s="2" t="s">
        <v>27</v>
      </c>
      <c r="E3295" s="4">
        <v>-31798</v>
      </c>
      <c r="F3295" s="3" t="s">
        <v>2194</v>
      </c>
      <c r="G3295" s="3" t="s">
        <v>159</v>
      </c>
      <c r="H3295" s="2" t="s">
        <v>21</v>
      </c>
      <c r="I3295" s="2" t="s">
        <v>8947</v>
      </c>
      <c r="J3295" s="3" t="str">
        <f>HYPERLINK("https://www.boe.es/gazeta/dias/1812/12/08/pdfs/GRE-1812-162.pdf#page=7","Abrir facsímil")</f>
        <v>Abrir facsímil</v>
      </c>
      <c r="K3295" s="3" t="s">
        <v>23</v>
      </c>
    </row>
    <row r="3296" spans="1:11" ht="42" customHeight="1">
      <c r="A3296" s="2" t="s">
        <v>8861</v>
      </c>
      <c r="B3296" s="2" t="s">
        <v>8861</v>
      </c>
      <c r="C3296" s="2" t="s">
        <v>49</v>
      </c>
      <c r="D3296" s="2" t="s">
        <v>275</v>
      </c>
      <c r="E3296" s="4">
        <v>-31791</v>
      </c>
      <c r="F3296" s="3" t="s">
        <v>905</v>
      </c>
      <c r="G3296" s="3" t="s">
        <v>3862</v>
      </c>
      <c r="H3296" s="2" t="s">
        <v>21</v>
      </c>
      <c r="I3296" s="2" t="s">
        <v>8948</v>
      </c>
      <c r="J3296" s="3" t="str">
        <f>HYPERLINK("https://www.boe.es/gazeta/dias/1812/12/15/pdfs/GRE-1812-165.pdf#page=6","Abrir facsímil")</f>
        <v>Abrir facsímil</v>
      </c>
      <c r="K3296" s="3" t="s">
        <v>23</v>
      </c>
    </row>
    <row r="3297" spans="1:11" ht="42" customHeight="1">
      <c r="A3297" s="2" t="s">
        <v>8861</v>
      </c>
      <c r="B3297" s="2" t="s">
        <v>8861</v>
      </c>
      <c r="C3297" s="2" t="s">
        <v>186</v>
      </c>
      <c r="D3297" s="2" t="s">
        <v>27</v>
      </c>
      <c r="E3297" s="4">
        <v>-31780</v>
      </c>
      <c r="F3297" s="3" t="s">
        <v>3317</v>
      </c>
      <c r="G3297" s="3" t="s">
        <v>125</v>
      </c>
      <c r="H3297" s="2" t="s">
        <v>21</v>
      </c>
      <c r="I3297" s="2" t="s">
        <v>8949</v>
      </c>
      <c r="J3297" s="3" t="str">
        <f>HYPERLINK("https://www.boe.es/gazeta/dias/1812/12/26/pdfs/GRE-1812-170.pdf#page=6","Abrir facsímil")</f>
        <v>Abrir facsímil</v>
      </c>
      <c r="K3297" s="3" t="s">
        <v>23</v>
      </c>
    </row>
    <row r="3298" spans="1:11" ht="42" customHeight="1">
      <c r="A3298" s="2" t="s">
        <v>8950</v>
      </c>
      <c r="B3298" s="2" t="s">
        <v>8951</v>
      </c>
      <c r="C3298" s="2" t="s">
        <v>105</v>
      </c>
      <c r="D3298" s="2" t="s">
        <v>194</v>
      </c>
      <c r="E3298" s="4">
        <v>-32100</v>
      </c>
      <c r="F3298" s="3" t="s">
        <v>492</v>
      </c>
      <c r="G3298" s="3" t="s">
        <v>493</v>
      </c>
      <c r="H3298" s="2" t="s">
        <v>30</v>
      </c>
      <c r="I3298" s="2" t="s">
        <v>8952</v>
      </c>
      <c r="J3298" s="3" t="str">
        <f>HYPERLINK("https://www.boe.es/gazeta/dias/1812/02/10/pdfs/GRE-1812-31.pdf#page=8","Abrir facsímil")</f>
        <v>Abrir facsímil</v>
      </c>
      <c r="K3298" s="3" t="s">
        <v>32</v>
      </c>
    </row>
    <row r="3299" spans="1:11" ht="42" customHeight="1">
      <c r="A3299" s="2" t="s">
        <v>8950</v>
      </c>
      <c r="B3299" s="2" t="s">
        <v>8951</v>
      </c>
      <c r="C3299" s="2" t="s">
        <v>105</v>
      </c>
      <c r="D3299" s="2" t="s">
        <v>194</v>
      </c>
      <c r="E3299" s="4">
        <v>-32071</v>
      </c>
      <c r="F3299" s="3" t="s">
        <v>492</v>
      </c>
      <c r="G3299" s="3" t="s">
        <v>493</v>
      </c>
      <c r="H3299" s="2" t="s">
        <v>30</v>
      </c>
      <c r="I3299" s="2" t="s">
        <v>8952</v>
      </c>
      <c r="J3299" s="3" t="str">
        <f>HYPERLINK("https://www.boe.es/gazeta/dias/1812/03/10/pdfs/GRE-1812-31.pdf#page=8","Abrir facsímil")</f>
        <v>Abrir facsímil</v>
      </c>
      <c r="K3299" s="3" t="s">
        <v>32</v>
      </c>
    </row>
    <row r="3300" spans="1:11" ht="42" customHeight="1">
      <c r="A3300" s="2" t="s">
        <v>8953</v>
      </c>
      <c r="B3300" s="2" t="s">
        <v>8954</v>
      </c>
      <c r="C3300" s="2" t="s">
        <v>26</v>
      </c>
      <c r="D3300" s="2" t="s">
        <v>27</v>
      </c>
      <c r="E3300" s="4">
        <v>-32012</v>
      </c>
      <c r="F3300" s="3" t="s">
        <v>1090</v>
      </c>
      <c r="G3300" s="3" t="s">
        <v>45</v>
      </c>
      <c r="H3300" s="2" t="s">
        <v>21</v>
      </c>
      <c r="I3300" s="2" t="s">
        <v>8955</v>
      </c>
      <c r="J3300" s="3" t="str">
        <f>HYPERLINK("https://www.boe.es/gazeta/dias/1812/05/08/pdfs/GMD-1812-129.pdf#page=4","Abrir facsímil")</f>
        <v>Abrir facsímil</v>
      </c>
      <c r="K3300" s="3" t="s">
        <v>23</v>
      </c>
    </row>
    <row r="3301" spans="1:11" ht="42" customHeight="1">
      <c r="A3301" s="2" t="s">
        <v>8956</v>
      </c>
      <c r="B3301" s="2" t="s">
        <v>8957</v>
      </c>
      <c r="C3301" s="2" t="s">
        <v>26</v>
      </c>
      <c r="D3301" s="2" t="s">
        <v>27</v>
      </c>
      <c r="E3301" s="4">
        <v>-31964</v>
      </c>
      <c r="F3301" s="3" t="s">
        <v>93</v>
      </c>
      <c r="G3301" s="3" t="s">
        <v>4894</v>
      </c>
      <c r="H3301" s="2" t="s">
        <v>21</v>
      </c>
      <c r="I3301" s="2" t="s">
        <v>8958</v>
      </c>
      <c r="J3301" s="3" t="str">
        <f>HYPERLINK("https://www.boe.es/gazeta/dias/1812/06/25/pdfs/GRE-1812-78.pdf#page=6","Abrir facsímil")</f>
        <v>Abrir facsímil</v>
      </c>
      <c r="K3301" s="3" t="s">
        <v>23</v>
      </c>
    </row>
    <row r="3302" spans="1:11" ht="42" customHeight="1">
      <c r="A3302" s="2" t="s">
        <v>8959</v>
      </c>
      <c r="B3302" s="2" t="s">
        <v>8960</v>
      </c>
      <c r="C3302" s="2" t="s">
        <v>26</v>
      </c>
      <c r="D3302" s="2" t="s">
        <v>27</v>
      </c>
      <c r="E3302" s="4">
        <v>-31976</v>
      </c>
      <c r="F3302" s="3" t="s">
        <v>54</v>
      </c>
      <c r="G3302" s="3" t="s">
        <v>55</v>
      </c>
      <c r="H3302" s="2" t="s">
        <v>21</v>
      </c>
      <c r="I3302" s="2" t="s">
        <v>8961</v>
      </c>
      <c r="J3302" s="3" t="str">
        <f>HYPERLINK("https://www.boe.es/gazeta/dias/1812/06/13/pdfs/GRE-1812-73.pdf#page=6","Abrir facsímil")</f>
        <v>Abrir facsímil</v>
      </c>
      <c r="K3302" s="3" t="s">
        <v>23</v>
      </c>
    </row>
    <row r="3303" spans="1:11" ht="42" customHeight="1">
      <c r="A3303" s="2" t="s">
        <v>8962</v>
      </c>
      <c r="B3303" s="2" t="s">
        <v>8962</v>
      </c>
      <c r="C3303" s="2" t="s">
        <v>17</v>
      </c>
      <c r="D3303" s="2" t="s">
        <v>27</v>
      </c>
      <c r="E3303" s="4">
        <v>-31795</v>
      </c>
      <c r="F3303" s="3" t="s">
        <v>2344</v>
      </c>
      <c r="G3303" s="3" t="s">
        <v>2280</v>
      </c>
      <c r="H3303" s="2" t="s">
        <v>21</v>
      </c>
      <c r="I3303" s="2" t="s">
        <v>8963</v>
      </c>
      <c r="J3303" s="3" t="str">
        <f>HYPERLINK("https://www.boe.es/gazeta/dias/1812/12/11/pdfs/GMD-1812-234.pdf#page=1","Abrir facsímil")</f>
        <v>Abrir facsímil</v>
      </c>
      <c r="K3303" s="3" t="s">
        <v>23</v>
      </c>
    </row>
    <row r="3304" spans="1:11" ht="42" customHeight="1">
      <c r="A3304" s="2" t="s">
        <v>8964</v>
      </c>
      <c r="B3304" s="2" t="s">
        <v>8965</v>
      </c>
      <c r="C3304" s="2" t="s">
        <v>186</v>
      </c>
      <c r="D3304" s="2" t="s">
        <v>275</v>
      </c>
      <c r="E3304" s="4">
        <v>-32139</v>
      </c>
      <c r="F3304" s="3" t="s">
        <v>518</v>
      </c>
      <c r="G3304" s="3" t="s">
        <v>125</v>
      </c>
      <c r="H3304" s="2" t="s">
        <v>21</v>
      </c>
      <c r="I3304" s="2" t="s">
        <v>8966</v>
      </c>
      <c r="J3304" s="3" t="str">
        <f>HYPERLINK("https://www.boe.es/gazeta/dias/1812/01/02/pdfs/GEI-1812-1.pdf#page=8","Abrir facsímil")</f>
        <v>Abrir facsímil</v>
      </c>
      <c r="K3304" s="3" t="s">
        <v>23</v>
      </c>
    </row>
    <row r="3305" spans="1:11" ht="42" customHeight="1">
      <c r="A3305" s="2" t="s">
        <v>8967</v>
      </c>
      <c r="B3305" s="2" t="s">
        <v>8968</v>
      </c>
      <c r="C3305" s="2" t="s">
        <v>17</v>
      </c>
      <c r="D3305" s="2" t="s">
        <v>18</v>
      </c>
      <c r="E3305" s="4">
        <v>-32088</v>
      </c>
      <c r="F3305" s="3" t="s">
        <v>250</v>
      </c>
      <c r="G3305" s="3" t="s">
        <v>36</v>
      </c>
      <c r="H3305" s="2" t="s">
        <v>21</v>
      </c>
      <c r="I3305" s="2" t="s">
        <v>8969</v>
      </c>
      <c r="J3305" s="3" t="str">
        <f>HYPERLINK("https://www.boe.es/gazeta/dias/1812/02/22/pdfs/GRE-1812-23.pdf#page=3","Abrir facsímil")</f>
        <v>Abrir facsímil</v>
      </c>
      <c r="K3305" s="3" t="s">
        <v>23</v>
      </c>
    </row>
    <row r="3306" spans="1:11" ht="42" customHeight="1">
      <c r="A3306" s="2" t="s">
        <v>8970</v>
      </c>
      <c r="B3306" s="2" t="s">
        <v>8971</v>
      </c>
      <c r="C3306" s="2" t="s">
        <v>17</v>
      </c>
      <c r="D3306" s="2" t="s">
        <v>275</v>
      </c>
      <c r="E3306" s="4">
        <v>-31786</v>
      </c>
      <c r="F3306" s="3" t="s">
        <v>7690</v>
      </c>
      <c r="G3306" s="3" t="s">
        <v>1958</v>
      </c>
      <c r="H3306" s="2" t="s">
        <v>21</v>
      </c>
      <c r="I3306" s="2" t="s">
        <v>8972</v>
      </c>
      <c r="J3306" s="3" t="str">
        <f>HYPERLINK("https://www.boe.es/gazeta/dias/1812/12/20/pdfs/GMD-1812-243.pdf#page=4","Abrir facsímil")</f>
        <v>Abrir facsímil</v>
      </c>
      <c r="K3306" s="3" t="s">
        <v>23</v>
      </c>
    </row>
    <row r="3307" spans="1:11" ht="42" customHeight="1">
      <c r="A3307" s="2" t="s">
        <v>8973</v>
      </c>
      <c r="B3307" s="2" t="s">
        <v>8974</v>
      </c>
      <c r="C3307" s="2" t="s">
        <v>26</v>
      </c>
      <c r="D3307" s="2" t="s">
        <v>27</v>
      </c>
      <c r="E3307" s="4">
        <v>-32044</v>
      </c>
      <c r="F3307" s="3" t="s">
        <v>1031</v>
      </c>
      <c r="G3307" s="3" t="s">
        <v>20</v>
      </c>
      <c r="H3307" s="2" t="s">
        <v>21</v>
      </c>
      <c r="I3307" s="2" t="s">
        <v>8975</v>
      </c>
      <c r="J3307" s="3" t="str">
        <f>HYPERLINK("https://www.boe.es/gazeta/dias/1812/04/06/pdfs/GMD-1812-97.pdf#page=3","Abrir facsímil")</f>
        <v>Abrir facsímil</v>
      </c>
      <c r="K3307" s="3" t="s">
        <v>23</v>
      </c>
    </row>
    <row r="3308" spans="1:11" ht="42" customHeight="1">
      <c r="A3308" s="2" t="s">
        <v>8973</v>
      </c>
      <c r="B3308" s="2" t="s">
        <v>8974</v>
      </c>
      <c r="C3308" s="2" t="s">
        <v>17</v>
      </c>
      <c r="D3308" s="2" t="s">
        <v>27</v>
      </c>
      <c r="E3308" s="4">
        <v>-32018</v>
      </c>
      <c r="F3308" s="3" t="s">
        <v>1287</v>
      </c>
      <c r="G3308" s="3" t="s">
        <v>1288</v>
      </c>
      <c r="H3308" s="2" t="s">
        <v>21</v>
      </c>
      <c r="I3308" s="2" t="s">
        <v>8976</v>
      </c>
      <c r="J3308" s="3" t="str">
        <f>HYPERLINK("https://www.boe.es/gazeta/dias/1812/05/02/pdfs/GMD-1812-123.pdf#page=2","Abrir facsímil")</f>
        <v>Abrir facsímil</v>
      </c>
      <c r="K3308" s="3" t="s">
        <v>23</v>
      </c>
    </row>
    <row r="3309" spans="1:11" ht="42" customHeight="1">
      <c r="A3309" s="2" t="s">
        <v>8977</v>
      </c>
      <c r="B3309" s="2" t="s">
        <v>8977</v>
      </c>
      <c r="C3309" s="2" t="s">
        <v>17</v>
      </c>
      <c r="D3309" s="2" t="s">
        <v>194</v>
      </c>
      <c r="E3309" s="4">
        <v>-31791</v>
      </c>
      <c r="F3309" s="3" t="s">
        <v>905</v>
      </c>
      <c r="G3309" s="3" t="s">
        <v>514</v>
      </c>
      <c r="H3309" s="2" t="s">
        <v>21</v>
      </c>
      <c r="I3309" s="2" t="s">
        <v>8978</v>
      </c>
      <c r="J3309" s="3" t="str">
        <f>HYPERLINK("https://www.boe.es/gazeta/dias/1812/12/15/pdfs/GRE-1812-165.pdf#page=2","Abrir facsímil")</f>
        <v>Abrir facsímil</v>
      </c>
      <c r="K3309" s="3" t="s">
        <v>23</v>
      </c>
    </row>
    <row r="3310" spans="1:11" ht="42" customHeight="1">
      <c r="A3310" s="2" t="s">
        <v>8979</v>
      </c>
      <c r="B3310" s="2" t="s">
        <v>8980</v>
      </c>
      <c r="C3310" s="2" t="s">
        <v>26</v>
      </c>
      <c r="D3310" s="2" t="s">
        <v>134</v>
      </c>
      <c r="E3310" s="4">
        <v>-31983</v>
      </c>
      <c r="F3310" s="3" t="s">
        <v>1437</v>
      </c>
      <c r="G3310" s="3" t="s">
        <v>1438</v>
      </c>
      <c r="H3310" s="2" t="s">
        <v>21</v>
      </c>
      <c r="I3310" s="2" t="s">
        <v>8981</v>
      </c>
      <c r="J3310" s="3" t="str">
        <f>HYPERLINK("https://www.boe.es/gazeta/dias/1812/06/06/pdfs/GRE-F-1812-70.pdf#page=4","Abrir facsímil")</f>
        <v>Abrir facsímil</v>
      </c>
      <c r="K3310" s="3" t="s">
        <v>23</v>
      </c>
    </row>
    <row r="3311" spans="1:11" ht="42" customHeight="1">
      <c r="A3311" s="2" t="s">
        <v>8982</v>
      </c>
      <c r="B3311" s="2" t="s">
        <v>8982</v>
      </c>
      <c r="C3311" s="2" t="s">
        <v>105</v>
      </c>
      <c r="D3311" s="2" t="s">
        <v>27</v>
      </c>
      <c r="E3311" s="4">
        <v>-32060</v>
      </c>
      <c r="F3311" s="3" t="s">
        <v>1403</v>
      </c>
      <c r="G3311" s="3" t="s">
        <v>965</v>
      </c>
      <c r="H3311" s="2" t="s">
        <v>21</v>
      </c>
      <c r="I3311" s="2" t="s">
        <v>8983</v>
      </c>
      <c r="J3311" s="3" t="str">
        <f>HYPERLINK("https://www.boe.es/gazeta/dias/1812/03/21/pdfs/GRE-1812-36.pdf#page=4","Abrir facsímil")</f>
        <v>Abrir facsímil</v>
      </c>
      <c r="K3311" s="3" t="s">
        <v>23</v>
      </c>
    </row>
    <row r="3312" spans="1:11" ht="42" customHeight="1">
      <c r="A3312" s="2" t="s">
        <v>8982</v>
      </c>
      <c r="B3312" s="2" t="s">
        <v>8982</v>
      </c>
      <c r="C3312" s="2" t="s">
        <v>26</v>
      </c>
      <c r="D3312" s="2" t="s">
        <v>27</v>
      </c>
      <c r="E3312" s="4">
        <v>-32060</v>
      </c>
      <c r="F3312" s="3" t="s">
        <v>1403</v>
      </c>
      <c r="G3312" s="3" t="s">
        <v>217</v>
      </c>
      <c r="H3312" s="2" t="s">
        <v>21</v>
      </c>
      <c r="I3312" s="2" t="s">
        <v>8984</v>
      </c>
      <c r="J3312" s="3" t="str">
        <f>HYPERLINK("https://www.boe.es/gazeta/dias/1812/03/21/pdfs/GRE-1812-36.pdf#page=8","Abrir facsímil")</f>
        <v>Abrir facsímil</v>
      </c>
      <c r="K3312" s="3" t="s">
        <v>23</v>
      </c>
    </row>
    <row r="3313" spans="1:11" ht="42" customHeight="1">
      <c r="A3313" s="2" t="s">
        <v>8985</v>
      </c>
      <c r="B3313" s="2" t="s">
        <v>8985</v>
      </c>
      <c r="C3313" s="2" t="s">
        <v>26</v>
      </c>
      <c r="D3313" s="2" t="s">
        <v>275</v>
      </c>
      <c r="E3313" s="4">
        <v>-31987</v>
      </c>
      <c r="F3313" s="3" t="s">
        <v>3031</v>
      </c>
      <c r="G3313" s="3" t="s">
        <v>874</v>
      </c>
      <c r="H3313" s="2" t="s">
        <v>21</v>
      </c>
      <c r="I3313" s="2" t="s">
        <v>8986</v>
      </c>
      <c r="J3313" s="3" t="str">
        <f>HYPERLINK("https://www.boe.es/gazeta/dias/1812/06/02/pdfs/GRE-1812-68.pdf#page=8","Abrir facsímil")</f>
        <v>Abrir facsímil</v>
      </c>
      <c r="K3313" s="3" t="s">
        <v>23</v>
      </c>
    </row>
    <row r="3314" spans="1:11" ht="42" customHeight="1">
      <c r="A3314" s="2" t="s">
        <v>8987</v>
      </c>
      <c r="B3314" s="2" t="s">
        <v>8988</v>
      </c>
      <c r="C3314" s="2" t="s">
        <v>17</v>
      </c>
      <c r="D3314" s="2" t="s">
        <v>18</v>
      </c>
      <c r="E3314" s="4">
        <v>-31857</v>
      </c>
      <c r="F3314" s="3" t="s">
        <v>1000</v>
      </c>
      <c r="G3314" s="3" t="s">
        <v>1001</v>
      </c>
      <c r="H3314" s="2" t="s">
        <v>21</v>
      </c>
      <c r="I3314" s="2" t="s">
        <v>8989</v>
      </c>
      <c r="J3314" s="3" t="str">
        <f>HYPERLINK("https://www.boe.es/gazeta/dias/1812/10/10/pdfs/GRE-1812-137.pdf#page=7","Abrir facsímil")</f>
        <v>Abrir facsímil</v>
      </c>
      <c r="K3314" s="3" t="s">
        <v>23</v>
      </c>
    </row>
    <row r="3315" spans="1:11" ht="42" customHeight="1">
      <c r="A3315" s="2" t="s">
        <v>8990</v>
      </c>
      <c r="B3315" s="2" t="s">
        <v>8990</v>
      </c>
      <c r="C3315" s="2" t="s">
        <v>49</v>
      </c>
      <c r="D3315" s="2" t="s">
        <v>275</v>
      </c>
      <c r="E3315" s="4">
        <v>-32074</v>
      </c>
      <c r="F3315" s="3" t="s">
        <v>816</v>
      </c>
      <c r="G3315" s="3" t="s">
        <v>117</v>
      </c>
      <c r="H3315" s="2" t="s">
        <v>21</v>
      </c>
      <c r="I3315" s="2" t="s">
        <v>8991</v>
      </c>
      <c r="J3315" s="3" t="str">
        <f>HYPERLINK("https://www.boe.es/gazeta/dias/1812/03/07/pdfs/GRE-1812-30.pdf#page=6","Abrir facsímil")</f>
        <v>Abrir facsímil</v>
      </c>
      <c r="K3315" s="3" t="s">
        <v>23</v>
      </c>
    </row>
    <row r="3316" spans="1:11" ht="42" customHeight="1">
      <c r="A3316" s="2" t="s">
        <v>8992</v>
      </c>
      <c r="B3316" s="2" t="s">
        <v>8992</v>
      </c>
      <c r="C3316" s="2" t="s">
        <v>17</v>
      </c>
      <c r="D3316" s="2" t="s">
        <v>27</v>
      </c>
      <c r="E3316" s="4">
        <v>-31812</v>
      </c>
      <c r="F3316" s="3" t="s">
        <v>6528</v>
      </c>
      <c r="G3316" s="3" t="s">
        <v>620</v>
      </c>
      <c r="H3316" s="2" t="s">
        <v>21</v>
      </c>
      <c r="I3316" s="2" t="s">
        <v>8993</v>
      </c>
      <c r="J3316" s="3" t="str">
        <f>HYPERLINK("https://www.boe.es/gazeta/dias/1812/11/24/pdfs/GRE-1812-156.pdf#page=1","Abrir facsímil")</f>
        <v>Abrir facsímil</v>
      </c>
      <c r="K3316" s="3" t="s">
        <v>23</v>
      </c>
    </row>
    <row r="3317" spans="1:11" ht="42" customHeight="1">
      <c r="A3317" s="2" t="s">
        <v>8994</v>
      </c>
      <c r="B3317" s="2" t="s">
        <v>8994</v>
      </c>
      <c r="C3317" s="2" t="s">
        <v>26</v>
      </c>
      <c r="D3317" s="2" t="s">
        <v>27</v>
      </c>
      <c r="E3317" s="4">
        <v>-31864</v>
      </c>
      <c r="F3317" s="3" t="s">
        <v>3014</v>
      </c>
      <c r="G3317" s="3" t="s">
        <v>8995</v>
      </c>
      <c r="H3317" s="2" t="s">
        <v>21</v>
      </c>
      <c r="I3317" s="2" t="s">
        <v>8996</v>
      </c>
      <c r="J3317" s="3" t="str">
        <f>HYPERLINK("https://www.boe.es/gazeta/dias/1812/10/03/pdfs/GRE-1812-134.pdf#page=7","Abrir facsímil")</f>
        <v>Abrir facsímil</v>
      </c>
      <c r="K3317" s="3" t="s">
        <v>23</v>
      </c>
    </row>
    <row r="3318" spans="1:11" ht="42" customHeight="1">
      <c r="A3318" s="2" t="s">
        <v>8997</v>
      </c>
      <c r="B3318" s="2" t="s">
        <v>8997</v>
      </c>
      <c r="C3318" s="2" t="s">
        <v>67</v>
      </c>
      <c r="D3318" s="2" t="s">
        <v>27</v>
      </c>
      <c r="E3318" s="4">
        <v>-31812</v>
      </c>
      <c r="F3318" s="3" t="s">
        <v>6528</v>
      </c>
      <c r="G3318" s="3" t="s">
        <v>6529</v>
      </c>
      <c r="H3318" s="2" t="s">
        <v>21</v>
      </c>
      <c r="I3318" s="2" t="s">
        <v>8998</v>
      </c>
      <c r="J3318" s="3" t="str">
        <f>HYPERLINK("https://www.boe.es/gazeta/dias/1812/11/24/pdfs/GRE-1812-156.pdf#page=2","Abrir facsímil")</f>
        <v>Abrir facsímil</v>
      </c>
      <c r="K3318" s="3" t="s">
        <v>23</v>
      </c>
    </row>
    <row r="3319" spans="1:11" ht="42" customHeight="1">
      <c r="A3319" s="2" t="s">
        <v>8999</v>
      </c>
      <c r="B3319" s="2" t="s">
        <v>9000</v>
      </c>
      <c r="C3319" s="2" t="s">
        <v>49</v>
      </c>
      <c r="D3319" s="2" t="s">
        <v>27</v>
      </c>
      <c r="E3319" s="4">
        <v>-32043</v>
      </c>
      <c r="F3319" s="3" t="s">
        <v>4582</v>
      </c>
      <c r="G3319" s="3" t="s">
        <v>125</v>
      </c>
      <c r="H3319" s="2" t="s">
        <v>30</v>
      </c>
      <c r="I3319" s="2" t="s">
        <v>9001</v>
      </c>
      <c r="J3319" s="3" t="str">
        <f>HYPERLINK("https://www.boe.es/gazeta/dias/1812/04/07/pdfs/GRE-1812-43.pdf#page=4","Abrir facsímil")</f>
        <v>Abrir facsímil</v>
      </c>
      <c r="K3319" s="3" t="s">
        <v>32</v>
      </c>
    </row>
    <row r="3320" spans="1:11" ht="42" customHeight="1">
      <c r="A3320" s="2" t="s">
        <v>9002</v>
      </c>
      <c r="B3320" s="2" t="s">
        <v>9002</v>
      </c>
      <c r="C3320" s="2" t="s">
        <v>186</v>
      </c>
      <c r="D3320" s="2" t="s">
        <v>27</v>
      </c>
      <c r="E3320" s="4">
        <v>-32027</v>
      </c>
      <c r="F3320" s="3" t="s">
        <v>803</v>
      </c>
      <c r="G3320" s="3" t="s">
        <v>9003</v>
      </c>
      <c r="H3320" s="2" t="s">
        <v>21</v>
      </c>
      <c r="I3320" s="2" t="s">
        <v>9004</v>
      </c>
      <c r="J3320" s="3" t="str">
        <f>HYPERLINK("https://www.boe.es/gazeta/dias/1812/04/23/pdfs/GRE-1812-51.pdf#page=5","Abrir facsímil")</f>
        <v>Abrir facsímil</v>
      </c>
      <c r="K3320" s="3" t="s">
        <v>23</v>
      </c>
    </row>
    <row r="3321" spans="1:11" ht="42" customHeight="1">
      <c r="A3321" s="2" t="s">
        <v>9005</v>
      </c>
      <c r="B3321" s="2" t="s">
        <v>9006</v>
      </c>
      <c r="C3321" s="2" t="s">
        <v>26</v>
      </c>
      <c r="D3321" s="2" t="s">
        <v>27</v>
      </c>
      <c r="E3321" s="4">
        <v>-32109</v>
      </c>
      <c r="F3321" s="3" t="s">
        <v>62</v>
      </c>
      <c r="G3321" s="3" t="s">
        <v>106</v>
      </c>
      <c r="H3321" s="2" t="s">
        <v>21</v>
      </c>
      <c r="I3321" s="2" t="s">
        <v>9007</v>
      </c>
      <c r="J3321" s="3" t="str">
        <f>HYPERLINK("https://www.boe.es/gazeta/dias/1812/02/01/pdfs/GRE-1812-14.pdf#page=11","Abrir facsímil")</f>
        <v>Abrir facsímil</v>
      </c>
      <c r="K3321" s="3" t="s">
        <v>23</v>
      </c>
    </row>
    <row r="3322" spans="1:11" ht="42" customHeight="1">
      <c r="A3322" s="2" t="s">
        <v>9008</v>
      </c>
      <c r="B3322" s="2" t="s">
        <v>9008</v>
      </c>
      <c r="C3322" s="2" t="s">
        <v>17</v>
      </c>
      <c r="D3322" s="2" t="s">
        <v>27</v>
      </c>
      <c r="E3322" s="4">
        <v>-32011</v>
      </c>
      <c r="F3322" s="3" t="s">
        <v>1233</v>
      </c>
      <c r="G3322" s="3" t="s">
        <v>5406</v>
      </c>
      <c r="H3322" s="2" t="s">
        <v>21</v>
      </c>
      <c r="I3322" s="2" t="s">
        <v>9009</v>
      </c>
      <c r="J3322" s="3" t="str">
        <f>HYPERLINK("https://www.boe.es/gazeta/dias/1812/05/09/pdfs/GRE-1812-58.pdf#page=1","Abrir facsímil")</f>
        <v>Abrir facsímil</v>
      </c>
      <c r="K3322" s="3" t="s">
        <v>23</v>
      </c>
    </row>
    <row r="3323" spans="1:11" ht="42" customHeight="1">
      <c r="A3323" s="2" t="s">
        <v>9010</v>
      </c>
      <c r="B3323" s="2" t="s">
        <v>9011</v>
      </c>
      <c r="C3323" s="2" t="s">
        <v>105</v>
      </c>
      <c r="D3323" s="2" t="s">
        <v>27</v>
      </c>
      <c r="E3323" s="4">
        <v>-31962</v>
      </c>
      <c r="F3323" s="3" t="s">
        <v>643</v>
      </c>
      <c r="G3323" s="3" t="s">
        <v>644</v>
      </c>
      <c r="H3323" s="2" t="s">
        <v>21</v>
      </c>
      <c r="I3323" s="2" t="s">
        <v>9012</v>
      </c>
      <c r="J3323" s="3" t="str">
        <f>HYPERLINK("https://www.boe.es/gazeta/dias/1812/06/27/pdfs/GMD-1812-179.pdf#page=2","Abrir facsímil")</f>
        <v>Abrir facsímil</v>
      </c>
      <c r="K3323" s="3" t="s">
        <v>23</v>
      </c>
    </row>
    <row r="3324" spans="1:11" ht="42" customHeight="1">
      <c r="A3324" s="2" t="s">
        <v>9013</v>
      </c>
      <c r="B3324" s="2" t="s">
        <v>9014</v>
      </c>
      <c r="C3324" s="2" t="s">
        <v>26</v>
      </c>
      <c r="D3324" s="2" t="s">
        <v>27</v>
      </c>
      <c r="E3324" s="4">
        <v>-32125</v>
      </c>
      <c r="F3324" s="3" t="s">
        <v>335</v>
      </c>
      <c r="G3324" s="3" t="s">
        <v>336</v>
      </c>
      <c r="H3324" s="2" t="s">
        <v>21</v>
      </c>
      <c r="I3324" s="2" t="s">
        <v>9015</v>
      </c>
      <c r="J3324" s="3" t="str">
        <f>HYPERLINK("https://www.boe.es/gazeta/dias/1812/01/16/pdfs/GEI-1812-7.pdf#page=8","Abrir facsímil")</f>
        <v>Abrir facsímil</v>
      </c>
      <c r="K3324" s="3" t="s">
        <v>23</v>
      </c>
    </row>
    <row r="3325" spans="1:11" ht="42" customHeight="1">
      <c r="A3325" s="2" t="s">
        <v>9016</v>
      </c>
      <c r="B3325" s="2" t="s">
        <v>9016</v>
      </c>
      <c r="C3325" s="2" t="s">
        <v>17</v>
      </c>
      <c r="D3325" s="2" t="s">
        <v>18</v>
      </c>
      <c r="E3325" s="4">
        <v>-31946</v>
      </c>
      <c r="F3325" s="3" t="s">
        <v>9017</v>
      </c>
      <c r="G3325" s="3" t="s">
        <v>237</v>
      </c>
      <c r="H3325" s="2" t="s">
        <v>21</v>
      </c>
      <c r="I3325" s="2" t="s">
        <v>9018</v>
      </c>
      <c r="J3325" s="3" t="str">
        <f>HYPERLINK("https://www.boe.es/gazeta/dias/1812/07/13/pdfs/GMD-1812-195.pdf#page=3","Abrir facsímil")</f>
        <v>Abrir facsímil</v>
      </c>
      <c r="K3325" s="3" t="s">
        <v>23</v>
      </c>
    </row>
    <row r="3326" spans="1:11" ht="42" customHeight="1">
      <c r="A3326" s="2" t="s">
        <v>9019</v>
      </c>
      <c r="B3326" s="2" t="s">
        <v>9020</v>
      </c>
      <c r="C3326" s="2" t="s">
        <v>26</v>
      </c>
      <c r="D3326" s="2" t="s">
        <v>27</v>
      </c>
      <c r="E3326" s="4">
        <v>-31952</v>
      </c>
      <c r="F3326" s="3" t="s">
        <v>694</v>
      </c>
      <c r="G3326" s="3" t="s">
        <v>2895</v>
      </c>
      <c r="H3326" s="2" t="s">
        <v>21</v>
      </c>
      <c r="I3326" s="2" t="s">
        <v>9021</v>
      </c>
      <c r="J3326" s="3" t="str">
        <f>HYPERLINK("https://www.boe.es/gazeta/dias/1812/07/07/pdfs/GMD-1812-189.pdf#page=4","Abrir facsímil")</f>
        <v>Abrir facsímil</v>
      </c>
      <c r="K3326" s="3" t="s">
        <v>23</v>
      </c>
    </row>
    <row r="3327" spans="1:11" ht="42" customHeight="1">
      <c r="A3327" s="2" t="s">
        <v>9022</v>
      </c>
      <c r="B3327" s="2" t="s">
        <v>9022</v>
      </c>
      <c r="C3327" s="2" t="s">
        <v>17</v>
      </c>
      <c r="D3327" s="2" t="s">
        <v>27</v>
      </c>
      <c r="E3327" s="4">
        <v>-32025</v>
      </c>
      <c r="F3327" s="3" t="s">
        <v>2323</v>
      </c>
      <c r="G3327" s="3" t="s">
        <v>125</v>
      </c>
      <c r="H3327" s="2" t="s">
        <v>21</v>
      </c>
      <c r="I3327" s="2" t="s">
        <v>9023</v>
      </c>
      <c r="J3327" s="3" t="str">
        <f>HYPERLINK("https://www.boe.es/gazeta/dias/1812/04/25/pdfs/GRE-1812-52.pdf#page=7","Abrir facsímil")</f>
        <v>Abrir facsímil</v>
      </c>
      <c r="K3327" s="3" t="s">
        <v>23</v>
      </c>
    </row>
    <row r="3328" spans="1:11" ht="42" customHeight="1">
      <c r="A3328" s="2" t="s">
        <v>9024</v>
      </c>
      <c r="B3328" s="2" t="s">
        <v>9025</v>
      </c>
      <c r="C3328" s="2" t="s">
        <v>26</v>
      </c>
      <c r="D3328" s="2" t="s">
        <v>27</v>
      </c>
      <c r="E3328" s="4">
        <v>-32022</v>
      </c>
      <c r="F3328" s="3" t="s">
        <v>1186</v>
      </c>
      <c r="G3328" s="3" t="s">
        <v>6154</v>
      </c>
      <c r="H3328" s="2" t="s">
        <v>21</v>
      </c>
      <c r="I3328" s="2" t="s">
        <v>9026</v>
      </c>
      <c r="J3328" s="3" t="str">
        <f>HYPERLINK("https://www.boe.es/gazeta/dias/1812/04/28/pdfs/GRE-1812-53.pdf#page=7","Abrir facsímil")</f>
        <v>Abrir facsímil</v>
      </c>
      <c r="K3328" s="3" t="s">
        <v>23</v>
      </c>
    </row>
    <row r="3329" spans="1:11" ht="42" customHeight="1">
      <c r="A3329" s="2" t="s">
        <v>9027</v>
      </c>
      <c r="B3329" s="2" t="s">
        <v>9028</v>
      </c>
      <c r="C3329" s="2" t="s">
        <v>26</v>
      </c>
      <c r="D3329" s="2" t="s">
        <v>275</v>
      </c>
      <c r="E3329" s="4">
        <v>-31938</v>
      </c>
      <c r="F3329" s="3" t="s">
        <v>370</v>
      </c>
      <c r="G3329" s="3" t="s">
        <v>9029</v>
      </c>
      <c r="H3329" s="2" t="s">
        <v>21</v>
      </c>
      <c r="I3329" s="2" t="s">
        <v>9030</v>
      </c>
      <c r="J3329" s="3" t="str">
        <f>HYPERLINK("https://www.boe.es/gazeta/dias/1812/07/21/pdfs/GRE-1812-91.pdf#page=7","Abrir facsímil")</f>
        <v>Abrir facsímil</v>
      </c>
      <c r="K3329" s="3" t="s">
        <v>23</v>
      </c>
    </row>
    <row r="3330" spans="1:11" ht="42" customHeight="1">
      <c r="A3330" s="2" t="s">
        <v>9031</v>
      </c>
      <c r="B3330" s="2" t="s">
        <v>9032</v>
      </c>
      <c r="C3330" s="2" t="s">
        <v>67</v>
      </c>
      <c r="D3330" s="2" t="s">
        <v>27</v>
      </c>
      <c r="E3330" s="4">
        <v>-32110</v>
      </c>
      <c r="F3330" s="3" t="s">
        <v>68</v>
      </c>
      <c r="G3330" s="3" t="s">
        <v>20</v>
      </c>
      <c r="H3330" s="2" t="s">
        <v>21</v>
      </c>
      <c r="I3330" s="2" t="s">
        <v>9033</v>
      </c>
      <c r="J3330" s="3" t="str">
        <f>HYPERLINK("https://www.boe.es/gazeta/dias/1812/01/31/pdfs/GMD-1812-31.pdf#page=3","Abrir facsímil")</f>
        <v>Abrir facsímil</v>
      </c>
      <c r="K3330" s="3" t="s">
        <v>23</v>
      </c>
    </row>
    <row r="3331" spans="1:11" ht="42" customHeight="1">
      <c r="A3331" s="2" t="s">
        <v>9034</v>
      </c>
      <c r="B3331" s="2" t="s">
        <v>9035</v>
      </c>
      <c r="C3331" s="2" t="s">
        <v>17</v>
      </c>
      <c r="D3331" s="2" t="s">
        <v>27</v>
      </c>
      <c r="E3331" s="4">
        <v>-32015</v>
      </c>
      <c r="F3331" s="3" t="s">
        <v>77</v>
      </c>
      <c r="G3331" s="3" t="s">
        <v>78</v>
      </c>
      <c r="H3331" s="2" t="s">
        <v>21</v>
      </c>
      <c r="I3331" s="2" t="s">
        <v>9036</v>
      </c>
      <c r="J3331" s="3" t="str">
        <f>HYPERLINK("https://www.boe.es/gazeta/dias/1812/05/05/pdfs/GRE-1812-56.pdf#page=8","Abrir facsímil")</f>
        <v>Abrir facsímil</v>
      </c>
      <c r="K3331" s="3" t="s">
        <v>23</v>
      </c>
    </row>
    <row r="3332" spans="1:11" ht="42" customHeight="1">
      <c r="A3332" s="2" t="s">
        <v>9037</v>
      </c>
      <c r="B3332" s="2" t="s">
        <v>9038</v>
      </c>
      <c r="C3332" s="2" t="s">
        <v>26</v>
      </c>
      <c r="D3332" s="2" t="s">
        <v>27</v>
      </c>
      <c r="E3332" s="4">
        <v>-32137</v>
      </c>
      <c r="F3332" s="3" t="s">
        <v>355</v>
      </c>
      <c r="G3332" s="3" t="s">
        <v>117</v>
      </c>
      <c r="H3332" s="2" t="s">
        <v>21</v>
      </c>
      <c r="I3332" s="2" t="s">
        <v>9039</v>
      </c>
      <c r="J3332" s="3" t="str">
        <f>HYPERLINK("https://www.boe.es/gazeta/dias/1812/01/04/pdfs/GEI-1812-2.pdf#page=8","Abrir facsímil")</f>
        <v>Abrir facsímil</v>
      </c>
      <c r="K3332" s="3" t="s">
        <v>23</v>
      </c>
    </row>
    <row r="3333" spans="1:11" ht="42" customHeight="1">
      <c r="A3333" s="2" t="s">
        <v>9040</v>
      </c>
      <c r="B3333" s="2" t="s">
        <v>9041</v>
      </c>
      <c r="C3333" s="2" t="s">
        <v>105</v>
      </c>
      <c r="D3333" s="2" t="s">
        <v>275</v>
      </c>
      <c r="E3333" s="4">
        <v>-32006</v>
      </c>
      <c r="F3333" s="3" t="s">
        <v>190</v>
      </c>
      <c r="G3333" s="3" t="s">
        <v>9042</v>
      </c>
      <c r="H3333" s="2" t="s">
        <v>21</v>
      </c>
      <c r="I3333" s="2" t="s">
        <v>9043</v>
      </c>
      <c r="J3333" s="3" t="str">
        <f>HYPERLINK("https://www.boe.es/gazeta/dias/1812/05/14/pdfs/GRE-1812-60.pdf#page=7","Abrir facsímil")</f>
        <v>Abrir facsímil</v>
      </c>
      <c r="K3333" s="3" t="s">
        <v>23</v>
      </c>
    </row>
    <row r="3334" spans="1:11" ht="42" customHeight="1">
      <c r="A3334" s="2" t="s">
        <v>9040</v>
      </c>
      <c r="B3334" s="2" t="s">
        <v>9041</v>
      </c>
      <c r="C3334" s="2" t="s">
        <v>17</v>
      </c>
      <c r="D3334" s="2" t="s">
        <v>27</v>
      </c>
      <c r="E3334" s="4">
        <v>-31985</v>
      </c>
      <c r="F3334" s="3" t="s">
        <v>1942</v>
      </c>
      <c r="G3334" s="3" t="s">
        <v>7258</v>
      </c>
      <c r="H3334" s="2" t="s">
        <v>21</v>
      </c>
      <c r="I3334" s="2" t="s">
        <v>9044</v>
      </c>
      <c r="J3334" s="3" t="str">
        <f>HYPERLINK("https://www.boe.es/gazeta/dias/1812/06/04/pdfs/GRE-1812-69.pdf#page=7","Abrir facsímil")</f>
        <v>Abrir facsímil</v>
      </c>
      <c r="K3334" s="3" t="s">
        <v>23</v>
      </c>
    </row>
    <row r="3335" spans="1:11" ht="42" customHeight="1">
      <c r="A3335" s="2" t="s">
        <v>9040</v>
      </c>
      <c r="B3335" s="2" t="s">
        <v>9041</v>
      </c>
      <c r="C3335" s="2" t="s">
        <v>26</v>
      </c>
      <c r="D3335" s="2" t="s">
        <v>27</v>
      </c>
      <c r="E3335" s="4">
        <v>-31962</v>
      </c>
      <c r="F3335" s="3" t="s">
        <v>153</v>
      </c>
      <c r="G3335" s="3" t="s">
        <v>154</v>
      </c>
      <c r="H3335" s="2" t="s">
        <v>21</v>
      </c>
      <c r="I3335" s="2" t="s">
        <v>9045</v>
      </c>
      <c r="J3335" s="3" t="str">
        <f>HYPERLINK("https://www.boe.es/gazeta/dias/1812/06/27/pdfs/GRE-1812-79.pdf#page=8","Abrir facsímil")</f>
        <v>Abrir facsímil</v>
      </c>
      <c r="K3335" s="3" t="s">
        <v>23</v>
      </c>
    </row>
    <row r="3336" spans="1:11" ht="42" customHeight="1">
      <c r="A3336" s="2" t="s">
        <v>9040</v>
      </c>
      <c r="B3336" s="2" t="s">
        <v>9041</v>
      </c>
      <c r="C3336" s="2" t="s">
        <v>186</v>
      </c>
      <c r="D3336" s="2" t="s">
        <v>275</v>
      </c>
      <c r="E3336" s="4">
        <v>-31836</v>
      </c>
      <c r="F3336" s="3" t="s">
        <v>729</v>
      </c>
      <c r="G3336" s="3" t="s">
        <v>125</v>
      </c>
      <c r="H3336" s="2" t="s">
        <v>21</v>
      </c>
      <c r="I3336" s="2" t="s">
        <v>9046</v>
      </c>
      <c r="J3336" s="3" t="str">
        <f>HYPERLINK("https://www.boe.es/gazeta/dias/1812/10/31/pdfs/GRE-1812-146.pdf#page=8","Abrir facsímil")</f>
        <v>Abrir facsímil</v>
      </c>
      <c r="K3336" s="3" t="s">
        <v>23</v>
      </c>
    </row>
    <row r="3337" spans="1:11" ht="42" customHeight="1">
      <c r="A3337" s="2" t="s">
        <v>9047</v>
      </c>
      <c r="B3337" s="2" t="s">
        <v>9048</v>
      </c>
      <c r="C3337" s="2" t="s">
        <v>26</v>
      </c>
      <c r="D3337" s="2" t="s">
        <v>27</v>
      </c>
      <c r="E3337" s="4">
        <v>-31936</v>
      </c>
      <c r="F3337" s="3" t="s">
        <v>614</v>
      </c>
      <c r="G3337" s="3" t="s">
        <v>615</v>
      </c>
      <c r="H3337" s="2" t="s">
        <v>21</v>
      </c>
      <c r="I3337" s="2" t="s">
        <v>9049</v>
      </c>
      <c r="J3337" s="3" t="str">
        <f>HYPERLINK("https://www.boe.es/gazeta/dias/1812/07/23/pdfs/GRE-1812-92.pdf#page=8","Abrir facsímil")</f>
        <v>Abrir facsímil</v>
      </c>
      <c r="K3337" s="3" t="s">
        <v>23</v>
      </c>
    </row>
    <row r="3338" spans="1:11" ht="42" customHeight="1">
      <c r="A3338" s="2" t="s">
        <v>9050</v>
      </c>
      <c r="B3338" s="2" t="s">
        <v>9051</v>
      </c>
      <c r="C3338" s="2" t="s">
        <v>186</v>
      </c>
      <c r="D3338" s="2" t="s">
        <v>27</v>
      </c>
      <c r="E3338" s="4">
        <v>-31941</v>
      </c>
      <c r="F3338" s="3" t="s">
        <v>57</v>
      </c>
      <c r="G3338" s="3" t="s">
        <v>125</v>
      </c>
      <c r="H3338" s="2" t="s">
        <v>21</v>
      </c>
      <c r="I3338" s="2" t="s">
        <v>9052</v>
      </c>
      <c r="J3338" s="3" t="str">
        <f>HYPERLINK("https://www.boe.es/gazeta/dias/1812/07/18/pdfs/GMD-1812-200.pdf#page=3","Abrir facsímil")</f>
        <v>Abrir facsímil</v>
      </c>
      <c r="K3338" s="3" t="s">
        <v>23</v>
      </c>
    </row>
    <row r="3339" spans="1:11" ht="42" customHeight="1">
      <c r="A3339" s="2" t="s">
        <v>9053</v>
      </c>
      <c r="B3339" s="2" t="s">
        <v>9054</v>
      </c>
      <c r="C3339" s="2" t="s">
        <v>49</v>
      </c>
      <c r="D3339" s="2" t="s">
        <v>27</v>
      </c>
      <c r="E3339" s="4">
        <v>-31857</v>
      </c>
      <c r="F3339" s="3" t="s">
        <v>1000</v>
      </c>
      <c r="G3339" s="3" t="s">
        <v>1001</v>
      </c>
      <c r="H3339" s="2" t="s">
        <v>21</v>
      </c>
      <c r="I3339" s="2" t="s">
        <v>9055</v>
      </c>
      <c r="J3339" s="3" t="str">
        <f>HYPERLINK("https://www.boe.es/gazeta/dias/1812/10/10/pdfs/GRE-1812-137.pdf#page=7","Abrir facsímil")</f>
        <v>Abrir facsímil</v>
      </c>
      <c r="K3339" s="3" t="s">
        <v>23</v>
      </c>
    </row>
    <row r="3340" spans="1:11" ht="42" customHeight="1">
      <c r="A3340" s="2" t="s">
        <v>9056</v>
      </c>
      <c r="B3340" s="2" t="s">
        <v>9057</v>
      </c>
      <c r="C3340" s="2" t="s">
        <v>26</v>
      </c>
      <c r="D3340" s="2" t="s">
        <v>27</v>
      </c>
      <c r="E3340" s="4">
        <v>-31962</v>
      </c>
      <c r="F3340" s="3" t="s">
        <v>153</v>
      </c>
      <c r="G3340" s="3" t="s">
        <v>154</v>
      </c>
      <c r="H3340" s="2" t="s">
        <v>21</v>
      </c>
      <c r="I3340" s="2" t="s">
        <v>9058</v>
      </c>
      <c r="J3340" s="3" t="str">
        <f>HYPERLINK("https://www.boe.es/gazeta/dias/1812/06/27/pdfs/GRE-1812-79.pdf#page=8","Abrir facsímil")</f>
        <v>Abrir facsímil</v>
      </c>
      <c r="K3340" s="3" t="s">
        <v>23</v>
      </c>
    </row>
    <row r="3341" spans="1:11" ht="42" customHeight="1">
      <c r="A3341" s="2" t="s">
        <v>9059</v>
      </c>
      <c r="B3341" s="2" t="s">
        <v>9059</v>
      </c>
      <c r="C3341" s="2" t="s">
        <v>17</v>
      </c>
      <c r="D3341" s="2" t="s">
        <v>27</v>
      </c>
      <c r="E3341" s="4">
        <v>-32128</v>
      </c>
      <c r="F3341" s="3" t="s">
        <v>1927</v>
      </c>
      <c r="G3341" s="3" t="s">
        <v>514</v>
      </c>
      <c r="H3341" s="2" t="s">
        <v>21</v>
      </c>
      <c r="I3341" s="2" t="s">
        <v>9060</v>
      </c>
      <c r="J3341" s="3" t="str">
        <f>HYPERLINK("https://www.boe.es/gazeta/dias/1812/01/13/pdfs/GMD-1812-13.pdf#page=3","Abrir facsímil")</f>
        <v>Abrir facsímil</v>
      </c>
      <c r="K3341" s="3" t="s">
        <v>23</v>
      </c>
    </row>
    <row r="3342" spans="1:11" ht="42" customHeight="1">
      <c r="A3342" s="2" t="s">
        <v>9061</v>
      </c>
      <c r="B3342" s="2" t="s">
        <v>9061</v>
      </c>
      <c r="C3342" s="2" t="s">
        <v>17</v>
      </c>
      <c r="D3342" s="2" t="s">
        <v>194</v>
      </c>
      <c r="E3342" s="4">
        <v>-31934</v>
      </c>
      <c r="F3342" s="3" t="s">
        <v>509</v>
      </c>
      <c r="G3342" s="3" t="s">
        <v>9062</v>
      </c>
      <c r="H3342" s="2" t="s">
        <v>21</v>
      </c>
      <c r="I3342" s="2" t="s">
        <v>9063</v>
      </c>
      <c r="J3342" s="3" t="str">
        <f>HYPERLINK("https://www.boe.es/gazeta/dias/1812/07/25/pdfs/GRE-1812-93.pdf#page=1","Abrir facsímil")</f>
        <v>Abrir facsímil</v>
      </c>
      <c r="K3342" s="3" t="s">
        <v>23</v>
      </c>
    </row>
    <row r="3343" spans="1:11" ht="42" customHeight="1">
      <c r="A3343" s="2" t="s">
        <v>9061</v>
      </c>
      <c r="B3343" s="2" t="s">
        <v>9061</v>
      </c>
      <c r="C3343" s="2" t="s">
        <v>17</v>
      </c>
      <c r="D3343" s="2" t="s">
        <v>194</v>
      </c>
      <c r="E3343" s="4">
        <v>-31901</v>
      </c>
      <c r="F3343" s="3" t="s">
        <v>590</v>
      </c>
      <c r="G3343" s="3" t="s">
        <v>514</v>
      </c>
      <c r="H3343" s="2" t="s">
        <v>21</v>
      </c>
      <c r="I3343" s="2" t="s">
        <v>9064</v>
      </c>
      <c r="J3343" s="3" t="str">
        <f>HYPERLINK("https://www.boe.es/gazeta/dias/1812/08/27/pdfs/GMR-1812-6.pdf#page=4","Abrir facsímil")</f>
        <v>Abrir facsímil</v>
      </c>
      <c r="K3343" s="3" t="s">
        <v>23</v>
      </c>
    </row>
    <row r="3344" spans="1:11" ht="42" customHeight="1">
      <c r="A3344" s="2" t="s">
        <v>9065</v>
      </c>
      <c r="B3344" s="2" t="s">
        <v>9065</v>
      </c>
      <c r="C3344" s="2" t="s">
        <v>26</v>
      </c>
      <c r="D3344" s="2" t="s">
        <v>27</v>
      </c>
      <c r="E3344" s="4">
        <v>-32108</v>
      </c>
      <c r="F3344" s="3" t="s">
        <v>1143</v>
      </c>
      <c r="G3344" s="3" t="s">
        <v>125</v>
      </c>
      <c r="H3344" s="2" t="s">
        <v>21</v>
      </c>
      <c r="I3344" s="2" t="s">
        <v>9066</v>
      </c>
      <c r="J3344" s="3" t="str">
        <f>HYPERLINK("https://www.boe.es/gazeta/dias/1812/02/02/pdfs/GMD-1812-33.pdf#page=2","Abrir facsímil")</f>
        <v>Abrir facsímil</v>
      </c>
      <c r="K3344" s="3" t="s">
        <v>23</v>
      </c>
    </row>
    <row r="3345" spans="1:11" ht="42" customHeight="1">
      <c r="A3345" s="2" t="s">
        <v>9067</v>
      </c>
      <c r="B3345" s="2" t="s">
        <v>9067</v>
      </c>
      <c r="C3345" s="2" t="s">
        <v>17</v>
      </c>
      <c r="D3345" s="2" t="s">
        <v>27</v>
      </c>
      <c r="E3345" s="4">
        <v>-31894</v>
      </c>
      <c r="F3345" s="3" t="s">
        <v>3953</v>
      </c>
      <c r="G3345" s="3" t="s">
        <v>1448</v>
      </c>
      <c r="H3345" s="2" t="s">
        <v>21</v>
      </c>
      <c r="I3345" s="2" t="s">
        <v>9068</v>
      </c>
      <c r="J3345" s="3" t="str">
        <f>HYPERLINK("https://www.boe.es/gazeta/dias/1812/09/03/pdfs/GMR-1812-9.pdf#page=1","Abrir facsímil")</f>
        <v>Abrir facsímil</v>
      </c>
      <c r="K3345" s="3" t="s">
        <v>23</v>
      </c>
    </row>
    <row r="3346" spans="1:11" ht="42" customHeight="1">
      <c r="A3346" s="2" t="s">
        <v>9069</v>
      </c>
      <c r="B3346" s="2" t="s">
        <v>9069</v>
      </c>
      <c r="C3346" s="2" t="s">
        <v>26</v>
      </c>
      <c r="D3346" s="2" t="s">
        <v>27</v>
      </c>
      <c r="E3346" s="4">
        <v>-32047</v>
      </c>
      <c r="F3346" s="3" t="s">
        <v>9070</v>
      </c>
      <c r="G3346" s="3" t="s">
        <v>706</v>
      </c>
      <c r="H3346" s="2" t="s">
        <v>21</v>
      </c>
      <c r="I3346" s="2" t="s">
        <v>9071</v>
      </c>
      <c r="J3346" s="3" t="str">
        <f>HYPERLINK("https://www.boe.es/gazeta/dias/1812/04/03/pdfs/GMD-1812-94.pdf#page=2","Abrir facsímil")</f>
        <v>Abrir facsímil</v>
      </c>
      <c r="K3346" s="3" t="s">
        <v>23</v>
      </c>
    </row>
    <row r="3347" spans="1:11" ht="42" customHeight="1">
      <c r="A3347" s="2" t="s">
        <v>9072</v>
      </c>
      <c r="B3347" s="2" t="s">
        <v>9072</v>
      </c>
      <c r="C3347" s="2" t="s">
        <v>26</v>
      </c>
      <c r="D3347" s="2" t="s">
        <v>27</v>
      </c>
      <c r="E3347" s="4">
        <v>-31953</v>
      </c>
      <c r="F3347" s="3" t="s">
        <v>2940</v>
      </c>
      <c r="G3347" s="3" t="s">
        <v>58</v>
      </c>
      <c r="H3347" s="2" t="s">
        <v>21</v>
      </c>
      <c r="I3347" s="2" t="s">
        <v>9073</v>
      </c>
      <c r="J3347" s="3" t="str">
        <f>HYPERLINK("https://www.boe.es/gazeta/dias/1812/07/06/pdfs/GMD-1812-188.pdf#page=2","Abrir facsímil")</f>
        <v>Abrir facsímil</v>
      </c>
      <c r="K3347" s="3" t="s">
        <v>23</v>
      </c>
    </row>
    <row r="3348" spans="1:11" ht="42" customHeight="1">
      <c r="A3348" s="2" t="s">
        <v>9074</v>
      </c>
      <c r="B3348" s="2" t="s">
        <v>9075</v>
      </c>
      <c r="C3348" s="2" t="s">
        <v>26</v>
      </c>
      <c r="D3348" s="2" t="s">
        <v>27</v>
      </c>
      <c r="E3348" s="4">
        <v>-31950</v>
      </c>
      <c r="F3348" s="3" t="s">
        <v>1024</v>
      </c>
      <c r="G3348" s="3" t="s">
        <v>1025</v>
      </c>
      <c r="H3348" s="2" t="s">
        <v>21</v>
      </c>
      <c r="I3348" s="2" t="s">
        <v>9076</v>
      </c>
      <c r="J3348" s="3" t="str">
        <f>HYPERLINK("https://www.boe.es/gazeta/dias/1812/07/09/pdfs/GRE-1812-84.pdf#page=7","Abrir facsímil")</f>
        <v>Abrir facsímil</v>
      </c>
      <c r="K3348" s="3" t="s">
        <v>23</v>
      </c>
    </row>
    <row r="3349" spans="1:11" ht="42" customHeight="1">
      <c r="A3349" s="2" t="s">
        <v>9077</v>
      </c>
      <c r="B3349" s="2" t="s">
        <v>9078</v>
      </c>
      <c r="C3349" s="2" t="s">
        <v>26</v>
      </c>
      <c r="D3349" s="2" t="s">
        <v>27</v>
      </c>
      <c r="E3349" s="4">
        <v>-31901</v>
      </c>
      <c r="F3349" s="3" t="s">
        <v>2199</v>
      </c>
      <c r="G3349" s="3" t="s">
        <v>2200</v>
      </c>
      <c r="H3349" s="2" t="s">
        <v>21</v>
      </c>
      <c r="I3349" s="2" t="s">
        <v>9079</v>
      </c>
      <c r="J3349" s="3" t="str">
        <f>HYPERLINK("https://www.boe.es/gazeta/dias/1812/08/27/pdfs/GRE-1812-111.pdf#page=8","Abrir facsímil")</f>
        <v>Abrir facsímil</v>
      </c>
      <c r="K3349" s="3" t="s">
        <v>23</v>
      </c>
    </row>
    <row r="3350" spans="1:11" ht="42" customHeight="1">
      <c r="A3350" s="2" t="s">
        <v>9080</v>
      </c>
      <c r="B3350" s="2" t="s">
        <v>9081</v>
      </c>
      <c r="C3350" s="2" t="s">
        <v>67</v>
      </c>
      <c r="D3350" s="2" t="s">
        <v>27</v>
      </c>
      <c r="E3350" s="4">
        <v>-31956</v>
      </c>
      <c r="F3350" s="3" t="s">
        <v>19</v>
      </c>
      <c r="G3350" s="3" t="s">
        <v>36</v>
      </c>
      <c r="H3350" s="2" t="s">
        <v>21</v>
      </c>
      <c r="I3350" s="2" t="s">
        <v>9082</v>
      </c>
      <c r="J3350" s="3" t="str">
        <f>HYPERLINK("https://www.boe.es/gazeta/dias/1812/07/03/pdfs/GMD-1812-185.pdf#page=3","Abrir facsímil")</f>
        <v>Abrir facsímil</v>
      </c>
      <c r="K3350" s="3" t="s">
        <v>23</v>
      </c>
    </row>
    <row r="3351" spans="1:11" ht="42" customHeight="1">
      <c r="A3351" s="2" t="s">
        <v>9083</v>
      </c>
      <c r="B3351" s="2" t="s">
        <v>9084</v>
      </c>
      <c r="C3351" s="2" t="s">
        <v>17</v>
      </c>
      <c r="D3351" s="2" t="s">
        <v>18</v>
      </c>
      <c r="E3351" s="4">
        <v>-31978</v>
      </c>
      <c r="F3351" s="3" t="s">
        <v>1790</v>
      </c>
      <c r="G3351" s="3" t="s">
        <v>1791</v>
      </c>
      <c r="H3351" s="2" t="s">
        <v>21</v>
      </c>
      <c r="I3351" s="2" t="s">
        <v>9085</v>
      </c>
      <c r="J3351" s="3" t="str">
        <f>HYPERLINK("https://www.boe.es/gazeta/dias/1812/06/11/pdfs/GRE-1812-72.pdf#page=8","Abrir facsímil")</f>
        <v>Abrir facsímil</v>
      </c>
      <c r="K3351" s="3" t="s">
        <v>23</v>
      </c>
    </row>
    <row r="3352" spans="1:11" ht="42" customHeight="1">
      <c r="A3352" s="2" t="s">
        <v>9086</v>
      </c>
      <c r="B3352" s="2" t="s">
        <v>9087</v>
      </c>
      <c r="C3352" s="2" t="s">
        <v>17</v>
      </c>
      <c r="D3352" s="2" t="s">
        <v>18</v>
      </c>
      <c r="E3352" s="4">
        <v>-31990</v>
      </c>
      <c r="F3352" s="3" t="s">
        <v>5078</v>
      </c>
      <c r="G3352" s="3" t="s">
        <v>1698</v>
      </c>
      <c r="H3352" s="2" t="s">
        <v>21</v>
      </c>
      <c r="I3352" s="2" t="s">
        <v>9088</v>
      </c>
      <c r="J3352" s="3" t="str">
        <f>HYPERLINK("https://www.boe.es/gazeta/dias/1812/05/30/pdfs/GRE-1812-67.pdf#page=5","Abrir facsímil")</f>
        <v>Abrir facsímil</v>
      </c>
      <c r="K3352" s="3" t="s">
        <v>23</v>
      </c>
    </row>
    <row r="3353" spans="1:11" ht="42" customHeight="1">
      <c r="A3353" s="2" t="s">
        <v>9089</v>
      </c>
      <c r="B3353" s="2" t="s">
        <v>9090</v>
      </c>
      <c r="C3353" s="2" t="s">
        <v>26</v>
      </c>
      <c r="D3353" s="2" t="s">
        <v>27</v>
      </c>
      <c r="E3353" s="4">
        <v>-31882</v>
      </c>
      <c r="F3353" s="3" t="s">
        <v>1798</v>
      </c>
      <c r="G3353" s="3" t="s">
        <v>125</v>
      </c>
      <c r="H3353" s="2" t="s">
        <v>21</v>
      </c>
      <c r="I3353" s="2" t="s">
        <v>9091</v>
      </c>
      <c r="J3353" s="3" t="str">
        <f>HYPERLINK("https://www.boe.es/gazeta/dias/1812/09/15/pdfs/GMR-1812-14.pdf#page=10","Abrir facsímil")</f>
        <v>Abrir facsímil</v>
      </c>
      <c r="K3353" s="3" t="s">
        <v>23</v>
      </c>
    </row>
    <row r="3354" spans="1:11" ht="42" customHeight="1">
      <c r="A3354" s="2" t="s">
        <v>9092</v>
      </c>
      <c r="B3354" s="2" t="s">
        <v>9092</v>
      </c>
      <c r="C3354" s="2" t="s">
        <v>26</v>
      </c>
      <c r="D3354" s="2" t="s">
        <v>27</v>
      </c>
      <c r="E3354" s="4">
        <v>-32066</v>
      </c>
      <c r="F3354" s="3" t="s">
        <v>291</v>
      </c>
      <c r="G3354" s="3" t="s">
        <v>125</v>
      </c>
      <c r="H3354" s="2" t="s">
        <v>21</v>
      </c>
      <c r="I3354" s="2" t="s">
        <v>9093</v>
      </c>
      <c r="J3354" s="3" t="str">
        <f>HYPERLINK("https://www.boe.es/gazeta/dias/1812/03/15/pdfs/GMD-1812-75.pdf#page=4","Abrir facsímil")</f>
        <v>Abrir facsímil</v>
      </c>
      <c r="K3354" s="3" t="s">
        <v>23</v>
      </c>
    </row>
    <row r="3355" spans="1:11" ht="42" customHeight="1">
      <c r="A3355" s="2" t="s">
        <v>9094</v>
      </c>
      <c r="B3355" s="2" t="s">
        <v>9094</v>
      </c>
      <c r="C3355" s="2" t="s">
        <v>67</v>
      </c>
      <c r="D3355" s="2" t="s">
        <v>27</v>
      </c>
      <c r="E3355" s="4">
        <v>-32097</v>
      </c>
      <c r="F3355" s="3" t="s">
        <v>3797</v>
      </c>
      <c r="G3355" s="3" t="s">
        <v>599</v>
      </c>
      <c r="H3355" s="2" t="s">
        <v>21</v>
      </c>
      <c r="I3355" s="2" t="s">
        <v>9095</v>
      </c>
      <c r="J3355" s="3" t="str">
        <f>HYPERLINK("https://www.boe.es/gazeta/dias/1812/02/13/pdfs/GRE-1812-19.pdf#page=6","Abrir facsímil")</f>
        <v>Abrir facsímil</v>
      </c>
      <c r="K3355" s="3" t="s">
        <v>23</v>
      </c>
    </row>
    <row r="3356" spans="1:11" ht="42" customHeight="1">
      <c r="A3356" s="2" t="s">
        <v>9096</v>
      </c>
      <c r="B3356" s="2" t="s">
        <v>9096</v>
      </c>
      <c r="C3356" s="2" t="s">
        <v>17</v>
      </c>
      <c r="D3356" s="2" t="s">
        <v>27</v>
      </c>
      <c r="E3356" s="4">
        <v>-31795</v>
      </c>
      <c r="F3356" s="3" t="s">
        <v>2344</v>
      </c>
      <c r="G3356" s="3" t="s">
        <v>2280</v>
      </c>
      <c r="H3356" s="2" t="s">
        <v>21</v>
      </c>
      <c r="I3356" s="2" t="s">
        <v>9097</v>
      </c>
      <c r="J3356" s="3" t="str">
        <f>HYPERLINK("https://www.boe.es/gazeta/dias/1812/12/11/pdfs/GMD-1812-234.pdf#page=1","Abrir facsímil")</f>
        <v>Abrir facsímil</v>
      </c>
      <c r="K3356" s="3" t="s">
        <v>23</v>
      </c>
    </row>
    <row r="3357" spans="1:11" ht="42" customHeight="1">
      <c r="A3357" s="2" t="s">
        <v>9098</v>
      </c>
      <c r="B3357" s="2" t="s">
        <v>9098</v>
      </c>
      <c r="C3357" s="2" t="s">
        <v>17</v>
      </c>
      <c r="D3357" s="2" t="s">
        <v>18</v>
      </c>
      <c r="E3357" s="4">
        <v>-32025</v>
      </c>
      <c r="F3357" s="3" t="s">
        <v>2323</v>
      </c>
      <c r="G3357" s="3" t="s">
        <v>125</v>
      </c>
      <c r="H3357" s="2" t="s">
        <v>21</v>
      </c>
      <c r="I3357" s="2" t="s">
        <v>9099</v>
      </c>
      <c r="J3357" s="3" t="str">
        <f>HYPERLINK("https://www.boe.es/gazeta/dias/1812/04/25/pdfs/GRE-1812-52.pdf#page=7","Abrir facsímil")</f>
        <v>Abrir facsímil</v>
      </c>
      <c r="K3357" s="3" t="s">
        <v>23</v>
      </c>
    </row>
    <row r="3358" spans="1:11" ht="42" customHeight="1">
      <c r="A3358" s="2" t="s">
        <v>9100</v>
      </c>
      <c r="B3358" s="2" t="s">
        <v>9100</v>
      </c>
      <c r="C3358" s="2" t="s">
        <v>26</v>
      </c>
      <c r="D3358" s="2" t="s">
        <v>27</v>
      </c>
      <c r="E3358" s="4">
        <v>-32001</v>
      </c>
      <c r="F3358" s="3" t="s">
        <v>1938</v>
      </c>
      <c r="G3358" s="3" t="s">
        <v>5173</v>
      </c>
      <c r="H3358" s="2" t="s">
        <v>21</v>
      </c>
      <c r="I3358" s="2" t="s">
        <v>9101</v>
      </c>
      <c r="J3358" s="3" t="str">
        <f>HYPERLINK("https://www.boe.es/gazeta/dias/1812/05/19/pdfs/GRE-1812-62.pdf#page=1","Abrir facsímil")</f>
        <v>Abrir facsímil</v>
      </c>
      <c r="K3358" s="3" t="s">
        <v>23</v>
      </c>
    </row>
    <row r="3359" spans="1:11" ht="42" customHeight="1">
      <c r="A3359" s="2" t="s">
        <v>9100</v>
      </c>
      <c r="B3359" s="2" t="s">
        <v>9100</v>
      </c>
      <c r="C3359" s="2" t="s">
        <v>26</v>
      </c>
      <c r="D3359" s="2" t="s">
        <v>27</v>
      </c>
      <c r="E3359" s="4">
        <v>-32001</v>
      </c>
      <c r="F3359" s="3" t="s">
        <v>1938</v>
      </c>
      <c r="G3359" s="3" t="s">
        <v>9102</v>
      </c>
      <c r="H3359" s="2" t="s">
        <v>21</v>
      </c>
      <c r="I3359" s="2" t="s">
        <v>9103</v>
      </c>
      <c r="J3359" s="3" t="str">
        <f>HYPERLINK("https://www.boe.es/gazeta/dias/1812/05/19/pdfs/GRE-1812-62.pdf#page=3","Abrir facsímil")</f>
        <v>Abrir facsímil</v>
      </c>
      <c r="K3359" s="3" t="s">
        <v>23</v>
      </c>
    </row>
    <row r="3360" spans="1:11" ht="42" customHeight="1">
      <c r="A3360" s="2" t="s">
        <v>9100</v>
      </c>
      <c r="B3360" s="2" t="s">
        <v>9100</v>
      </c>
      <c r="C3360" s="2" t="s">
        <v>26</v>
      </c>
      <c r="D3360" s="2" t="s">
        <v>27</v>
      </c>
      <c r="E3360" s="4">
        <v>-31999</v>
      </c>
      <c r="F3360" s="3" t="s">
        <v>806</v>
      </c>
      <c r="G3360" s="3" t="s">
        <v>9104</v>
      </c>
      <c r="H3360" s="2" t="s">
        <v>21</v>
      </c>
      <c r="I3360" s="2" t="s">
        <v>9105</v>
      </c>
      <c r="J3360" s="3" t="str">
        <f>HYPERLINK("https://www.boe.es/gazeta/dias/1812/05/21/pdfs/GRE-1812-63.pdf#page=1","Abrir facsímil")</f>
        <v>Abrir facsímil</v>
      </c>
      <c r="K3360" s="3" t="s">
        <v>23</v>
      </c>
    </row>
    <row r="3361" spans="1:11" ht="42" customHeight="1">
      <c r="A3361" s="2" t="s">
        <v>9100</v>
      </c>
      <c r="B3361" s="2" t="s">
        <v>9100</v>
      </c>
      <c r="C3361" s="2" t="s">
        <v>26</v>
      </c>
      <c r="D3361" s="2" t="s">
        <v>27</v>
      </c>
      <c r="E3361" s="4">
        <v>-31999</v>
      </c>
      <c r="F3361" s="3" t="s">
        <v>806</v>
      </c>
      <c r="G3361" s="3" t="s">
        <v>3794</v>
      </c>
      <c r="H3361" s="2" t="s">
        <v>21</v>
      </c>
      <c r="I3361" s="2" t="s">
        <v>9106</v>
      </c>
      <c r="J3361" s="3" t="str">
        <f>HYPERLINK("https://www.boe.es/gazeta/dias/1812/05/21/pdfs/GRE-1812-63.pdf#page=4","Abrir facsímil")</f>
        <v>Abrir facsímil</v>
      </c>
      <c r="K3361" s="3" t="s">
        <v>23</v>
      </c>
    </row>
    <row r="3362" spans="1:11" ht="42" customHeight="1">
      <c r="A3362" s="2" t="s">
        <v>9107</v>
      </c>
      <c r="B3362" s="2" t="s">
        <v>9108</v>
      </c>
      <c r="C3362" s="2" t="s">
        <v>26</v>
      </c>
      <c r="D3362" s="2" t="s">
        <v>27</v>
      </c>
      <c r="E3362" s="4">
        <v>-32001</v>
      </c>
      <c r="F3362" s="3" t="s">
        <v>1938</v>
      </c>
      <c r="G3362" s="3" t="s">
        <v>9102</v>
      </c>
      <c r="H3362" s="2" t="s">
        <v>21</v>
      </c>
      <c r="I3362" s="2" t="s">
        <v>9109</v>
      </c>
      <c r="J3362" s="3" t="str">
        <f>HYPERLINK("https://www.boe.es/gazeta/dias/1812/05/19/pdfs/GRE-1812-62.pdf#page=3","Abrir facsímil")</f>
        <v>Abrir facsímil</v>
      </c>
      <c r="K3362" s="3" t="s">
        <v>23</v>
      </c>
    </row>
    <row r="3363" spans="1:11" ht="42" customHeight="1">
      <c r="A3363" s="2" t="s">
        <v>9110</v>
      </c>
      <c r="B3363" s="2" t="s">
        <v>9110</v>
      </c>
      <c r="C3363" s="2" t="s">
        <v>17</v>
      </c>
      <c r="D3363" s="2" t="s">
        <v>18</v>
      </c>
      <c r="E3363" s="4">
        <v>-32109</v>
      </c>
      <c r="F3363" s="3" t="s">
        <v>62</v>
      </c>
      <c r="G3363" s="3" t="s">
        <v>2624</v>
      </c>
      <c r="H3363" s="2" t="s">
        <v>21</v>
      </c>
      <c r="I3363" s="2" t="s">
        <v>9111</v>
      </c>
      <c r="J3363" s="3" t="str">
        <f>HYPERLINK("https://www.boe.es/gazeta/dias/1812/02/01/pdfs/GRE-1812-14.pdf#page=7","Abrir facsímil")</f>
        <v>Abrir facsímil</v>
      </c>
      <c r="K3363" s="3" t="s">
        <v>23</v>
      </c>
    </row>
    <row r="3364" spans="1:11" ht="42" customHeight="1">
      <c r="A3364" s="2" t="s">
        <v>9112</v>
      </c>
      <c r="B3364" s="2" t="s">
        <v>9112</v>
      </c>
      <c r="C3364" s="2" t="s">
        <v>17</v>
      </c>
      <c r="D3364" s="2" t="s">
        <v>27</v>
      </c>
      <c r="E3364" s="4">
        <v>-32036</v>
      </c>
      <c r="F3364" s="3" t="s">
        <v>781</v>
      </c>
      <c r="G3364" s="3" t="s">
        <v>2895</v>
      </c>
      <c r="H3364" s="2" t="s">
        <v>21</v>
      </c>
      <c r="I3364" s="2" t="s">
        <v>9113</v>
      </c>
      <c r="J3364" s="3" t="str">
        <f>HYPERLINK("https://www.boe.es/gazeta/dias/1812/04/14/pdfs/GRE-1812-47.pdf#page=4","Abrir facsímil")</f>
        <v>Abrir facsímil</v>
      </c>
      <c r="K3364" s="3" t="s">
        <v>23</v>
      </c>
    </row>
    <row r="3365" spans="1:11" ht="42" customHeight="1">
      <c r="A3365" s="2" t="s">
        <v>9114</v>
      </c>
      <c r="B3365" s="2" t="s">
        <v>9115</v>
      </c>
      <c r="C3365" s="2" t="s">
        <v>17</v>
      </c>
      <c r="D3365" s="2" t="s">
        <v>18</v>
      </c>
      <c r="E3365" s="4">
        <v>-32046</v>
      </c>
      <c r="F3365" s="3" t="s">
        <v>1013</v>
      </c>
      <c r="G3365" s="3" t="s">
        <v>1014</v>
      </c>
      <c r="H3365" s="2" t="s">
        <v>21</v>
      </c>
      <c r="I3365" s="2" t="s">
        <v>9116</v>
      </c>
      <c r="J3365" s="3" t="str">
        <f>HYPERLINK("https://www.boe.es/gazeta/dias/1812/04/04/pdfs/GRE-1812-42.pdf#page=4","Abrir facsímil")</f>
        <v>Abrir facsímil</v>
      </c>
      <c r="K3365" s="3" t="s">
        <v>23</v>
      </c>
    </row>
    <row r="3366" spans="1:11" ht="42" customHeight="1">
      <c r="A3366" s="2" t="s">
        <v>9117</v>
      </c>
      <c r="B3366" s="2" t="s">
        <v>9117</v>
      </c>
      <c r="C3366" s="2" t="s">
        <v>26</v>
      </c>
      <c r="D3366" s="2" t="s">
        <v>27</v>
      </c>
      <c r="E3366" s="4">
        <v>-32109</v>
      </c>
      <c r="F3366" s="3" t="s">
        <v>62</v>
      </c>
      <c r="G3366" s="3" t="s">
        <v>63</v>
      </c>
      <c r="H3366" s="2" t="s">
        <v>21</v>
      </c>
      <c r="I3366" s="2" t="s">
        <v>9118</v>
      </c>
      <c r="J3366" s="3" t="str">
        <f>HYPERLINK("https://www.boe.es/gazeta/dias/1812/02/01/pdfs/GRE-1812-14.pdf#page=10","Abrir facsímil")</f>
        <v>Abrir facsímil</v>
      </c>
      <c r="K3366" s="3" t="s">
        <v>23</v>
      </c>
    </row>
    <row r="3367" spans="1:11" ht="42" customHeight="1">
      <c r="A3367" s="2" t="s">
        <v>9119</v>
      </c>
      <c r="B3367" s="2" t="s">
        <v>9119</v>
      </c>
      <c r="C3367" s="2" t="s">
        <v>17</v>
      </c>
      <c r="D3367" s="2" t="s">
        <v>18</v>
      </c>
      <c r="E3367" s="4">
        <v>-31805</v>
      </c>
      <c r="F3367" s="3" t="s">
        <v>895</v>
      </c>
      <c r="G3367" s="3" t="s">
        <v>2262</v>
      </c>
      <c r="H3367" s="2" t="s">
        <v>21</v>
      </c>
      <c r="I3367" s="2" t="s">
        <v>9120</v>
      </c>
      <c r="J3367" s="3" t="str">
        <f>HYPERLINK("https://www.boe.es/gazeta/dias/1812/12/01/pdfs/GMR-1812-39.pdf#page=5","Abrir facsímil")</f>
        <v>Abrir facsímil</v>
      </c>
      <c r="K3367" s="3" t="s">
        <v>23</v>
      </c>
    </row>
    <row r="3368" spans="1:11" ht="42" customHeight="1">
      <c r="A3368" s="2" t="s">
        <v>9121</v>
      </c>
      <c r="B3368" s="2" t="s">
        <v>9122</v>
      </c>
      <c r="C3368" s="2" t="s">
        <v>26</v>
      </c>
      <c r="D3368" s="2" t="s">
        <v>27</v>
      </c>
      <c r="E3368" s="4">
        <v>-31955</v>
      </c>
      <c r="F3368" s="3" t="s">
        <v>789</v>
      </c>
      <c r="G3368" s="3" t="s">
        <v>237</v>
      </c>
      <c r="H3368" s="2" t="s">
        <v>21</v>
      </c>
      <c r="I3368" s="2" t="s">
        <v>9123</v>
      </c>
      <c r="J3368" s="3" t="str">
        <f>HYPERLINK("https://www.boe.es/gazeta/dias/1812/07/04/pdfs/GRE-1812-82.pdf#page=8","Abrir facsímil")</f>
        <v>Abrir facsímil</v>
      </c>
      <c r="K3368" s="3" t="s">
        <v>23</v>
      </c>
    </row>
    <row r="3369" spans="1:11" ht="42" customHeight="1">
      <c r="A3369" s="2" t="s">
        <v>9124</v>
      </c>
      <c r="B3369" s="2" t="s">
        <v>9124</v>
      </c>
      <c r="C3369" s="2" t="s">
        <v>549</v>
      </c>
      <c r="D3369" s="2" t="s">
        <v>573</v>
      </c>
      <c r="E3369" s="4">
        <v>-31900</v>
      </c>
      <c r="F3369" s="3" t="s">
        <v>276</v>
      </c>
      <c r="G3369" s="3" t="s">
        <v>794</v>
      </c>
      <c r="H3369" s="2" t="s">
        <v>21</v>
      </c>
      <c r="I3369" s="2" t="s">
        <v>9125</v>
      </c>
      <c r="J3369" s="3" t="str">
        <f>HYPERLINK("https://www.boe.es/gazeta/dias/1812/08/28/pdfs/GRE-1812-113E.pdf#page=7","Abrir facsímil")</f>
        <v>Abrir facsímil</v>
      </c>
      <c r="K3369" s="3" t="s">
        <v>23</v>
      </c>
    </row>
    <row r="3370" spans="1:11" ht="42" customHeight="1">
      <c r="A3370" s="2" t="s">
        <v>9126</v>
      </c>
      <c r="B3370" s="2" t="s">
        <v>9127</v>
      </c>
      <c r="C3370" s="2" t="s">
        <v>26</v>
      </c>
      <c r="D3370" s="2" t="s">
        <v>27</v>
      </c>
      <c r="E3370" s="4">
        <v>-32139</v>
      </c>
      <c r="F3370" s="3" t="s">
        <v>518</v>
      </c>
      <c r="G3370" s="3" t="s">
        <v>125</v>
      </c>
      <c r="H3370" s="2" t="s">
        <v>21</v>
      </c>
      <c r="I3370" s="2" t="s">
        <v>9128</v>
      </c>
      <c r="J3370" s="3" t="str">
        <f>HYPERLINK("https://www.boe.es/gazeta/dias/1812/01/02/pdfs/GEI-1812-1.pdf#page=8","Abrir facsímil")</f>
        <v>Abrir facsímil</v>
      </c>
      <c r="K3370" s="3" t="s">
        <v>23</v>
      </c>
    </row>
    <row r="3371" spans="1:11" ht="42" customHeight="1">
      <c r="A3371" s="2" t="s">
        <v>9129</v>
      </c>
      <c r="B3371" s="2" t="s">
        <v>9130</v>
      </c>
      <c r="C3371" s="2" t="s">
        <v>186</v>
      </c>
      <c r="D3371" s="2" t="s">
        <v>27</v>
      </c>
      <c r="E3371" s="4">
        <v>-32090</v>
      </c>
      <c r="F3371" s="3" t="s">
        <v>142</v>
      </c>
      <c r="G3371" s="3" t="s">
        <v>29</v>
      </c>
      <c r="H3371" s="2" t="s">
        <v>21</v>
      </c>
      <c r="I3371" s="2" t="s">
        <v>9131</v>
      </c>
      <c r="J3371" s="3" t="str">
        <f>HYPERLINK("https://www.boe.es/gazeta/dias/1812/02/20/pdfs/GRE-1812-22.pdf#page=8","Abrir facsímil")</f>
        <v>Abrir facsímil</v>
      </c>
      <c r="K3371" s="3" t="s">
        <v>23</v>
      </c>
    </row>
    <row r="3372" spans="1:11" ht="42" customHeight="1">
      <c r="A3372" s="2" t="s">
        <v>9132</v>
      </c>
      <c r="B3372" s="2" t="s">
        <v>9133</v>
      </c>
      <c r="C3372" s="2" t="s">
        <v>549</v>
      </c>
      <c r="D3372" s="2" t="s">
        <v>27</v>
      </c>
      <c r="E3372" s="4">
        <v>-32125</v>
      </c>
      <c r="F3372" s="3" t="s">
        <v>335</v>
      </c>
      <c r="G3372" s="3" t="s">
        <v>336</v>
      </c>
      <c r="H3372" s="2" t="s">
        <v>21</v>
      </c>
      <c r="I3372" s="2" t="s">
        <v>9134</v>
      </c>
      <c r="J3372" s="3" t="str">
        <f>HYPERLINK("https://www.boe.es/gazeta/dias/1812/01/16/pdfs/GEI-1812-7.pdf#page=8","Abrir facsímil")</f>
        <v>Abrir facsímil</v>
      </c>
      <c r="K3372" s="3" t="s">
        <v>23</v>
      </c>
    </row>
    <row r="3373" spans="1:11" ht="42" customHeight="1">
      <c r="A3373" s="2" t="s">
        <v>9135</v>
      </c>
      <c r="B3373" s="2" t="s">
        <v>9136</v>
      </c>
      <c r="C3373" s="2" t="s">
        <v>26</v>
      </c>
      <c r="D3373" s="2" t="s">
        <v>27</v>
      </c>
      <c r="E3373" s="4">
        <v>-31938</v>
      </c>
      <c r="F3373" s="3" t="s">
        <v>324</v>
      </c>
      <c r="G3373" s="3" t="s">
        <v>404</v>
      </c>
      <c r="H3373" s="2" t="s">
        <v>21</v>
      </c>
      <c r="I3373" s="2" t="s">
        <v>9137</v>
      </c>
      <c r="J3373" s="3" t="str">
        <f>HYPERLINK("https://www.boe.es/gazeta/dias/1812/07/21/pdfs/GMD-1812-203.pdf#page=4","Abrir facsímil")</f>
        <v>Abrir facsímil</v>
      </c>
      <c r="K3373" s="3" t="s">
        <v>23</v>
      </c>
    </row>
    <row r="3374" spans="1:11" ht="42" customHeight="1">
      <c r="A3374" s="2" t="s">
        <v>9138</v>
      </c>
      <c r="B3374" s="2" t="s">
        <v>9139</v>
      </c>
      <c r="C3374" s="2" t="s">
        <v>26</v>
      </c>
      <c r="D3374" s="2" t="s">
        <v>27</v>
      </c>
      <c r="E3374" s="4">
        <v>-32055</v>
      </c>
      <c r="F3374" s="3" t="s">
        <v>1271</v>
      </c>
      <c r="G3374" s="3" t="s">
        <v>130</v>
      </c>
      <c r="H3374" s="2" t="s">
        <v>21</v>
      </c>
      <c r="I3374" s="2" t="s">
        <v>9140</v>
      </c>
      <c r="J3374" s="3" t="str">
        <f>HYPERLINK("https://www.boe.es/gazeta/dias/1812/03/26/pdfs/GMD-1812-86.pdf#page=4","Abrir facsímil")</f>
        <v>Abrir facsímil</v>
      </c>
      <c r="K3374" s="3" t="s">
        <v>23</v>
      </c>
    </row>
    <row r="3375" spans="1:11" ht="42" customHeight="1">
      <c r="A3375" s="2" t="s">
        <v>9141</v>
      </c>
      <c r="B3375" s="2" t="s">
        <v>9142</v>
      </c>
      <c r="C3375" s="2" t="s">
        <v>26</v>
      </c>
      <c r="D3375" s="2" t="s">
        <v>275</v>
      </c>
      <c r="E3375" s="4">
        <v>-31964</v>
      </c>
      <c r="F3375" s="3" t="s">
        <v>305</v>
      </c>
      <c r="G3375" s="3" t="s">
        <v>58</v>
      </c>
      <c r="H3375" s="2" t="s">
        <v>21</v>
      </c>
      <c r="I3375" s="2" t="s">
        <v>9143</v>
      </c>
      <c r="J3375" s="3" t="str">
        <f>HYPERLINK("https://www.boe.es/gazeta/dias/1812/06/25/pdfs/GMD-1812-177.pdf#page=2","Abrir facsímil")</f>
        <v>Abrir facsímil</v>
      </c>
      <c r="K3375" s="3" t="s">
        <v>23</v>
      </c>
    </row>
    <row r="3376" spans="1:11" ht="42" customHeight="1">
      <c r="A3376" s="2" t="s">
        <v>9144</v>
      </c>
      <c r="B3376" s="2" t="s">
        <v>9145</v>
      </c>
      <c r="C3376" s="2" t="s">
        <v>26</v>
      </c>
      <c r="D3376" s="2" t="s">
        <v>27</v>
      </c>
      <c r="E3376" s="4">
        <v>-32011</v>
      </c>
      <c r="F3376" s="3" t="s">
        <v>1656</v>
      </c>
      <c r="G3376" s="3" t="s">
        <v>777</v>
      </c>
      <c r="H3376" s="2" t="s">
        <v>21</v>
      </c>
      <c r="I3376" s="2" t="s">
        <v>9146</v>
      </c>
      <c r="J3376" s="3" t="str">
        <f>HYPERLINK("https://www.boe.es/gazeta/dias/1812/05/09/pdfs/GMD-1812-130.pdf#page=2","Abrir facsímil")</f>
        <v>Abrir facsímil</v>
      </c>
      <c r="K3376" s="3" t="s">
        <v>23</v>
      </c>
    </row>
    <row r="3377" spans="1:11" ht="42" customHeight="1">
      <c r="A3377" s="2" t="s">
        <v>9147</v>
      </c>
      <c r="B3377" s="2" t="s">
        <v>9148</v>
      </c>
      <c r="C3377" s="2" t="s">
        <v>26</v>
      </c>
      <c r="D3377" s="2" t="s">
        <v>27</v>
      </c>
      <c r="E3377" s="4">
        <v>-31965</v>
      </c>
      <c r="F3377" s="3" t="s">
        <v>1180</v>
      </c>
      <c r="G3377" s="3" t="s">
        <v>777</v>
      </c>
      <c r="H3377" s="2" t="s">
        <v>21</v>
      </c>
      <c r="I3377" s="2" t="s">
        <v>9149</v>
      </c>
      <c r="J3377" s="3" t="str">
        <f>HYPERLINK("https://www.boe.es/gazeta/dias/1812/06/24/pdfs/GMD-1812-176.pdf#page=2","Abrir facsímil")</f>
        <v>Abrir facsímil</v>
      </c>
      <c r="K3377" s="3" t="s">
        <v>23</v>
      </c>
    </row>
    <row r="3378" spans="1:11" ht="42" customHeight="1">
      <c r="A3378" s="2" t="s">
        <v>9150</v>
      </c>
      <c r="B3378" s="2" t="s">
        <v>9150</v>
      </c>
      <c r="C3378" s="2" t="s">
        <v>26</v>
      </c>
      <c r="D3378" s="2" t="s">
        <v>27</v>
      </c>
      <c r="E3378" s="4">
        <v>-31864</v>
      </c>
      <c r="F3378" s="3" t="s">
        <v>3014</v>
      </c>
      <c r="G3378" s="3" t="s">
        <v>5929</v>
      </c>
      <c r="H3378" s="2" t="s">
        <v>21</v>
      </c>
      <c r="I3378" s="2" t="s">
        <v>9151</v>
      </c>
      <c r="J3378" s="3" t="str">
        <f>HYPERLINK("https://www.boe.es/gazeta/dias/1812/10/03/pdfs/GRE-1812-134.pdf#page=8","Abrir facsímil")</f>
        <v>Abrir facsímil</v>
      </c>
      <c r="K3378" s="3" t="s">
        <v>23</v>
      </c>
    </row>
    <row r="3379" spans="1:11" ht="42" customHeight="1">
      <c r="A3379" s="2" t="s">
        <v>9152</v>
      </c>
      <c r="B3379" s="2" t="s">
        <v>9153</v>
      </c>
      <c r="C3379" s="2" t="s">
        <v>26</v>
      </c>
      <c r="D3379" s="2" t="s">
        <v>27</v>
      </c>
      <c r="E3379" s="4">
        <v>-31941</v>
      </c>
      <c r="F3379" s="3" t="s">
        <v>57</v>
      </c>
      <c r="G3379" s="3" t="s">
        <v>58</v>
      </c>
      <c r="H3379" s="2" t="s">
        <v>21</v>
      </c>
      <c r="I3379" s="2" t="s">
        <v>9154</v>
      </c>
      <c r="J3379" s="3" t="str">
        <f>HYPERLINK("https://www.boe.es/gazeta/dias/1812/07/18/pdfs/GMD-1812-200.pdf#page=4","Abrir facsímil")</f>
        <v>Abrir facsímil</v>
      </c>
      <c r="K3379" s="3" t="s">
        <v>23</v>
      </c>
    </row>
    <row r="3380" spans="1:11" ht="42" customHeight="1">
      <c r="A3380" s="2" t="s">
        <v>9155</v>
      </c>
      <c r="B3380" s="2" t="s">
        <v>9156</v>
      </c>
      <c r="C3380" s="2" t="s">
        <v>115</v>
      </c>
      <c r="D3380" s="2" t="s">
        <v>27</v>
      </c>
      <c r="E3380" s="4">
        <v>-31963</v>
      </c>
      <c r="F3380" s="3" t="s">
        <v>171</v>
      </c>
      <c r="G3380" s="3" t="s">
        <v>172</v>
      </c>
      <c r="H3380" s="2" t="s">
        <v>21</v>
      </c>
      <c r="I3380" s="2" t="s">
        <v>9157</v>
      </c>
      <c r="J3380" s="3" t="str">
        <f>HYPERLINK("https://www.boe.es/gazeta/dias/1812/06/26/pdfs/GMD-1812-178.pdf#page=3","Abrir facsímil")</f>
        <v>Abrir facsímil</v>
      </c>
      <c r="K3380" s="3" t="s">
        <v>23</v>
      </c>
    </row>
    <row r="3381" spans="1:11" ht="42" customHeight="1">
      <c r="A3381" s="2" t="s">
        <v>9158</v>
      </c>
      <c r="B3381" s="2" t="s">
        <v>9159</v>
      </c>
      <c r="C3381" s="2" t="s">
        <v>26</v>
      </c>
      <c r="D3381" s="2" t="s">
        <v>27</v>
      </c>
      <c r="E3381" s="4">
        <v>-31959</v>
      </c>
      <c r="F3381" s="3" t="s">
        <v>9160</v>
      </c>
      <c r="G3381" s="3" t="s">
        <v>801</v>
      </c>
      <c r="H3381" s="2" t="s">
        <v>21</v>
      </c>
      <c r="I3381" s="2" t="s">
        <v>9161</v>
      </c>
      <c r="J3381" s="3" t="str">
        <f>HYPERLINK("https://www.boe.es/gazeta/dias/1812/06/30/pdfs/GMD-1812-182.pdf#page=4","Abrir facsímil")</f>
        <v>Abrir facsímil</v>
      </c>
      <c r="K3381" s="3" t="s">
        <v>23</v>
      </c>
    </row>
    <row r="3382" spans="1:11" ht="42" customHeight="1">
      <c r="A3382" s="2" t="s">
        <v>9162</v>
      </c>
      <c r="B3382" s="2" t="s">
        <v>9163</v>
      </c>
      <c r="C3382" s="2" t="s">
        <v>186</v>
      </c>
      <c r="D3382" s="2" t="s">
        <v>27</v>
      </c>
      <c r="E3382" s="4">
        <v>-32020</v>
      </c>
      <c r="F3382" s="3" t="s">
        <v>1860</v>
      </c>
      <c r="G3382" s="3" t="s">
        <v>36</v>
      </c>
      <c r="H3382" s="2" t="s">
        <v>21</v>
      </c>
      <c r="I3382" s="2" t="s">
        <v>9164</v>
      </c>
      <c r="J3382" s="3" t="str">
        <f>HYPERLINK("https://www.boe.es/gazeta/dias/1812/04/30/pdfs/GMD-1812-121.pdf#page=3","Abrir facsímil")</f>
        <v>Abrir facsímil</v>
      </c>
      <c r="K3382" s="3" t="s">
        <v>23</v>
      </c>
    </row>
    <row r="3383" spans="1:11" ht="42" customHeight="1">
      <c r="A3383" s="2" t="s">
        <v>9165</v>
      </c>
      <c r="B3383" s="2" t="s">
        <v>9166</v>
      </c>
      <c r="C3383" s="2" t="s">
        <v>17</v>
      </c>
      <c r="D3383" s="2" t="s">
        <v>27</v>
      </c>
      <c r="E3383" s="4">
        <v>-32034</v>
      </c>
      <c r="F3383" s="3" t="s">
        <v>1008</v>
      </c>
      <c r="G3383" s="3" t="s">
        <v>438</v>
      </c>
      <c r="H3383" s="2" t="s">
        <v>21</v>
      </c>
      <c r="I3383" s="2" t="s">
        <v>9167</v>
      </c>
      <c r="J3383" s="3" t="str">
        <f>HYPERLINK("https://www.boe.es/gazeta/dias/1812/04/16/pdfs/GRE-1812-48.pdf#page=6","Abrir facsímil")</f>
        <v>Abrir facsímil</v>
      </c>
      <c r="K3383" s="3" t="s">
        <v>23</v>
      </c>
    </row>
    <row r="3384" spans="1:11" ht="42" customHeight="1">
      <c r="A3384" s="2" t="s">
        <v>9168</v>
      </c>
      <c r="B3384" s="2" t="s">
        <v>9169</v>
      </c>
      <c r="C3384" s="2" t="s">
        <v>26</v>
      </c>
      <c r="D3384" s="2" t="s">
        <v>27</v>
      </c>
      <c r="E3384" s="4">
        <v>-32015</v>
      </c>
      <c r="F3384" s="3" t="s">
        <v>77</v>
      </c>
      <c r="G3384" s="3" t="s">
        <v>204</v>
      </c>
      <c r="H3384" s="2" t="s">
        <v>21</v>
      </c>
      <c r="I3384" s="2" t="s">
        <v>9170</v>
      </c>
      <c r="J3384" s="3" t="str">
        <f>HYPERLINK("https://www.boe.es/gazeta/dias/1812/05/05/pdfs/GRE-1812-56.pdf#page=3","Abrir facsímil")</f>
        <v>Abrir facsímil</v>
      </c>
      <c r="K3384" s="3" t="s">
        <v>23</v>
      </c>
    </row>
    <row r="3385" spans="1:11" ht="42" customHeight="1">
      <c r="A3385" s="2" t="s">
        <v>9171</v>
      </c>
      <c r="B3385" s="2" t="s">
        <v>9172</v>
      </c>
      <c r="C3385" s="2" t="s">
        <v>186</v>
      </c>
      <c r="D3385" s="2" t="s">
        <v>27</v>
      </c>
      <c r="E3385" s="4">
        <v>-31992</v>
      </c>
      <c r="F3385" s="3" t="s">
        <v>1292</v>
      </c>
      <c r="G3385" s="3" t="s">
        <v>4854</v>
      </c>
      <c r="H3385" s="2" t="s">
        <v>21</v>
      </c>
      <c r="I3385" s="2" t="s">
        <v>9173</v>
      </c>
      <c r="J3385" s="3" t="str">
        <f>HYPERLINK("https://www.boe.es/gazeta/dias/1812/05/28/pdfs/GRE-1812-66.pdf#page=8","Abrir facsímil")</f>
        <v>Abrir facsímil</v>
      </c>
      <c r="K3385" s="3" t="s">
        <v>23</v>
      </c>
    </row>
    <row r="3386" spans="1:11" ht="42" customHeight="1">
      <c r="A3386" s="2" t="s">
        <v>9174</v>
      </c>
      <c r="B3386" s="2" t="s">
        <v>9175</v>
      </c>
      <c r="C3386" s="2" t="s">
        <v>17</v>
      </c>
      <c r="D3386" s="2" t="s">
        <v>27</v>
      </c>
      <c r="E3386" s="4">
        <v>-32121</v>
      </c>
      <c r="F3386" s="3" t="s">
        <v>1237</v>
      </c>
      <c r="G3386" s="3" t="s">
        <v>404</v>
      </c>
      <c r="H3386" s="2" t="s">
        <v>21</v>
      </c>
      <c r="I3386" s="2" t="s">
        <v>9176</v>
      </c>
      <c r="J3386" s="3" t="str">
        <f>HYPERLINK("https://www.boe.es/gazeta/dias/1812/01/20/pdfs/GMD-1812-20.pdf#page=4","Abrir facsímil")</f>
        <v>Abrir facsímil</v>
      </c>
      <c r="K3386" s="3" t="s">
        <v>23</v>
      </c>
    </row>
    <row r="3387" spans="1:11" ht="42" customHeight="1">
      <c r="A3387" s="2" t="s">
        <v>9177</v>
      </c>
      <c r="B3387" s="2" t="s">
        <v>9178</v>
      </c>
      <c r="C3387" s="2" t="s">
        <v>26</v>
      </c>
      <c r="D3387" s="2" t="s">
        <v>27</v>
      </c>
      <c r="E3387" s="4">
        <v>-32062</v>
      </c>
      <c r="F3387" s="3" t="s">
        <v>280</v>
      </c>
      <c r="G3387" s="3" t="s">
        <v>20</v>
      </c>
      <c r="H3387" s="2" t="s">
        <v>21</v>
      </c>
      <c r="I3387" s="2" t="s">
        <v>9179</v>
      </c>
      <c r="J3387" s="3" t="str">
        <f>HYPERLINK("https://www.boe.es/gazeta/dias/1812/03/19/pdfs/GMD-1812-79.pdf#page=4","Abrir facsímil")</f>
        <v>Abrir facsímil</v>
      </c>
      <c r="K3387" s="3" t="s">
        <v>23</v>
      </c>
    </row>
    <row r="3388" spans="1:11" ht="42" customHeight="1">
      <c r="A3388" s="2" t="s">
        <v>9180</v>
      </c>
      <c r="B3388" s="2" t="s">
        <v>9181</v>
      </c>
      <c r="C3388" s="2" t="s">
        <v>17</v>
      </c>
      <c r="D3388" s="2" t="s">
        <v>27</v>
      </c>
      <c r="E3388" s="4">
        <v>-32041</v>
      </c>
      <c r="F3388" s="3" t="s">
        <v>35</v>
      </c>
      <c r="G3388" s="3" t="s">
        <v>196</v>
      </c>
      <c r="H3388" s="2" t="s">
        <v>21</v>
      </c>
      <c r="I3388" s="2" t="s">
        <v>9182</v>
      </c>
      <c r="J3388" s="3" t="str">
        <f>HYPERLINK("https://www.boe.es/gazeta/dias/1812/04/09/pdfs/GRE-1812-44.pdf#page=1","Abrir facsímil")</f>
        <v>Abrir facsímil</v>
      </c>
      <c r="K3388" s="3" t="s">
        <v>23</v>
      </c>
    </row>
    <row r="3389" spans="1:11" ht="42" customHeight="1">
      <c r="A3389" s="2" t="s">
        <v>9183</v>
      </c>
      <c r="B3389" s="2" t="s">
        <v>9184</v>
      </c>
      <c r="C3389" s="2" t="s">
        <v>17</v>
      </c>
      <c r="D3389" s="2" t="s">
        <v>18</v>
      </c>
      <c r="E3389" s="4">
        <v>-32036</v>
      </c>
      <c r="F3389" s="3" t="s">
        <v>781</v>
      </c>
      <c r="G3389" s="3" t="s">
        <v>2895</v>
      </c>
      <c r="H3389" s="2" t="s">
        <v>21</v>
      </c>
      <c r="I3389" s="2" t="s">
        <v>9185</v>
      </c>
      <c r="J3389" s="3" t="str">
        <f>HYPERLINK("https://www.boe.es/gazeta/dias/1812/04/14/pdfs/GRE-1812-47.pdf#page=4","Abrir facsímil")</f>
        <v>Abrir facsímil</v>
      </c>
      <c r="K3389" s="3" t="s">
        <v>23</v>
      </c>
    </row>
    <row r="3390" spans="1:11" ht="42" customHeight="1">
      <c r="A3390" s="2" t="s">
        <v>9186</v>
      </c>
      <c r="B3390" s="2" t="s">
        <v>9187</v>
      </c>
      <c r="C3390" s="2" t="s">
        <v>17</v>
      </c>
      <c r="D3390" s="2" t="s">
        <v>194</v>
      </c>
      <c r="E3390" s="4">
        <v>-31969</v>
      </c>
      <c r="F3390" s="3" t="s">
        <v>83</v>
      </c>
      <c r="G3390" s="3" t="s">
        <v>6943</v>
      </c>
      <c r="H3390" s="2" t="s">
        <v>21</v>
      </c>
      <c r="I3390" s="2" t="s">
        <v>9188</v>
      </c>
      <c r="J3390" s="3" t="str">
        <f>HYPERLINK("https://www.boe.es/gazeta/dias/1812/06/20/pdfs/GRE-1812-76.pdf#page=2","Abrir facsímil")</f>
        <v>Abrir facsímil</v>
      </c>
      <c r="K3390" s="3" t="s">
        <v>23</v>
      </c>
    </row>
    <row r="3391" spans="1:11" ht="42" customHeight="1">
      <c r="A3391" s="2" t="s">
        <v>9186</v>
      </c>
      <c r="B3391" s="2" t="s">
        <v>9187</v>
      </c>
      <c r="C3391" s="2" t="s">
        <v>17</v>
      </c>
      <c r="D3391" s="2" t="s">
        <v>18</v>
      </c>
      <c r="E3391" s="4">
        <v>-31903</v>
      </c>
      <c r="F3391" s="3" t="s">
        <v>2720</v>
      </c>
      <c r="G3391" s="3" t="s">
        <v>9189</v>
      </c>
      <c r="H3391" s="2" t="s">
        <v>21</v>
      </c>
      <c r="I3391" s="2" t="s">
        <v>9190</v>
      </c>
      <c r="J3391" s="3" t="str">
        <f>HYPERLINK("https://www.boe.es/gazeta/dias/1812/08/25/pdfs/GRE-1812-110.pdf#page=2","Abrir facsímil")</f>
        <v>Abrir facsímil</v>
      </c>
      <c r="K3391" s="3" t="s">
        <v>23</v>
      </c>
    </row>
    <row r="3392" spans="1:11" ht="42" customHeight="1">
      <c r="A3392" s="2" t="s">
        <v>9186</v>
      </c>
      <c r="B3392" s="2" t="s">
        <v>9187</v>
      </c>
      <c r="C3392" s="2" t="s">
        <v>17</v>
      </c>
      <c r="D3392" s="2" t="s">
        <v>18</v>
      </c>
      <c r="E3392" s="4">
        <v>-31794</v>
      </c>
      <c r="F3392" s="3" t="s">
        <v>3308</v>
      </c>
      <c r="G3392" s="3" t="s">
        <v>9191</v>
      </c>
      <c r="H3392" s="2" t="s">
        <v>21</v>
      </c>
      <c r="I3392" s="2" t="s">
        <v>9192</v>
      </c>
      <c r="J3392" s="3" t="str">
        <f>HYPERLINK("https://www.boe.es/gazeta/dias/1812/12/12/pdfs/GRE-1812-164.pdf#page=1","Abrir facsímil")</f>
        <v>Abrir facsímil</v>
      </c>
      <c r="K3392" s="3" t="s">
        <v>23</v>
      </c>
    </row>
    <row r="3393" spans="1:11" ht="42" customHeight="1">
      <c r="A3393" s="2" t="s">
        <v>9193</v>
      </c>
      <c r="B3393" s="2" t="s">
        <v>9194</v>
      </c>
      <c r="C3393" s="2" t="s">
        <v>82</v>
      </c>
      <c r="D3393" s="2" t="s">
        <v>194</v>
      </c>
      <c r="E3393" s="4">
        <v>-31906</v>
      </c>
      <c r="F3393" s="3" t="s">
        <v>124</v>
      </c>
      <c r="G3393" s="3" t="s">
        <v>140</v>
      </c>
      <c r="H3393" s="2" t="s">
        <v>21</v>
      </c>
      <c r="I3393" s="2" t="s">
        <v>9195</v>
      </c>
      <c r="J3393" s="3" t="str">
        <f>HYPERLINK("https://www.boe.es/gazeta/dias/1812/08/22/pdfs/GRE-1812-109.pdf#page=2","Abrir facsímil")</f>
        <v>Abrir facsímil</v>
      </c>
      <c r="K3393" s="3" t="s">
        <v>23</v>
      </c>
    </row>
    <row r="3394" spans="1:11" ht="42" customHeight="1">
      <c r="A3394" s="2" t="s">
        <v>9196</v>
      </c>
      <c r="B3394" s="2" t="s">
        <v>9197</v>
      </c>
      <c r="C3394" s="2" t="s">
        <v>105</v>
      </c>
      <c r="D3394" s="2" t="s">
        <v>194</v>
      </c>
      <c r="E3394" s="4">
        <v>-32078</v>
      </c>
      <c r="F3394" s="3" t="s">
        <v>145</v>
      </c>
      <c r="G3394" s="3" t="s">
        <v>146</v>
      </c>
      <c r="H3394" s="2" t="s">
        <v>21</v>
      </c>
      <c r="I3394" s="2" t="s">
        <v>9198</v>
      </c>
      <c r="J3394" s="3" t="str">
        <f>HYPERLINK("https://www.boe.es/gazeta/dias/1812/03/03/pdfs/GRE-1812-28.pdf#page=3","Abrir facsímil")</f>
        <v>Abrir facsímil</v>
      </c>
      <c r="K3394" s="3" t="s">
        <v>23</v>
      </c>
    </row>
    <row r="3395" spans="1:11" ht="42" customHeight="1">
      <c r="A3395" s="2" t="s">
        <v>9196</v>
      </c>
      <c r="B3395" s="2" t="s">
        <v>9197</v>
      </c>
      <c r="C3395" s="2" t="s">
        <v>17</v>
      </c>
      <c r="D3395" s="2" t="s">
        <v>27</v>
      </c>
      <c r="E3395" s="4">
        <v>-32069</v>
      </c>
      <c r="F3395" s="3" t="s">
        <v>445</v>
      </c>
      <c r="G3395" s="3" t="s">
        <v>2429</v>
      </c>
      <c r="H3395" s="2" t="s">
        <v>21</v>
      </c>
      <c r="I3395" s="2" t="s">
        <v>9199</v>
      </c>
      <c r="J3395" s="3" t="str">
        <f>HYPERLINK("https://www.boe.es/gazeta/dias/1812/03/12/pdfs/GRE-1812-32.pdf#page=1","Abrir facsímil")</f>
        <v>Abrir facsímil</v>
      </c>
      <c r="K3395" s="3" t="s">
        <v>23</v>
      </c>
    </row>
    <row r="3396" spans="1:11" ht="42" customHeight="1">
      <c r="A3396" s="2" t="s">
        <v>9196</v>
      </c>
      <c r="B3396" s="2" t="s">
        <v>9197</v>
      </c>
      <c r="C3396" s="2" t="s">
        <v>17</v>
      </c>
      <c r="D3396" s="2" t="s">
        <v>18</v>
      </c>
      <c r="E3396" s="4">
        <v>-32004</v>
      </c>
      <c r="F3396" s="3" t="s">
        <v>148</v>
      </c>
      <c r="G3396" s="3" t="s">
        <v>9200</v>
      </c>
      <c r="H3396" s="2" t="s">
        <v>21</v>
      </c>
      <c r="I3396" s="2" t="s">
        <v>9201</v>
      </c>
      <c r="J3396" s="3" t="str">
        <f>HYPERLINK("https://www.boe.es/gazeta/dias/1812/05/16/pdfs/GRE-1812-61.pdf#page=2","Abrir facsímil")</f>
        <v>Abrir facsímil</v>
      </c>
      <c r="K3396" s="3" t="s">
        <v>23</v>
      </c>
    </row>
    <row r="3397" spans="1:11" ht="42" customHeight="1">
      <c r="A3397" s="2" t="s">
        <v>9196</v>
      </c>
      <c r="B3397" s="2" t="s">
        <v>9197</v>
      </c>
      <c r="C3397" s="2" t="s">
        <v>17</v>
      </c>
      <c r="D3397" s="2" t="s">
        <v>18</v>
      </c>
      <c r="E3397" s="4">
        <v>-31905</v>
      </c>
      <c r="F3397" s="3" t="s">
        <v>855</v>
      </c>
      <c r="G3397" s="3" t="s">
        <v>857</v>
      </c>
      <c r="H3397" s="2" t="s">
        <v>21</v>
      </c>
      <c r="I3397" s="2" t="s">
        <v>9202</v>
      </c>
      <c r="J3397" s="3" t="str">
        <f>HYPERLINK("https://www.boe.es/gazeta/dias/1812/08/23/pdfs/GMR-1812-4.pdf#page=3","Abrir facsímil")</f>
        <v>Abrir facsímil</v>
      </c>
      <c r="K3397" s="3" t="s">
        <v>23</v>
      </c>
    </row>
    <row r="3398" spans="1:11" ht="42" customHeight="1">
      <c r="A3398" s="2" t="s">
        <v>9196</v>
      </c>
      <c r="B3398" s="2" t="s">
        <v>9197</v>
      </c>
      <c r="C3398" s="2" t="s">
        <v>17</v>
      </c>
      <c r="D3398" s="2" t="s">
        <v>18</v>
      </c>
      <c r="E3398" s="4">
        <v>-31882</v>
      </c>
      <c r="F3398" s="3" t="s">
        <v>1798</v>
      </c>
      <c r="G3398" s="3" t="s">
        <v>8253</v>
      </c>
      <c r="H3398" s="2" t="s">
        <v>21</v>
      </c>
      <c r="I3398" s="2" t="s">
        <v>9203</v>
      </c>
      <c r="J3398" s="3" t="str">
        <f>HYPERLINK("https://www.boe.es/gazeta/dias/1812/09/15/pdfs/GMR-1812-14.pdf#page=6","Abrir facsímil")</f>
        <v>Abrir facsímil</v>
      </c>
      <c r="K3398" s="3" t="s">
        <v>23</v>
      </c>
    </row>
    <row r="3399" spans="1:11" ht="42" customHeight="1">
      <c r="A3399" s="2" t="s">
        <v>9204</v>
      </c>
      <c r="B3399" s="2" t="s">
        <v>9204</v>
      </c>
      <c r="C3399" s="2" t="s">
        <v>17</v>
      </c>
      <c r="D3399" s="2" t="s">
        <v>27</v>
      </c>
      <c r="E3399" s="4">
        <v>-31941</v>
      </c>
      <c r="F3399" s="3" t="s">
        <v>2048</v>
      </c>
      <c r="G3399" s="3" t="s">
        <v>237</v>
      </c>
      <c r="H3399" s="2" t="s">
        <v>21</v>
      </c>
      <c r="I3399" s="2" t="s">
        <v>9205</v>
      </c>
      <c r="J3399" s="3" t="str">
        <f>HYPERLINK("https://www.boe.es/gazeta/dias/1812/07/18/pdfs/GRE-1812-90.pdf#page=2","Abrir facsímil")</f>
        <v>Abrir facsímil</v>
      </c>
      <c r="K3399" s="3" t="s">
        <v>23</v>
      </c>
    </row>
    <row r="3400" spans="1:11" ht="42" customHeight="1">
      <c r="A3400" s="2" t="s">
        <v>9206</v>
      </c>
      <c r="B3400" s="2" t="s">
        <v>9207</v>
      </c>
      <c r="C3400" s="2" t="s">
        <v>17</v>
      </c>
      <c r="D3400" s="2" t="s">
        <v>18</v>
      </c>
      <c r="E3400" s="4">
        <v>-32053</v>
      </c>
      <c r="F3400" s="3" t="s">
        <v>910</v>
      </c>
      <c r="G3400" s="3" t="s">
        <v>514</v>
      </c>
      <c r="H3400" s="2" t="s">
        <v>21</v>
      </c>
      <c r="I3400" s="2" t="s">
        <v>9208</v>
      </c>
      <c r="J3400" s="3" t="str">
        <f>HYPERLINK("https://www.boe.es/gazeta/dias/1812/03/28/pdfs/GRE-1812-39.pdf#page=6","Abrir facsímil")</f>
        <v>Abrir facsímil</v>
      </c>
      <c r="K3400" s="3" t="s">
        <v>23</v>
      </c>
    </row>
    <row r="3401" spans="1:11" ht="42" customHeight="1">
      <c r="A3401" s="2" t="s">
        <v>9209</v>
      </c>
      <c r="B3401" s="2" t="s">
        <v>9210</v>
      </c>
      <c r="C3401" s="2" t="s">
        <v>26</v>
      </c>
      <c r="D3401" s="2" t="s">
        <v>27</v>
      </c>
      <c r="E3401" s="4">
        <v>-32001</v>
      </c>
      <c r="F3401" s="3" t="s">
        <v>1938</v>
      </c>
      <c r="G3401" s="3" t="s">
        <v>678</v>
      </c>
      <c r="H3401" s="2" t="s">
        <v>21</v>
      </c>
      <c r="I3401" s="2" t="s">
        <v>9211</v>
      </c>
      <c r="J3401" s="3" t="str">
        <f>HYPERLINK("https://www.boe.es/gazeta/dias/1812/05/19/pdfs/GRE-1812-62.pdf#page=8","Abrir facsímil")</f>
        <v>Abrir facsímil</v>
      </c>
      <c r="K3401" s="3" t="s">
        <v>23</v>
      </c>
    </row>
    <row r="3402" spans="1:11" ht="42" customHeight="1">
      <c r="A3402" s="2" t="s">
        <v>9212</v>
      </c>
      <c r="B3402" s="2" t="s">
        <v>9213</v>
      </c>
      <c r="C3402" s="2" t="s">
        <v>26</v>
      </c>
      <c r="D3402" s="2" t="s">
        <v>27</v>
      </c>
      <c r="E3402" s="4">
        <v>-32132</v>
      </c>
      <c r="F3402" s="3" t="s">
        <v>484</v>
      </c>
      <c r="G3402" s="3" t="s">
        <v>485</v>
      </c>
      <c r="H3402" s="2" t="s">
        <v>21</v>
      </c>
      <c r="I3402" s="2" t="s">
        <v>9214</v>
      </c>
      <c r="J3402" s="3" t="str">
        <f>HYPERLINK("https://www.boe.es/gazeta/dias/1812/01/09/pdfs/GEI-1812-4.pdf#page=8","Abrir facsímil")</f>
        <v>Abrir facsímil</v>
      </c>
      <c r="K3402" s="3" t="s">
        <v>23</v>
      </c>
    </row>
    <row r="3403" spans="1:11" ht="42" customHeight="1">
      <c r="A3403" s="2" t="s">
        <v>9215</v>
      </c>
      <c r="B3403" s="2" t="s">
        <v>9216</v>
      </c>
      <c r="C3403" s="2" t="s">
        <v>26</v>
      </c>
      <c r="D3403" s="2" t="s">
        <v>27</v>
      </c>
      <c r="E3403" s="4">
        <v>-32095</v>
      </c>
      <c r="F3403" s="3" t="s">
        <v>1099</v>
      </c>
      <c r="G3403" s="3" t="s">
        <v>438</v>
      </c>
      <c r="H3403" s="2" t="s">
        <v>21</v>
      </c>
      <c r="I3403" s="2" t="s">
        <v>9217</v>
      </c>
      <c r="J3403" s="3" t="str">
        <f>HYPERLINK("https://www.boe.es/gazeta/dias/1812/02/15/pdfs/GMD-1812-46.pdf#page=4","Abrir facsímil")</f>
        <v>Abrir facsímil</v>
      </c>
      <c r="K3403" s="3" t="s">
        <v>23</v>
      </c>
    </row>
    <row r="3404" spans="1:11" ht="42" customHeight="1">
      <c r="A3404" s="2" t="s">
        <v>9218</v>
      </c>
      <c r="B3404" s="2" t="s">
        <v>9219</v>
      </c>
      <c r="C3404" s="2" t="s">
        <v>17</v>
      </c>
      <c r="D3404" s="2" t="s">
        <v>27</v>
      </c>
      <c r="E3404" s="4">
        <v>-31910</v>
      </c>
      <c r="F3404" s="3" t="s">
        <v>72</v>
      </c>
      <c r="G3404" s="3" t="s">
        <v>6385</v>
      </c>
      <c r="H3404" s="2" t="s">
        <v>21</v>
      </c>
      <c r="I3404" s="2" t="s">
        <v>9220</v>
      </c>
      <c r="J3404" s="3" t="str">
        <f>HYPERLINK("https://www.boe.es/gazeta/dias/1812/08/18/pdfs/GRE-1812-106.pdf#page=5","Abrir facsímil")</f>
        <v>Abrir facsímil</v>
      </c>
      <c r="K3404" s="3" t="s">
        <v>23</v>
      </c>
    </row>
    <row r="3405" spans="1:11" ht="42" customHeight="1">
      <c r="A3405" s="2" t="s">
        <v>9221</v>
      </c>
      <c r="B3405" s="2" t="s">
        <v>9221</v>
      </c>
      <c r="C3405" s="2" t="s">
        <v>17</v>
      </c>
      <c r="D3405" s="2" t="s">
        <v>27</v>
      </c>
      <c r="E3405" s="4">
        <v>-31791</v>
      </c>
      <c r="F3405" s="3" t="s">
        <v>1668</v>
      </c>
      <c r="G3405" s="3" t="s">
        <v>4511</v>
      </c>
      <c r="H3405" s="2" t="s">
        <v>21</v>
      </c>
      <c r="I3405" s="2" t="s">
        <v>9222</v>
      </c>
      <c r="J3405" s="3" t="str">
        <f>HYPERLINK("https://www.boe.es/gazeta/dias/1812/12/15/pdfs/GMD-1812-238.pdf#page=1","Abrir facsímil")</f>
        <v>Abrir facsímil</v>
      </c>
      <c r="K3405" s="3" t="s">
        <v>23</v>
      </c>
    </row>
    <row r="3406" spans="1:11" ht="42" customHeight="1">
      <c r="A3406" s="2" t="s">
        <v>9223</v>
      </c>
      <c r="B3406" s="2" t="s">
        <v>9223</v>
      </c>
      <c r="C3406" s="2" t="s">
        <v>17</v>
      </c>
      <c r="D3406" s="2" t="s">
        <v>27</v>
      </c>
      <c r="E3406" s="4">
        <v>-32115</v>
      </c>
      <c r="F3406" s="3" t="s">
        <v>747</v>
      </c>
      <c r="G3406" s="3" t="s">
        <v>739</v>
      </c>
      <c r="H3406" s="2" t="s">
        <v>21</v>
      </c>
      <c r="I3406" s="2" t="s">
        <v>9224</v>
      </c>
      <c r="J3406" s="3" t="str">
        <f>HYPERLINK("https://www.boe.es/gazeta/dias/1812/01/26/pdfs/GMD-1812-26.pdf#page=3","Abrir facsímil")</f>
        <v>Abrir facsímil</v>
      </c>
      <c r="K3406" s="3" t="s">
        <v>23</v>
      </c>
    </row>
    <row r="3407" spans="1:11" ht="42" customHeight="1">
      <c r="A3407" s="2" t="s">
        <v>9225</v>
      </c>
      <c r="B3407" s="2" t="s">
        <v>9226</v>
      </c>
      <c r="C3407" s="2" t="s">
        <v>17</v>
      </c>
      <c r="D3407" s="2" t="s">
        <v>27</v>
      </c>
      <c r="E3407" s="4">
        <v>-31829</v>
      </c>
      <c r="F3407" s="3" t="s">
        <v>3229</v>
      </c>
      <c r="G3407" s="3" t="s">
        <v>9227</v>
      </c>
      <c r="H3407" s="2" t="s">
        <v>30</v>
      </c>
      <c r="I3407" s="2" t="s">
        <v>9228</v>
      </c>
      <c r="J3407" s="3" t="str">
        <f>HYPERLINK("https://www.boe.es/gazeta/dias/1812/11/07/pdfs/GRE-1812-149.pdf#page=2","Abrir facsímil")</f>
        <v>Abrir facsímil</v>
      </c>
      <c r="K3407" s="3" t="s">
        <v>32</v>
      </c>
    </row>
    <row r="3408" spans="1:11" ht="42" customHeight="1">
      <c r="A3408" s="2" t="s">
        <v>9229</v>
      </c>
      <c r="B3408" s="2" t="s">
        <v>9229</v>
      </c>
      <c r="C3408" s="2" t="s">
        <v>17</v>
      </c>
      <c r="D3408" s="2" t="s">
        <v>27</v>
      </c>
      <c r="E3408" s="4">
        <v>-32088</v>
      </c>
      <c r="F3408" s="3" t="s">
        <v>250</v>
      </c>
      <c r="G3408" s="3" t="s">
        <v>9230</v>
      </c>
      <c r="H3408" s="2" t="s">
        <v>21</v>
      </c>
      <c r="I3408" s="2" t="s">
        <v>9231</v>
      </c>
      <c r="J3408" s="3" t="str">
        <f>HYPERLINK("https://www.boe.es/gazeta/dias/1812/02/22/pdfs/GRE-1812-23.pdf#page=6","Abrir facsímil")</f>
        <v>Abrir facsímil</v>
      </c>
      <c r="K3408" s="3" t="s">
        <v>23</v>
      </c>
    </row>
    <row r="3409" spans="1:11" ht="42" customHeight="1">
      <c r="A3409" s="2" t="s">
        <v>9229</v>
      </c>
      <c r="B3409" s="2" t="s">
        <v>9229</v>
      </c>
      <c r="C3409" s="2" t="s">
        <v>17</v>
      </c>
      <c r="D3409" s="2" t="s">
        <v>18</v>
      </c>
      <c r="E3409" s="4">
        <v>-32062</v>
      </c>
      <c r="F3409" s="3" t="s">
        <v>2168</v>
      </c>
      <c r="G3409" s="3" t="s">
        <v>196</v>
      </c>
      <c r="H3409" s="2" t="s">
        <v>21</v>
      </c>
      <c r="I3409" s="2" t="s">
        <v>9232</v>
      </c>
      <c r="J3409" s="3" t="str">
        <f>HYPERLINK("https://www.boe.es/gazeta/dias/1812/03/19/pdfs/GRE-1812-35.pdf#page=2","Abrir facsímil")</f>
        <v>Abrir facsímil</v>
      </c>
      <c r="K3409" s="3" t="s">
        <v>23</v>
      </c>
    </row>
    <row r="3410" spans="1:11" ht="42" customHeight="1">
      <c r="A3410" s="2" t="s">
        <v>9229</v>
      </c>
      <c r="B3410" s="2" t="s">
        <v>9229</v>
      </c>
      <c r="C3410" s="2" t="s">
        <v>17</v>
      </c>
      <c r="D3410" s="2" t="s">
        <v>27</v>
      </c>
      <c r="E3410" s="4">
        <v>-32062</v>
      </c>
      <c r="F3410" s="3" t="s">
        <v>2168</v>
      </c>
      <c r="G3410" s="3" t="s">
        <v>9233</v>
      </c>
      <c r="H3410" s="2" t="s">
        <v>21</v>
      </c>
      <c r="I3410" s="2" t="s">
        <v>9234</v>
      </c>
      <c r="J3410" s="3" t="str">
        <f>HYPERLINK("https://www.boe.es/gazeta/dias/1812/03/19/pdfs/GRE-1812-35.pdf#page=6","Abrir facsímil")</f>
        <v>Abrir facsímil</v>
      </c>
      <c r="K3410" s="3" t="s">
        <v>23</v>
      </c>
    </row>
    <row r="3411" spans="1:11" ht="42" customHeight="1">
      <c r="A3411" s="2" t="s">
        <v>9229</v>
      </c>
      <c r="B3411" s="2" t="s">
        <v>9229</v>
      </c>
      <c r="C3411" s="2" t="s">
        <v>17</v>
      </c>
      <c r="D3411" s="2" t="s">
        <v>275</v>
      </c>
      <c r="E3411" s="4">
        <v>-32062</v>
      </c>
      <c r="F3411" s="3" t="s">
        <v>2168</v>
      </c>
      <c r="G3411" s="3" t="s">
        <v>9235</v>
      </c>
      <c r="H3411" s="2" t="s">
        <v>21</v>
      </c>
      <c r="I3411" s="2" t="s">
        <v>9236</v>
      </c>
      <c r="J3411" s="3" t="str">
        <f>HYPERLINK("https://www.boe.es/gazeta/dias/1812/03/19/pdfs/GRE-1812-35.pdf#page=8","Abrir facsímil")</f>
        <v>Abrir facsímil</v>
      </c>
      <c r="K3411" s="3" t="s">
        <v>23</v>
      </c>
    </row>
    <row r="3412" spans="1:11" ht="42" customHeight="1">
      <c r="A3412" s="2" t="s">
        <v>9229</v>
      </c>
      <c r="B3412" s="2" t="s">
        <v>9229</v>
      </c>
      <c r="C3412" s="2" t="s">
        <v>17</v>
      </c>
      <c r="D3412" s="2" t="s">
        <v>18</v>
      </c>
      <c r="E3412" s="4">
        <v>-32060</v>
      </c>
      <c r="F3412" s="3" t="s">
        <v>1403</v>
      </c>
      <c r="G3412" s="3" t="s">
        <v>1432</v>
      </c>
      <c r="H3412" s="2" t="s">
        <v>21</v>
      </c>
      <c r="I3412" s="2" t="s">
        <v>9237</v>
      </c>
      <c r="J3412" s="3" t="str">
        <f>HYPERLINK("https://www.boe.es/gazeta/dias/1812/03/21/pdfs/GRE-1812-36.pdf#page=2","Abrir facsímil")</f>
        <v>Abrir facsímil</v>
      </c>
      <c r="K3412" s="3" t="s">
        <v>23</v>
      </c>
    </row>
    <row r="3413" spans="1:11" ht="42" customHeight="1">
      <c r="A3413" s="2" t="s">
        <v>9229</v>
      </c>
      <c r="B3413" s="2" t="s">
        <v>9229</v>
      </c>
      <c r="C3413" s="2" t="s">
        <v>17</v>
      </c>
      <c r="D3413" s="2" t="s">
        <v>18</v>
      </c>
      <c r="E3413" s="4">
        <v>-32046</v>
      </c>
      <c r="F3413" s="3" t="s">
        <v>1013</v>
      </c>
      <c r="G3413" s="3" t="s">
        <v>20</v>
      </c>
      <c r="H3413" s="2" t="s">
        <v>21</v>
      </c>
      <c r="I3413" s="2" t="s">
        <v>9238</v>
      </c>
      <c r="J3413" s="3" t="str">
        <f>HYPERLINK("https://www.boe.es/gazeta/dias/1812/04/04/pdfs/GRE-1812-42.pdf#page=7","Abrir facsímil")</f>
        <v>Abrir facsímil</v>
      </c>
      <c r="K3413" s="3" t="s">
        <v>23</v>
      </c>
    </row>
    <row r="3414" spans="1:11" ht="42" customHeight="1">
      <c r="A3414" s="2" t="s">
        <v>9229</v>
      </c>
      <c r="B3414" s="2" t="s">
        <v>9229</v>
      </c>
      <c r="C3414" s="2" t="s">
        <v>17</v>
      </c>
      <c r="D3414" s="2" t="s">
        <v>27</v>
      </c>
      <c r="E3414" s="4">
        <v>-32046</v>
      </c>
      <c r="F3414" s="3" t="s">
        <v>1013</v>
      </c>
      <c r="G3414" s="3" t="s">
        <v>125</v>
      </c>
      <c r="H3414" s="2" t="s">
        <v>21</v>
      </c>
      <c r="I3414" s="2" t="s">
        <v>9239</v>
      </c>
      <c r="J3414" s="3" t="str">
        <f>HYPERLINK("https://www.boe.es/gazeta/dias/1812/04/04/pdfs/GRE-1812-42.pdf#page=8","Abrir facsímil")</f>
        <v>Abrir facsímil</v>
      </c>
      <c r="K3414" s="3" t="s">
        <v>23</v>
      </c>
    </row>
    <row r="3415" spans="1:11" ht="42" customHeight="1">
      <c r="A3415" s="2" t="s">
        <v>9229</v>
      </c>
      <c r="B3415" s="2" t="s">
        <v>9229</v>
      </c>
      <c r="C3415" s="2" t="s">
        <v>17</v>
      </c>
      <c r="D3415" s="2" t="s">
        <v>18</v>
      </c>
      <c r="E3415" s="4">
        <v>-31969</v>
      </c>
      <c r="F3415" s="3" t="s">
        <v>83</v>
      </c>
      <c r="G3415" s="3" t="s">
        <v>5087</v>
      </c>
      <c r="H3415" s="2" t="s">
        <v>21</v>
      </c>
      <c r="I3415" s="2" t="s">
        <v>9240</v>
      </c>
      <c r="J3415" s="3" t="str">
        <f>HYPERLINK("https://www.boe.es/gazeta/dias/1812/06/20/pdfs/GRE-1812-76.pdf#page=3","Abrir facsímil")</f>
        <v>Abrir facsímil</v>
      </c>
      <c r="K3415" s="3" t="s">
        <v>23</v>
      </c>
    </row>
    <row r="3416" spans="1:11" ht="42" customHeight="1">
      <c r="A3416" s="2" t="s">
        <v>9229</v>
      </c>
      <c r="B3416" s="2" t="s">
        <v>9229</v>
      </c>
      <c r="C3416" s="2" t="s">
        <v>17</v>
      </c>
      <c r="D3416" s="2" t="s">
        <v>27</v>
      </c>
      <c r="E3416" s="4">
        <v>-31878</v>
      </c>
      <c r="F3416" s="3" t="s">
        <v>2891</v>
      </c>
      <c r="G3416" s="3" t="s">
        <v>9241</v>
      </c>
      <c r="H3416" s="2" t="s">
        <v>21</v>
      </c>
      <c r="I3416" s="2" t="s">
        <v>9242</v>
      </c>
      <c r="J3416" s="3" t="str">
        <f>HYPERLINK("https://www.boe.es/gazeta/dias/1812/09/19/pdfs/GRE-1812-127.pdf#page=7","Abrir facsímil")</f>
        <v>Abrir facsímil</v>
      </c>
      <c r="K3416" s="3" t="s">
        <v>23</v>
      </c>
    </row>
    <row r="3417" spans="1:11" ht="42" customHeight="1">
      <c r="A3417" s="2" t="s">
        <v>9229</v>
      </c>
      <c r="B3417" s="2" t="s">
        <v>9229</v>
      </c>
      <c r="C3417" s="2" t="s">
        <v>17</v>
      </c>
      <c r="D3417" s="2" t="s">
        <v>27</v>
      </c>
      <c r="E3417" s="4">
        <v>-31868</v>
      </c>
      <c r="F3417" s="3" t="s">
        <v>711</v>
      </c>
      <c r="G3417" s="3" t="s">
        <v>1131</v>
      </c>
      <c r="H3417" s="2" t="s">
        <v>21</v>
      </c>
      <c r="I3417" s="2" t="s">
        <v>9243</v>
      </c>
      <c r="J3417" s="3" t="str">
        <f>HYPERLINK("https://www.boe.es/gazeta/dias/1812/09/29/pdfs/GRE-1812-132.pdf#page=3","Abrir facsímil")</f>
        <v>Abrir facsímil</v>
      </c>
      <c r="K3417" s="3" t="s">
        <v>23</v>
      </c>
    </row>
    <row r="3418" spans="1:11" ht="42" customHeight="1">
      <c r="A3418" s="2" t="s">
        <v>9229</v>
      </c>
      <c r="B3418" s="2" t="s">
        <v>9229</v>
      </c>
      <c r="C3418" s="2" t="s">
        <v>17</v>
      </c>
      <c r="D3418" s="2" t="s">
        <v>27</v>
      </c>
      <c r="E3418" s="4">
        <v>-31789</v>
      </c>
      <c r="F3418" s="3" t="s">
        <v>873</v>
      </c>
      <c r="G3418" s="3" t="s">
        <v>874</v>
      </c>
      <c r="H3418" s="2" t="s">
        <v>21</v>
      </c>
      <c r="I3418" s="2" t="s">
        <v>9244</v>
      </c>
      <c r="J3418" s="3" t="str">
        <f>HYPERLINK("https://www.boe.es/gazeta/dias/1812/12/17/pdfs/GMD-1812-240.pdf#page=4","Abrir facsímil")</f>
        <v>Abrir facsímil</v>
      </c>
      <c r="K3418" s="3" t="s">
        <v>23</v>
      </c>
    </row>
    <row r="3419" spans="1:11" ht="42" customHeight="1">
      <c r="A3419" s="2" t="s">
        <v>9245</v>
      </c>
      <c r="B3419" s="2" t="s">
        <v>9246</v>
      </c>
      <c r="C3419" s="2" t="s">
        <v>26</v>
      </c>
      <c r="D3419" s="2" t="s">
        <v>27</v>
      </c>
      <c r="E3419" s="4">
        <v>-31936</v>
      </c>
      <c r="F3419" s="3" t="s">
        <v>603</v>
      </c>
      <c r="G3419" s="3" t="s">
        <v>2410</v>
      </c>
      <c r="H3419" s="2" t="s">
        <v>21</v>
      </c>
      <c r="I3419" s="2" t="s">
        <v>9247</v>
      </c>
      <c r="J3419" s="3" t="str">
        <f>HYPERLINK("https://www.boe.es/gazeta/dias/1812/07/23/pdfs/GMD-1812-205.pdf#page=4","Abrir facsímil")</f>
        <v>Abrir facsímil</v>
      </c>
      <c r="K3419" s="3" t="s">
        <v>23</v>
      </c>
    </row>
    <row r="3420" spans="1:11" ht="42" customHeight="1">
      <c r="A3420" s="2" t="s">
        <v>9248</v>
      </c>
      <c r="B3420" s="2" t="s">
        <v>9248</v>
      </c>
      <c r="C3420" s="2" t="s">
        <v>17</v>
      </c>
      <c r="D3420" s="2" t="s">
        <v>27</v>
      </c>
      <c r="E3420" s="4">
        <v>-31905</v>
      </c>
      <c r="F3420" s="3" t="s">
        <v>855</v>
      </c>
      <c r="G3420" s="3" t="s">
        <v>29</v>
      </c>
      <c r="H3420" s="2" t="s">
        <v>21</v>
      </c>
      <c r="I3420" s="2" t="s">
        <v>9249</v>
      </c>
      <c r="J3420" s="3" t="str">
        <f>HYPERLINK("https://www.boe.es/gazeta/dias/1812/08/23/pdfs/GMR-1812-4.pdf#page=8","Abrir facsímil")</f>
        <v>Abrir facsímil</v>
      </c>
      <c r="K3420" s="3" t="s">
        <v>23</v>
      </c>
    </row>
    <row r="3421" spans="1:11" ht="42" customHeight="1">
      <c r="A3421" s="2" t="s">
        <v>9250</v>
      </c>
      <c r="B3421" s="2" t="s">
        <v>9250</v>
      </c>
      <c r="C3421" s="2" t="s">
        <v>26</v>
      </c>
      <c r="D3421" s="2" t="s">
        <v>27</v>
      </c>
      <c r="E3421" s="4">
        <v>-32137</v>
      </c>
      <c r="F3421" s="3" t="s">
        <v>355</v>
      </c>
      <c r="G3421" s="3" t="s">
        <v>117</v>
      </c>
      <c r="H3421" s="2" t="s">
        <v>21</v>
      </c>
      <c r="I3421" s="2" t="s">
        <v>9251</v>
      </c>
      <c r="J3421" s="3" t="str">
        <f>HYPERLINK("https://www.boe.es/gazeta/dias/1812/01/04/pdfs/GEI-1812-2.pdf#page=8","Abrir facsímil")</f>
        <v>Abrir facsímil</v>
      </c>
      <c r="K3421" s="3" t="s">
        <v>23</v>
      </c>
    </row>
    <row r="3422" spans="1:11" ht="42" customHeight="1">
      <c r="A3422" s="2" t="s">
        <v>9250</v>
      </c>
      <c r="B3422" s="2" t="s">
        <v>9250</v>
      </c>
      <c r="C3422" s="2" t="s">
        <v>26</v>
      </c>
      <c r="D3422" s="2" t="s">
        <v>27</v>
      </c>
      <c r="E3422" s="4">
        <v>-32099</v>
      </c>
      <c r="F3422" s="3" t="s">
        <v>2566</v>
      </c>
      <c r="G3422" s="3" t="s">
        <v>4427</v>
      </c>
      <c r="H3422" s="2" t="s">
        <v>21</v>
      </c>
      <c r="I3422" s="2" t="s">
        <v>9252</v>
      </c>
      <c r="J3422" s="3" t="str">
        <f>HYPERLINK("https://www.boe.es/gazeta/dias/1812/02/11/pdfs/GRE-1812-18.pdf#page=3","Abrir facsímil")</f>
        <v>Abrir facsímil</v>
      </c>
      <c r="K3422" s="3" t="s">
        <v>23</v>
      </c>
    </row>
    <row r="3423" spans="1:11" ht="42" customHeight="1">
      <c r="A3423" s="2" t="s">
        <v>9250</v>
      </c>
      <c r="B3423" s="2" t="s">
        <v>9250</v>
      </c>
      <c r="C3423" s="2" t="s">
        <v>26</v>
      </c>
      <c r="D3423" s="2" t="s">
        <v>27</v>
      </c>
      <c r="E3423" s="4">
        <v>-32055</v>
      </c>
      <c r="F3423" s="3" t="s">
        <v>1271</v>
      </c>
      <c r="G3423" s="3" t="s">
        <v>130</v>
      </c>
      <c r="H3423" s="2" t="s">
        <v>21</v>
      </c>
      <c r="I3423" s="2" t="s">
        <v>9253</v>
      </c>
      <c r="J3423" s="3" t="str">
        <f>HYPERLINK("https://www.boe.es/gazeta/dias/1812/03/26/pdfs/GMD-1812-86.pdf#page=4","Abrir facsímil")</f>
        <v>Abrir facsímil</v>
      </c>
      <c r="K3423" s="3" t="s">
        <v>23</v>
      </c>
    </row>
    <row r="3424" spans="1:11" ht="42" customHeight="1">
      <c r="A3424" s="2" t="s">
        <v>9250</v>
      </c>
      <c r="B3424" s="2" t="s">
        <v>9250</v>
      </c>
      <c r="C3424" s="2" t="s">
        <v>17</v>
      </c>
      <c r="D3424" s="2" t="s">
        <v>27</v>
      </c>
      <c r="E3424" s="4">
        <v>-32055</v>
      </c>
      <c r="F3424" s="3" t="s">
        <v>459</v>
      </c>
      <c r="G3424" s="3" t="s">
        <v>20</v>
      </c>
      <c r="H3424" s="2" t="s">
        <v>21</v>
      </c>
      <c r="I3424" s="2" t="s">
        <v>9254</v>
      </c>
      <c r="J3424" s="3" t="str">
        <f>HYPERLINK("https://www.boe.es/gazeta/dias/1812/03/26/pdfs/GRE-1812-38.pdf#page=8","Abrir facsímil")</f>
        <v>Abrir facsímil</v>
      </c>
      <c r="K3424" s="3" t="s">
        <v>23</v>
      </c>
    </row>
    <row r="3425" spans="1:11" ht="42" customHeight="1">
      <c r="A3425" s="2" t="s">
        <v>9250</v>
      </c>
      <c r="B3425" s="2" t="s">
        <v>9250</v>
      </c>
      <c r="C3425" s="2" t="s">
        <v>26</v>
      </c>
      <c r="D3425" s="2" t="s">
        <v>27</v>
      </c>
      <c r="E3425" s="4">
        <v>-32022</v>
      </c>
      <c r="F3425" s="3" t="s">
        <v>1186</v>
      </c>
      <c r="G3425" s="3" t="s">
        <v>336</v>
      </c>
      <c r="H3425" s="2" t="s">
        <v>21</v>
      </c>
      <c r="I3425" s="2" t="s">
        <v>9255</v>
      </c>
      <c r="J3425" s="3" t="str">
        <f>HYPERLINK("https://www.boe.es/gazeta/dias/1812/04/28/pdfs/GRE-1812-53.pdf#page=8","Abrir facsímil")</f>
        <v>Abrir facsímil</v>
      </c>
      <c r="K3425" s="3" t="s">
        <v>23</v>
      </c>
    </row>
    <row r="3426" spans="1:11" ht="42" customHeight="1">
      <c r="A3426" s="2" t="s">
        <v>9250</v>
      </c>
      <c r="B3426" s="2" t="s">
        <v>9250</v>
      </c>
      <c r="C3426" s="2" t="s">
        <v>105</v>
      </c>
      <c r="D3426" s="2" t="s">
        <v>27</v>
      </c>
      <c r="E3426" s="4">
        <v>-32013</v>
      </c>
      <c r="F3426" s="3" t="s">
        <v>849</v>
      </c>
      <c r="G3426" s="3" t="s">
        <v>7184</v>
      </c>
      <c r="H3426" s="2" t="s">
        <v>21</v>
      </c>
      <c r="I3426" s="2" t="s">
        <v>9256</v>
      </c>
      <c r="J3426" s="3" t="str">
        <f>HYPERLINK("https://www.boe.es/gazeta/dias/1812/05/07/pdfs/GRE-1812-57.pdf#page=7","Abrir facsímil")</f>
        <v>Abrir facsímil</v>
      </c>
      <c r="K3426" s="3" t="s">
        <v>23</v>
      </c>
    </row>
    <row r="3427" spans="1:11" ht="42" customHeight="1">
      <c r="A3427" s="2" t="s">
        <v>9250</v>
      </c>
      <c r="B3427" s="2" t="s">
        <v>9250</v>
      </c>
      <c r="C3427" s="2" t="s">
        <v>17</v>
      </c>
      <c r="D3427" s="2" t="s">
        <v>27</v>
      </c>
      <c r="E3427" s="4">
        <v>-31995</v>
      </c>
      <c r="F3427" s="3" t="s">
        <v>100</v>
      </c>
      <c r="G3427" s="3" t="s">
        <v>1842</v>
      </c>
      <c r="H3427" s="2" t="s">
        <v>21</v>
      </c>
      <c r="I3427" s="2" t="s">
        <v>9257</v>
      </c>
      <c r="J3427" s="3" t="str">
        <f>HYPERLINK("https://www.boe.es/gazeta/dias/1812/05/25/pdfs/GMD-1812-146.pdf#page=4","Abrir facsímil")</f>
        <v>Abrir facsímil</v>
      </c>
      <c r="K3427" s="3" t="s">
        <v>23</v>
      </c>
    </row>
    <row r="3428" spans="1:11" ht="42" customHeight="1">
      <c r="A3428" s="2" t="s">
        <v>9250</v>
      </c>
      <c r="B3428" s="2" t="s">
        <v>9250</v>
      </c>
      <c r="C3428" s="2" t="s">
        <v>17</v>
      </c>
      <c r="D3428" s="2" t="s">
        <v>27</v>
      </c>
      <c r="E3428" s="4">
        <v>-31992</v>
      </c>
      <c r="F3428" s="3" t="s">
        <v>1292</v>
      </c>
      <c r="G3428" s="3" t="s">
        <v>4854</v>
      </c>
      <c r="H3428" s="2" t="s">
        <v>21</v>
      </c>
      <c r="I3428" s="2" t="s">
        <v>9258</v>
      </c>
      <c r="J3428" s="3" t="str">
        <f>HYPERLINK("https://www.boe.es/gazeta/dias/1812/05/28/pdfs/GRE-1812-66.pdf#page=8","Abrir facsímil")</f>
        <v>Abrir facsímil</v>
      </c>
      <c r="K3428" s="3" t="s">
        <v>23</v>
      </c>
    </row>
    <row r="3429" spans="1:11" ht="42" customHeight="1">
      <c r="A3429" s="2" t="s">
        <v>9250</v>
      </c>
      <c r="B3429" s="2" t="s">
        <v>9250</v>
      </c>
      <c r="C3429" s="2" t="s">
        <v>26</v>
      </c>
      <c r="D3429" s="2" t="s">
        <v>27</v>
      </c>
      <c r="E3429" s="4">
        <v>-31966</v>
      </c>
      <c r="F3429" s="3" t="s">
        <v>3665</v>
      </c>
      <c r="G3429" s="3" t="s">
        <v>237</v>
      </c>
      <c r="H3429" s="2" t="s">
        <v>21</v>
      </c>
      <c r="I3429" s="2" t="s">
        <v>9259</v>
      </c>
      <c r="J3429" s="3" t="str">
        <f>HYPERLINK("https://www.boe.es/gazeta/dias/1812/06/23/pdfs/GRE-1812-77.pdf#page=3","Abrir facsímil")</f>
        <v>Abrir facsímil</v>
      </c>
      <c r="K3429" s="3" t="s">
        <v>23</v>
      </c>
    </row>
    <row r="3430" spans="1:11" ht="42" customHeight="1">
      <c r="A3430" s="2" t="s">
        <v>9250</v>
      </c>
      <c r="B3430" s="2" t="s">
        <v>9250</v>
      </c>
      <c r="C3430" s="2" t="s">
        <v>26</v>
      </c>
      <c r="D3430" s="2" t="s">
        <v>27</v>
      </c>
      <c r="E3430" s="4">
        <v>-31964</v>
      </c>
      <c r="F3430" s="3" t="s">
        <v>93</v>
      </c>
      <c r="G3430" s="3" t="s">
        <v>94</v>
      </c>
      <c r="H3430" s="2" t="s">
        <v>21</v>
      </c>
      <c r="I3430" s="2" t="s">
        <v>9260</v>
      </c>
      <c r="J3430" s="3" t="str">
        <f>HYPERLINK("https://www.boe.es/gazeta/dias/1812/06/25/pdfs/GRE-1812-78.pdf#page=4","Abrir facsímil")</f>
        <v>Abrir facsímil</v>
      </c>
      <c r="K3430" s="3" t="s">
        <v>23</v>
      </c>
    </row>
    <row r="3431" spans="1:11" ht="42" customHeight="1">
      <c r="A3431" s="2" t="s">
        <v>9250</v>
      </c>
      <c r="B3431" s="2" t="s">
        <v>9250</v>
      </c>
      <c r="C3431" s="2" t="s">
        <v>17</v>
      </c>
      <c r="D3431" s="2" t="s">
        <v>27</v>
      </c>
      <c r="E3431" s="4">
        <v>-31955</v>
      </c>
      <c r="F3431" s="3" t="s">
        <v>789</v>
      </c>
      <c r="G3431" s="3" t="s">
        <v>8896</v>
      </c>
      <c r="H3431" s="2" t="s">
        <v>21</v>
      </c>
      <c r="I3431" s="2" t="s">
        <v>9261</v>
      </c>
      <c r="J3431" s="3" t="str">
        <f>HYPERLINK("https://www.boe.es/gazeta/dias/1812/07/04/pdfs/GRE-1812-82.pdf#page=4","Abrir facsímil")</f>
        <v>Abrir facsímil</v>
      </c>
      <c r="K3431" s="3" t="s">
        <v>23</v>
      </c>
    </row>
    <row r="3432" spans="1:11" ht="42" customHeight="1">
      <c r="A3432" s="2" t="s">
        <v>9250</v>
      </c>
      <c r="B3432" s="2" t="s">
        <v>9250</v>
      </c>
      <c r="C3432" s="2" t="s">
        <v>26</v>
      </c>
      <c r="D3432" s="2" t="s">
        <v>27</v>
      </c>
      <c r="E3432" s="4">
        <v>-31922</v>
      </c>
      <c r="F3432" s="3" t="s">
        <v>375</v>
      </c>
      <c r="G3432" s="3" t="s">
        <v>986</v>
      </c>
      <c r="H3432" s="2" t="s">
        <v>21</v>
      </c>
      <c r="I3432" s="2" t="s">
        <v>9262</v>
      </c>
      <c r="J3432" s="3" t="str">
        <f>HYPERLINK("https://www.boe.es/gazeta/dias/1812/08/06/pdfs/GRE-1812-100.pdf#page=8","Abrir facsímil")</f>
        <v>Abrir facsímil</v>
      </c>
      <c r="K3432" s="3" t="s">
        <v>23</v>
      </c>
    </row>
    <row r="3433" spans="1:11" ht="42" customHeight="1">
      <c r="A3433" s="2" t="s">
        <v>9250</v>
      </c>
      <c r="B3433" s="2" t="s">
        <v>9250</v>
      </c>
      <c r="C3433" s="2" t="s">
        <v>26</v>
      </c>
      <c r="D3433" s="2" t="s">
        <v>27</v>
      </c>
      <c r="E3433" s="4">
        <v>-31915</v>
      </c>
      <c r="F3433" s="3" t="s">
        <v>1592</v>
      </c>
      <c r="G3433" s="3" t="s">
        <v>125</v>
      </c>
      <c r="H3433" s="2" t="s">
        <v>21</v>
      </c>
      <c r="I3433" s="2" t="s">
        <v>9263</v>
      </c>
      <c r="J3433" s="3" t="str">
        <f>HYPERLINK("https://www.boe.es/gazeta/dias/1812/08/13/pdfs/GRE-1812-104.pdf#page=6","Abrir facsímil")</f>
        <v>Abrir facsímil</v>
      </c>
      <c r="K3433" s="3" t="s">
        <v>23</v>
      </c>
    </row>
    <row r="3434" spans="1:11" ht="42" customHeight="1">
      <c r="A3434" s="2" t="s">
        <v>9250</v>
      </c>
      <c r="B3434" s="2" t="s">
        <v>9250</v>
      </c>
      <c r="C3434" s="2" t="s">
        <v>17</v>
      </c>
      <c r="D3434" s="2" t="s">
        <v>18</v>
      </c>
      <c r="E3434" s="4">
        <v>-31910</v>
      </c>
      <c r="F3434" s="3" t="s">
        <v>2149</v>
      </c>
      <c r="G3434" s="3" t="s">
        <v>196</v>
      </c>
      <c r="H3434" s="2" t="s">
        <v>21</v>
      </c>
      <c r="I3434" s="2" t="s">
        <v>9264</v>
      </c>
      <c r="J3434" s="3" t="str">
        <f>HYPERLINK("https://www.boe.es/gazeta/dias/1812/08/18/pdfs/GRE-F-1812-106.pdf#page=1","Abrir facsímil")</f>
        <v>Abrir facsímil</v>
      </c>
      <c r="K3434" s="3" t="s">
        <v>23</v>
      </c>
    </row>
    <row r="3435" spans="1:11" ht="42" customHeight="1">
      <c r="A3435" s="2" t="s">
        <v>9250</v>
      </c>
      <c r="B3435" s="2" t="s">
        <v>9250</v>
      </c>
      <c r="C3435" s="2" t="s">
        <v>17</v>
      </c>
      <c r="D3435" s="2" t="s">
        <v>18</v>
      </c>
      <c r="E3435" s="4">
        <v>-31896</v>
      </c>
      <c r="F3435" s="3" t="s">
        <v>3158</v>
      </c>
      <c r="G3435" s="3" t="s">
        <v>6309</v>
      </c>
      <c r="H3435" s="2" t="s">
        <v>21</v>
      </c>
      <c r="I3435" s="2" t="s">
        <v>9265</v>
      </c>
      <c r="J3435" s="3" t="str">
        <f>HYPERLINK("https://www.boe.es/gazeta/dias/1812/09/01/pdfs/GRE-1812-117.pdf#page=5","Abrir facsímil")</f>
        <v>Abrir facsímil</v>
      </c>
      <c r="K3435" s="3" t="s">
        <v>23</v>
      </c>
    </row>
    <row r="3436" spans="1:11" ht="42" customHeight="1">
      <c r="A3436" s="2" t="s">
        <v>9250</v>
      </c>
      <c r="B3436" s="2" t="s">
        <v>9250</v>
      </c>
      <c r="C3436" s="2" t="s">
        <v>17</v>
      </c>
      <c r="D3436" s="2" t="s">
        <v>27</v>
      </c>
      <c r="E3436" s="4">
        <v>-31880</v>
      </c>
      <c r="F3436" s="3" t="s">
        <v>3148</v>
      </c>
      <c r="G3436" s="3" t="s">
        <v>9266</v>
      </c>
      <c r="H3436" s="2" t="s">
        <v>21</v>
      </c>
      <c r="I3436" s="2" t="s">
        <v>9267</v>
      </c>
      <c r="J3436" s="3" t="str">
        <f>HYPERLINK("https://www.boe.es/gazeta/dias/1812/09/17/pdfs/GRE-1812-126.pdf#page=7","Abrir facsímil")</f>
        <v>Abrir facsímil</v>
      </c>
      <c r="K3436" s="3" t="s">
        <v>23</v>
      </c>
    </row>
    <row r="3437" spans="1:11" ht="42" customHeight="1">
      <c r="A3437" s="2" t="s">
        <v>9250</v>
      </c>
      <c r="B3437" s="2" t="s">
        <v>9250</v>
      </c>
      <c r="C3437" s="2" t="s">
        <v>49</v>
      </c>
      <c r="D3437" s="2" t="s">
        <v>27</v>
      </c>
      <c r="E3437" s="4">
        <v>-31850</v>
      </c>
      <c r="F3437" s="3" t="s">
        <v>719</v>
      </c>
      <c r="G3437" s="3" t="s">
        <v>217</v>
      </c>
      <c r="H3437" s="2" t="s">
        <v>21</v>
      </c>
      <c r="I3437" s="2" t="s">
        <v>9268</v>
      </c>
      <c r="J3437" s="3" t="str">
        <f>HYPERLINK("https://www.boe.es/gazeta/dias/1812/10/17/pdfs/GMR-1812-28.pdf#page=5","Abrir facsímil")</f>
        <v>Abrir facsímil</v>
      </c>
      <c r="K3437" s="3" t="s">
        <v>23</v>
      </c>
    </row>
    <row r="3438" spans="1:11" ht="42" customHeight="1">
      <c r="A3438" s="2" t="s">
        <v>9250</v>
      </c>
      <c r="B3438" s="2" t="s">
        <v>9250</v>
      </c>
      <c r="C3438" s="2" t="s">
        <v>17</v>
      </c>
      <c r="D3438" s="2" t="s">
        <v>27</v>
      </c>
      <c r="E3438" s="4">
        <v>-31838</v>
      </c>
      <c r="F3438" s="3" t="s">
        <v>1452</v>
      </c>
      <c r="G3438" s="3" t="s">
        <v>29</v>
      </c>
      <c r="H3438" s="2" t="s">
        <v>21</v>
      </c>
      <c r="I3438" s="2" t="s">
        <v>9269</v>
      </c>
      <c r="J3438" s="3" t="str">
        <f>HYPERLINK("https://www.boe.es/gazeta/dias/1812/10/29/pdfs/GMR-1812-33.pdf#page=8","Abrir facsímil")</f>
        <v>Abrir facsímil</v>
      </c>
      <c r="K3438" s="3" t="s">
        <v>23</v>
      </c>
    </row>
    <row r="3439" spans="1:11" ht="42" customHeight="1">
      <c r="A3439" s="2" t="s">
        <v>9250</v>
      </c>
      <c r="B3439" s="2" t="s">
        <v>9250</v>
      </c>
      <c r="C3439" s="2" t="s">
        <v>17</v>
      </c>
      <c r="D3439" s="2" t="s">
        <v>27</v>
      </c>
      <c r="E3439" s="4">
        <v>-31798</v>
      </c>
      <c r="F3439" s="3" t="s">
        <v>1849</v>
      </c>
      <c r="G3439" s="3" t="s">
        <v>2280</v>
      </c>
      <c r="H3439" s="2" t="s">
        <v>21</v>
      </c>
      <c r="I3439" s="2" t="s">
        <v>9270</v>
      </c>
      <c r="J3439" s="3" t="str">
        <f>HYPERLINK("https://www.boe.es/gazeta/dias/1812/12/08/pdfs/GMD-1812-231.pdf#page=4","Abrir facsímil")</f>
        <v>Abrir facsímil</v>
      </c>
      <c r="K3439" s="3" t="s">
        <v>23</v>
      </c>
    </row>
    <row r="3440" spans="1:11" ht="42" customHeight="1">
      <c r="A3440" s="2" t="s">
        <v>9271</v>
      </c>
      <c r="B3440" s="2" t="s">
        <v>9272</v>
      </c>
      <c r="C3440" s="2" t="s">
        <v>186</v>
      </c>
      <c r="D3440" s="2" t="s">
        <v>275</v>
      </c>
      <c r="E3440" s="4">
        <v>-32139</v>
      </c>
      <c r="F3440" s="3" t="s">
        <v>518</v>
      </c>
      <c r="G3440" s="3" t="s">
        <v>125</v>
      </c>
      <c r="H3440" s="2" t="s">
        <v>21</v>
      </c>
      <c r="I3440" s="2" t="s">
        <v>9273</v>
      </c>
      <c r="J3440" s="3" t="str">
        <f>HYPERLINK("https://www.boe.es/gazeta/dias/1812/01/02/pdfs/GEI-1812-1.pdf#page=8","Abrir facsímil")</f>
        <v>Abrir facsímil</v>
      </c>
      <c r="K3440" s="3" t="s">
        <v>23</v>
      </c>
    </row>
    <row r="3441" spans="1:11" ht="42" customHeight="1">
      <c r="A3441" s="2" t="s">
        <v>9274</v>
      </c>
      <c r="B3441" s="2" t="s">
        <v>9274</v>
      </c>
      <c r="C3441" s="2" t="s">
        <v>17</v>
      </c>
      <c r="D3441" s="2" t="s">
        <v>18</v>
      </c>
      <c r="E3441" s="4">
        <v>-32030</v>
      </c>
      <c r="F3441" s="3" t="s">
        <v>2226</v>
      </c>
      <c r="G3441" s="3" t="s">
        <v>2650</v>
      </c>
      <c r="H3441" s="2" t="s">
        <v>21</v>
      </c>
      <c r="I3441" s="2" t="s">
        <v>9275</v>
      </c>
      <c r="J3441" s="3" t="str">
        <f>HYPERLINK("https://www.boe.es/gazeta/dias/1812/04/20/pdfs/GMD-1812-111.pdf#page=3","Abrir facsímil")</f>
        <v>Abrir facsímil</v>
      </c>
      <c r="K3441" s="3" t="s">
        <v>23</v>
      </c>
    </row>
    <row r="3442" spans="1:11" ht="42" customHeight="1">
      <c r="A3442" s="2" t="s">
        <v>9276</v>
      </c>
      <c r="B3442" s="2" t="s">
        <v>9277</v>
      </c>
      <c r="C3442" s="2" t="s">
        <v>17</v>
      </c>
      <c r="D3442" s="2" t="s">
        <v>18</v>
      </c>
      <c r="E3442" s="4">
        <v>-32129</v>
      </c>
      <c r="F3442" s="3" t="s">
        <v>3162</v>
      </c>
      <c r="G3442" s="3" t="s">
        <v>1842</v>
      </c>
      <c r="H3442" s="2" t="s">
        <v>30</v>
      </c>
      <c r="I3442" s="2" t="s">
        <v>9278</v>
      </c>
      <c r="J3442" s="3" t="str">
        <f>HYPERLINK("https://www.boe.es/gazeta/dias/1812/01/12/pdfs/GMD-1812-12.pdf#page=3","Abrir facsímil")</f>
        <v>Abrir facsímil</v>
      </c>
      <c r="K3442" s="3" t="s">
        <v>32</v>
      </c>
    </row>
    <row r="3443" spans="1:11" ht="42" customHeight="1">
      <c r="A3443" s="2" t="s">
        <v>9279</v>
      </c>
      <c r="B3443" s="2" t="s">
        <v>9280</v>
      </c>
      <c r="C3443" s="2" t="s">
        <v>26</v>
      </c>
      <c r="D3443" s="2" t="s">
        <v>27</v>
      </c>
      <c r="E3443" s="4">
        <v>-32107</v>
      </c>
      <c r="F3443" s="3" t="s">
        <v>9281</v>
      </c>
      <c r="G3443" s="3" t="s">
        <v>45</v>
      </c>
      <c r="H3443" s="2" t="s">
        <v>30</v>
      </c>
      <c r="I3443" s="2" t="s">
        <v>9282</v>
      </c>
      <c r="J3443" s="3" t="str">
        <f>HYPERLINK("https://www.boe.es/gazeta/dias/1812/02/03/pdfs/GMD-1812-34.pdf#page=3","Abrir facsímil")</f>
        <v>Abrir facsímil</v>
      </c>
      <c r="K3443" s="3" t="s">
        <v>32</v>
      </c>
    </row>
    <row r="3444" spans="1:11" ht="42" customHeight="1">
      <c r="A3444" s="2" t="s">
        <v>9279</v>
      </c>
      <c r="B3444" s="2" t="s">
        <v>9280</v>
      </c>
      <c r="C3444" s="2" t="s">
        <v>26</v>
      </c>
      <c r="D3444" s="2" t="s">
        <v>27</v>
      </c>
      <c r="E3444" s="4">
        <v>-32106</v>
      </c>
      <c r="F3444" s="3" t="s">
        <v>9281</v>
      </c>
      <c r="G3444" s="3" t="s">
        <v>45</v>
      </c>
      <c r="H3444" s="2" t="s">
        <v>30</v>
      </c>
      <c r="I3444" s="2" t="s">
        <v>9282</v>
      </c>
      <c r="J3444" s="3" t="str">
        <f>HYPERLINK("https://www.boe.es/gazeta/dias/1812/02/04/pdfs/GMD-1812-34.pdf#page=3","Abrir facsímil")</f>
        <v>Abrir facsímil</v>
      </c>
      <c r="K3444" s="3" t="s">
        <v>32</v>
      </c>
    </row>
    <row r="3445" spans="1:11" ht="42" customHeight="1">
      <c r="A3445" s="2" t="s">
        <v>9283</v>
      </c>
      <c r="B3445" s="2" t="s">
        <v>9283</v>
      </c>
      <c r="C3445" s="2" t="s">
        <v>26</v>
      </c>
      <c r="D3445" s="2" t="s">
        <v>194</v>
      </c>
      <c r="E3445" s="4">
        <v>-31981</v>
      </c>
      <c r="F3445" s="3" t="s">
        <v>5059</v>
      </c>
      <c r="G3445" s="3" t="s">
        <v>45</v>
      </c>
      <c r="H3445" s="2" t="s">
        <v>21</v>
      </c>
      <c r="I3445" s="2" t="s">
        <v>9284</v>
      </c>
      <c r="J3445" s="3" t="str">
        <f>HYPERLINK("https://www.boe.es/gazeta/dias/1812/06/08/pdfs/GMD-1812-160.pdf#page=3","Abrir facsímil")</f>
        <v>Abrir facsímil</v>
      </c>
      <c r="K3445" s="3" t="s">
        <v>23</v>
      </c>
    </row>
    <row r="3446" spans="1:11" ht="42" customHeight="1">
      <c r="A3446" s="2" t="s">
        <v>9283</v>
      </c>
      <c r="B3446" s="2" t="s">
        <v>9283</v>
      </c>
      <c r="C3446" s="2" t="s">
        <v>26</v>
      </c>
      <c r="D3446" s="2" t="s">
        <v>27</v>
      </c>
      <c r="E3446" s="4">
        <v>-31940</v>
      </c>
      <c r="F3446" s="3" t="s">
        <v>187</v>
      </c>
      <c r="G3446" s="3" t="s">
        <v>404</v>
      </c>
      <c r="H3446" s="2" t="s">
        <v>21</v>
      </c>
      <c r="I3446" s="2" t="s">
        <v>9285</v>
      </c>
      <c r="J3446" s="3" t="str">
        <f>HYPERLINK("https://www.boe.es/gazeta/dias/1812/07/19/pdfs/GMD-1812-201.pdf#page=3","Abrir facsímil")</f>
        <v>Abrir facsímil</v>
      </c>
      <c r="K3446" s="3" t="s">
        <v>23</v>
      </c>
    </row>
    <row r="3447" spans="1:11" ht="42" customHeight="1">
      <c r="A3447" s="2" t="s">
        <v>9286</v>
      </c>
      <c r="B3447" s="2" t="s">
        <v>9286</v>
      </c>
      <c r="C3447" s="2" t="s">
        <v>17</v>
      </c>
      <c r="D3447" s="2" t="s">
        <v>18</v>
      </c>
      <c r="E3447" s="4">
        <v>-31896</v>
      </c>
      <c r="F3447" s="3" t="s">
        <v>3158</v>
      </c>
      <c r="G3447" s="3" t="s">
        <v>6192</v>
      </c>
      <c r="H3447" s="2" t="s">
        <v>21</v>
      </c>
      <c r="I3447" s="2" t="s">
        <v>9287</v>
      </c>
      <c r="J3447" s="3" t="str">
        <f>HYPERLINK("https://www.boe.es/gazeta/dias/1812/09/01/pdfs/GRE-1812-117.pdf#page=3","Abrir facsímil")</f>
        <v>Abrir facsímil</v>
      </c>
      <c r="K3447" s="3" t="s">
        <v>23</v>
      </c>
    </row>
    <row r="3448" spans="1:11" ht="42" customHeight="1">
      <c r="A3448" s="2" t="s">
        <v>9288</v>
      </c>
      <c r="B3448" s="2" t="s">
        <v>9288</v>
      </c>
      <c r="C3448" s="2" t="s">
        <v>17</v>
      </c>
      <c r="D3448" s="2" t="s">
        <v>27</v>
      </c>
      <c r="E3448" s="4">
        <v>-32063</v>
      </c>
      <c r="F3448" s="3" t="s">
        <v>384</v>
      </c>
      <c r="G3448" s="3" t="s">
        <v>125</v>
      </c>
      <c r="H3448" s="2" t="s">
        <v>21</v>
      </c>
      <c r="I3448" s="2" t="s">
        <v>9289</v>
      </c>
      <c r="J3448" s="3" t="str">
        <f>HYPERLINK("https://www.boe.es/gazeta/dias/1812/03/18/pdfs/GMD-1812-78.pdf#page=3","Abrir facsímil")</f>
        <v>Abrir facsímil</v>
      </c>
      <c r="K3448" s="3" t="s">
        <v>23</v>
      </c>
    </row>
    <row r="3449" spans="1:11" ht="42" customHeight="1">
      <c r="A3449" s="2" t="s">
        <v>9290</v>
      </c>
      <c r="B3449" s="2" t="s">
        <v>9290</v>
      </c>
      <c r="C3449" s="2" t="s">
        <v>26</v>
      </c>
      <c r="D3449" s="2" t="s">
        <v>27</v>
      </c>
      <c r="E3449" s="4">
        <v>-32125</v>
      </c>
      <c r="F3449" s="3" t="s">
        <v>964</v>
      </c>
      <c r="G3449" s="3" t="s">
        <v>1842</v>
      </c>
      <c r="H3449" s="2" t="s">
        <v>21</v>
      </c>
      <c r="I3449" s="2" t="s">
        <v>9291</v>
      </c>
      <c r="J3449" s="3" t="str">
        <f>HYPERLINK("https://www.boe.es/gazeta/dias/1812/01/16/pdfs/GEI-H-1812-7.pdf#page=4","Abrir facsímil")</f>
        <v>Abrir facsímil</v>
      </c>
      <c r="K3449" s="3" t="s">
        <v>23</v>
      </c>
    </row>
    <row r="3450" spans="1:11" ht="42" customHeight="1">
      <c r="A3450" s="2" t="s">
        <v>9290</v>
      </c>
      <c r="B3450" s="2" t="s">
        <v>9290</v>
      </c>
      <c r="C3450" s="2" t="s">
        <v>26</v>
      </c>
      <c r="D3450" s="2" t="s">
        <v>27</v>
      </c>
      <c r="E3450" s="4">
        <v>-32100</v>
      </c>
      <c r="F3450" s="3" t="s">
        <v>492</v>
      </c>
      <c r="G3450" s="3" t="s">
        <v>493</v>
      </c>
      <c r="H3450" s="2" t="s">
        <v>21</v>
      </c>
      <c r="I3450" s="2" t="s">
        <v>9292</v>
      </c>
      <c r="J3450" s="3" t="str">
        <f>HYPERLINK("https://www.boe.es/gazeta/dias/1812/02/10/pdfs/GRE-1812-31.pdf#page=8","Abrir facsímil")</f>
        <v>Abrir facsímil</v>
      </c>
      <c r="K3450" s="3" t="s">
        <v>23</v>
      </c>
    </row>
    <row r="3451" spans="1:11" ht="42" customHeight="1">
      <c r="A3451" s="2" t="s">
        <v>9290</v>
      </c>
      <c r="B3451" s="2" t="s">
        <v>9290</v>
      </c>
      <c r="C3451" s="2" t="s">
        <v>26</v>
      </c>
      <c r="D3451" s="2" t="s">
        <v>27</v>
      </c>
      <c r="E3451" s="4">
        <v>-32095</v>
      </c>
      <c r="F3451" s="3" t="s">
        <v>181</v>
      </c>
      <c r="G3451" s="3" t="s">
        <v>777</v>
      </c>
      <c r="H3451" s="2" t="s">
        <v>21</v>
      </c>
      <c r="I3451" s="2" t="s">
        <v>9293</v>
      </c>
      <c r="J3451" s="3" t="str">
        <f>HYPERLINK("https://www.boe.es/gazeta/dias/1812/02/15/pdfs/GMD-1812-47.pdf#page=3","Abrir facsímil")</f>
        <v>Abrir facsímil</v>
      </c>
      <c r="K3451" s="3" t="s">
        <v>23</v>
      </c>
    </row>
    <row r="3452" spans="1:11" ht="42" customHeight="1">
      <c r="A3452" s="2" t="s">
        <v>9290</v>
      </c>
      <c r="B3452" s="2" t="s">
        <v>9290</v>
      </c>
      <c r="C3452" s="2" t="s">
        <v>26</v>
      </c>
      <c r="D3452" s="2" t="s">
        <v>27</v>
      </c>
      <c r="E3452" s="4">
        <v>-32094</v>
      </c>
      <c r="F3452" s="3" t="s">
        <v>181</v>
      </c>
      <c r="G3452" s="3" t="s">
        <v>777</v>
      </c>
      <c r="H3452" s="2" t="s">
        <v>21</v>
      </c>
      <c r="I3452" s="2" t="s">
        <v>9293</v>
      </c>
      <c r="J3452" s="3" t="str">
        <f>HYPERLINK("https://www.boe.es/gazeta/dias/1812/02/16/pdfs/GMD-1812-47.pdf#page=3","Abrir facsímil")</f>
        <v>Abrir facsímil</v>
      </c>
      <c r="K3452" s="3" t="s">
        <v>23</v>
      </c>
    </row>
    <row r="3453" spans="1:11" ht="42" customHeight="1">
      <c r="A3453" s="2" t="s">
        <v>9290</v>
      </c>
      <c r="B3453" s="2" t="s">
        <v>9290</v>
      </c>
      <c r="C3453" s="2" t="s">
        <v>17</v>
      </c>
      <c r="D3453" s="2" t="s">
        <v>27</v>
      </c>
      <c r="E3453" s="4">
        <v>-32078</v>
      </c>
      <c r="F3453" s="3" t="s">
        <v>145</v>
      </c>
      <c r="G3453" s="3" t="s">
        <v>1081</v>
      </c>
      <c r="H3453" s="2" t="s">
        <v>21</v>
      </c>
      <c r="I3453" s="2" t="s">
        <v>9294</v>
      </c>
      <c r="J3453" s="3" t="str">
        <f>HYPERLINK("https://www.boe.es/gazeta/dias/1812/03/03/pdfs/GRE-1812-28.pdf#page=4","Abrir facsímil")</f>
        <v>Abrir facsímil</v>
      </c>
      <c r="K3453" s="3" t="s">
        <v>23</v>
      </c>
    </row>
    <row r="3454" spans="1:11" ht="42" customHeight="1">
      <c r="A3454" s="2" t="s">
        <v>9290</v>
      </c>
      <c r="B3454" s="2" t="s">
        <v>9290</v>
      </c>
      <c r="C3454" s="2" t="s">
        <v>26</v>
      </c>
      <c r="D3454" s="2" t="s">
        <v>27</v>
      </c>
      <c r="E3454" s="4">
        <v>-32071</v>
      </c>
      <c r="F3454" s="3" t="s">
        <v>492</v>
      </c>
      <c r="G3454" s="3" t="s">
        <v>493</v>
      </c>
      <c r="H3454" s="2" t="s">
        <v>21</v>
      </c>
      <c r="I3454" s="2" t="s">
        <v>9292</v>
      </c>
      <c r="J3454" s="3" t="str">
        <f>HYPERLINK("https://www.boe.es/gazeta/dias/1812/03/10/pdfs/GRE-1812-31.pdf#page=8","Abrir facsímil")</f>
        <v>Abrir facsímil</v>
      </c>
      <c r="K3454" s="3" t="s">
        <v>23</v>
      </c>
    </row>
    <row r="3455" spans="1:11" ht="42" customHeight="1">
      <c r="A3455" s="2" t="s">
        <v>9290</v>
      </c>
      <c r="B3455" s="2" t="s">
        <v>9290</v>
      </c>
      <c r="C3455" s="2" t="s">
        <v>17</v>
      </c>
      <c r="D3455" s="2" t="s">
        <v>27</v>
      </c>
      <c r="E3455" s="4">
        <v>-32055</v>
      </c>
      <c r="F3455" s="3" t="s">
        <v>459</v>
      </c>
      <c r="G3455" s="3" t="s">
        <v>20</v>
      </c>
      <c r="H3455" s="2" t="s">
        <v>21</v>
      </c>
      <c r="I3455" s="2" t="s">
        <v>9295</v>
      </c>
      <c r="J3455" s="3" t="str">
        <f>HYPERLINK("https://www.boe.es/gazeta/dias/1812/03/26/pdfs/GRE-1812-38.pdf#page=8","Abrir facsímil")</f>
        <v>Abrir facsímil</v>
      </c>
      <c r="K3455" s="3" t="s">
        <v>23</v>
      </c>
    </row>
    <row r="3456" spans="1:11" ht="42" customHeight="1">
      <c r="A3456" s="2" t="s">
        <v>9290</v>
      </c>
      <c r="B3456" s="2" t="s">
        <v>9290</v>
      </c>
      <c r="C3456" s="2" t="s">
        <v>26</v>
      </c>
      <c r="D3456" s="2" t="s">
        <v>27</v>
      </c>
      <c r="E3456" s="4">
        <v>-32044</v>
      </c>
      <c r="F3456" s="3" t="s">
        <v>1031</v>
      </c>
      <c r="G3456" s="3" t="s">
        <v>20</v>
      </c>
      <c r="H3456" s="2" t="s">
        <v>21</v>
      </c>
      <c r="I3456" s="2" t="s">
        <v>9296</v>
      </c>
      <c r="J3456" s="3" t="str">
        <f>HYPERLINK("https://www.boe.es/gazeta/dias/1812/04/06/pdfs/GMD-1812-97.pdf#page=3","Abrir facsímil")</f>
        <v>Abrir facsímil</v>
      </c>
      <c r="K3456" s="3" t="s">
        <v>23</v>
      </c>
    </row>
    <row r="3457" spans="1:11" ht="42" customHeight="1">
      <c r="A3457" s="2" t="s">
        <v>9290</v>
      </c>
      <c r="B3457" s="2" t="s">
        <v>9290</v>
      </c>
      <c r="C3457" s="2" t="s">
        <v>26</v>
      </c>
      <c r="D3457" s="2" t="s">
        <v>27</v>
      </c>
      <c r="E3457" s="4">
        <v>-32027</v>
      </c>
      <c r="F3457" s="3" t="s">
        <v>803</v>
      </c>
      <c r="G3457" s="3" t="s">
        <v>237</v>
      </c>
      <c r="H3457" s="2" t="s">
        <v>21</v>
      </c>
      <c r="I3457" s="2" t="s">
        <v>9297</v>
      </c>
      <c r="J3457" s="3" t="str">
        <f>HYPERLINK("https://www.boe.es/gazeta/dias/1812/04/23/pdfs/GRE-1812-51.pdf#page=4","Abrir facsímil")</f>
        <v>Abrir facsímil</v>
      </c>
      <c r="K3457" s="3" t="s">
        <v>23</v>
      </c>
    </row>
    <row r="3458" spans="1:11" ht="42" customHeight="1">
      <c r="A3458" s="2" t="s">
        <v>9290</v>
      </c>
      <c r="B3458" s="2" t="s">
        <v>9290</v>
      </c>
      <c r="C3458" s="2" t="s">
        <v>105</v>
      </c>
      <c r="D3458" s="2" t="s">
        <v>27</v>
      </c>
      <c r="E3458" s="4">
        <v>-32004</v>
      </c>
      <c r="F3458" s="3" t="s">
        <v>5305</v>
      </c>
      <c r="G3458" s="3" t="s">
        <v>514</v>
      </c>
      <c r="H3458" s="2" t="s">
        <v>21</v>
      </c>
      <c r="I3458" s="2" t="s">
        <v>9298</v>
      </c>
      <c r="J3458" s="3" t="str">
        <f>HYPERLINK("https://www.boe.es/gazeta/dias/1812/05/16/pdfs/GMD-1812-137.pdf#page=4","Abrir facsímil")</f>
        <v>Abrir facsímil</v>
      </c>
      <c r="K3458" s="3" t="s">
        <v>23</v>
      </c>
    </row>
    <row r="3459" spans="1:11" ht="42" customHeight="1">
      <c r="A3459" s="2" t="s">
        <v>9290</v>
      </c>
      <c r="B3459" s="2" t="s">
        <v>9290</v>
      </c>
      <c r="C3459" s="2" t="s">
        <v>105</v>
      </c>
      <c r="D3459" s="2" t="s">
        <v>27</v>
      </c>
      <c r="E3459" s="4">
        <v>-31816</v>
      </c>
      <c r="F3459" s="3" t="s">
        <v>270</v>
      </c>
      <c r="G3459" s="3" t="s">
        <v>271</v>
      </c>
      <c r="H3459" s="2" t="s">
        <v>21</v>
      </c>
      <c r="I3459" s="2" t="s">
        <v>9299</v>
      </c>
      <c r="J3459" s="3" t="str">
        <f>HYPERLINK("https://www.boe.es/gazeta/dias/1812/11/20/pdfs/GMR-1812-36.pdf#page=6","Abrir facsímil")</f>
        <v>Abrir facsímil</v>
      </c>
      <c r="K3459" s="3" t="s">
        <v>23</v>
      </c>
    </row>
    <row r="3460" spans="1:11" ht="42" customHeight="1">
      <c r="A3460" s="2" t="s">
        <v>9300</v>
      </c>
      <c r="B3460" s="2" t="s">
        <v>9301</v>
      </c>
      <c r="C3460" s="2" t="s">
        <v>26</v>
      </c>
      <c r="D3460" s="2" t="s">
        <v>27</v>
      </c>
      <c r="E3460" s="4">
        <v>-31976</v>
      </c>
      <c r="F3460" s="3" t="s">
        <v>54</v>
      </c>
      <c r="G3460" s="3" t="s">
        <v>1335</v>
      </c>
      <c r="H3460" s="2" t="s">
        <v>21</v>
      </c>
      <c r="I3460" s="2" t="s">
        <v>9302</v>
      </c>
      <c r="J3460" s="3" t="str">
        <f>HYPERLINK("https://www.boe.es/gazeta/dias/1812/06/13/pdfs/GRE-1812-73.pdf#page=7","Abrir facsímil")</f>
        <v>Abrir facsímil</v>
      </c>
      <c r="K3460" s="3" t="s">
        <v>23</v>
      </c>
    </row>
    <row r="3461" spans="1:11" ht="42" customHeight="1">
      <c r="A3461" s="2" t="s">
        <v>9303</v>
      </c>
      <c r="B3461" s="2" t="s">
        <v>9303</v>
      </c>
      <c r="C3461" s="2" t="s">
        <v>17</v>
      </c>
      <c r="D3461" s="2" t="s">
        <v>27</v>
      </c>
      <c r="E3461" s="4">
        <v>-32139</v>
      </c>
      <c r="F3461" s="3" t="s">
        <v>288</v>
      </c>
      <c r="G3461" s="3" t="s">
        <v>20</v>
      </c>
      <c r="H3461" s="2" t="s">
        <v>21</v>
      </c>
      <c r="I3461" s="2" t="s">
        <v>9304</v>
      </c>
      <c r="J3461" s="3" t="str">
        <f>HYPERLINK("https://www.boe.es/gazeta/dias/1812/01/02/pdfs/GMD-1812-2.pdf#page=3","Abrir facsímil")</f>
        <v>Abrir facsímil</v>
      </c>
      <c r="K3461" s="3" t="s">
        <v>23</v>
      </c>
    </row>
    <row r="3462" spans="1:11" ht="42" customHeight="1">
      <c r="A3462" s="2" t="s">
        <v>9303</v>
      </c>
      <c r="B3462" s="2" t="s">
        <v>9303</v>
      </c>
      <c r="C3462" s="2" t="s">
        <v>17</v>
      </c>
      <c r="D3462" s="2" t="s">
        <v>18</v>
      </c>
      <c r="E3462" s="4">
        <v>-32095</v>
      </c>
      <c r="F3462" s="3" t="s">
        <v>181</v>
      </c>
      <c r="G3462" s="3" t="s">
        <v>777</v>
      </c>
      <c r="H3462" s="2" t="s">
        <v>21</v>
      </c>
      <c r="I3462" s="2" t="s">
        <v>9305</v>
      </c>
      <c r="J3462" s="3" t="str">
        <f>HYPERLINK("https://www.boe.es/gazeta/dias/1812/02/15/pdfs/GMD-1812-47.pdf#page=3","Abrir facsímil")</f>
        <v>Abrir facsímil</v>
      </c>
      <c r="K3462" s="3" t="s">
        <v>23</v>
      </c>
    </row>
    <row r="3463" spans="1:11" ht="42" customHeight="1">
      <c r="A3463" s="2" t="s">
        <v>9303</v>
      </c>
      <c r="B3463" s="2" t="s">
        <v>9303</v>
      </c>
      <c r="C3463" s="2" t="s">
        <v>26</v>
      </c>
      <c r="D3463" s="2" t="s">
        <v>27</v>
      </c>
      <c r="E3463" s="4">
        <v>-32095</v>
      </c>
      <c r="F3463" s="3" t="s">
        <v>181</v>
      </c>
      <c r="G3463" s="3" t="s">
        <v>182</v>
      </c>
      <c r="H3463" s="2" t="s">
        <v>21</v>
      </c>
      <c r="I3463" s="2" t="s">
        <v>9306</v>
      </c>
      <c r="J3463" s="3" t="str">
        <f>HYPERLINK("https://www.boe.es/gazeta/dias/1812/02/15/pdfs/GMD-1812-47.pdf#page=4","Abrir facsímil")</f>
        <v>Abrir facsímil</v>
      </c>
      <c r="K3463" s="3" t="s">
        <v>23</v>
      </c>
    </row>
    <row r="3464" spans="1:11" ht="42" customHeight="1">
      <c r="A3464" s="2" t="s">
        <v>9303</v>
      </c>
      <c r="B3464" s="2" t="s">
        <v>9303</v>
      </c>
      <c r="C3464" s="2" t="s">
        <v>17</v>
      </c>
      <c r="D3464" s="2" t="s">
        <v>18</v>
      </c>
      <c r="E3464" s="4">
        <v>-32094</v>
      </c>
      <c r="F3464" s="3" t="s">
        <v>181</v>
      </c>
      <c r="G3464" s="3" t="s">
        <v>777</v>
      </c>
      <c r="H3464" s="2" t="s">
        <v>21</v>
      </c>
      <c r="I3464" s="2" t="s">
        <v>9305</v>
      </c>
      <c r="J3464" s="3" t="str">
        <f>HYPERLINK("https://www.boe.es/gazeta/dias/1812/02/16/pdfs/GMD-1812-47.pdf#page=3","Abrir facsímil")</f>
        <v>Abrir facsímil</v>
      </c>
      <c r="K3464" s="3" t="s">
        <v>23</v>
      </c>
    </row>
    <row r="3465" spans="1:11" ht="42" customHeight="1">
      <c r="A3465" s="2" t="s">
        <v>9303</v>
      </c>
      <c r="B3465" s="2" t="s">
        <v>9303</v>
      </c>
      <c r="C3465" s="2" t="s">
        <v>26</v>
      </c>
      <c r="D3465" s="2" t="s">
        <v>27</v>
      </c>
      <c r="E3465" s="4">
        <v>-32094</v>
      </c>
      <c r="F3465" s="3" t="s">
        <v>181</v>
      </c>
      <c r="G3465" s="3" t="s">
        <v>182</v>
      </c>
      <c r="H3465" s="2" t="s">
        <v>21</v>
      </c>
      <c r="I3465" s="2" t="s">
        <v>9306</v>
      </c>
      <c r="J3465" s="3" t="str">
        <f>HYPERLINK("https://www.boe.es/gazeta/dias/1812/02/16/pdfs/GMD-1812-47.pdf#page=4","Abrir facsímil")</f>
        <v>Abrir facsímil</v>
      </c>
      <c r="K3465" s="3" t="s">
        <v>23</v>
      </c>
    </row>
    <row r="3466" spans="1:11" ht="42" customHeight="1">
      <c r="A3466" s="2" t="s">
        <v>9303</v>
      </c>
      <c r="B3466" s="2" t="s">
        <v>9303</v>
      </c>
      <c r="C3466" s="2" t="s">
        <v>17</v>
      </c>
      <c r="D3466" s="2" t="s">
        <v>27</v>
      </c>
      <c r="E3466" s="4">
        <v>-32063</v>
      </c>
      <c r="F3466" s="3" t="s">
        <v>384</v>
      </c>
      <c r="G3466" s="3" t="s">
        <v>125</v>
      </c>
      <c r="H3466" s="2" t="s">
        <v>21</v>
      </c>
      <c r="I3466" s="2" t="s">
        <v>9307</v>
      </c>
      <c r="J3466" s="3" t="str">
        <f>HYPERLINK("https://www.boe.es/gazeta/dias/1812/03/18/pdfs/GMD-1812-78.pdf#page=3","Abrir facsímil")</f>
        <v>Abrir facsímil</v>
      </c>
      <c r="K3466" s="3" t="s">
        <v>23</v>
      </c>
    </row>
    <row r="3467" spans="1:11" ht="42" customHeight="1">
      <c r="A3467" s="2" t="s">
        <v>9303</v>
      </c>
      <c r="B3467" s="2" t="s">
        <v>9303</v>
      </c>
      <c r="C3467" s="2" t="s">
        <v>17</v>
      </c>
      <c r="D3467" s="2" t="s">
        <v>27</v>
      </c>
      <c r="E3467" s="4">
        <v>-32063</v>
      </c>
      <c r="F3467" s="3" t="s">
        <v>384</v>
      </c>
      <c r="G3467" s="3" t="s">
        <v>20</v>
      </c>
      <c r="H3467" s="2" t="s">
        <v>21</v>
      </c>
      <c r="I3467" s="2" t="s">
        <v>9308</v>
      </c>
      <c r="J3467" s="3" t="str">
        <f>HYPERLINK("https://www.boe.es/gazeta/dias/1812/03/18/pdfs/GMD-1812-78.pdf#page=4","Abrir facsímil")</f>
        <v>Abrir facsímil</v>
      </c>
      <c r="K3467" s="3" t="s">
        <v>23</v>
      </c>
    </row>
    <row r="3468" spans="1:11" ht="42" customHeight="1">
      <c r="A3468" s="2" t="s">
        <v>9303</v>
      </c>
      <c r="B3468" s="2" t="s">
        <v>9303</v>
      </c>
      <c r="C3468" s="2" t="s">
        <v>26</v>
      </c>
      <c r="D3468" s="2" t="s">
        <v>27</v>
      </c>
      <c r="E3468" s="4">
        <v>-32055</v>
      </c>
      <c r="F3468" s="3" t="s">
        <v>1271</v>
      </c>
      <c r="G3468" s="3" t="s">
        <v>130</v>
      </c>
      <c r="H3468" s="2" t="s">
        <v>21</v>
      </c>
      <c r="I3468" s="2" t="s">
        <v>9309</v>
      </c>
      <c r="J3468" s="3" t="str">
        <f>HYPERLINK("https://www.boe.es/gazeta/dias/1812/03/26/pdfs/GMD-1812-86.pdf#page=4","Abrir facsímil")</f>
        <v>Abrir facsímil</v>
      </c>
      <c r="K3468" s="3" t="s">
        <v>23</v>
      </c>
    </row>
    <row r="3469" spans="1:11" ht="42" customHeight="1">
      <c r="A3469" s="2" t="s">
        <v>9303</v>
      </c>
      <c r="B3469" s="2" t="s">
        <v>9303</v>
      </c>
      <c r="C3469" s="2" t="s">
        <v>115</v>
      </c>
      <c r="D3469" s="2" t="s">
        <v>27</v>
      </c>
      <c r="E3469" s="4">
        <v>-32044</v>
      </c>
      <c r="F3469" s="3" t="s">
        <v>1031</v>
      </c>
      <c r="G3469" s="3" t="s">
        <v>1873</v>
      </c>
      <c r="H3469" s="2" t="s">
        <v>21</v>
      </c>
      <c r="I3469" s="2" t="s">
        <v>9310</v>
      </c>
      <c r="J3469" s="3" t="str">
        <f>HYPERLINK("https://www.boe.es/gazeta/dias/1812/04/06/pdfs/GMD-1812-97.pdf#page=4","Abrir facsímil")</f>
        <v>Abrir facsímil</v>
      </c>
      <c r="K3469" s="3" t="s">
        <v>23</v>
      </c>
    </row>
    <row r="3470" spans="1:11" ht="42" customHeight="1">
      <c r="A3470" s="2" t="s">
        <v>9303</v>
      </c>
      <c r="B3470" s="2" t="s">
        <v>9303</v>
      </c>
      <c r="C3470" s="2" t="s">
        <v>17</v>
      </c>
      <c r="D3470" s="2" t="s">
        <v>27</v>
      </c>
      <c r="E3470" s="4">
        <v>-32004</v>
      </c>
      <c r="F3470" s="3" t="s">
        <v>5305</v>
      </c>
      <c r="G3470" s="3" t="s">
        <v>140</v>
      </c>
      <c r="H3470" s="2" t="s">
        <v>21</v>
      </c>
      <c r="I3470" s="2" t="s">
        <v>9311</v>
      </c>
      <c r="J3470" s="3" t="str">
        <f>HYPERLINK("https://www.boe.es/gazeta/dias/1812/05/16/pdfs/GMD-1812-137.pdf#page=2","Abrir facsímil")</f>
        <v>Abrir facsímil</v>
      </c>
      <c r="K3470" s="3" t="s">
        <v>23</v>
      </c>
    </row>
    <row r="3471" spans="1:11" ht="42" customHeight="1">
      <c r="A3471" s="2" t="s">
        <v>9303</v>
      </c>
      <c r="B3471" s="2" t="s">
        <v>9303</v>
      </c>
      <c r="C3471" s="2" t="s">
        <v>67</v>
      </c>
      <c r="D3471" s="2" t="s">
        <v>27</v>
      </c>
      <c r="E3471" s="4">
        <v>-32004</v>
      </c>
      <c r="F3471" s="3" t="s">
        <v>5305</v>
      </c>
      <c r="G3471" s="3" t="s">
        <v>514</v>
      </c>
      <c r="H3471" s="2" t="s">
        <v>21</v>
      </c>
      <c r="I3471" s="2" t="s">
        <v>9312</v>
      </c>
      <c r="J3471" s="3" t="str">
        <f>HYPERLINK("https://www.boe.es/gazeta/dias/1812/05/16/pdfs/GMD-1812-137.pdf#page=4","Abrir facsímil")</f>
        <v>Abrir facsímil</v>
      </c>
      <c r="K3471" s="3" t="s">
        <v>23</v>
      </c>
    </row>
    <row r="3472" spans="1:11" ht="42" customHeight="1">
      <c r="A3472" s="2" t="s">
        <v>9303</v>
      </c>
      <c r="B3472" s="2" t="s">
        <v>9303</v>
      </c>
      <c r="C3472" s="2" t="s">
        <v>26</v>
      </c>
      <c r="D3472" s="2" t="s">
        <v>27</v>
      </c>
      <c r="E3472" s="4">
        <v>-31991</v>
      </c>
      <c r="F3472" s="3" t="s">
        <v>663</v>
      </c>
      <c r="G3472" s="3" t="s">
        <v>404</v>
      </c>
      <c r="H3472" s="2" t="s">
        <v>21</v>
      </c>
      <c r="I3472" s="2" t="s">
        <v>9313</v>
      </c>
      <c r="J3472" s="3" t="str">
        <f>HYPERLINK("https://www.boe.es/gazeta/dias/1812/05/29/pdfs/GMD-1812-150.pdf#page=4","Abrir facsímil")</f>
        <v>Abrir facsímil</v>
      </c>
      <c r="K3472" s="3" t="s">
        <v>23</v>
      </c>
    </row>
    <row r="3473" spans="1:11" ht="42" customHeight="1">
      <c r="A3473" s="2" t="s">
        <v>9303</v>
      </c>
      <c r="B3473" s="2" t="s">
        <v>9303</v>
      </c>
      <c r="C3473" s="2" t="s">
        <v>26</v>
      </c>
      <c r="D3473" s="2" t="s">
        <v>275</v>
      </c>
      <c r="E3473" s="4">
        <v>-31982</v>
      </c>
      <c r="F3473" s="3" t="s">
        <v>1630</v>
      </c>
      <c r="G3473" s="3" t="s">
        <v>1631</v>
      </c>
      <c r="H3473" s="2" t="s">
        <v>21</v>
      </c>
      <c r="I3473" s="2" t="s">
        <v>9314</v>
      </c>
      <c r="J3473" s="3" t="str">
        <f>HYPERLINK("https://www.boe.es/gazeta/dias/1812/06/07/pdfs/GMD-1812-159.pdf#page=4","Abrir facsímil")</f>
        <v>Abrir facsímil</v>
      </c>
      <c r="K3473" s="3" t="s">
        <v>23</v>
      </c>
    </row>
    <row r="3474" spans="1:11" ht="42" customHeight="1">
      <c r="A3474" s="2" t="s">
        <v>9303</v>
      </c>
      <c r="B3474" s="2" t="s">
        <v>9303</v>
      </c>
      <c r="C3474" s="2" t="s">
        <v>105</v>
      </c>
      <c r="D3474" s="2" t="s">
        <v>194</v>
      </c>
      <c r="E3474" s="4">
        <v>-31980</v>
      </c>
      <c r="F3474" s="3" t="s">
        <v>40</v>
      </c>
      <c r="G3474" s="3" t="s">
        <v>1813</v>
      </c>
      <c r="H3474" s="2" t="s">
        <v>21</v>
      </c>
      <c r="I3474" s="2" t="s">
        <v>9315</v>
      </c>
      <c r="J3474" s="3" t="str">
        <f>HYPERLINK("https://www.boe.es/gazeta/dias/1812/06/09/pdfs/GRE-1812-71.pdf#page=2","Abrir facsímil")</f>
        <v>Abrir facsímil</v>
      </c>
      <c r="K3474" s="3" t="s">
        <v>23</v>
      </c>
    </row>
    <row r="3475" spans="1:11" ht="42" customHeight="1">
      <c r="A3475" s="2" t="s">
        <v>9303</v>
      </c>
      <c r="B3475" s="2" t="s">
        <v>9303</v>
      </c>
      <c r="C3475" s="2" t="s">
        <v>105</v>
      </c>
      <c r="D3475" s="2" t="s">
        <v>27</v>
      </c>
      <c r="E3475" s="4">
        <v>-31971</v>
      </c>
      <c r="F3475" s="3" t="s">
        <v>686</v>
      </c>
      <c r="G3475" s="3" t="s">
        <v>688</v>
      </c>
      <c r="H3475" s="2" t="s">
        <v>21</v>
      </c>
      <c r="I3475" s="2" t="s">
        <v>9316</v>
      </c>
      <c r="J3475" s="3" t="str">
        <f>HYPERLINK("https://www.boe.es/gazeta/dias/1812/06/18/pdfs/GRE-1812-75.pdf#page=4","Abrir facsímil")</f>
        <v>Abrir facsímil</v>
      </c>
      <c r="K3475" s="3" t="s">
        <v>23</v>
      </c>
    </row>
    <row r="3476" spans="1:11" ht="42" customHeight="1">
      <c r="A3476" s="2" t="s">
        <v>9303</v>
      </c>
      <c r="B3476" s="2" t="s">
        <v>9303</v>
      </c>
      <c r="C3476" s="2" t="s">
        <v>26</v>
      </c>
      <c r="D3476" s="2" t="s">
        <v>275</v>
      </c>
      <c r="E3476" s="4">
        <v>-31964</v>
      </c>
      <c r="F3476" s="3" t="s">
        <v>305</v>
      </c>
      <c r="G3476" s="3" t="s">
        <v>58</v>
      </c>
      <c r="H3476" s="2" t="s">
        <v>21</v>
      </c>
      <c r="I3476" s="2" t="s">
        <v>9317</v>
      </c>
      <c r="J3476" s="3" t="str">
        <f>HYPERLINK("https://www.boe.es/gazeta/dias/1812/06/25/pdfs/GMD-1812-177.pdf#page=2","Abrir facsímil")</f>
        <v>Abrir facsímil</v>
      </c>
      <c r="K3476" s="3" t="s">
        <v>23</v>
      </c>
    </row>
    <row r="3477" spans="1:11" ht="42" customHeight="1">
      <c r="A3477" s="2" t="s">
        <v>9303</v>
      </c>
      <c r="B3477" s="2" t="s">
        <v>9303</v>
      </c>
      <c r="C3477" s="2" t="s">
        <v>26</v>
      </c>
      <c r="D3477" s="2" t="s">
        <v>27</v>
      </c>
      <c r="E3477" s="4">
        <v>-31963</v>
      </c>
      <c r="F3477" s="3" t="s">
        <v>171</v>
      </c>
      <c r="G3477" s="3" t="s">
        <v>1653</v>
      </c>
      <c r="H3477" s="2" t="s">
        <v>21</v>
      </c>
      <c r="I3477" s="2" t="s">
        <v>9318</v>
      </c>
      <c r="J3477" s="3" t="str">
        <f>HYPERLINK("https://www.boe.es/gazeta/dias/1812/06/26/pdfs/GMD-1812-178.pdf#page=2","Abrir facsímil")</f>
        <v>Abrir facsímil</v>
      </c>
      <c r="K3477" s="3" t="s">
        <v>23</v>
      </c>
    </row>
    <row r="3478" spans="1:11" ht="42" customHeight="1">
      <c r="A3478" s="2" t="s">
        <v>9303</v>
      </c>
      <c r="B3478" s="2" t="s">
        <v>9303</v>
      </c>
      <c r="C3478" s="2" t="s">
        <v>105</v>
      </c>
      <c r="D3478" s="2" t="s">
        <v>27</v>
      </c>
      <c r="E3478" s="4">
        <v>-31963</v>
      </c>
      <c r="F3478" s="3" t="s">
        <v>171</v>
      </c>
      <c r="G3478" s="3" t="s">
        <v>172</v>
      </c>
      <c r="H3478" s="2" t="s">
        <v>21</v>
      </c>
      <c r="I3478" s="2" t="s">
        <v>9319</v>
      </c>
      <c r="J3478" s="3" t="str">
        <f>HYPERLINK("https://www.boe.es/gazeta/dias/1812/06/26/pdfs/GMD-1812-178.pdf#page=3","Abrir facsímil")</f>
        <v>Abrir facsímil</v>
      </c>
      <c r="K3478" s="3" t="s">
        <v>23</v>
      </c>
    </row>
    <row r="3479" spans="1:11" ht="42" customHeight="1">
      <c r="A3479" s="2" t="s">
        <v>9303</v>
      </c>
      <c r="B3479" s="2" t="s">
        <v>9303</v>
      </c>
      <c r="C3479" s="2" t="s">
        <v>26</v>
      </c>
      <c r="D3479" s="2" t="s">
        <v>27</v>
      </c>
      <c r="E3479" s="4">
        <v>-31937</v>
      </c>
      <c r="F3479" s="3" t="s">
        <v>1198</v>
      </c>
      <c r="G3479" s="3" t="s">
        <v>140</v>
      </c>
      <c r="H3479" s="2" t="s">
        <v>21</v>
      </c>
      <c r="I3479" s="2" t="s">
        <v>9320</v>
      </c>
      <c r="J3479" s="3" t="str">
        <f>HYPERLINK("https://www.boe.es/gazeta/dias/1812/07/22/pdfs/GMD-1812-204.pdf#page=2","Abrir facsímil")</f>
        <v>Abrir facsímil</v>
      </c>
      <c r="K3479" s="3" t="s">
        <v>23</v>
      </c>
    </row>
    <row r="3480" spans="1:11" ht="42" customHeight="1">
      <c r="A3480" s="2" t="s">
        <v>9303</v>
      </c>
      <c r="B3480" s="2" t="s">
        <v>9303</v>
      </c>
      <c r="C3480" s="2" t="s">
        <v>26</v>
      </c>
      <c r="D3480" s="2" t="s">
        <v>27</v>
      </c>
      <c r="E3480" s="4">
        <v>-31934</v>
      </c>
      <c r="F3480" s="3" t="s">
        <v>6490</v>
      </c>
      <c r="G3480" s="3" t="s">
        <v>233</v>
      </c>
      <c r="H3480" s="2" t="s">
        <v>21</v>
      </c>
      <c r="I3480" s="2" t="s">
        <v>9321</v>
      </c>
      <c r="J3480" s="3" t="str">
        <f>HYPERLINK("https://www.boe.es/gazeta/dias/1812/07/25/pdfs/GMD-1812-207.pdf#page=2","Abrir facsímil")</f>
        <v>Abrir facsímil</v>
      </c>
      <c r="K3480" s="3" t="s">
        <v>23</v>
      </c>
    </row>
    <row r="3481" spans="1:11" ht="42" customHeight="1">
      <c r="A3481" s="2" t="s">
        <v>9303</v>
      </c>
      <c r="B3481" s="2" t="s">
        <v>9303</v>
      </c>
      <c r="C3481" s="2" t="s">
        <v>26</v>
      </c>
      <c r="D3481" s="2" t="s">
        <v>275</v>
      </c>
      <c r="E3481" s="4">
        <v>-31922</v>
      </c>
      <c r="F3481" s="3" t="s">
        <v>622</v>
      </c>
      <c r="G3481" s="3" t="s">
        <v>623</v>
      </c>
      <c r="H3481" s="2" t="s">
        <v>21</v>
      </c>
      <c r="I3481" s="2" t="s">
        <v>9322</v>
      </c>
      <c r="J3481" s="3" t="str">
        <f>HYPERLINK("https://www.boe.es/gazeta/dias/1812/08/06/pdfs/GMD-1812-219.pdf#page=1","Abrir facsímil")</f>
        <v>Abrir facsímil</v>
      </c>
      <c r="K3481" s="3" t="s">
        <v>23</v>
      </c>
    </row>
    <row r="3482" spans="1:11" ht="42" customHeight="1">
      <c r="A3482" s="2" t="s">
        <v>9323</v>
      </c>
      <c r="B3482" s="2" t="s">
        <v>9324</v>
      </c>
      <c r="C3482" s="2" t="s">
        <v>105</v>
      </c>
      <c r="D3482" s="2" t="s">
        <v>27</v>
      </c>
      <c r="E3482" s="4">
        <v>-31922</v>
      </c>
      <c r="F3482" s="3" t="s">
        <v>375</v>
      </c>
      <c r="G3482" s="3" t="s">
        <v>986</v>
      </c>
      <c r="H3482" s="2" t="s">
        <v>21</v>
      </c>
      <c r="I3482" s="2" t="s">
        <v>9325</v>
      </c>
      <c r="J3482" s="3" t="str">
        <f>HYPERLINK("https://www.boe.es/gazeta/dias/1812/08/06/pdfs/GRE-1812-100.pdf#page=8","Abrir facsímil")</f>
        <v>Abrir facsímil</v>
      </c>
      <c r="K3482" s="3" t="s">
        <v>23</v>
      </c>
    </row>
    <row r="3483" spans="1:11" ht="42" customHeight="1">
      <c r="A3483" s="2" t="s">
        <v>9326</v>
      </c>
      <c r="B3483" s="2" t="s">
        <v>9327</v>
      </c>
      <c r="C3483" s="2" t="s">
        <v>67</v>
      </c>
      <c r="D3483" s="2" t="s">
        <v>275</v>
      </c>
      <c r="E3483" s="4">
        <v>-32123</v>
      </c>
      <c r="F3483" s="3" t="s">
        <v>3501</v>
      </c>
      <c r="G3483" s="3" t="s">
        <v>965</v>
      </c>
      <c r="H3483" s="2" t="s">
        <v>21</v>
      </c>
      <c r="I3483" s="2" t="s">
        <v>9328</v>
      </c>
      <c r="J3483" s="3" t="str">
        <f>HYPERLINK("https://www.boe.es/gazeta/dias/1812/01/18/pdfs/GEI-1812-8.pdf#page=8","Abrir facsímil")</f>
        <v>Abrir facsímil</v>
      </c>
      <c r="K3483" s="3" t="s">
        <v>23</v>
      </c>
    </row>
    <row r="3484" spans="1:11" ht="42" customHeight="1">
      <c r="A3484" s="2" t="s">
        <v>9329</v>
      </c>
      <c r="B3484" s="2" t="s">
        <v>9330</v>
      </c>
      <c r="C3484" s="2" t="s">
        <v>26</v>
      </c>
      <c r="D3484" s="2" t="s">
        <v>27</v>
      </c>
      <c r="E3484" s="4">
        <v>-32088</v>
      </c>
      <c r="F3484" s="3" t="s">
        <v>1217</v>
      </c>
      <c r="G3484" s="3" t="s">
        <v>1218</v>
      </c>
      <c r="H3484" s="2" t="s">
        <v>21</v>
      </c>
      <c r="I3484" s="2" t="s">
        <v>9331</v>
      </c>
      <c r="J3484" s="3" t="str">
        <f>HYPERLINK("https://www.boe.es/gazeta/dias/1812/02/22/pdfs/GMD-1812-53.pdf#page=4","Abrir facsímil")</f>
        <v>Abrir facsímil</v>
      </c>
      <c r="K3484" s="3" t="s">
        <v>23</v>
      </c>
    </row>
    <row r="3485" spans="1:11" ht="42" customHeight="1">
      <c r="A3485" s="2" t="s">
        <v>9332</v>
      </c>
      <c r="B3485" s="2" t="s">
        <v>9333</v>
      </c>
      <c r="C3485" s="2" t="s">
        <v>26</v>
      </c>
      <c r="D3485" s="2" t="s">
        <v>27</v>
      </c>
      <c r="E3485" s="4">
        <v>-31940</v>
      </c>
      <c r="F3485" s="3" t="s">
        <v>187</v>
      </c>
      <c r="G3485" s="3" t="s">
        <v>404</v>
      </c>
      <c r="H3485" s="2" t="s">
        <v>21</v>
      </c>
      <c r="I3485" s="2" t="s">
        <v>9334</v>
      </c>
      <c r="J3485" s="3" t="str">
        <f>HYPERLINK("https://www.boe.es/gazeta/dias/1812/07/19/pdfs/GMD-1812-201.pdf#page=3","Abrir facsímil")</f>
        <v>Abrir facsímil</v>
      </c>
      <c r="K3485" s="3" t="s">
        <v>23</v>
      </c>
    </row>
    <row r="3486" spans="1:11" ht="42" customHeight="1">
      <c r="A3486" s="2" t="s">
        <v>9335</v>
      </c>
      <c r="B3486" s="2" t="s">
        <v>9336</v>
      </c>
      <c r="C3486" s="2" t="s">
        <v>17</v>
      </c>
      <c r="D3486" s="2" t="s">
        <v>275</v>
      </c>
      <c r="E3486" s="4">
        <v>-32063</v>
      </c>
      <c r="F3486" s="3" t="s">
        <v>384</v>
      </c>
      <c r="G3486" s="3" t="s">
        <v>20</v>
      </c>
      <c r="H3486" s="2" t="s">
        <v>21</v>
      </c>
      <c r="I3486" s="2" t="s">
        <v>9337</v>
      </c>
      <c r="J3486" s="3" t="str">
        <f>HYPERLINK("https://www.boe.es/gazeta/dias/1812/03/18/pdfs/GMD-1812-78.pdf#page=4","Abrir facsímil")</f>
        <v>Abrir facsímil</v>
      </c>
      <c r="K3486" s="3" t="s">
        <v>23</v>
      </c>
    </row>
    <row r="3487" spans="1:11" ht="42" customHeight="1">
      <c r="A3487" s="2" t="s">
        <v>9338</v>
      </c>
      <c r="B3487" s="2" t="s">
        <v>9338</v>
      </c>
      <c r="C3487" s="2" t="s">
        <v>26</v>
      </c>
      <c r="D3487" s="2" t="s">
        <v>27</v>
      </c>
      <c r="E3487" s="4">
        <v>-32005</v>
      </c>
      <c r="F3487" s="3" t="s">
        <v>2696</v>
      </c>
      <c r="G3487" s="3" t="s">
        <v>140</v>
      </c>
      <c r="H3487" s="2" t="s">
        <v>21</v>
      </c>
      <c r="I3487" s="2" t="s">
        <v>9339</v>
      </c>
      <c r="J3487" s="3" t="str">
        <f>HYPERLINK("https://www.boe.es/gazeta/dias/1812/05/15/pdfs/GMD-1812-136.pdf#page=2","Abrir facsímil")</f>
        <v>Abrir facsímil</v>
      </c>
      <c r="K3487" s="3" t="s">
        <v>23</v>
      </c>
    </row>
    <row r="3488" spans="1:11" ht="42" customHeight="1">
      <c r="A3488" s="2" t="s">
        <v>9340</v>
      </c>
      <c r="B3488" s="2" t="s">
        <v>9340</v>
      </c>
      <c r="C3488" s="2" t="s">
        <v>26</v>
      </c>
      <c r="D3488" s="2" t="s">
        <v>27</v>
      </c>
      <c r="E3488" s="4">
        <v>-31940</v>
      </c>
      <c r="F3488" s="3" t="s">
        <v>187</v>
      </c>
      <c r="G3488" s="3" t="s">
        <v>404</v>
      </c>
      <c r="H3488" s="2" t="s">
        <v>21</v>
      </c>
      <c r="I3488" s="2" t="s">
        <v>9341</v>
      </c>
      <c r="J3488" s="3" t="str">
        <f>HYPERLINK("https://www.boe.es/gazeta/dias/1812/07/19/pdfs/GMD-1812-201.pdf#page=3","Abrir facsímil")</f>
        <v>Abrir facsímil</v>
      </c>
      <c r="K3488" s="3" t="s">
        <v>23</v>
      </c>
    </row>
    <row r="3489" spans="1:11" ht="42" customHeight="1">
      <c r="A3489" s="2" t="s">
        <v>9342</v>
      </c>
      <c r="B3489" s="2" t="s">
        <v>9343</v>
      </c>
      <c r="C3489" s="2" t="s">
        <v>17</v>
      </c>
      <c r="D3489" s="2" t="s">
        <v>27</v>
      </c>
      <c r="E3489" s="4">
        <v>-32110</v>
      </c>
      <c r="F3489" s="3" t="s">
        <v>68</v>
      </c>
      <c r="G3489" s="3" t="s">
        <v>20</v>
      </c>
      <c r="H3489" s="2" t="s">
        <v>21</v>
      </c>
      <c r="I3489" s="2" t="s">
        <v>9344</v>
      </c>
      <c r="J3489" s="3" t="str">
        <f>HYPERLINK("https://www.boe.es/gazeta/dias/1812/01/31/pdfs/GMD-1812-31.pdf#page=3","Abrir facsímil")</f>
        <v>Abrir facsímil</v>
      </c>
      <c r="K3489" s="3" t="s">
        <v>23</v>
      </c>
    </row>
    <row r="3490" spans="1:11" ht="42" customHeight="1">
      <c r="A3490" s="2" t="s">
        <v>9345</v>
      </c>
      <c r="B3490" s="2" t="s">
        <v>9346</v>
      </c>
      <c r="C3490" s="2" t="s">
        <v>26</v>
      </c>
      <c r="D3490" s="2" t="s">
        <v>27</v>
      </c>
      <c r="E3490" s="4">
        <v>-31940</v>
      </c>
      <c r="F3490" s="3" t="s">
        <v>187</v>
      </c>
      <c r="G3490" s="3" t="s">
        <v>404</v>
      </c>
      <c r="H3490" s="2" t="s">
        <v>21</v>
      </c>
      <c r="I3490" s="2" t="s">
        <v>9347</v>
      </c>
      <c r="J3490" s="3" t="str">
        <f>HYPERLINK("https://www.boe.es/gazeta/dias/1812/07/19/pdfs/GMD-1812-201.pdf#page=3","Abrir facsímil")</f>
        <v>Abrir facsímil</v>
      </c>
      <c r="K3490" s="3" t="s">
        <v>23</v>
      </c>
    </row>
    <row r="3491" spans="1:11" ht="42" customHeight="1">
      <c r="A3491" s="2" t="s">
        <v>9348</v>
      </c>
      <c r="B3491" s="2" t="s">
        <v>9349</v>
      </c>
      <c r="C3491" s="2" t="s">
        <v>26</v>
      </c>
      <c r="D3491" s="2" t="s">
        <v>134</v>
      </c>
      <c r="E3491" s="4">
        <v>-31983</v>
      </c>
      <c r="F3491" s="3" t="s">
        <v>1437</v>
      </c>
      <c r="G3491" s="3" t="s">
        <v>1438</v>
      </c>
      <c r="H3491" s="2" t="s">
        <v>21</v>
      </c>
      <c r="I3491" s="2" t="s">
        <v>9350</v>
      </c>
      <c r="J3491" s="3" t="str">
        <f>HYPERLINK("https://www.boe.es/gazeta/dias/1812/06/06/pdfs/GRE-F-1812-70.pdf#page=4","Abrir facsímil")</f>
        <v>Abrir facsímil</v>
      </c>
      <c r="K3491" s="3" t="s">
        <v>23</v>
      </c>
    </row>
    <row r="3492" spans="1:11" ht="42" customHeight="1">
      <c r="A3492" s="2" t="s">
        <v>9351</v>
      </c>
      <c r="B3492" s="2" t="s">
        <v>9352</v>
      </c>
      <c r="C3492" s="2" t="s">
        <v>82</v>
      </c>
      <c r="D3492" s="2" t="s">
        <v>27</v>
      </c>
      <c r="E3492" s="4">
        <v>-31969</v>
      </c>
      <c r="F3492" s="3" t="s">
        <v>83</v>
      </c>
      <c r="G3492" s="3" t="s">
        <v>84</v>
      </c>
      <c r="H3492" s="2" t="s">
        <v>21</v>
      </c>
      <c r="I3492" s="2" t="s">
        <v>9353</v>
      </c>
      <c r="J3492" s="3" t="str">
        <f>HYPERLINK("https://www.boe.es/gazeta/dias/1812/06/20/pdfs/GRE-1812-76.pdf#page=8","Abrir facsímil")</f>
        <v>Abrir facsímil</v>
      </c>
      <c r="K3492" s="3" t="s">
        <v>23</v>
      </c>
    </row>
    <row r="3493" spans="1:11" ht="42" customHeight="1">
      <c r="A3493" s="2" t="s">
        <v>9354</v>
      </c>
      <c r="B3493" s="2" t="s">
        <v>9354</v>
      </c>
      <c r="C3493" s="2" t="s">
        <v>17</v>
      </c>
      <c r="D3493" s="2" t="s">
        <v>27</v>
      </c>
      <c r="E3493" s="4">
        <v>-31943</v>
      </c>
      <c r="F3493" s="3" t="s">
        <v>2825</v>
      </c>
      <c r="G3493" s="3" t="s">
        <v>3095</v>
      </c>
      <c r="H3493" s="2" t="s">
        <v>21</v>
      </c>
      <c r="I3493" s="2" t="s">
        <v>9355</v>
      </c>
      <c r="J3493" s="3" t="str">
        <f>HYPERLINK("https://www.boe.es/gazeta/dias/1812/07/16/pdfs/GRE-1812-89.pdf#page=7","Abrir facsímil")</f>
        <v>Abrir facsímil</v>
      </c>
      <c r="K3493" s="3" t="s">
        <v>23</v>
      </c>
    </row>
    <row r="3494" spans="1:11" ht="42" customHeight="1">
      <c r="A3494" s="2" t="s">
        <v>9356</v>
      </c>
      <c r="B3494" s="2" t="s">
        <v>9357</v>
      </c>
      <c r="C3494" s="2" t="s">
        <v>26</v>
      </c>
      <c r="D3494" s="2" t="s">
        <v>27</v>
      </c>
      <c r="E3494" s="4">
        <v>-32034</v>
      </c>
      <c r="F3494" s="3" t="s">
        <v>28</v>
      </c>
      <c r="G3494" s="3" t="s">
        <v>130</v>
      </c>
      <c r="H3494" s="2" t="s">
        <v>21</v>
      </c>
      <c r="I3494" s="2" t="s">
        <v>9358</v>
      </c>
      <c r="J3494" s="3" t="str">
        <f>HYPERLINK("https://www.boe.es/gazeta/dias/1812/04/16/pdfs/GMD-1812-107.pdf#page=4","Abrir facsímil")</f>
        <v>Abrir facsímil</v>
      </c>
      <c r="K3494" s="3" t="s">
        <v>23</v>
      </c>
    </row>
    <row r="3495" spans="1:11" ht="42" customHeight="1">
      <c r="A3495" s="2" t="s">
        <v>9359</v>
      </c>
      <c r="B3495" s="2" t="s">
        <v>9359</v>
      </c>
      <c r="C3495" s="2" t="s">
        <v>17</v>
      </c>
      <c r="D3495" s="2" t="s">
        <v>27</v>
      </c>
      <c r="E3495" s="4">
        <v>-32128</v>
      </c>
      <c r="F3495" s="3" t="s">
        <v>1927</v>
      </c>
      <c r="G3495" s="3" t="s">
        <v>20</v>
      </c>
      <c r="H3495" s="2" t="s">
        <v>21</v>
      </c>
      <c r="I3495" s="2" t="s">
        <v>9360</v>
      </c>
      <c r="J3495" s="3" t="str">
        <f>HYPERLINK("https://www.boe.es/gazeta/dias/1812/01/13/pdfs/GMD-1812-13.pdf#page=4","Abrir facsímil")</f>
        <v>Abrir facsímil</v>
      </c>
      <c r="K3495" s="3" t="s">
        <v>23</v>
      </c>
    </row>
    <row r="3496" spans="1:11" ht="42" customHeight="1">
      <c r="A3496" s="2" t="s">
        <v>9361</v>
      </c>
      <c r="B3496" s="2" t="s">
        <v>9361</v>
      </c>
      <c r="C3496" s="2" t="s">
        <v>17</v>
      </c>
      <c r="D3496" s="2" t="s">
        <v>27</v>
      </c>
      <c r="E3496" s="4">
        <v>-31794</v>
      </c>
      <c r="F3496" s="3" t="s">
        <v>254</v>
      </c>
      <c r="G3496" s="3" t="s">
        <v>255</v>
      </c>
      <c r="H3496" s="2" t="s">
        <v>21</v>
      </c>
      <c r="I3496" s="2" t="s">
        <v>9362</v>
      </c>
      <c r="J3496" s="3" t="str">
        <f>HYPERLINK("https://www.boe.es/gazeta/dias/1812/12/12/pdfs/GMD-1812-235.pdf#page=1","Abrir facsímil")</f>
        <v>Abrir facsímil</v>
      </c>
      <c r="K3496" s="3" t="s">
        <v>23</v>
      </c>
    </row>
    <row r="3497" spans="1:11" ht="42" customHeight="1">
      <c r="A3497" s="2" t="s">
        <v>9363</v>
      </c>
      <c r="B3497" s="2" t="s">
        <v>9363</v>
      </c>
      <c r="C3497" s="2" t="s">
        <v>17</v>
      </c>
      <c r="D3497" s="2" t="s">
        <v>27</v>
      </c>
      <c r="E3497" s="4">
        <v>-32113</v>
      </c>
      <c r="F3497" s="3" t="s">
        <v>4341</v>
      </c>
      <c r="G3497" s="3" t="s">
        <v>237</v>
      </c>
      <c r="H3497" s="2" t="s">
        <v>21</v>
      </c>
      <c r="I3497" s="2" t="s">
        <v>9364</v>
      </c>
      <c r="J3497" s="3" t="str">
        <f>HYPERLINK("https://www.boe.es/gazeta/dias/1812/01/28/pdfs/GMD-1812-28.pdf#page=4","Abrir facsímil")</f>
        <v>Abrir facsímil</v>
      </c>
      <c r="K3497" s="3" t="s">
        <v>23</v>
      </c>
    </row>
    <row r="3498" spans="1:11" ht="42" customHeight="1">
      <c r="A3498" s="2" t="s">
        <v>9365</v>
      </c>
      <c r="B3498" s="2" t="s">
        <v>9365</v>
      </c>
      <c r="C3498" s="2" t="s">
        <v>17</v>
      </c>
      <c r="D3498" s="2" t="s">
        <v>18</v>
      </c>
      <c r="E3498" s="4">
        <v>-31794</v>
      </c>
      <c r="F3498" s="3" t="s">
        <v>254</v>
      </c>
      <c r="G3498" s="3" t="s">
        <v>36</v>
      </c>
      <c r="H3498" s="2" t="s">
        <v>21</v>
      </c>
      <c r="I3498" s="2" t="s">
        <v>9366</v>
      </c>
      <c r="J3498" s="3" t="str">
        <f>HYPERLINK("https://www.boe.es/gazeta/dias/1812/12/12/pdfs/GMD-1812-235.pdf#page=3","Abrir facsímil")</f>
        <v>Abrir facsímil</v>
      </c>
      <c r="K3498" s="3" t="s">
        <v>23</v>
      </c>
    </row>
    <row r="3499" spans="1:11" ht="42" customHeight="1">
      <c r="A3499" s="2" t="s">
        <v>9367</v>
      </c>
      <c r="B3499" s="2" t="s">
        <v>9368</v>
      </c>
      <c r="C3499" s="2" t="s">
        <v>17</v>
      </c>
      <c r="D3499" s="2" t="s">
        <v>27</v>
      </c>
      <c r="E3499" s="4">
        <v>-32053</v>
      </c>
      <c r="F3499" s="3" t="s">
        <v>910</v>
      </c>
      <c r="G3499" s="3" t="s">
        <v>620</v>
      </c>
      <c r="H3499" s="2" t="s">
        <v>21</v>
      </c>
      <c r="I3499" s="2" t="s">
        <v>9369</v>
      </c>
      <c r="J3499" s="3" t="str">
        <f>HYPERLINK("https://www.boe.es/gazeta/dias/1812/03/28/pdfs/GRE-1812-39.pdf#page=3","Abrir facsímil")</f>
        <v>Abrir facsímil</v>
      </c>
      <c r="K3499" s="3" t="s">
        <v>23</v>
      </c>
    </row>
    <row r="3500" spans="1:11" ht="42" customHeight="1">
      <c r="A3500" s="2" t="s">
        <v>9370</v>
      </c>
      <c r="B3500" s="2" t="s">
        <v>9371</v>
      </c>
      <c r="C3500" s="2" t="s">
        <v>26</v>
      </c>
      <c r="D3500" s="2" t="s">
        <v>27</v>
      </c>
      <c r="E3500" s="4">
        <v>-32034</v>
      </c>
      <c r="F3500" s="3" t="s">
        <v>1008</v>
      </c>
      <c r="G3500" s="3" t="s">
        <v>1009</v>
      </c>
      <c r="H3500" s="2" t="s">
        <v>21</v>
      </c>
      <c r="I3500" s="2" t="s">
        <v>9372</v>
      </c>
      <c r="J3500" s="3" t="str">
        <f>HYPERLINK("https://www.boe.es/gazeta/dias/1812/04/16/pdfs/GRE-1812-48.pdf#page=8","Abrir facsímil")</f>
        <v>Abrir facsímil</v>
      </c>
      <c r="K3500" s="3" t="s">
        <v>23</v>
      </c>
    </row>
    <row r="3501" spans="1:11" ht="42" customHeight="1">
      <c r="A3501" s="2" t="s">
        <v>9373</v>
      </c>
      <c r="B3501" s="2" t="s">
        <v>9373</v>
      </c>
      <c r="C3501" s="2" t="s">
        <v>17</v>
      </c>
      <c r="D3501" s="2" t="s">
        <v>18</v>
      </c>
      <c r="E3501" s="4">
        <v>-32053</v>
      </c>
      <c r="F3501" s="3" t="s">
        <v>910</v>
      </c>
      <c r="G3501" s="3" t="s">
        <v>214</v>
      </c>
      <c r="H3501" s="2" t="s">
        <v>21</v>
      </c>
      <c r="I3501" s="2" t="s">
        <v>9374</v>
      </c>
      <c r="J3501" s="3" t="str">
        <f>HYPERLINK("https://www.boe.es/gazeta/dias/1812/03/28/pdfs/GRE-1812-39.pdf#page=7","Abrir facsímil")</f>
        <v>Abrir facsímil</v>
      </c>
      <c r="K3501" s="3" t="s">
        <v>23</v>
      </c>
    </row>
    <row r="3502" spans="1:11" ht="42" customHeight="1">
      <c r="A3502" s="2" t="s">
        <v>9375</v>
      </c>
      <c r="B3502" s="2" t="s">
        <v>9375</v>
      </c>
      <c r="C3502" s="2" t="s">
        <v>17</v>
      </c>
      <c r="D3502" s="2" t="s">
        <v>18</v>
      </c>
      <c r="E3502" s="4">
        <v>-32001</v>
      </c>
      <c r="F3502" s="3" t="s">
        <v>1938</v>
      </c>
      <c r="G3502" s="3" t="s">
        <v>7796</v>
      </c>
      <c r="H3502" s="2" t="s">
        <v>21</v>
      </c>
      <c r="I3502" s="2" t="s">
        <v>9376</v>
      </c>
      <c r="J3502" s="3" t="str">
        <f>HYPERLINK("https://www.boe.es/gazeta/dias/1812/05/19/pdfs/GRE-1812-62.pdf#page=5","Abrir facsímil")</f>
        <v>Abrir facsímil</v>
      </c>
      <c r="K3502" s="3" t="s">
        <v>23</v>
      </c>
    </row>
    <row r="3503" spans="1:11" ht="42" customHeight="1">
      <c r="A3503" s="2" t="s">
        <v>9375</v>
      </c>
      <c r="B3503" s="2" t="s">
        <v>9375</v>
      </c>
      <c r="C3503" s="2" t="s">
        <v>17</v>
      </c>
      <c r="D3503" s="2" t="s">
        <v>27</v>
      </c>
      <c r="E3503" s="4">
        <v>-31987</v>
      </c>
      <c r="F3503" s="3" t="s">
        <v>3031</v>
      </c>
      <c r="G3503" s="3" t="s">
        <v>1842</v>
      </c>
      <c r="H3503" s="2" t="s">
        <v>21</v>
      </c>
      <c r="I3503" s="2" t="s">
        <v>9377</v>
      </c>
      <c r="J3503" s="3" t="str">
        <f>HYPERLINK("https://www.boe.es/gazeta/dias/1812/06/02/pdfs/GRE-1812-68.pdf#page=2","Abrir facsímil")</f>
        <v>Abrir facsímil</v>
      </c>
      <c r="K3503" s="3" t="s">
        <v>23</v>
      </c>
    </row>
    <row r="3504" spans="1:11" ht="42" customHeight="1">
      <c r="A3504" s="2" t="s">
        <v>9375</v>
      </c>
      <c r="B3504" s="2" t="s">
        <v>9375</v>
      </c>
      <c r="C3504" s="2" t="s">
        <v>17</v>
      </c>
      <c r="D3504" s="2" t="s">
        <v>27</v>
      </c>
      <c r="E3504" s="4">
        <v>-31987</v>
      </c>
      <c r="F3504" s="3" t="s">
        <v>3031</v>
      </c>
      <c r="G3504" s="3" t="s">
        <v>45</v>
      </c>
      <c r="H3504" s="2" t="s">
        <v>21</v>
      </c>
      <c r="I3504" s="2" t="s">
        <v>9378</v>
      </c>
      <c r="J3504" s="3" t="str">
        <f>HYPERLINK("https://www.boe.es/gazeta/dias/1812/06/02/pdfs/GRE-1812-68.pdf#page=3","Abrir facsímil")</f>
        <v>Abrir facsímil</v>
      </c>
      <c r="K3504" s="3" t="s">
        <v>23</v>
      </c>
    </row>
    <row r="3505" spans="1:11" ht="42" customHeight="1">
      <c r="A3505" s="2" t="s">
        <v>9375</v>
      </c>
      <c r="B3505" s="2" t="s">
        <v>9375</v>
      </c>
      <c r="C3505" s="2" t="s">
        <v>17</v>
      </c>
      <c r="D3505" s="2" t="s">
        <v>27</v>
      </c>
      <c r="E3505" s="4">
        <v>-31934</v>
      </c>
      <c r="F3505" s="3" t="s">
        <v>509</v>
      </c>
      <c r="G3505" s="3" t="s">
        <v>510</v>
      </c>
      <c r="H3505" s="2" t="s">
        <v>21</v>
      </c>
      <c r="I3505" s="2" t="s">
        <v>9379</v>
      </c>
      <c r="J3505" s="3" t="str">
        <f>HYPERLINK("https://www.boe.es/gazeta/dias/1812/07/25/pdfs/GRE-1812-93.pdf#page=5","Abrir facsímil")</f>
        <v>Abrir facsímil</v>
      </c>
      <c r="K3505" s="3" t="s">
        <v>23</v>
      </c>
    </row>
    <row r="3506" spans="1:11" ht="42" customHeight="1">
      <c r="A3506" s="2" t="s">
        <v>9375</v>
      </c>
      <c r="B3506" s="2" t="s">
        <v>9375</v>
      </c>
      <c r="C3506" s="2" t="s">
        <v>17</v>
      </c>
      <c r="D3506" s="2" t="s">
        <v>27</v>
      </c>
      <c r="E3506" s="4">
        <v>-31892</v>
      </c>
      <c r="F3506" s="3" t="s">
        <v>1825</v>
      </c>
      <c r="G3506" s="3" t="s">
        <v>2156</v>
      </c>
      <c r="H3506" s="2" t="s">
        <v>21</v>
      </c>
      <c r="I3506" s="2" t="s">
        <v>9380</v>
      </c>
      <c r="J3506" s="3" t="str">
        <f>HYPERLINK("https://www.boe.es/gazeta/dias/1812/09/05/pdfs/GMR-1812-10.pdf#page=10","Abrir facsímil")</f>
        <v>Abrir facsímil</v>
      </c>
      <c r="K3506" s="3" t="s">
        <v>23</v>
      </c>
    </row>
    <row r="3507" spans="1:11" ht="42" customHeight="1">
      <c r="A3507" s="2" t="s">
        <v>9375</v>
      </c>
      <c r="B3507" s="2" t="s">
        <v>9375</v>
      </c>
      <c r="C3507" s="2" t="s">
        <v>17</v>
      </c>
      <c r="D3507" s="2" t="s">
        <v>18</v>
      </c>
      <c r="E3507" s="4">
        <v>-31889</v>
      </c>
      <c r="F3507" s="3" t="s">
        <v>699</v>
      </c>
      <c r="G3507" s="3" t="s">
        <v>125</v>
      </c>
      <c r="H3507" s="2" t="s">
        <v>21</v>
      </c>
      <c r="I3507" s="2" t="s">
        <v>9381</v>
      </c>
      <c r="J3507" s="3" t="str">
        <f>HYPERLINK("https://www.boe.es/gazeta/dias/1812/09/08/pdfs/GMR-1812-11.pdf#page=7","Abrir facsímil")</f>
        <v>Abrir facsímil</v>
      </c>
      <c r="K3507" s="3" t="s">
        <v>23</v>
      </c>
    </row>
    <row r="3508" spans="1:11" ht="42" customHeight="1">
      <c r="A3508" s="2" t="s">
        <v>9375</v>
      </c>
      <c r="B3508" s="2" t="s">
        <v>9375</v>
      </c>
      <c r="C3508" s="2" t="s">
        <v>17</v>
      </c>
      <c r="D3508" s="2" t="s">
        <v>18</v>
      </c>
      <c r="E3508" s="4">
        <v>-31885</v>
      </c>
      <c r="F3508" s="3" t="s">
        <v>750</v>
      </c>
      <c r="G3508" s="3" t="s">
        <v>214</v>
      </c>
      <c r="H3508" s="2" t="s">
        <v>21</v>
      </c>
      <c r="I3508" s="2" t="s">
        <v>9382</v>
      </c>
      <c r="J3508" s="3" t="str">
        <f>HYPERLINK("https://www.boe.es/gazeta/dias/1812/09/12/pdfs/GMR-1812-13.pdf#page=5","Abrir facsímil")</f>
        <v>Abrir facsímil</v>
      </c>
      <c r="K3508" s="3" t="s">
        <v>23</v>
      </c>
    </row>
    <row r="3509" spans="1:11" ht="42" customHeight="1">
      <c r="A3509" s="2" t="s">
        <v>9375</v>
      </c>
      <c r="B3509" s="2" t="s">
        <v>9375</v>
      </c>
      <c r="C3509" s="2" t="s">
        <v>17</v>
      </c>
      <c r="D3509" s="2" t="s">
        <v>134</v>
      </c>
      <c r="E3509" s="4">
        <v>-31880</v>
      </c>
      <c r="F3509" s="3" t="s">
        <v>9383</v>
      </c>
      <c r="G3509" s="3" t="s">
        <v>9384</v>
      </c>
      <c r="H3509" s="2" t="s">
        <v>21</v>
      </c>
      <c r="I3509" s="2" t="s">
        <v>9385</v>
      </c>
      <c r="J3509" s="3" t="str">
        <f>HYPERLINK("https://www.boe.es/gazeta/dias/1812/09/17/pdfs/GRE-F-1812-126.pdf#page=4","Abrir facsímil")</f>
        <v>Abrir facsímil</v>
      </c>
      <c r="K3509" s="3" t="s">
        <v>23</v>
      </c>
    </row>
    <row r="3510" spans="1:11" ht="42" customHeight="1">
      <c r="A3510" s="2" t="s">
        <v>9375</v>
      </c>
      <c r="B3510" s="2" t="s">
        <v>9375</v>
      </c>
      <c r="C3510" s="2" t="s">
        <v>17</v>
      </c>
      <c r="D3510" s="2" t="s">
        <v>27</v>
      </c>
      <c r="E3510" s="4">
        <v>-31840</v>
      </c>
      <c r="F3510" s="3" t="s">
        <v>2181</v>
      </c>
      <c r="G3510" s="3" t="s">
        <v>1076</v>
      </c>
      <c r="H3510" s="2" t="s">
        <v>21</v>
      </c>
      <c r="I3510" s="2" t="s">
        <v>9386</v>
      </c>
      <c r="J3510" s="3" t="str">
        <f>HYPERLINK("https://www.boe.es/gazeta/dias/1812/10/27/pdfs/GMR-1812-32.pdf#page=6","Abrir facsímil")</f>
        <v>Abrir facsímil</v>
      </c>
      <c r="K3510" s="3" t="s">
        <v>23</v>
      </c>
    </row>
    <row r="3511" spans="1:11" ht="42" customHeight="1">
      <c r="A3511" s="2" t="s">
        <v>9387</v>
      </c>
      <c r="B3511" s="2" t="s">
        <v>9388</v>
      </c>
      <c r="C3511" s="2" t="s">
        <v>105</v>
      </c>
      <c r="D3511" s="2" t="s">
        <v>27</v>
      </c>
      <c r="E3511" s="4">
        <v>-32100</v>
      </c>
      <c r="F3511" s="3" t="s">
        <v>492</v>
      </c>
      <c r="G3511" s="3" t="s">
        <v>493</v>
      </c>
      <c r="H3511" s="2" t="s">
        <v>21</v>
      </c>
      <c r="I3511" s="2" t="s">
        <v>9389</v>
      </c>
      <c r="J3511" s="3" t="str">
        <f>HYPERLINK("https://www.boe.es/gazeta/dias/1812/02/10/pdfs/GRE-1812-31.pdf#page=8","Abrir facsímil")</f>
        <v>Abrir facsímil</v>
      </c>
      <c r="K3511" s="3" t="s">
        <v>23</v>
      </c>
    </row>
    <row r="3512" spans="1:11" ht="42" customHeight="1">
      <c r="A3512" s="2" t="s">
        <v>9387</v>
      </c>
      <c r="B3512" s="2" t="s">
        <v>9388</v>
      </c>
      <c r="C3512" s="2" t="s">
        <v>105</v>
      </c>
      <c r="D3512" s="2" t="s">
        <v>27</v>
      </c>
      <c r="E3512" s="4">
        <v>-32071</v>
      </c>
      <c r="F3512" s="3" t="s">
        <v>492</v>
      </c>
      <c r="G3512" s="3" t="s">
        <v>493</v>
      </c>
      <c r="H3512" s="2" t="s">
        <v>21</v>
      </c>
      <c r="I3512" s="2" t="s">
        <v>9389</v>
      </c>
      <c r="J3512" s="3" t="str">
        <f>HYPERLINK("https://www.boe.es/gazeta/dias/1812/03/10/pdfs/GRE-1812-31.pdf#page=8","Abrir facsímil")</f>
        <v>Abrir facsímil</v>
      </c>
      <c r="K3512" s="3" t="s">
        <v>23</v>
      </c>
    </row>
    <row r="3513" spans="1:11" ht="42" customHeight="1">
      <c r="A3513" s="2" t="s">
        <v>9390</v>
      </c>
      <c r="B3513" s="2" t="s">
        <v>9390</v>
      </c>
      <c r="C3513" s="2" t="s">
        <v>17</v>
      </c>
      <c r="D3513" s="2" t="s">
        <v>18</v>
      </c>
      <c r="E3513" s="4">
        <v>-32034</v>
      </c>
      <c r="F3513" s="3" t="s">
        <v>1008</v>
      </c>
      <c r="G3513" s="3" t="s">
        <v>6450</v>
      </c>
      <c r="H3513" s="2" t="s">
        <v>21</v>
      </c>
      <c r="I3513" s="2" t="s">
        <v>9391</v>
      </c>
      <c r="J3513" s="3" t="str">
        <f>HYPERLINK("https://www.boe.es/gazeta/dias/1812/04/16/pdfs/GRE-1812-48.pdf#page=1","Abrir facsímil")</f>
        <v>Abrir facsímil</v>
      </c>
      <c r="K3513" s="3" t="s">
        <v>23</v>
      </c>
    </row>
    <row r="3514" spans="1:11" ht="42" customHeight="1">
      <c r="A3514" s="2" t="s">
        <v>9390</v>
      </c>
      <c r="B3514" s="2" t="s">
        <v>9390</v>
      </c>
      <c r="C3514" s="2" t="s">
        <v>17</v>
      </c>
      <c r="D3514" s="2" t="s">
        <v>27</v>
      </c>
      <c r="E3514" s="4">
        <v>-32034</v>
      </c>
      <c r="F3514" s="3" t="s">
        <v>1008</v>
      </c>
      <c r="G3514" s="3" t="s">
        <v>9392</v>
      </c>
      <c r="H3514" s="2" t="s">
        <v>21</v>
      </c>
      <c r="I3514" s="2" t="s">
        <v>9393</v>
      </c>
      <c r="J3514" s="3" t="str">
        <f>HYPERLINK("https://www.boe.es/gazeta/dias/1812/04/16/pdfs/GRE-1812-48.pdf#page=2","Abrir facsímil")</f>
        <v>Abrir facsímil</v>
      </c>
      <c r="K3514" s="3" t="s">
        <v>23</v>
      </c>
    </row>
    <row r="3515" spans="1:11" ht="42" customHeight="1">
      <c r="A3515" s="2" t="s">
        <v>9390</v>
      </c>
      <c r="B3515" s="2" t="s">
        <v>9390</v>
      </c>
      <c r="C3515" s="2" t="s">
        <v>17</v>
      </c>
      <c r="D3515" s="2" t="s">
        <v>27</v>
      </c>
      <c r="E3515" s="4">
        <v>-32034</v>
      </c>
      <c r="F3515" s="3" t="s">
        <v>1008</v>
      </c>
      <c r="G3515" s="3" t="s">
        <v>36</v>
      </c>
      <c r="H3515" s="2" t="s">
        <v>21</v>
      </c>
      <c r="I3515" s="2" t="s">
        <v>9394</v>
      </c>
      <c r="J3515" s="3" t="str">
        <f>HYPERLINK("https://www.boe.es/gazeta/dias/1812/04/16/pdfs/GRE-1812-48.pdf#page=3","Abrir facsímil")</f>
        <v>Abrir facsímil</v>
      </c>
      <c r="K3515" s="3" t="s">
        <v>23</v>
      </c>
    </row>
    <row r="3516" spans="1:11" ht="42" customHeight="1">
      <c r="A3516" s="2" t="s">
        <v>9390</v>
      </c>
      <c r="B3516" s="2" t="s">
        <v>9390</v>
      </c>
      <c r="C3516" s="2" t="s">
        <v>17</v>
      </c>
      <c r="D3516" s="2" t="s">
        <v>27</v>
      </c>
      <c r="E3516" s="4">
        <v>-32034</v>
      </c>
      <c r="F3516" s="3" t="s">
        <v>1008</v>
      </c>
      <c r="G3516" s="3" t="s">
        <v>2708</v>
      </c>
      <c r="H3516" s="2" t="s">
        <v>21</v>
      </c>
      <c r="I3516" s="2" t="s">
        <v>9395</v>
      </c>
      <c r="J3516" s="3" t="str">
        <f>HYPERLINK("https://www.boe.es/gazeta/dias/1812/04/16/pdfs/GRE-1812-48.pdf#page=4","Abrir facsímil")</f>
        <v>Abrir facsímil</v>
      </c>
      <c r="K3516" s="3" t="s">
        <v>23</v>
      </c>
    </row>
    <row r="3517" spans="1:11" ht="42" customHeight="1">
      <c r="A3517" s="2" t="s">
        <v>9390</v>
      </c>
      <c r="B3517" s="2" t="s">
        <v>9390</v>
      </c>
      <c r="C3517" s="2" t="s">
        <v>17</v>
      </c>
      <c r="D3517" s="2" t="s">
        <v>18</v>
      </c>
      <c r="E3517" s="4">
        <v>-31798</v>
      </c>
      <c r="F3517" s="3" t="s">
        <v>1849</v>
      </c>
      <c r="G3517" s="3" t="s">
        <v>2280</v>
      </c>
      <c r="H3517" s="2" t="s">
        <v>21</v>
      </c>
      <c r="I3517" s="2" t="s">
        <v>9396</v>
      </c>
      <c r="J3517" s="3" t="str">
        <f>HYPERLINK("https://www.boe.es/gazeta/dias/1812/12/08/pdfs/GMD-1812-231.pdf#page=4","Abrir facsímil")</f>
        <v>Abrir facsímil</v>
      </c>
      <c r="K3517" s="3" t="s">
        <v>23</v>
      </c>
    </row>
    <row r="3518" spans="1:11" ht="42" customHeight="1">
      <c r="A3518" s="2" t="s">
        <v>9390</v>
      </c>
      <c r="B3518" s="2" t="s">
        <v>9390</v>
      </c>
      <c r="C3518" s="2" t="s">
        <v>17</v>
      </c>
      <c r="D3518" s="2" t="s">
        <v>27</v>
      </c>
      <c r="E3518" s="4">
        <v>-31784</v>
      </c>
      <c r="F3518" s="3" t="s">
        <v>1648</v>
      </c>
      <c r="G3518" s="3" t="s">
        <v>45</v>
      </c>
      <c r="H3518" s="2" t="s">
        <v>21</v>
      </c>
      <c r="I3518" s="2" t="s">
        <v>9397</v>
      </c>
      <c r="J3518" s="3" t="str">
        <f>HYPERLINK("https://www.boe.es/gazeta/dias/1812/12/22/pdfs/GMD-1812-245.pdf#page=2","Abrir facsímil")</f>
        <v>Abrir facsímil</v>
      </c>
      <c r="K3518" s="3" t="s">
        <v>23</v>
      </c>
    </row>
    <row r="3519" spans="1:11" ht="42" customHeight="1">
      <c r="A3519" s="2" t="s">
        <v>9398</v>
      </c>
      <c r="B3519" s="2" t="s">
        <v>9399</v>
      </c>
      <c r="C3519" s="2" t="s">
        <v>26</v>
      </c>
      <c r="D3519" s="2" t="s">
        <v>27</v>
      </c>
      <c r="E3519" s="4">
        <v>-31936</v>
      </c>
      <c r="F3519" s="3" t="s">
        <v>603</v>
      </c>
      <c r="G3519" s="3" t="s">
        <v>2410</v>
      </c>
      <c r="H3519" s="2" t="s">
        <v>21</v>
      </c>
      <c r="I3519" s="2" t="s">
        <v>9400</v>
      </c>
      <c r="J3519" s="3" t="str">
        <f>HYPERLINK("https://www.boe.es/gazeta/dias/1812/07/23/pdfs/GMD-1812-205.pdf#page=4","Abrir facsímil")</f>
        <v>Abrir facsímil</v>
      </c>
      <c r="K3519" s="3" t="s">
        <v>23</v>
      </c>
    </row>
    <row r="3520" spans="1:11" ht="42" customHeight="1">
      <c r="A3520" s="2" t="s">
        <v>9401</v>
      </c>
      <c r="B3520" s="2" t="s">
        <v>9402</v>
      </c>
      <c r="C3520" s="2" t="s">
        <v>26</v>
      </c>
      <c r="D3520" s="2" t="s">
        <v>27</v>
      </c>
      <c r="E3520" s="4">
        <v>-32032</v>
      </c>
      <c r="F3520" s="3" t="s">
        <v>421</v>
      </c>
      <c r="G3520" s="3" t="s">
        <v>106</v>
      </c>
      <c r="H3520" s="2" t="s">
        <v>21</v>
      </c>
      <c r="I3520" s="2" t="s">
        <v>9403</v>
      </c>
      <c r="J3520" s="3" t="str">
        <f>HYPERLINK("https://www.boe.es/gazeta/dias/1812/04/18/pdfs/GRE-1812-49.pdf#page=4","Abrir facsímil")</f>
        <v>Abrir facsímil</v>
      </c>
      <c r="K3520" s="3" t="s">
        <v>23</v>
      </c>
    </row>
    <row r="3521" spans="1:11" ht="42" customHeight="1">
      <c r="A3521" s="2" t="s">
        <v>9404</v>
      </c>
      <c r="B3521" s="2" t="s">
        <v>9404</v>
      </c>
      <c r="C3521" s="2" t="s">
        <v>17</v>
      </c>
      <c r="D3521" s="2" t="s">
        <v>27</v>
      </c>
      <c r="E3521" s="4">
        <v>-32109</v>
      </c>
      <c r="F3521" s="3" t="s">
        <v>62</v>
      </c>
      <c r="G3521" s="3" t="s">
        <v>4101</v>
      </c>
      <c r="H3521" s="2" t="s">
        <v>21</v>
      </c>
      <c r="I3521" s="2" t="s">
        <v>9405</v>
      </c>
      <c r="J3521" s="3" t="str">
        <f>HYPERLINK("https://www.boe.es/gazeta/dias/1812/02/01/pdfs/GRE-1812-14.pdf#page=9","Abrir facsímil")</f>
        <v>Abrir facsímil</v>
      </c>
      <c r="K3521" s="3" t="s">
        <v>23</v>
      </c>
    </row>
    <row r="3522" spans="1:11" ht="42" customHeight="1">
      <c r="A3522" s="2" t="s">
        <v>9406</v>
      </c>
      <c r="B3522" s="2" t="s">
        <v>9406</v>
      </c>
      <c r="C3522" s="2" t="s">
        <v>17</v>
      </c>
      <c r="D3522" s="2" t="s">
        <v>18</v>
      </c>
      <c r="E3522" s="4">
        <v>-31787</v>
      </c>
      <c r="F3522" s="3" t="s">
        <v>1560</v>
      </c>
      <c r="G3522" s="3" t="s">
        <v>1820</v>
      </c>
      <c r="H3522" s="2" t="s">
        <v>21</v>
      </c>
      <c r="I3522" s="2" t="s">
        <v>9407</v>
      </c>
      <c r="J3522" s="3" t="str">
        <f>HYPERLINK("https://www.boe.es/gazeta/dias/1812/12/19/pdfs/GRE-1812-167.pdf#page=2","Abrir facsímil")</f>
        <v>Abrir facsímil</v>
      </c>
      <c r="K3522" s="3" t="s">
        <v>23</v>
      </c>
    </row>
    <row r="3523" spans="1:11" ht="42" customHeight="1">
      <c r="A3523" s="2" t="s">
        <v>9408</v>
      </c>
      <c r="B3523" s="2" t="s">
        <v>9408</v>
      </c>
      <c r="C3523" s="2" t="s">
        <v>17</v>
      </c>
      <c r="D3523" s="2" t="s">
        <v>27</v>
      </c>
      <c r="E3523" s="4">
        <v>-31831</v>
      </c>
      <c r="F3523" s="3" t="s">
        <v>1963</v>
      </c>
      <c r="G3523" s="3" t="s">
        <v>9409</v>
      </c>
      <c r="H3523" s="2" t="s">
        <v>21</v>
      </c>
      <c r="I3523" s="2" t="s">
        <v>9410</v>
      </c>
      <c r="J3523" s="3" t="str">
        <f>HYPERLINK("https://www.boe.es/gazeta/dias/1812/11/05/pdfs/GRE-1812-148.pdf#page=3","Abrir facsímil")</f>
        <v>Abrir facsímil</v>
      </c>
      <c r="K3523" s="3" t="s">
        <v>23</v>
      </c>
    </row>
    <row r="3524" spans="1:11" ht="42" customHeight="1">
      <c r="A3524" s="2" t="s">
        <v>9411</v>
      </c>
      <c r="B3524" s="2" t="s">
        <v>9411</v>
      </c>
      <c r="C3524" s="2" t="s">
        <v>17</v>
      </c>
      <c r="D3524" s="2" t="s">
        <v>27</v>
      </c>
      <c r="E3524" s="4">
        <v>-32013</v>
      </c>
      <c r="F3524" s="3" t="s">
        <v>849</v>
      </c>
      <c r="G3524" s="3" t="s">
        <v>1154</v>
      </c>
      <c r="H3524" s="2" t="s">
        <v>21</v>
      </c>
      <c r="I3524" s="2" t="s">
        <v>9412</v>
      </c>
      <c r="J3524" s="3" t="str">
        <f>HYPERLINK("https://www.boe.es/gazeta/dias/1812/05/07/pdfs/GRE-1812-57.pdf#page=6","Abrir facsímil")</f>
        <v>Abrir facsímil</v>
      </c>
      <c r="K3524" s="3" t="s">
        <v>23</v>
      </c>
    </row>
    <row r="3525" spans="1:11" ht="42" customHeight="1">
      <c r="A3525" s="2" t="s">
        <v>9413</v>
      </c>
      <c r="B3525" s="2" t="s">
        <v>9413</v>
      </c>
      <c r="C3525" s="2" t="s">
        <v>17</v>
      </c>
      <c r="D3525" s="2" t="s">
        <v>18</v>
      </c>
      <c r="E3525" s="4">
        <v>-32132</v>
      </c>
      <c r="F3525" s="3" t="s">
        <v>441</v>
      </c>
      <c r="G3525" s="3" t="s">
        <v>125</v>
      </c>
      <c r="H3525" s="2" t="s">
        <v>21</v>
      </c>
      <c r="I3525" s="2" t="s">
        <v>9414</v>
      </c>
      <c r="J3525" s="3" t="str">
        <f>HYPERLINK("https://www.boe.es/gazeta/dias/1812/01/09/pdfs/GMD-1812-9.pdf#page=3","Abrir facsímil")</f>
        <v>Abrir facsímil</v>
      </c>
      <c r="K3525" s="3" t="s">
        <v>23</v>
      </c>
    </row>
    <row r="3526" spans="1:11" ht="42" customHeight="1">
      <c r="A3526" s="2" t="s">
        <v>9415</v>
      </c>
      <c r="B3526" s="2" t="s">
        <v>9416</v>
      </c>
      <c r="C3526" s="2" t="s">
        <v>26</v>
      </c>
      <c r="D3526" s="2" t="s">
        <v>27</v>
      </c>
      <c r="E3526" s="4">
        <v>-31976</v>
      </c>
      <c r="F3526" s="3" t="s">
        <v>54</v>
      </c>
      <c r="G3526" s="3" t="s">
        <v>55</v>
      </c>
      <c r="H3526" s="2" t="s">
        <v>21</v>
      </c>
      <c r="I3526" s="2" t="s">
        <v>9417</v>
      </c>
      <c r="J3526" s="3" t="str">
        <f>HYPERLINK("https://www.boe.es/gazeta/dias/1812/06/13/pdfs/GRE-1812-73.pdf#page=6","Abrir facsímil")</f>
        <v>Abrir facsímil</v>
      </c>
      <c r="K3526" s="3" t="s">
        <v>23</v>
      </c>
    </row>
    <row r="3527" spans="1:11" ht="42" customHeight="1">
      <c r="A3527" s="2" t="s">
        <v>9418</v>
      </c>
      <c r="B3527" s="2" t="s">
        <v>9418</v>
      </c>
      <c r="C3527" s="2" t="s">
        <v>26</v>
      </c>
      <c r="D3527" s="2" t="s">
        <v>27</v>
      </c>
      <c r="E3527" s="4">
        <v>-32058</v>
      </c>
      <c r="F3527" s="3" t="s">
        <v>1075</v>
      </c>
      <c r="G3527" s="3" t="s">
        <v>36</v>
      </c>
      <c r="H3527" s="2" t="s">
        <v>21</v>
      </c>
      <c r="I3527" s="2" t="s">
        <v>9419</v>
      </c>
      <c r="J3527" s="3" t="str">
        <f>HYPERLINK("https://www.boe.es/gazeta/dias/1812/03/23/pdfs/GMD-1812-83.pdf#page=3","Abrir facsímil")</f>
        <v>Abrir facsímil</v>
      </c>
      <c r="K3527" s="3" t="s">
        <v>23</v>
      </c>
    </row>
    <row r="3528" spans="1:11" ht="42" customHeight="1">
      <c r="A3528" s="2" t="s">
        <v>9420</v>
      </c>
      <c r="B3528" s="2" t="s">
        <v>9421</v>
      </c>
      <c r="C3528" s="2" t="s">
        <v>26</v>
      </c>
      <c r="D3528" s="2" t="s">
        <v>27</v>
      </c>
      <c r="E3528" s="4">
        <v>-31994</v>
      </c>
      <c r="F3528" s="3" t="s">
        <v>207</v>
      </c>
      <c r="G3528" s="3" t="s">
        <v>1176</v>
      </c>
      <c r="H3528" s="2" t="s">
        <v>21</v>
      </c>
      <c r="I3528" s="2" t="s">
        <v>9422</v>
      </c>
      <c r="J3528" s="3" t="str">
        <f>HYPERLINK("https://www.boe.es/gazeta/dias/1812/05/26/pdfs/GRE-1812-65.pdf#page=8","Abrir facsímil")</f>
        <v>Abrir facsímil</v>
      </c>
      <c r="K3528" s="3" t="s">
        <v>23</v>
      </c>
    </row>
    <row r="3529" spans="1:11" ht="42" customHeight="1">
      <c r="A3529" s="2" t="s">
        <v>9423</v>
      </c>
      <c r="B3529" s="2" t="s">
        <v>9424</v>
      </c>
      <c r="C3529" s="2" t="s">
        <v>17</v>
      </c>
      <c r="D3529" s="2" t="s">
        <v>27</v>
      </c>
      <c r="E3529" s="4">
        <v>-31936</v>
      </c>
      <c r="F3529" s="3" t="s">
        <v>614</v>
      </c>
      <c r="G3529" s="3" t="s">
        <v>615</v>
      </c>
      <c r="H3529" s="2" t="s">
        <v>21</v>
      </c>
      <c r="I3529" s="2" t="s">
        <v>9425</v>
      </c>
      <c r="J3529" s="3" t="str">
        <f>HYPERLINK("https://www.boe.es/gazeta/dias/1812/07/23/pdfs/GRE-1812-92.pdf#page=8","Abrir facsímil")</f>
        <v>Abrir facsímil</v>
      </c>
      <c r="K3529" s="3" t="s">
        <v>23</v>
      </c>
    </row>
    <row r="3530" spans="1:11" ht="42" customHeight="1">
      <c r="A3530" s="2" t="s">
        <v>9426</v>
      </c>
      <c r="B3530" s="2" t="s">
        <v>9427</v>
      </c>
      <c r="C3530" s="2" t="s">
        <v>26</v>
      </c>
      <c r="D3530" s="2" t="s">
        <v>27</v>
      </c>
      <c r="E3530" s="4">
        <v>-32100</v>
      </c>
      <c r="F3530" s="3" t="s">
        <v>492</v>
      </c>
      <c r="G3530" s="3" t="s">
        <v>493</v>
      </c>
      <c r="H3530" s="2" t="s">
        <v>21</v>
      </c>
      <c r="I3530" s="2" t="s">
        <v>9428</v>
      </c>
      <c r="J3530" s="3" t="str">
        <f>HYPERLINK("https://www.boe.es/gazeta/dias/1812/02/10/pdfs/GRE-1812-31.pdf#page=8","Abrir facsímil")</f>
        <v>Abrir facsímil</v>
      </c>
      <c r="K3530" s="3" t="s">
        <v>23</v>
      </c>
    </row>
    <row r="3531" spans="1:11" ht="42" customHeight="1">
      <c r="A3531" s="2" t="s">
        <v>9426</v>
      </c>
      <c r="B3531" s="2" t="s">
        <v>9427</v>
      </c>
      <c r="C3531" s="2" t="s">
        <v>26</v>
      </c>
      <c r="D3531" s="2" t="s">
        <v>27</v>
      </c>
      <c r="E3531" s="4">
        <v>-32071</v>
      </c>
      <c r="F3531" s="3" t="s">
        <v>492</v>
      </c>
      <c r="G3531" s="3" t="s">
        <v>493</v>
      </c>
      <c r="H3531" s="2" t="s">
        <v>21</v>
      </c>
      <c r="I3531" s="2" t="s">
        <v>9428</v>
      </c>
      <c r="J3531" s="3" t="str">
        <f>HYPERLINK("https://www.boe.es/gazeta/dias/1812/03/10/pdfs/GRE-1812-31.pdf#page=8","Abrir facsímil")</f>
        <v>Abrir facsímil</v>
      </c>
      <c r="K3531" s="3" t="s">
        <v>23</v>
      </c>
    </row>
    <row r="3532" spans="1:11" ht="42" customHeight="1">
      <c r="A3532" s="2" t="s">
        <v>9429</v>
      </c>
      <c r="B3532" s="2" t="s">
        <v>9429</v>
      </c>
      <c r="C3532" s="2" t="s">
        <v>17</v>
      </c>
      <c r="D3532" s="2" t="s">
        <v>27</v>
      </c>
      <c r="E3532" s="4">
        <v>-32129</v>
      </c>
      <c r="F3532" s="3" t="s">
        <v>3162</v>
      </c>
      <c r="G3532" s="3" t="s">
        <v>1842</v>
      </c>
      <c r="H3532" s="2" t="s">
        <v>21</v>
      </c>
      <c r="I3532" s="2" t="s">
        <v>9430</v>
      </c>
      <c r="J3532" s="3" t="str">
        <f>HYPERLINK("https://www.boe.es/gazeta/dias/1812/01/12/pdfs/GMD-1812-12.pdf#page=3","Abrir facsímil")</f>
        <v>Abrir facsímil</v>
      </c>
      <c r="K3532" s="3" t="s">
        <v>23</v>
      </c>
    </row>
    <row r="3533" spans="1:11" ht="42" customHeight="1">
      <c r="A3533" s="2" t="s">
        <v>9431</v>
      </c>
      <c r="B3533" s="2" t="s">
        <v>9432</v>
      </c>
      <c r="C3533" s="2" t="s">
        <v>26</v>
      </c>
      <c r="D3533" s="2" t="s">
        <v>27</v>
      </c>
      <c r="E3533" s="4">
        <v>-31965</v>
      </c>
      <c r="F3533" s="3" t="s">
        <v>1180</v>
      </c>
      <c r="G3533" s="3" t="s">
        <v>777</v>
      </c>
      <c r="H3533" s="2" t="s">
        <v>21</v>
      </c>
      <c r="I3533" s="2" t="s">
        <v>9433</v>
      </c>
      <c r="J3533" s="3" t="str">
        <f>HYPERLINK("https://www.boe.es/gazeta/dias/1812/06/24/pdfs/GMD-1812-176.pdf#page=2","Abrir facsímil")</f>
        <v>Abrir facsímil</v>
      </c>
      <c r="K3533" s="3" t="s">
        <v>23</v>
      </c>
    </row>
    <row r="3534" spans="1:11" ht="42" customHeight="1">
      <c r="A3534" s="2" t="s">
        <v>9434</v>
      </c>
      <c r="B3534" s="2" t="s">
        <v>9435</v>
      </c>
      <c r="C3534" s="2" t="s">
        <v>26</v>
      </c>
      <c r="D3534" s="2" t="s">
        <v>27</v>
      </c>
      <c r="E3534" s="4">
        <v>-32055</v>
      </c>
      <c r="F3534" s="3" t="s">
        <v>459</v>
      </c>
      <c r="G3534" s="3" t="s">
        <v>20</v>
      </c>
      <c r="H3534" s="2" t="s">
        <v>21</v>
      </c>
      <c r="I3534" s="2" t="s">
        <v>9436</v>
      </c>
      <c r="J3534" s="3" t="str">
        <f>HYPERLINK("https://www.boe.es/gazeta/dias/1812/03/26/pdfs/GRE-1812-38.pdf#page=8","Abrir facsímil")</f>
        <v>Abrir facsímil</v>
      </c>
      <c r="K3534" s="3" t="s">
        <v>23</v>
      </c>
    </row>
    <row r="3535" spans="1:11" ht="42" customHeight="1">
      <c r="A3535" s="2" t="s">
        <v>9437</v>
      </c>
      <c r="B3535" s="2" t="s">
        <v>9438</v>
      </c>
      <c r="C3535" s="2" t="s">
        <v>26</v>
      </c>
      <c r="D3535" s="2" t="s">
        <v>573</v>
      </c>
      <c r="E3535" s="4">
        <v>-31900</v>
      </c>
      <c r="F3535" s="3" t="s">
        <v>276</v>
      </c>
      <c r="G3535" s="3" t="s">
        <v>277</v>
      </c>
      <c r="H3535" s="2" t="s">
        <v>21</v>
      </c>
      <c r="I3535" s="2" t="s">
        <v>9439</v>
      </c>
      <c r="J3535" s="3" t="str">
        <f>HYPERLINK("https://www.boe.es/gazeta/dias/1812/08/28/pdfs/GRE-1812-113E.pdf#page=8","Abrir facsímil")</f>
        <v>Abrir facsímil</v>
      </c>
      <c r="K3535" s="3" t="s">
        <v>23</v>
      </c>
    </row>
    <row r="3536" spans="1:11" ht="42" customHeight="1">
      <c r="A3536" s="2" t="s">
        <v>9440</v>
      </c>
      <c r="B3536" s="2" t="s">
        <v>9441</v>
      </c>
      <c r="C3536" s="2" t="s">
        <v>26</v>
      </c>
      <c r="D3536" s="2" t="s">
        <v>27</v>
      </c>
      <c r="E3536" s="4">
        <v>-31994</v>
      </c>
      <c r="F3536" s="3" t="s">
        <v>207</v>
      </c>
      <c r="G3536" s="3" t="s">
        <v>1176</v>
      </c>
      <c r="H3536" s="2" t="s">
        <v>21</v>
      </c>
      <c r="I3536" s="2" t="s">
        <v>9442</v>
      </c>
      <c r="J3536" s="3" t="str">
        <f>HYPERLINK("https://www.boe.es/gazeta/dias/1812/05/26/pdfs/GRE-1812-65.pdf#page=8","Abrir facsímil")</f>
        <v>Abrir facsímil</v>
      </c>
      <c r="K3536" s="3" t="s">
        <v>23</v>
      </c>
    </row>
    <row r="3537" spans="1:11" ht="42" customHeight="1">
      <c r="A3537" s="2" t="s">
        <v>9443</v>
      </c>
      <c r="B3537" s="2" t="s">
        <v>9444</v>
      </c>
      <c r="C3537" s="2" t="s">
        <v>26</v>
      </c>
      <c r="D3537" s="2" t="s">
        <v>27</v>
      </c>
      <c r="E3537" s="4">
        <v>-32034</v>
      </c>
      <c r="F3537" s="3" t="s">
        <v>1008</v>
      </c>
      <c r="G3537" s="3" t="s">
        <v>1009</v>
      </c>
      <c r="H3537" s="2" t="s">
        <v>21</v>
      </c>
      <c r="I3537" s="2" t="s">
        <v>9445</v>
      </c>
      <c r="J3537" s="3" t="str">
        <f>HYPERLINK("https://www.boe.es/gazeta/dias/1812/04/16/pdfs/GRE-1812-48.pdf#page=8","Abrir facsímil")</f>
        <v>Abrir facsímil</v>
      </c>
      <c r="K3537" s="3" t="s">
        <v>23</v>
      </c>
    </row>
    <row r="3538" spans="1:11" ht="42" customHeight="1">
      <c r="A3538" s="2" t="s">
        <v>9446</v>
      </c>
      <c r="B3538" s="2" t="s">
        <v>9447</v>
      </c>
      <c r="C3538" s="2" t="s">
        <v>26</v>
      </c>
      <c r="D3538" s="2" t="s">
        <v>27</v>
      </c>
      <c r="E3538" s="4">
        <v>-32013</v>
      </c>
      <c r="F3538" s="3" t="s">
        <v>849</v>
      </c>
      <c r="G3538" s="3" t="s">
        <v>6831</v>
      </c>
      <c r="H3538" s="2" t="s">
        <v>21</v>
      </c>
      <c r="I3538" s="2" t="s">
        <v>9448</v>
      </c>
      <c r="J3538" s="3" t="str">
        <f>HYPERLINK("https://www.boe.es/gazeta/dias/1812/05/07/pdfs/GRE-1812-57.pdf#page=3","Abrir facsímil")</f>
        <v>Abrir facsímil</v>
      </c>
      <c r="K3538" s="3" t="s">
        <v>23</v>
      </c>
    </row>
    <row r="3539" spans="1:11" ht="42" customHeight="1">
      <c r="A3539" s="2" t="s">
        <v>9449</v>
      </c>
      <c r="B3539" s="2" t="s">
        <v>9450</v>
      </c>
      <c r="C3539" s="2" t="s">
        <v>17</v>
      </c>
      <c r="D3539" s="2" t="s">
        <v>18</v>
      </c>
      <c r="E3539" s="4">
        <v>-31956</v>
      </c>
      <c r="F3539" s="3" t="s">
        <v>19</v>
      </c>
      <c r="G3539" s="3" t="s">
        <v>20</v>
      </c>
      <c r="H3539" s="2" t="s">
        <v>21</v>
      </c>
      <c r="I3539" s="2" t="s">
        <v>9451</v>
      </c>
      <c r="J3539" s="3" t="str">
        <f>HYPERLINK("https://www.boe.es/gazeta/dias/1812/07/03/pdfs/GMD-1812-185.pdf#page=2","Abrir facsímil")</f>
        <v>Abrir facsímil</v>
      </c>
      <c r="K3539" s="3" t="s">
        <v>23</v>
      </c>
    </row>
    <row r="3540" spans="1:11" ht="42" customHeight="1">
      <c r="A3540" s="2" t="s">
        <v>9452</v>
      </c>
      <c r="B3540" s="2" t="s">
        <v>9452</v>
      </c>
      <c r="C3540" s="2" t="s">
        <v>26</v>
      </c>
      <c r="D3540" s="2" t="s">
        <v>27</v>
      </c>
      <c r="E3540" s="4">
        <v>-32109</v>
      </c>
      <c r="F3540" s="3" t="s">
        <v>2637</v>
      </c>
      <c r="G3540" s="3" t="s">
        <v>58</v>
      </c>
      <c r="H3540" s="2" t="s">
        <v>21</v>
      </c>
      <c r="I3540" s="2" t="s">
        <v>9453</v>
      </c>
      <c r="J3540" s="3" t="str">
        <f>HYPERLINK("https://www.boe.es/gazeta/dias/1812/02/01/pdfs/GMD-1812-32.pdf#page=2","Abrir facsímil")</f>
        <v>Abrir facsímil</v>
      </c>
      <c r="K3540" s="3" t="s">
        <v>23</v>
      </c>
    </row>
    <row r="3541" spans="1:11" ht="42" customHeight="1">
      <c r="A3541" s="2" t="s">
        <v>9454</v>
      </c>
      <c r="B3541" s="2" t="s">
        <v>9454</v>
      </c>
      <c r="C3541" s="2" t="s">
        <v>49</v>
      </c>
      <c r="D3541" s="2" t="s">
        <v>27</v>
      </c>
      <c r="E3541" s="4">
        <v>-31778</v>
      </c>
      <c r="F3541" s="3" t="s">
        <v>1966</v>
      </c>
      <c r="G3541" s="3" t="s">
        <v>217</v>
      </c>
      <c r="H3541" s="2" t="s">
        <v>21</v>
      </c>
      <c r="I3541" s="2" t="s">
        <v>9455</v>
      </c>
      <c r="J3541" s="3" t="str">
        <f>HYPERLINK("https://www.boe.es/gazeta/dias/1812/12/28/pdfs/GMD-1812-251.pdf#page=3","Abrir facsímil")</f>
        <v>Abrir facsímil</v>
      </c>
      <c r="K3541" s="3" t="s">
        <v>23</v>
      </c>
    </row>
    <row r="3542" spans="1:11" ht="42" customHeight="1">
      <c r="A3542" s="2" t="s">
        <v>9456</v>
      </c>
      <c r="B3542" s="2" t="s">
        <v>9457</v>
      </c>
      <c r="C3542" s="2" t="s">
        <v>26</v>
      </c>
      <c r="D3542" s="2" t="s">
        <v>27</v>
      </c>
      <c r="E3542" s="4">
        <v>-32060</v>
      </c>
      <c r="F3542" s="3" t="s">
        <v>399</v>
      </c>
      <c r="G3542" s="3" t="s">
        <v>136</v>
      </c>
      <c r="H3542" s="2" t="s">
        <v>30</v>
      </c>
      <c r="I3542" s="2" t="s">
        <v>9458</v>
      </c>
      <c r="J3542" s="3" t="str">
        <f>HYPERLINK("https://www.boe.es/gazeta/dias/1812/03/21/pdfs/GMD-1812-81.pdf#page=4","Abrir facsímil")</f>
        <v>Abrir facsímil</v>
      </c>
      <c r="K3542" s="3" t="s">
        <v>32</v>
      </c>
    </row>
    <row r="3543" spans="1:11" ht="42" customHeight="1">
      <c r="A3543" s="2" t="s">
        <v>9459</v>
      </c>
      <c r="B3543" s="2" t="s">
        <v>9460</v>
      </c>
      <c r="C3543" s="2" t="s">
        <v>26</v>
      </c>
      <c r="D3543" s="2" t="s">
        <v>27</v>
      </c>
      <c r="E3543" s="4">
        <v>-31940</v>
      </c>
      <c r="F3543" s="3" t="s">
        <v>187</v>
      </c>
      <c r="G3543" s="3" t="s">
        <v>45</v>
      </c>
      <c r="H3543" s="2" t="s">
        <v>30</v>
      </c>
      <c r="I3543" s="2" t="s">
        <v>9461</v>
      </c>
      <c r="J3543" s="3" t="str">
        <f>HYPERLINK("https://www.boe.es/gazeta/dias/1812/07/19/pdfs/GMD-1812-201.pdf#page=2","Abrir facsímil")</f>
        <v>Abrir facsímil</v>
      </c>
      <c r="K3543" s="3" t="s">
        <v>32</v>
      </c>
    </row>
    <row r="3544" spans="1:11" ht="42" customHeight="1">
      <c r="A3544" s="2" t="s">
        <v>9462</v>
      </c>
      <c r="B3544" s="2" t="s">
        <v>9463</v>
      </c>
      <c r="C3544" s="2" t="s">
        <v>26</v>
      </c>
      <c r="D3544" s="2" t="s">
        <v>27</v>
      </c>
      <c r="E3544" s="4">
        <v>-32110</v>
      </c>
      <c r="F3544" s="3" t="s">
        <v>68</v>
      </c>
      <c r="G3544" s="3" t="s">
        <v>20</v>
      </c>
      <c r="H3544" s="2" t="s">
        <v>30</v>
      </c>
      <c r="I3544" s="2" t="s">
        <v>9464</v>
      </c>
      <c r="J3544" s="3" t="str">
        <f>HYPERLINK("https://www.boe.es/gazeta/dias/1812/01/31/pdfs/GMD-1812-31.pdf#page=4","Abrir facsímil")</f>
        <v>Abrir facsímil</v>
      </c>
      <c r="K3544" s="3" t="s">
        <v>32</v>
      </c>
    </row>
    <row r="3545" spans="1:11" ht="42" customHeight="1">
      <c r="A3545" s="2" t="s">
        <v>9465</v>
      </c>
      <c r="B3545" s="2" t="s">
        <v>9466</v>
      </c>
      <c r="C3545" s="2" t="s">
        <v>26</v>
      </c>
      <c r="D3545" s="2" t="s">
        <v>27</v>
      </c>
      <c r="E3545" s="4">
        <v>-31973</v>
      </c>
      <c r="F3545" s="3" t="s">
        <v>1735</v>
      </c>
      <c r="G3545" s="3" t="s">
        <v>8888</v>
      </c>
      <c r="H3545" s="2" t="s">
        <v>30</v>
      </c>
      <c r="I3545" s="2" t="s">
        <v>9467</v>
      </c>
      <c r="J3545" s="3" t="str">
        <f>HYPERLINK("https://www.boe.es/gazeta/dias/1812/06/16/pdfs/GRE-1812-74.pdf#page=7","Abrir facsímil")</f>
        <v>Abrir facsímil</v>
      </c>
      <c r="K3545" s="3" t="s">
        <v>32</v>
      </c>
    </row>
    <row r="3546" spans="1:11" ht="42" customHeight="1">
      <c r="A3546" s="2" t="s">
        <v>9468</v>
      </c>
      <c r="B3546" s="2" t="s">
        <v>9469</v>
      </c>
      <c r="C3546" s="2" t="s">
        <v>26</v>
      </c>
      <c r="D3546" s="2" t="s">
        <v>27</v>
      </c>
      <c r="E3546" s="4">
        <v>-32034</v>
      </c>
      <c r="F3546" s="3" t="s">
        <v>28</v>
      </c>
      <c r="G3546" s="3" t="s">
        <v>130</v>
      </c>
      <c r="H3546" s="2" t="s">
        <v>30</v>
      </c>
      <c r="I3546" s="2" t="s">
        <v>9470</v>
      </c>
      <c r="J3546" s="3" t="str">
        <f>HYPERLINK("https://www.boe.es/gazeta/dias/1812/04/16/pdfs/GMD-1812-107.pdf#page=4","Abrir facsímil")</f>
        <v>Abrir facsímil</v>
      </c>
      <c r="K3546" s="3" t="s">
        <v>32</v>
      </c>
    </row>
    <row r="3547" spans="1:11" ht="42" customHeight="1">
      <c r="A3547" s="2" t="s">
        <v>9471</v>
      </c>
      <c r="B3547" s="2" t="s">
        <v>9472</v>
      </c>
      <c r="C3547" s="2" t="s">
        <v>26</v>
      </c>
      <c r="D3547" s="2" t="s">
        <v>27</v>
      </c>
      <c r="E3547" s="4">
        <v>-32081</v>
      </c>
      <c r="F3547" s="3" t="s">
        <v>232</v>
      </c>
      <c r="G3547" s="3" t="s">
        <v>233</v>
      </c>
      <c r="H3547" s="2" t="s">
        <v>30</v>
      </c>
      <c r="I3547" s="2" t="s">
        <v>9473</v>
      </c>
      <c r="J3547" s="3" t="str">
        <f>HYPERLINK("https://www.boe.es/gazeta/dias/1812/02/29/pdfs/GRE-1812-27.pdf#page=8","Abrir facsímil")</f>
        <v>Abrir facsímil</v>
      </c>
      <c r="K3547" s="3" t="s">
        <v>32</v>
      </c>
    </row>
    <row r="3548" spans="1:11" ht="42" customHeight="1">
      <c r="A3548" s="2" t="s">
        <v>9474</v>
      </c>
      <c r="B3548" s="2" t="s">
        <v>9475</v>
      </c>
      <c r="C3548" s="2" t="s">
        <v>26</v>
      </c>
      <c r="D3548" s="2" t="s">
        <v>27</v>
      </c>
      <c r="E3548" s="4">
        <v>-32060</v>
      </c>
      <c r="F3548" s="3" t="s">
        <v>399</v>
      </c>
      <c r="G3548" s="3" t="s">
        <v>136</v>
      </c>
      <c r="H3548" s="2" t="s">
        <v>30</v>
      </c>
      <c r="I3548" s="2" t="s">
        <v>9476</v>
      </c>
      <c r="J3548" s="3" t="str">
        <f>HYPERLINK("https://www.boe.es/gazeta/dias/1812/03/21/pdfs/GMD-1812-81.pdf#page=4","Abrir facsímil")</f>
        <v>Abrir facsímil</v>
      </c>
      <c r="K3548" s="3" t="s">
        <v>32</v>
      </c>
    </row>
    <row r="3549" spans="1:11" ht="42" customHeight="1">
      <c r="A3549" s="2" t="s">
        <v>9477</v>
      </c>
      <c r="B3549" s="2" t="s">
        <v>9478</v>
      </c>
      <c r="C3549" s="2" t="s">
        <v>26</v>
      </c>
      <c r="D3549" s="2" t="s">
        <v>27</v>
      </c>
      <c r="E3549" s="4">
        <v>-31974</v>
      </c>
      <c r="F3549" s="3" t="s">
        <v>2986</v>
      </c>
      <c r="G3549" s="3" t="s">
        <v>130</v>
      </c>
      <c r="H3549" s="2" t="s">
        <v>30</v>
      </c>
      <c r="I3549" s="2" t="s">
        <v>9479</v>
      </c>
      <c r="J3549" s="3" t="str">
        <f>HYPERLINK("https://www.boe.es/gazeta/dias/1812/06/15/pdfs/GMD-1812-167.pdf#page=4","Abrir facsímil")</f>
        <v>Abrir facsímil</v>
      </c>
      <c r="K3549" s="3" t="s">
        <v>32</v>
      </c>
    </row>
    <row r="3550" spans="1:11" ht="42" customHeight="1">
      <c r="A3550" s="2" t="s">
        <v>9480</v>
      </c>
      <c r="B3550" s="2" t="s">
        <v>9481</v>
      </c>
      <c r="C3550" s="2" t="s">
        <v>26</v>
      </c>
      <c r="D3550" s="2" t="s">
        <v>27</v>
      </c>
      <c r="E3550" s="4">
        <v>-31988</v>
      </c>
      <c r="F3550" s="3" t="s">
        <v>1094</v>
      </c>
      <c r="G3550" s="3" t="s">
        <v>1095</v>
      </c>
      <c r="H3550" s="2" t="s">
        <v>30</v>
      </c>
      <c r="I3550" s="2" t="s">
        <v>9482</v>
      </c>
      <c r="J3550" s="3" t="str">
        <f>HYPERLINK("https://www.boe.es/gazeta/dias/1812/06/01/pdfs/GMD-1812-153.pdf#page=2","Abrir facsímil")</f>
        <v>Abrir facsímil</v>
      </c>
      <c r="K3550" s="3" t="s">
        <v>32</v>
      </c>
    </row>
    <row r="3551" spans="1:11" ht="42" customHeight="1">
      <c r="A3551" s="2" t="s">
        <v>9480</v>
      </c>
      <c r="B3551" s="2" t="s">
        <v>9481</v>
      </c>
      <c r="C3551" s="2" t="s">
        <v>49</v>
      </c>
      <c r="D3551" s="2" t="s">
        <v>27</v>
      </c>
      <c r="E3551" s="4">
        <v>-31922</v>
      </c>
      <c r="F3551" s="3" t="s">
        <v>622</v>
      </c>
      <c r="G3551" s="3" t="s">
        <v>404</v>
      </c>
      <c r="H3551" s="2" t="s">
        <v>30</v>
      </c>
      <c r="I3551" s="2" t="s">
        <v>9483</v>
      </c>
      <c r="J3551" s="3" t="str">
        <f>HYPERLINK("https://www.boe.es/gazeta/dias/1812/08/06/pdfs/GMD-1812-219.pdf#page=2","Abrir facsímil")</f>
        <v>Abrir facsímil</v>
      </c>
      <c r="K3551" s="3" t="s">
        <v>32</v>
      </c>
    </row>
    <row r="3552" spans="1:11" ht="42" customHeight="1">
      <c r="A3552" s="2" t="s">
        <v>9484</v>
      </c>
      <c r="B3552" s="2" t="s">
        <v>9485</v>
      </c>
      <c r="C3552" s="2" t="s">
        <v>17</v>
      </c>
      <c r="D3552" s="2" t="s">
        <v>27</v>
      </c>
      <c r="E3552" s="4">
        <v>-31969</v>
      </c>
      <c r="F3552" s="3" t="s">
        <v>83</v>
      </c>
      <c r="G3552" s="3" t="s">
        <v>84</v>
      </c>
      <c r="H3552" s="2" t="s">
        <v>30</v>
      </c>
      <c r="I3552" s="2" t="s">
        <v>9486</v>
      </c>
      <c r="J3552" s="3" t="str">
        <f>HYPERLINK("https://www.boe.es/gazeta/dias/1812/06/20/pdfs/GRE-1812-76.pdf#page=8","Abrir facsímil")</f>
        <v>Abrir facsímil</v>
      </c>
      <c r="K3552" s="3" t="s">
        <v>32</v>
      </c>
    </row>
    <row r="3553" spans="1:11" ht="42" customHeight="1">
      <c r="A3553" s="2" t="s">
        <v>9487</v>
      </c>
      <c r="B3553" s="2" t="s">
        <v>9488</v>
      </c>
      <c r="C3553" s="2" t="s">
        <v>17</v>
      </c>
      <c r="D3553" s="2" t="s">
        <v>18</v>
      </c>
      <c r="E3553" s="4">
        <v>-32108</v>
      </c>
      <c r="F3553" s="3" t="s">
        <v>1143</v>
      </c>
      <c r="G3553" s="3" t="s">
        <v>45</v>
      </c>
      <c r="H3553" s="2" t="s">
        <v>30</v>
      </c>
      <c r="I3553" s="2" t="s">
        <v>9489</v>
      </c>
      <c r="J3553" s="3" t="str">
        <f>HYPERLINK("https://www.boe.es/gazeta/dias/1812/02/02/pdfs/GMD-1812-33.pdf#page=4","Abrir facsímil")</f>
        <v>Abrir facsímil</v>
      </c>
      <c r="K3553" s="3" t="s">
        <v>32</v>
      </c>
    </row>
    <row r="3554" spans="1:11" ht="42" customHeight="1">
      <c r="A3554" s="2" t="s">
        <v>9490</v>
      </c>
      <c r="B3554" s="2" t="s">
        <v>9491</v>
      </c>
      <c r="C3554" s="2" t="s">
        <v>49</v>
      </c>
      <c r="D3554" s="2" t="s">
        <v>27</v>
      </c>
      <c r="E3554" s="4">
        <v>-32073</v>
      </c>
      <c r="F3554" s="3" t="s">
        <v>4960</v>
      </c>
      <c r="G3554" s="3" t="s">
        <v>857</v>
      </c>
      <c r="H3554" s="2" t="s">
        <v>30</v>
      </c>
      <c r="I3554" s="2" t="s">
        <v>9492</v>
      </c>
      <c r="J3554" s="3" t="str">
        <f>HYPERLINK("https://www.boe.es/gazeta/dias/1812/03/08/pdfs/GMD-1812-68.pdf#page=4","Abrir facsímil")</f>
        <v>Abrir facsímil</v>
      </c>
      <c r="K3554" s="3" t="s">
        <v>32</v>
      </c>
    </row>
    <row r="3555" spans="1:11" ht="42" customHeight="1">
      <c r="A3555" s="2" t="s">
        <v>9490</v>
      </c>
      <c r="B3555" s="2" t="s">
        <v>9491</v>
      </c>
      <c r="C3555" s="2" t="s">
        <v>26</v>
      </c>
      <c r="D3555" s="2" t="s">
        <v>134</v>
      </c>
      <c r="E3555" s="4">
        <v>-31955</v>
      </c>
      <c r="F3555" s="3" t="s">
        <v>135</v>
      </c>
      <c r="G3555" s="3" t="s">
        <v>58</v>
      </c>
      <c r="H3555" s="2" t="s">
        <v>30</v>
      </c>
      <c r="I3555" s="2" t="s">
        <v>9493</v>
      </c>
      <c r="J3555" s="3" t="str">
        <f>HYPERLINK("https://www.boe.es/gazeta/dias/1812/07/04/pdfs/GRE-F-1812-82.pdf#page=6","Abrir facsímil")</f>
        <v>Abrir facsímil</v>
      </c>
      <c r="K3555" s="3" t="s">
        <v>32</v>
      </c>
    </row>
    <row r="3556" spans="1:11" ht="42" customHeight="1">
      <c r="A3556" s="2" t="s">
        <v>9490</v>
      </c>
      <c r="B3556" s="2" t="s">
        <v>9491</v>
      </c>
      <c r="C3556" s="2" t="s">
        <v>26</v>
      </c>
      <c r="D3556" s="2" t="s">
        <v>27</v>
      </c>
      <c r="E3556" s="4">
        <v>-31940</v>
      </c>
      <c r="F3556" s="3" t="s">
        <v>187</v>
      </c>
      <c r="G3556" s="3" t="s">
        <v>404</v>
      </c>
      <c r="H3556" s="2" t="s">
        <v>30</v>
      </c>
      <c r="I3556" s="2" t="s">
        <v>9494</v>
      </c>
      <c r="J3556" s="3" t="str">
        <f>HYPERLINK("https://www.boe.es/gazeta/dias/1812/07/19/pdfs/GMD-1812-201.pdf#page=3","Abrir facsímil")</f>
        <v>Abrir facsímil</v>
      </c>
      <c r="K3556" s="3" t="s">
        <v>32</v>
      </c>
    </row>
    <row r="3557" spans="1:11" ht="42" customHeight="1">
      <c r="A3557" s="2" t="s">
        <v>9495</v>
      </c>
      <c r="B3557" s="2" t="s">
        <v>9496</v>
      </c>
      <c r="C3557" s="2" t="s">
        <v>26</v>
      </c>
      <c r="D3557" s="2" t="s">
        <v>27</v>
      </c>
      <c r="E3557" s="4">
        <v>-32034</v>
      </c>
      <c r="F3557" s="3" t="s">
        <v>28</v>
      </c>
      <c r="G3557" s="3" t="s">
        <v>29</v>
      </c>
      <c r="H3557" s="2" t="s">
        <v>30</v>
      </c>
      <c r="I3557" s="2" t="s">
        <v>9497</v>
      </c>
      <c r="J3557" s="3" t="str">
        <f>HYPERLINK("https://www.boe.es/gazeta/dias/1812/04/16/pdfs/GMD-1812-107.pdf#page=8","Abrir facsímil")</f>
        <v>Abrir facsímil</v>
      </c>
      <c r="K3557" s="3" t="s">
        <v>32</v>
      </c>
    </row>
    <row r="3558" spans="1:11" ht="42" customHeight="1">
      <c r="A3558" s="2" t="s">
        <v>9498</v>
      </c>
      <c r="B3558" s="2" t="s">
        <v>9499</v>
      </c>
      <c r="C3558" s="2" t="s">
        <v>26</v>
      </c>
      <c r="D3558" s="2" t="s">
        <v>27</v>
      </c>
      <c r="E3558" s="4">
        <v>-31938</v>
      </c>
      <c r="F3558" s="3" t="s">
        <v>324</v>
      </c>
      <c r="G3558" s="3" t="s">
        <v>404</v>
      </c>
      <c r="H3558" s="2" t="s">
        <v>30</v>
      </c>
      <c r="I3558" s="2" t="s">
        <v>9500</v>
      </c>
      <c r="J3558" s="3" t="str">
        <f>HYPERLINK("https://www.boe.es/gazeta/dias/1812/07/21/pdfs/GMD-1812-203.pdf#page=4","Abrir facsímil")</f>
        <v>Abrir facsímil</v>
      </c>
      <c r="K3558" s="3" t="s">
        <v>32</v>
      </c>
    </row>
    <row r="3559" spans="1:11" ht="42" customHeight="1">
      <c r="A3559" s="2" t="s">
        <v>9501</v>
      </c>
      <c r="B3559" s="2" t="s">
        <v>9502</v>
      </c>
      <c r="C3559" s="2" t="s">
        <v>17</v>
      </c>
      <c r="D3559" s="2" t="s">
        <v>18</v>
      </c>
      <c r="E3559" s="4">
        <v>-31922</v>
      </c>
      <c r="F3559" s="3" t="s">
        <v>622</v>
      </c>
      <c r="G3559" s="3" t="s">
        <v>623</v>
      </c>
      <c r="H3559" s="2" t="s">
        <v>30</v>
      </c>
      <c r="I3559" s="2" t="s">
        <v>9503</v>
      </c>
      <c r="J3559" s="3" t="str">
        <f>HYPERLINK("https://www.boe.es/gazeta/dias/1812/08/06/pdfs/GMD-1812-219.pdf#page=1","Abrir facsímil")</f>
        <v>Abrir facsímil</v>
      </c>
      <c r="K3559" s="3" t="s">
        <v>32</v>
      </c>
    </row>
    <row r="3560" spans="1:11" ht="42" customHeight="1">
      <c r="A3560" s="2" t="s">
        <v>9504</v>
      </c>
      <c r="B3560" s="2" t="s">
        <v>9504</v>
      </c>
      <c r="C3560" s="2" t="s">
        <v>17</v>
      </c>
      <c r="D3560" s="2" t="s">
        <v>27</v>
      </c>
      <c r="E3560" s="4">
        <v>-31980</v>
      </c>
      <c r="F3560" s="3" t="s">
        <v>2667</v>
      </c>
      <c r="G3560" s="3" t="s">
        <v>125</v>
      </c>
      <c r="H3560" s="2" t="s">
        <v>21</v>
      </c>
      <c r="I3560" s="2" t="s">
        <v>9505</v>
      </c>
      <c r="J3560" s="3" t="str">
        <f>HYPERLINK("https://www.boe.es/gazeta/dias/1812/06/09/pdfs/GMD-1812-161.pdf#page=2","Abrir facsímil")</f>
        <v>Abrir facsímil</v>
      </c>
      <c r="K3560" s="3" t="s">
        <v>23</v>
      </c>
    </row>
    <row r="3561" spans="1:11" ht="42" customHeight="1">
      <c r="A3561" s="2" t="s">
        <v>9506</v>
      </c>
      <c r="B3561" s="2" t="s">
        <v>9507</v>
      </c>
      <c r="C3561" s="2" t="s">
        <v>26</v>
      </c>
      <c r="D3561" s="2" t="s">
        <v>27</v>
      </c>
      <c r="E3561" s="4">
        <v>-32050</v>
      </c>
      <c r="F3561" s="3" t="s">
        <v>864</v>
      </c>
      <c r="G3561" s="3" t="s">
        <v>29</v>
      </c>
      <c r="H3561" s="2" t="s">
        <v>21</v>
      </c>
      <c r="I3561" s="2" t="s">
        <v>9508</v>
      </c>
      <c r="J3561" s="3" t="str">
        <f>HYPERLINK("https://www.boe.es/gazeta/dias/1812/03/31/pdfs/GRE-1812-40.pdf#page=8","Abrir facsímil")</f>
        <v>Abrir facsímil</v>
      </c>
      <c r="K3561" s="3" t="s">
        <v>23</v>
      </c>
    </row>
    <row r="3562" spans="1:11" ht="42" customHeight="1">
      <c r="A3562" s="2" t="s">
        <v>9509</v>
      </c>
      <c r="B3562" s="2" t="s">
        <v>9510</v>
      </c>
      <c r="C3562" s="2" t="s">
        <v>26</v>
      </c>
      <c r="D3562" s="2" t="s">
        <v>27</v>
      </c>
      <c r="E3562" s="4">
        <v>-31976</v>
      </c>
      <c r="F3562" s="3" t="s">
        <v>54</v>
      </c>
      <c r="G3562" s="3" t="s">
        <v>55</v>
      </c>
      <c r="H3562" s="2" t="s">
        <v>21</v>
      </c>
      <c r="I3562" s="2" t="s">
        <v>9511</v>
      </c>
      <c r="J3562" s="3" t="str">
        <f>HYPERLINK("https://www.boe.es/gazeta/dias/1812/06/13/pdfs/GRE-1812-73.pdf#page=6","Abrir facsímil")</f>
        <v>Abrir facsímil</v>
      </c>
      <c r="K3562" s="3" t="s">
        <v>23</v>
      </c>
    </row>
    <row r="3563" spans="1:11" ht="42" customHeight="1">
      <c r="A3563" s="2" t="s">
        <v>9512</v>
      </c>
      <c r="B3563" s="2" t="s">
        <v>9512</v>
      </c>
      <c r="C3563" s="2" t="s">
        <v>115</v>
      </c>
      <c r="D3563" s="2" t="s">
        <v>27</v>
      </c>
      <c r="E3563" s="4">
        <v>-32062</v>
      </c>
      <c r="F3563" s="3" t="s">
        <v>280</v>
      </c>
      <c r="G3563" s="3" t="s">
        <v>20</v>
      </c>
      <c r="H3563" s="2" t="s">
        <v>21</v>
      </c>
      <c r="I3563" s="2" t="s">
        <v>9513</v>
      </c>
      <c r="J3563" s="3" t="str">
        <f>HYPERLINK("https://www.boe.es/gazeta/dias/1812/03/19/pdfs/GMD-1812-79.pdf#page=4","Abrir facsímil")</f>
        <v>Abrir facsímil</v>
      </c>
      <c r="K3563" s="3" t="s">
        <v>23</v>
      </c>
    </row>
    <row r="3564" spans="1:11" ht="42" customHeight="1">
      <c r="A3564" s="2" t="s">
        <v>9512</v>
      </c>
      <c r="B3564" s="2" t="s">
        <v>9512</v>
      </c>
      <c r="C3564" s="2" t="s">
        <v>26</v>
      </c>
      <c r="D3564" s="2" t="s">
        <v>27</v>
      </c>
      <c r="E3564" s="4">
        <v>-32055</v>
      </c>
      <c r="F3564" s="3" t="s">
        <v>1271</v>
      </c>
      <c r="G3564" s="3" t="s">
        <v>130</v>
      </c>
      <c r="H3564" s="2" t="s">
        <v>21</v>
      </c>
      <c r="I3564" s="2" t="s">
        <v>9514</v>
      </c>
      <c r="J3564" s="3" t="str">
        <f>HYPERLINK("https://www.boe.es/gazeta/dias/1812/03/26/pdfs/GMD-1812-86.pdf#page=4","Abrir facsímil")</f>
        <v>Abrir facsímil</v>
      </c>
      <c r="K3564" s="3" t="s">
        <v>23</v>
      </c>
    </row>
    <row r="3565" spans="1:11" ht="42" customHeight="1">
      <c r="A3565" s="2" t="s">
        <v>9512</v>
      </c>
      <c r="B3565" s="2" t="s">
        <v>9512</v>
      </c>
      <c r="C3565" s="2" t="s">
        <v>105</v>
      </c>
      <c r="D3565" s="2" t="s">
        <v>275</v>
      </c>
      <c r="E3565" s="4">
        <v>-31803</v>
      </c>
      <c r="F3565" s="3" t="s">
        <v>221</v>
      </c>
      <c r="G3565" s="3" t="s">
        <v>317</v>
      </c>
      <c r="H3565" s="2" t="s">
        <v>21</v>
      </c>
      <c r="I3565" s="2" t="s">
        <v>9515</v>
      </c>
      <c r="J3565" s="3" t="str">
        <f>HYPERLINK("https://www.boe.es/gazeta/dias/1812/12/03/pdfs/GRE-1812-160.pdf#page=6","Abrir facsímil")</f>
        <v>Abrir facsímil</v>
      </c>
      <c r="K3565" s="3" t="s">
        <v>23</v>
      </c>
    </row>
    <row r="3566" spans="1:11" ht="42" customHeight="1">
      <c r="A3566" s="2" t="s">
        <v>9516</v>
      </c>
      <c r="B3566" s="2" t="s">
        <v>9517</v>
      </c>
      <c r="C3566" s="2" t="s">
        <v>17</v>
      </c>
      <c r="D3566" s="2" t="s">
        <v>27</v>
      </c>
      <c r="E3566" s="4">
        <v>-31936</v>
      </c>
      <c r="F3566" s="3" t="s">
        <v>614</v>
      </c>
      <c r="G3566" s="3" t="s">
        <v>615</v>
      </c>
      <c r="H3566" s="2" t="s">
        <v>21</v>
      </c>
      <c r="I3566" s="2" t="s">
        <v>9518</v>
      </c>
      <c r="J3566" s="3" t="str">
        <f>HYPERLINK("https://www.boe.es/gazeta/dias/1812/07/23/pdfs/GRE-1812-92.pdf#page=8","Abrir facsímil")</f>
        <v>Abrir facsímil</v>
      </c>
      <c r="K3566" s="3" t="s">
        <v>23</v>
      </c>
    </row>
    <row r="3567" spans="1:11" ht="42" customHeight="1">
      <c r="A3567" s="2" t="s">
        <v>9519</v>
      </c>
      <c r="B3567" s="2" t="s">
        <v>9520</v>
      </c>
      <c r="C3567" s="2" t="s">
        <v>26</v>
      </c>
      <c r="D3567" s="2" t="s">
        <v>27</v>
      </c>
      <c r="E3567" s="4">
        <v>-31940</v>
      </c>
      <c r="F3567" s="3" t="s">
        <v>187</v>
      </c>
      <c r="G3567" s="3" t="s">
        <v>404</v>
      </c>
      <c r="H3567" s="2" t="s">
        <v>21</v>
      </c>
      <c r="I3567" s="2" t="s">
        <v>9521</v>
      </c>
      <c r="J3567" s="3" t="str">
        <f>HYPERLINK("https://www.boe.es/gazeta/dias/1812/07/19/pdfs/GMD-1812-201.pdf#page=3","Abrir facsímil")</f>
        <v>Abrir facsímil</v>
      </c>
      <c r="K3567" s="3" t="s">
        <v>23</v>
      </c>
    </row>
    <row r="3568" spans="1:11" ht="42" customHeight="1">
      <c r="A3568" s="2" t="s">
        <v>9522</v>
      </c>
      <c r="B3568" s="2" t="s">
        <v>9522</v>
      </c>
      <c r="C3568" s="2" t="s">
        <v>17</v>
      </c>
      <c r="D3568" s="2" t="s">
        <v>18</v>
      </c>
      <c r="E3568" s="4">
        <v>-31864</v>
      </c>
      <c r="F3568" s="3" t="s">
        <v>4258</v>
      </c>
      <c r="G3568" s="3" t="s">
        <v>4321</v>
      </c>
      <c r="H3568" s="2" t="s">
        <v>21</v>
      </c>
      <c r="I3568" s="2" t="s">
        <v>9523</v>
      </c>
      <c r="J3568" s="3" t="str">
        <f>HYPERLINK("https://www.boe.es/gazeta/dias/1812/10/03/pdfs/GMR-1812-22.pdf#page=5","Abrir facsímil")</f>
        <v>Abrir facsímil</v>
      </c>
      <c r="K3568" s="3" t="s">
        <v>23</v>
      </c>
    </row>
    <row r="3569" spans="1:11" ht="42" customHeight="1">
      <c r="A3569" s="2" t="s">
        <v>9524</v>
      </c>
      <c r="B3569" s="2" t="s">
        <v>9525</v>
      </c>
      <c r="C3569" s="2" t="s">
        <v>26</v>
      </c>
      <c r="D3569" s="2" t="s">
        <v>27</v>
      </c>
      <c r="E3569" s="4">
        <v>-32134</v>
      </c>
      <c r="F3569" s="3" t="s">
        <v>50</v>
      </c>
      <c r="G3569" s="3" t="s">
        <v>233</v>
      </c>
      <c r="H3569" s="2" t="s">
        <v>21</v>
      </c>
      <c r="I3569" s="2" t="s">
        <v>9526</v>
      </c>
      <c r="J3569" s="3" t="str">
        <f>HYPERLINK("https://www.boe.es/gazeta/dias/1812/01/07/pdfs/GEI-1812-3.pdf#page=8","Abrir facsímil")</f>
        <v>Abrir facsímil</v>
      </c>
      <c r="K3569" s="3" t="s">
        <v>23</v>
      </c>
    </row>
    <row r="3570" spans="1:11" ht="42" customHeight="1">
      <c r="A3570" s="2" t="s">
        <v>9527</v>
      </c>
      <c r="B3570" s="2" t="s">
        <v>9528</v>
      </c>
      <c r="C3570" s="2" t="s">
        <v>26</v>
      </c>
      <c r="D3570" s="2" t="s">
        <v>134</v>
      </c>
      <c r="E3570" s="4">
        <v>-31983</v>
      </c>
      <c r="F3570" s="3" t="s">
        <v>1437</v>
      </c>
      <c r="G3570" s="3" t="s">
        <v>1438</v>
      </c>
      <c r="H3570" s="2" t="s">
        <v>21</v>
      </c>
      <c r="I3570" s="2" t="s">
        <v>9529</v>
      </c>
      <c r="J3570" s="3" t="str">
        <f>HYPERLINK("https://www.boe.es/gazeta/dias/1812/06/06/pdfs/GRE-F-1812-70.pdf#page=4","Abrir facsímil")</f>
        <v>Abrir facsímil</v>
      </c>
      <c r="K3570" s="3" t="s">
        <v>23</v>
      </c>
    </row>
    <row r="3571" spans="1:11" ht="42" customHeight="1">
      <c r="A3571" s="2" t="s">
        <v>9530</v>
      </c>
      <c r="B3571" s="2" t="s">
        <v>9531</v>
      </c>
      <c r="C3571" s="2" t="s">
        <v>17</v>
      </c>
      <c r="D3571" s="2" t="s">
        <v>18</v>
      </c>
      <c r="E3571" s="4">
        <v>-31822</v>
      </c>
      <c r="F3571" s="3" t="s">
        <v>541</v>
      </c>
      <c r="G3571" s="3" t="s">
        <v>1459</v>
      </c>
      <c r="H3571" s="2" t="s">
        <v>21</v>
      </c>
      <c r="I3571" s="2" t="s">
        <v>9532</v>
      </c>
      <c r="J3571" s="3" t="str">
        <f>HYPERLINK("https://www.boe.es/gazeta/dias/1812/11/14/pdfs/GRE-1812-152.pdf#page=8","Abrir facsímil")</f>
        <v>Abrir facsímil</v>
      </c>
      <c r="K3571" s="3" t="s">
        <v>23</v>
      </c>
    </row>
    <row r="3572" spans="1:11" ht="42" customHeight="1">
      <c r="A3572" s="2" t="s">
        <v>9533</v>
      </c>
      <c r="B3572" s="2" t="s">
        <v>9534</v>
      </c>
      <c r="C3572" s="2" t="s">
        <v>26</v>
      </c>
      <c r="D3572" s="2" t="s">
        <v>27</v>
      </c>
      <c r="E3572" s="4">
        <v>-32045</v>
      </c>
      <c r="F3572" s="3" t="s">
        <v>129</v>
      </c>
      <c r="G3572" s="3" t="s">
        <v>130</v>
      </c>
      <c r="H3572" s="2" t="s">
        <v>21</v>
      </c>
      <c r="I3572" s="2" t="s">
        <v>9535</v>
      </c>
      <c r="J3572" s="3" t="str">
        <f>HYPERLINK("https://www.boe.es/gazeta/dias/1812/04/05/pdfs/GMD-1812-96.pdf#page=4","Abrir facsímil")</f>
        <v>Abrir facsímil</v>
      </c>
      <c r="K3572" s="3" t="s">
        <v>23</v>
      </c>
    </row>
    <row r="3573" spans="1:11" ht="42" customHeight="1">
      <c r="A3573" s="2" t="s">
        <v>9536</v>
      </c>
      <c r="B3573" s="2" t="s">
        <v>9537</v>
      </c>
      <c r="C3573" s="2" t="s">
        <v>26</v>
      </c>
      <c r="D3573" s="2" t="s">
        <v>27</v>
      </c>
      <c r="E3573" s="4">
        <v>-31939</v>
      </c>
      <c r="F3573" s="3" t="s">
        <v>408</v>
      </c>
      <c r="G3573" s="3" t="s">
        <v>404</v>
      </c>
      <c r="H3573" s="2" t="s">
        <v>21</v>
      </c>
      <c r="I3573" s="2" t="s">
        <v>9538</v>
      </c>
      <c r="J3573" s="3" t="str">
        <f>HYPERLINK("https://www.boe.es/gazeta/dias/1812/07/20/pdfs/GMD-1812-202.pdf#page=2","Abrir facsímil")</f>
        <v>Abrir facsímil</v>
      </c>
      <c r="K3573" s="3" t="s">
        <v>23</v>
      </c>
    </row>
    <row r="3574" spans="1:11" ht="42" customHeight="1">
      <c r="A3574" s="2" t="s">
        <v>9539</v>
      </c>
      <c r="B3574" s="2" t="s">
        <v>9540</v>
      </c>
      <c r="C3574" s="2" t="s">
        <v>26</v>
      </c>
      <c r="D3574" s="2" t="s">
        <v>27</v>
      </c>
      <c r="E3574" s="4">
        <v>-32129</v>
      </c>
      <c r="F3574" s="3" t="s">
        <v>3162</v>
      </c>
      <c r="G3574" s="3" t="s">
        <v>2313</v>
      </c>
      <c r="H3574" s="2" t="s">
        <v>21</v>
      </c>
      <c r="I3574" s="2" t="s">
        <v>9541</v>
      </c>
      <c r="J3574" s="3" t="str">
        <f>HYPERLINK("https://www.boe.es/gazeta/dias/1812/01/12/pdfs/GMD-1812-12.pdf#page=4","Abrir facsímil")</f>
        <v>Abrir facsímil</v>
      </c>
      <c r="K3574" s="3" t="s">
        <v>23</v>
      </c>
    </row>
    <row r="3575" spans="1:11" ht="42" customHeight="1">
      <c r="A3575" s="2" t="s">
        <v>9542</v>
      </c>
      <c r="B3575" s="2" t="s">
        <v>9543</v>
      </c>
      <c r="C3575" s="2" t="s">
        <v>26</v>
      </c>
      <c r="D3575" s="2" t="s">
        <v>27</v>
      </c>
      <c r="E3575" s="4">
        <v>-32109</v>
      </c>
      <c r="F3575" s="3" t="s">
        <v>62</v>
      </c>
      <c r="G3575" s="3" t="s">
        <v>472</v>
      </c>
      <c r="H3575" s="2" t="s">
        <v>21</v>
      </c>
      <c r="I3575" s="2" t="s">
        <v>9544</v>
      </c>
      <c r="J3575" s="3" t="str">
        <f>HYPERLINK("https://www.boe.es/gazeta/dias/1812/02/01/pdfs/GRE-1812-14.pdf#page=12","Abrir facsímil")</f>
        <v>Abrir facsímil</v>
      </c>
      <c r="K3575" s="3" t="s">
        <v>23</v>
      </c>
    </row>
    <row r="3576" spans="1:11" ht="42" customHeight="1">
      <c r="A3576" s="2" t="s">
        <v>9545</v>
      </c>
      <c r="B3576" s="2" t="s">
        <v>9546</v>
      </c>
      <c r="C3576" s="2" t="s">
        <v>26</v>
      </c>
      <c r="D3576" s="2" t="s">
        <v>27</v>
      </c>
      <c r="E3576" s="4">
        <v>-32081</v>
      </c>
      <c r="F3576" s="3" t="s">
        <v>232</v>
      </c>
      <c r="G3576" s="3" t="s">
        <v>233</v>
      </c>
      <c r="H3576" s="2" t="s">
        <v>21</v>
      </c>
      <c r="I3576" s="2" t="s">
        <v>9547</v>
      </c>
      <c r="J3576" s="3" t="str">
        <f>HYPERLINK("https://www.boe.es/gazeta/dias/1812/02/29/pdfs/GRE-1812-27.pdf#page=8","Abrir facsímil")</f>
        <v>Abrir facsímil</v>
      </c>
      <c r="K3576" s="3" t="s">
        <v>23</v>
      </c>
    </row>
    <row r="3577" spans="1:11" ht="42" customHeight="1">
      <c r="A3577" s="2" t="s">
        <v>9548</v>
      </c>
      <c r="B3577" s="2" t="s">
        <v>9549</v>
      </c>
      <c r="C3577" s="2" t="s">
        <v>67</v>
      </c>
      <c r="D3577" s="2" t="s">
        <v>27</v>
      </c>
      <c r="E3577" s="4">
        <v>-32066</v>
      </c>
      <c r="F3577" s="3" t="s">
        <v>291</v>
      </c>
      <c r="G3577" s="3" t="s">
        <v>125</v>
      </c>
      <c r="H3577" s="2" t="s">
        <v>21</v>
      </c>
      <c r="I3577" s="2" t="s">
        <v>9550</v>
      </c>
      <c r="J3577" s="3" t="str">
        <f>HYPERLINK("https://www.boe.es/gazeta/dias/1812/03/15/pdfs/GMD-1812-75.pdf#page=4","Abrir facsímil")</f>
        <v>Abrir facsímil</v>
      </c>
      <c r="K3577" s="3" t="s">
        <v>23</v>
      </c>
    </row>
    <row r="3578" spans="1:11" ht="42" customHeight="1">
      <c r="A3578" s="2" t="s">
        <v>9551</v>
      </c>
      <c r="B3578" s="2" t="s">
        <v>9552</v>
      </c>
      <c r="C3578" s="2" t="s">
        <v>17</v>
      </c>
      <c r="D3578" s="2" t="s">
        <v>27</v>
      </c>
      <c r="E3578" s="4">
        <v>-31822</v>
      </c>
      <c r="F3578" s="3" t="s">
        <v>541</v>
      </c>
      <c r="G3578" s="3" t="s">
        <v>542</v>
      </c>
      <c r="H3578" s="2" t="s">
        <v>21</v>
      </c>
      <c r="I3578" s="2" t="s">
        <v>9553</v>
      </c>
      <c r="J3578" s="3" t="str">
        <f>HYPERLINK("https://www.boe.es/gazeta/dias/1812/11/14/pdfs/GRE-1812-152.pdf#page=7","Abrir facsímil")</f>
        <v>Abrir facsímil</v>
      </c>
      <c r="K3578" s="3" t="s">
        <v>23</v>
      </c>
    </row>
    <row r="3579" spans="1:11" ht="42" customHeight="1">
      <c r="A3579" s="2" t="s">
        <v>9554</v>
      </c>
      <c r="B3579" s="2" t="s">
        <v>9555</v>
      </c>
      <c r="C3579" s="2" t="s">
        <v>67</v>
      </c>
      <c r="D3579" s="2" t="s">
        <v>27</v>
      </c>
      <c r="E3579" s="4">
        <v>-31963</v>
      </c>
      <c r="F3579" s="3" t="s">
        <v>171</v>
      </c>
      <c r="G3579" s="3" t="s">
        <v>172</v>
      </c>
      <c r="H3579" s="2" t="s">
        <v>21</v>
      </c>
      <c r="I3579" s="2" t="s">
        <v>9556</v>
      </c>
      <c r="J3579" s="3" t="str">
        <f>HYPERLINK("https://www.boe.es/gazeta/dias/1812/06/26/pdfs/GMD-1812-178.pdf#page=3","Abrir facsímil")</f>
        <v>Abrir facsímil</v>
      </c>
      <c r="K3579" s="3" t="s">
        <v>23</v>
      </c>
    </row>
    <row r="3580" spans="1:11" ht="42" customHeight="1">
      <c r="A3580" s="2" t="s">
        <v>9557</v>
      </c>
      <c r="B3580" s="2" t="s">
        <v>9558</v>
      </c>
      <c r="C3580" s="2" t="s">
        <v>17</v>
      </c>
      <c r="D3580" s="2" t="s">
        <v>18</v>
      </c>
      <c r="E3580" s="4">
        <v>-31850</v>
      </c>
      <c r="F3580" s="3" t="s">
        <v>2178</v>
      </c>
      <c r="G3580" s="3" t="s">
        <v>7130</v>
      </c>
      <c r="H3580" s="2" t="s">
        <v>21</v>
      </c>
      <c r="I3580" s="2" t="s">
        <v>9559</v>
      </c>
      <c r="J3580" s="3" t="str">
        <f>HYPERLINK("https://www.boe.es/gazeta/dias/1812/10/17/pdfs/GRE-1812-140.pdf#page=7","Abrir facsímil")</f>
        <v>Abrir facsímil</v>
      </c>
      <c r="K3580" s="3" t="s">
        <v>23</v>
      </c>
    </row>
    <row r="3581" spans="1:11" ht="42" customHeight="1">
      <c r="A3581" s="2" t="s">
        <v>9560</v>
      </c>
      <c r="B3581" s="2" t="s">
        <v>9560</v>
      </c>
      <c r="C3581" s="2" t="s">
        <v>17</v>
      </c>
      <c r="D3581" s="2" t="s">
        <v>18</v>
      </c>
      <c r="E3581" s="4">
        <v>-31892</v>
      </c>
      <c r="F3581" s="3" t="s">
        <v>1825</v>
      </c>
      <c r="G3581" s="3" t="s">
        <v>217</v>
      </c>
      <c r="H3581" s="2" t="s">
        <v>21</v>
      </c>
      <c r="I3581" s="2" t="s">
        <v>9561</v>
      </c>
      <c r="J3581" s="3" t="str">
        <f>HYPERLINK("https://www.boe.es/gazeta/dias/1812/09/05/pdfs/GMR-1812-10.pdf#page=7","Abrir facsímil")</f>
        <v>Abrir facsímil</v>
      </c>
      <c r="K3581" s="3" t="s">
        <v>23</v>
      </c>
    </row>
    <row r="3582" spans="1:11" ht="42" customHeight="1">
      <c r="A3582" s="2" t="s">
        <v>9562</v>
      </c>
      <c r="B3582" s="2" t="s">
        <v>9563</v>
      </c>
      <c r="C3582" s="2" t="s">
        <v>67</v>
      </c>
      <c r="D3582" s="2" t="s">
        <v>27</v>
      </c>
      <c r="E3582" s="4">
        <v>-32133</v>
      </c>
      <c r="F3582" s="3" t="s">
        <v>139</v>
      </c>
      <c r="G3582" s="3" t="s">
        <v>125</v>
      </c>
      <c r="H3582" s="2" t="s">
        <v>21</v>
      </c>
      <c r="I3582" s="2" t="s">
        <v>9564</v>
      </c>
      <c r="J3582" s="3" t="str">
        <f>HYPERLINK("https://www.boe.es/gazeta/dias/1812/01/08/pdfs/GMD-1812-8.pdf#page=4","Abrir facsímil")</f>
        <v>Abrir facsímil</v>
      </c>
      <c r="K3582" s="3" t="s">
        <v>23</v>
      </c>
    </row>
    <row r="3583" spans="1:11" ht="42" customHeight="1">
      <c r="A3583" s="2" t="s">
        <v>9565</v>
      </c>
      <c r="B3583" s="2" t="s">
        <v>9566</v>
      </c>
      <c r="C3583" s="2" t="s">
        <v>26</v>
      </c>
      <c r="D3583" s="2" t="s">
        <v>27</v>
      </c>
      <c r="E3583" s="4">
        <v>-32034</v>
      </c>
      <c r="F3583" s="3" t="s">
        <v>28</v>
      </c>
      <c r="G3583" s="3" t="s">
        <v>29</v>
      </c>
      <c r="H3583" s="2" t="s">
        <v>21</v>
      </c>
      <c r="I3583" s="2" t="s">
        <v>9567</v>
      </c>
      <c r="J3583" s="3" t="str">
        <f>HYPERLINK("https://www.boe.es/gazeta/dias/1812/04/16/pdfs/GMD-1812-107.pdf#page=8","Abrir facsímil")</f>
        <v>Abrir facsímil</v>
      </c>
      <c r="K3583" s="3" t="s">
        <v>23</v>
      </c>
    </row>
    <row r="3584" spans="1:11" ht="42" customHeight="1">
      <c r="A3584" s="2" t="s">
        <v>9568</v>
      </c>
      <c r="B3584" s="2" t="s">
        <v>9569</v>
      </c>
      <c r="C3584" s="2" t="s">
        <v>26</v>
      </c>
      <c r="D3584" s="2" t="s">
        <v>27</v>
      </c>
      <c r="E3584" s="4">
        <v>-32125</v>
      </c>
      <c r="F3584" s="3" t="s">
        <v>335</v>
      </c>
      <c r="G3584" s="3" t="s">
        <v>336</v>
      </c>
      <c r="H3584" s="2" t="s">
        <v>21</v>
      </c>
      <c r="I3584" s="2" t="s">
        <v>9570</v>
      </c>
      <c r="J3584" s="3" t="str">
        <f>HYPERLINK("https://www.boe.es/gazeta/dias/1812/01/16/pdfs/GEI-1812-7.pdf#page=8","Abrir facsímil")</f>
        <v>Abrir facsímil</v>
      </c>
      <c r="K3584" s="3" t="s">
        <v>23</v>
      </c>
    </row>
    <row r="3585" spans="1:11" ht="42" customHeight="1">
      <c r="A3585" s="2" t="s">
        <v>9571</v>
      </c>
      <c r="B3585" s="2" t="s">
        <v>9571</v>
      </c>
      <c r="C3585" s="2" t="s">
        <v>26</v>
      </c>
      <c r="D3585" s="2" t="s">
        <v>27</v>
      </c>
      <c r="E3585" s="4">
        <v>-32029</v>
      </c>
      <c r="F3585" s="3" t="s">
        <v>3605</v>
      </c>
      <c r="G3585" s="3" t="s">
        <v>366</v>
      </c>
      <c r="H3585" s="2" t="s">
        <v>21</v>
      </c>
      <c r="I3585" s="2" t="s">
        <v>9572</v>
      </c>
      <c r="J3585" s="3" t="str">
        <f>HYPERLINK("https://www.boe.es/gazeta/dias/1812/04/21/pdfs/GMD-1812-112.pdf#page=4","Abrir facsímil")</f>
        <v>Abrir facsímil</v>
      </c>
      <c r="K3585" s="3" t="s">
        <v>23</v>
      </c>
    </row>
    <row r="3586" spans="1:11" ht="42" customHeight="1">
      <c r="A3586" s="2" t="s">
        <v>9573</v>
      </c>
      <c r="B3586" s="2" t="s">
        <v>9574</v>
      </c>
      <c r="C3586" s="2" t="s">
        <v>26</v>
      </c>
      <c r="D3586" s="2" t="s">
        <v>27</v>
      </c>
      <c r="E3586" s="4">
        <v>-31901</v>
      </c>
      <c r="F3586" s="3" t="s">
        <v>2199</v>
      </c>
      <c r="G3586" s="3" t="s">
        <v>2200</v>
      </c>
      <c r="H3586" s="2" t="s">
        <v>21</v>
      </c>
      <c r="I3586" s="2" t="s">
        <v>9575</v>
      </c>
      <c r="J3586" s="3" t="str">
        <f>HYPERLINK("https://www.boe.es/gazeta/dias/1812/08/27/pdfs/GRE-1812-111.pdf#page=8","Abrir facsímil")</f>
        <v>Abrir facsímil</v>
      </c>
      <c r="K3586" s="3" t="s">
        <v>23</v>
      </c>
    </row>
    <row r="3587" spans="1:11" ht="42" customHeight="1">
      <c r="A3587" s="2" t="s">
        <v>9576</v>
      </c>
      <c r="B3587" s="2" t="s">
        <v>9577</v>
      </c>
      <c r="C3587" s="2" t="s">
        <v>17</v>
      </c>
      <c r="D3587" s="2" t="s">
        <v>194</v>
      </c>
      <c r="E3587" s="4">
        <v>-32111</v>
      </c>
      <c r="F3587" s="3" t="s">
        <v>553</v>
      </c>
      <c r="G3587" s="3" t="s">
        <v>514</v>
      </c>
      <c r="H3587" s="2" t="s">
        <v>21</v>
      </c>
      <c r="I3587" s="2" t="s">
        <v>9578</v>
      </c>
      <c r="J3587" s="3" t="str">
        <f>HYPERLINK("https://www.boe.es/gazeta/dias/1812/01/30/pdfs/GRE-1812-13.pdf#page=3","Abrir facsímil")</f>
        <v>Abrir facsímil</v>
      </c>
      <c r="K3587" s="3" t="s">
        <v>23</v>
      </c>
    </row>
    <row r="3588" spans="1:11" ht="42" customHeight="1">
      <c r="A3588" s="2" t="s">
        <v>9579</v>
      </c>
      <c r="B3588" s="2" t="s">
        <v>9580</v>
      </c>
      <c r="C3588" s="2" t="s">
        <v>26</v>
      </c>
      <c r="D3588" s="2" t="s">
        <v>27</v>
      </c>
      <c r="E3588" s="4">
        <v>-31963</v>
      </c>
      <c r="F3588" s="3" t="s">
        <v>171</v>
      </c>
      <c r="G3588" s="3" t="s">
        <v>172</v>
      </c>
      <c r="H3588" s="2" t="s">
        <v>21</v>
      </c>
      <c r="I3588" s="2" t="s">
        <v>9581</v>
      </c>
      <c r="J3588" s="3" t="str">
        <f>HYPERLINK("https://www.boe.es/gazeta/dias/1812/06/26/pdfs/GMD-1812-178.pdf#page=3","Abrir facsímil")</f>
        <v>Abrir facsímil</v>
      </c>
      <c r="K3588" s="3" t="s">
        <v>23</v>
      </c>
    </row>
    <row r="3589" spans="1:11" ht="42" customHeight="1">
      <c r="A3589" s="2" t="s">
        <v>9582</v>
      </c>
      <c r="B3589" s="2" t="s">
        <v>9583</v>
      </c>
      <c r="C3589" s="2" t="s">
        <v>26</v>
      </c>
      <c r="D3589" s="2" t="s">
        <v>27</v>
      </c>
      <c r="E3589" s="4">
        <v>-32062</v>
      </c>
      <c r="F3589" s="3" t="s">
        <v>2168</v>
      </c>
      <c r="G3589" s="3" t="s">
        <v>9233</v>
      </c>
      <c r="H3589" s="2" t="s">
        <v>21</v>
      </c>
      <c r="I3589" s="2" t="s">
        <v>9584</v>
      </c>
      <c r="J3589" s="3" t="str">
        <f>HYPERLINK("https://www.boe.es/gazeta/dias/1812/03/19/pdfs/GRE-1812-35.pdf#page=6","Abrir facsímil")</f>
        <v>Abrir facsímil</v>
      </c>
      <c r="K3589" s="3" t="s">
        <v>23</v>
      </c>
    </row>
    <row r="3590" spans="1:11" ht="42" customHeight="1">
      <c r="A3590" s="2" t="s">
        <v>9585</v>
      </c>
      <c r="B3590" s="2" t="s">
        <v>9586</v>
      </c>
      <c r="C3590" s="2" t="s">
        <v>26</v>
      </c>
      <c r="D3590" s="2" t="s">
        <v>27</v>
      </c>
      <c r="E3590" s="4">
        <v>-32137</v>
      </c>
      <c r="F3590" s="3" t="s">
        <v>355</v>
      </c>
      <c r="G3590" s="3" t="s">
        <v>117</v>
      </c>
      <c r="H3590" s="2" t="s">
        <v>21</v>
      </c>
      <c r="I3590" s="2" t="s">
        <v>9587</v>
      </c>
      <c r="J3590" s="3" t="str">
        <f>HYPERLINK("https://www.boe.es/gazeta/dias/1812/01/04/pdfs/GEI-1812-2.pdf#page=8","Abrir facsímil")</f>
        <v>Abrir facsímil</v>
      </c>
      <c r="K3590" s="3" t="s">
        <v>23</v>
      </c>
    </row>
    <row r="3591" spans="1:11" ht="42" customHeight="1">
      <c r="A3591" s="2" t="s">
        <v>9588</v>
      </c>
      <c r="B3591" s="2" t="s">
        <v>9589</v>
      </c>
      <c r="C3591" s="2" t="s">
        <v>17</v>
      </c>
      <c r="D3591" s="2" t="s">
        <v>18</v>
      </c>
      <c r="E3591" s="4">
        <v>-32101</v>
      </c>
      <c r="F3591" s="3" t="s">
        <v>228</v>
      </c>
      <c r="G3591" s="3" t="s">
        <v>58</v>
      </c>
      <c r="H3591" s="2" t="s">
        <v>21</v>
      </c>
      <c r="I3591" s="2" t="s">
        <v>9590</v>
      </c>
      <c r="J3591" s="3" t="str">
        <f>HYPERLINK("https://www.boe.es/gazeta/dias/1812/02/09/pdfs/GMD-1812-40.pdf#page=4","Abrir facsímil")</f>
        <v>Abrir facsímil</v>
      </c>
      <c r="K3591" s="3" t="s">
        <v>23</v>
      </c>
    </row>
    <row r="3592" spans="1:11" ht="42" customHeight="1">
      <c r="A3592" s="2" t="s">
        <v>9591</v>
      </c>
      <c r="B3592" s="2" t="s">
        <v>9592</v>
      </c>
      <c r="C3592" s="2" t="s">
        <v>49</v>
      </c>
      <c r="D3592" s="2" t="s">
        <v>27</v>
      </c>
      <c r="E3592" s="4">
        <v>-31906</v>
      </c>
      <c r="F3592" s="3" t="s">
        <v>1815</v>
      </c>
      <c r="G3592" s="3" t="s">
        <v>233</v>
      </c>
      <c r="H3592" s="2" t="s">
        <v>21</v>
      </c>
      <c r="I3592" s="2" t="s">
        <v>9593</v>
      </c>
      <c r="J3592" s="3" t="str">
        <f>HYPERLINK("https://www.boe.es/gazeta/dias/1812/08/22/pdfs/GMR-1812-3.pdf#page=8","Abrir facsímil")</f>
        <v>Abrir facsímil</v>
      </c>
      <c r="K3592" s="3" t="s">
        <v>23</v>
      </c>
    </row>
    <row r="3593" spans="1:11" ht="42" customHeight="1">
      <c r="A3593" s="2" t="s">
        <v>9594</v>
      </c>
      <c r="B3593" s="2" t="s">
        <v>9595</v>
      </c>
      <c r="C3593" s="2" t="s">
        <v>17</v>
      </c>
      <c r="D3593" s="2" t="s">
        <v>275</v>
      </c>
      <c r="E3593" s="4">
        <v>-31889</v>
      </c>
      <c r="F3593" s="3" t="s">
        <v>699</v>
      </c>
      <c r="G3593" s="3" t="s">
        <v>20</v>
      </c>
      <c r="H3593" s="2" t="s">
        <v>21</v>
      </c>
      <c r="I3593" s="2" t="s">
        <v>9596</v>
      </c>
      <c r="J3593" s="3" t="str">
        <f>HYPERLINK("https://www.boe.es/gazeta/dias/1812/09/08/pdfs/GMR-1812-11.pdf#page=8","Abrir facsímil")</f>
        <v>Abrir facsímil</v>
      </c>
      <c r="K3593" s="3" t="s">
        <v>23</v>
      </c>
    </row>
    <row r="3594" spans="1:11" ht="42" customHeight="1">
      <c r="A3594" s="2" t="s">
        <v>9597</v>
      </c>
      <c r="B3594" s="2" t="s">
        <v>9598</v>
      </c>
      <c r="C3594" s="2" t="s">
        <v>549</v>
      </c>
      <c r="D3594" s="2" t="s">
        <v>194</v>
      </c>
      <c r="E3594" s="4">
        <v>-31994</v>
      </c>
      <c r="F3594" s="3" t="s">
        <v>207</v>
      </c>
      <c r="G3594" s="3" t="s">
        <v>1176</v>
      </c>
      <c r="H3594" s="2" t="s">
        <v>21</v>
      </c>
      <c r="I3594" s="2" t="s">
        <v>9599</v>
      </c>
      <c r="J3594" s="3" t="str">
        <f>HYPERLINK("https://www.boe.es/gazeta/dias/1812/05/26/pdfs/GRE-1812-65.pdf#page=8","Abrir facsímil")</f>
        <v>Abrir facsímil</v>
      </c>
      <c r="K3594" s="3" t="s">
        <v>23</v>
      </c>
    </row>
    <row r="3595" spans="1:11" ht="42" customHeight="1">
      <c r="A3595" s="2" t="s">
        <v>9600</v>
      </c>
      <c r="B3595" s="2" t="s">
        <v>9601</v>
      </c>
      <c r="C3595" s="2" t="s">
        <v>26</v>
      </c>
      <c r="D3595" s="2" t="s">
        <v>275</v>
      </c>
      <c r="E3595" s="4">
        <v>-31964</v>
      </c>
      <c r="F3595" s="3" t="s">
        <v>305</v>
      </c>
      <c r="G3595" s="3" t="s">
        <v>58</v>
      </c>
      <c r="H3595" s="2" t="s">
        <v>21</v>
      </c>
      <c r="I3595" s="2" t="s">
        <v>9602</v>
      </c>
      <c r="J3595" s="3" t="str">
        <f>HYPERLINK("https://www.boe.es/gazeta/dias/1812/06/25/pdfs/GMD-1812-177.pdf#page=2","Abrir facsímil")</f>
        <v>Abrir facsímil</v>
      </c>
      <c r="K3595" s="3" t="s">
        <v>23</v>
      </c>
    </row>
    <row r="3596" spans="1:11" ht="42" customHeight="1">
      <c r="A3596" s="2" t="s">
        <v>9603</v>
      </c>
      <c r="B3596" s="2" t="s">
        <v>9604</v>
      </c>
      <c r="C3596" s="2" t="s">
        <v>49</v>
      </c>
      <c r="D3596" s="2" t="s">
        <v>27</v>
      </c>
      <c r="E3596" s="4">
        <v>-32111</v>
      </c>
      <c r="F3596" s="3" t="s">
        <v>553</v>
      </c>
      <c r="G3596" s="3" t="s">
        <v>58</v>
      </c>
      <c r="H3596" s="2" t="s">
        <v>21</v>
      </c>
      <c r="I3596" s="2" t="s">
        <v>9605</v>
      </c>
      <c r="J3596" s="3" t="str">
        <f>HYPERLINK("https://www.boe.es/gazeta/dias/1812/01/30/pdfs/GRE-1812-13.pdf#page=4","Abrir facsímil")</f>
        <v>Abrir facsímil</v>
      </c>
      <c r="K3596" s="3" t="s">
        <v>23</v>
      </c>
    </row>
    <row r="3597" spans="1:11" ht="42" customHeight="1">
      <c r="A3597" s="2" t="s">
        <v>9606</v>
      </c>
      <c r="B3597" s="2" t="s">
        <v>9607</v>
      </c>
      <c r="C3597" s="2" t="s">
        <v>67</v>
      </c>
      <c r="D3597" s="2" t="s">
        <v>27</v>
      </c>
      <c r="E3597" s="4">
        <v>-32055</v>
      </c>
      <c r="F3597" s="3" t="s">
        <v>1271</v>
      </c>
      <c r="G3597" s="3" t="s">
        <v>130</v>
      </c>
      <c r="H3597" s="2" t="s">
        <v>21</v>
      </c>
      <c r="I3597" s="2" t="s">
        <v>9608</v>
      </c>
      <c r="J3597" s="3" t="str">
        <f>HYPERLINK("https://www.boe.es/gazeta/dias/1812/03/26/pdfs/GMD-1812-86.pdf#page=4","Abrir facsímil")</f>
        <v>Abrir facsímil</v>
      </c>
      <c r="K3597" s="3" t="s">
        <v>23</v>
      </c>
    </row>
    <row r="3598" spans="1:11" ht="42" customHeight="1">
      <c r="A3598" s="2" t="s">
        <v>9609</v>
      </c>
      <c r="B3598" s="2" t="s">
        <v>9610</v>
      </c>
      <c r="C3598" s="2" t="s">
        <v>67</v>
      </c>
      <c r="D3598" s="2" t="s">
        <v>27</v>
      </c>
      <c r="E3598" s="4">
        <v>-32118</v>
      </c>
      <c r="F3598" s="3" t="s">
        <v>964</v>
      </c>
      <c r="G3598" s="3" t="s">
        <v>965</v>
      </c>
      <c r="H3598" s="2" t="s">
        <v>21</v>
      </c>
      <c r="I3598" s="2" t="s">
        <v>9611</v>
      </c>
      <c r="J3598" s="3" t="str">
        <f>HYPERLINK("https://www.boe.es/gazeta/dias/1812/01/23/pdfs/GEI-H-1812-10.pdf#page=4","Abrir facsímil")</f>
        <v>Abrir facsímil</v>
      </c>
      <c r="K3598" s="3" t="s">
        <v>23</v>
      </c>
    </row>
    <row r="3599" spans="1:11" ht="42" customHeight="1">
      <c r="A3599" s="2" t="s">
        <v>9609</v>
      </c>
      <c r="B3599" s="2" t="s">
        <v>9610</v>
      </c>
      <c r="C3599" s="2" t="s">
        <v>26</v>
      </c>
      <c r="D3599" s="2" t="s">
        <v>27</v>
      </c>
      <c r="E3599" s="4">
        <v>-31964</v>
      </c>
      <c r="F3599" s="3" t="s">
        <v>305</v>
      </c>
      <c r="G3599" s="3" t="s">
        <v>58</v>
      </c>
      <c r="H3599" s="2" t="s">
        <v>21</v>
      </c>
      <c r="I3599" s="2" t="s">
        <v>9612</v>
      </c>
      <c r="J3599" s="3" t="str">
        <f>HYPERLINK("https://www.boe.es/gazeta/dias/1812/06/25/pdfs/GMD-1812-177.pdf#page=2","Abrir facsímil")</f>
        <v>Abrir facsímil</v>
      </c>
      <c r="K3599" s="3" t="s">
        <v>23</v>
      </c>
    </row>
    <row r="3600" spans="1:11" ht="42" customHeight="1">
      <c r="A3600" s="2" t="s">
        <v>9613</v>
      </c>
      <c r="B3600" s="2" t="s">
        <v>9614</v>
      </c>
      <c r="C3600" s="2" t="s">
        <v>17</v>
      </c>
      <c r="D3600" s="2" t="s">
        <v>27</v>
      </c>
      <c r="E3600" s="4">
        <v>-31875</v>
      </c>
      <c r="F3600" s="3" t="s">
        <v>110</v>
      </c>
      <c r="G3600" s="3" t="s">
        <v>2373</v>
      </c>
      <c r="H3600" s="2" t="s">
        <v>21</v>
      </c>
      <c r="I3600" s="2" t="s">
        <v>9615</v>
      </c>
      <c r="J3600" s="3" t="str">
        <f>HYPERLINK("https://www.boe.es/gazeta/dias/1812/09/22/pdfs/GRE-1812-128.pdf#page=5","Abrir facsímil")</f>
        <v>Abrir facsímil</v>
      </c>
      <c r="K3600" s="3" t="s">
        <v>23</v>
      </c>
    </row>
    <row r="3601" spans="1:11" ht="42" customHeight="1">
      <c r="A3601" s="2" t="s">
        <v>9616</v>
      </c>
      <c r="B3601" s="2" t="s">
        <v>9617</v>
      </c>
      <c r="C3601" s="2" t="s">
        <v>26</v>
      </c>
      <c r="D3601" s="2" t="s">
        <v>27</v>
      </c>
      <c r="E3601" s="4">
        <v>-32139</v>
      </c>
      <c r="F3601" s="3" t="s">
        <v>518</v>
      </c>
      <c r="G3601" s="3" t="s">
        <v>125</v>
      </c>
      <c r="H3601" s="2" t="s">
        <v>21</v>
      </c>
      <c r="I3601" s="2" t="s">
        <v>9618</v>
      </c>
      <c r="J3601" s="3" t="str">
        <f>HYPERLINK("https://www.boe.es/gazeta/dias/1812/01/02/pdfs/GEI-1812-1.pdf#page=8","Abrir facsímil")</f>
        <v>Abrir facsímil</v>
      </c>
      <c r="K3601" s="3" t="s">
        <v>23</v>
      </c>
    </row>
    <row r="3602" spans="1:11" ht="42" customHeight="1">
      <c r="A3602" s="2" t="s">
        <v>9619</v>
      </c>
      <c r="B3602" s="2" t="s">
        <v>9620</v>
      </c>
      <c r="C3602" s="2" t="s">
        <v>105</v>
      </c>
      <c r="D3602" s="2" t="s">
        <v>27</v>
      </c>
      <c r="E3602" s="4">
        <v>-32114</v>
      </c>
      <c r="F3602" s="3" t="s">
        <v>480</v>
      </c>
      <c r="G3602" s="3" t="s">
        <v>481</v>
      </c>
      <c r="H3602" s="2" t="s">
        <v>21</v>
      </c>
      <c r="I3602" s="2" t="s">
        <v>9621</v>
      </c>
      <c r="J3602" s="3" t="str">
        <f>HYPERLINK("https://www.boe.es/gazeta/dias/1812/01/27/pdfs/GMD-1812-27.pdf#page=4","Abrir facsímil")</f>
        <v>Abrir facsímil</v>
      </c>
      <c r="K3602" s="3" t="s">
        <v>23</v>
      </c>
    </row>
    <row r="3603" spans="1:11" ht="42" customHeight="1">
      <c r="A3603" s="2" t="s">
        <v>9622</v>
      </c>
      <c r="B3603" s="2" t="s">
        <v>9623</v>
      </c>
      <c r="C3603" s="2" t="s">
        <v>49</v>
      </c>
      <c r="D3603" s="2" t="s">
        <v>27</v>
      </c>
      <c r="E3603" s="4">
        <v>-32110</v>
      </c>
      <c r="F3603" s="3" t="s">
        <v>68</v>
      </c>
      <c r="G3603" s="3" t="s">
        <v>20</v>
      </c>
      <c r="H3603" s="2" t="s">
        <v>21</v>
      </c>
      <c r="I3603" s="2" t="s">
        <v>9624</v>
      </c>
      <c r="J3603" s="3" t="str">
        <f>HYPERLINK("https://www.boe.es/gazeta/dias/1812/01/31/pdfs/GMD-1812-31.pdf#page=3","Abrir facsímil")</f>
        <v>Abrir facsímil</v>
      </c>
      <c r="K3603" s="3" t="s">
        <v>23</v>
      </c>
    </row>
    <row r="3604" spans="1:11" ht="42" customHeight="1">
      <c r="A3604" s="2" t="s">
        <v>9625</v>
      </c>
      <c r="B3604" s="2" t="s">
        <v>9626</v>
      </c>
      <c r="C3604" s="2" t="s">
        <v>26</v>
      </c>
      <c r="D3604" s="2" t="s">
        <v>27</v>
      </c>
      <c r="E3604" s="4">
        <v>-31850</v>
      </c>
      <c r="F3604" s="3" t="s">
        <v>719</v>
      </c>
      <c r="G3604" s="3" t="s">
        <v>237</v>
      </c>
      <c r="H3604" s="2" t="s">
        <v>21</v>
      </c>
      <c r="I3604" s="2" t="s">
        <v>9627</v>
      </c>
      <c r="J3604" s="3" t="str">
        <f>HYPERLINK("https://www.boe.es/gazeta/dias/1812/10/17/pdfs/GMR-1812-28.pdf#page=8","Abrir facsímil")</f>
        <v>Abrir facsímil</v>
      </c>
      <c r="K3604" s="3" t="s">
        <v>23</v>
      </c>
    </row>
    <row r="3605" spans="1:11" ht="42" customHeight="1">
      <c r="A3605" s="2" t="s">
        <v>9628</v>
      </c>
      <c r="B3605" s="2" t="s">
        <v>9629</v>
      </c>
      <c r="C3605" s="2" t="s">
        <v>17</v>
      </c>
      <c r="D3605" s="2" t="s">
        <v>18</v>
      </c>
      <c r="E3605" s="4">
        <v>-32109</v>
      </c>
      <c r="F3605" s="3" t="s">
        <v>62</v>
      </c>
      <c r="G3605" s="3" t="s">
        <v>63</v>
      </c>
      <c r="H3605" s="2" t="s">
        <v>21</v>
      </c>
      <c r="I3605" s="2" t="s">
        <v>9630</v>
      </c>
      <c r="J3605" s="3" t="str">
        <f>HYPERLINK("https://www.boe.es/gazeta/dias/1812/02/01/pdfs/GRE-1812-14.pdf#page=10","Abrir facsímil")</f>
        <v>Abrir facsímil</v>
      </c>
      <c r="K3605" s="3" t="s">
        <v>23</v>
      </c>
    </row>
    <row r="3606" spans="1:11" ht="42" customHeight="1">
      <c r="A3606" s="2" t="s">
        <v>9631</v>
      </c>
      <c r="B3606" s="2" t="s">
        <v>9632</v>
      </c>
      <c r="C3606" s="2" t="s">
        <v>17</v>
      </c>
      <c r="D3606" s="2" t="s">
        <v>27</v>
      </c>
      <c r="E3606" s="4">
        <v>-31940</v>
      </c>
      <c r="F3606" s="3" t="s">
        <v>187</v>
      </c>
      <c r="G3606" s="3" t="s">
        <v>45</v>
      </c>
      <c r="H3606" s="2" t="s">
        <v>21</v>
      </c>
      <c r="I3606" s="2" t="s">
        <v>9633</v>
      </c>
      <c r="J3606" s="3" t="str">
        <f>HYPERLINK("https://www.boe.es/gazeta/dias/1812/07/19/pdfs/GMD-1812-201.pdf#page=2","Abrir facsímil")</f>
        <v>Abrir facsímil</v>
      </c>
      <c r="K3606" s="3" t="s">
        <v>23</v>
      </c>
    </row>
    <row r="3607" spans="1:11" ht="42" customHeight="1">
      <c r="A3607" s="2" t="s">
        <v>9634</v>
      </c>
      <c r="B3607" s="2" t="s">
        <v>9635</v>
      </c>
      <c r="C3607" s="2" t="s">
        <v>26</v>
      </c>
      <c r="D3607" s="2" t="s">
        <v>27</v>
      </c>
      <c r="E3607" s="4">
        <v>-32022</v>
      </c>
      <c r="F3607" s="3" t="s">
        <v>1186</v>
      </c>
      <c r="G3607" s="3" t="s">
        <v>336</v>
      </c>
      <c r="H3607" s="2" t="s">
        <v>21</v>
      </c>
      <c r="I3607" s="2" t="s">
        <v>9636</v>
      </c>
      <c r="J3607" s="3" t="str">
        <f>HYPERLINK("https://www.boe.es/gazeta/dias/1812/04/28/pdfs/GRE-1812-53.pdf#page=8","Abrir facsímil")</f>
        <v>Abrir facsímil</v>
      </c>
      <c r="K3607" s="3" t="s">
        <v>23</v>
      </c>
    </row>
    <row r="3608" spans="1:11" ht="42" customHeight="1">
      <c r="A3608" s="2" t="s">
        <v>9637</v>
      </c>
      <c r="B3608" s="2" t="s">
        <v>9638</v>
      </c>
      <c r="C3608" s="2" t="s">
        <v>17</v>
      </c>
      <c r="D3608" s="2" t="s">
        <v>27</v>
      </c>
      <c r="E3608" s="4">
        <v>-32003</v>
      </c>
      <c r="F3608" s="3" t="s">
        <v>585</v>
      </c>
      <c r="G3608" s="3" t="s">
        <v>1805</v>
      </c>
      <c r="H3608" s="2" t="s">
        <v>21</v>
      </c>
      <c r="I3608" s="2" t="s">
        <v>9639</v>
      </c>
      <c r="J3608" s="3" t="str">
        <f>HYPERLINK("https://www.boe.es/gazeta/dias/1812/05/17/pdfs/GMD-1812-138.pdf#page=1","Abrir facsímil")</f>
        <v>Abrir facsímil</v>
      </c>
      <c r="K3608" s="3" t="s">
        <v>23</v>
      </c>
    </row>
    <row r="3609" spans="1:11" ht="42" customHeight="1">
      <c r="A3609" s="2" t="s">
        <v>9640</v>
      </c>
      <c r="B3609" s="2" t="s">
        <v>9641</v>
      </c>
      <c r="C3609" s="2" t="s">
        <v>17</v>
      </c>
      <c r="D3609" s="2" t="s">
        <v>27</v>
      </c>
      <c r="E3609" s="4">
        <v>-32050</v>
      </c>
      <c r="F3609" s="3" t="s">
        <v>864</v>
      </c>
      <c r="G3609" s="3" t="s">
        <v>29</v>
      </c>
      <c r="H3609" s="2" t="s">
        <v>21</v>
      </c>
      <c r="I3609" s="2" t="s">
        <v>9642</v>
      </c>
      <c r="J3609" s="3" t="str">
        <f>HYPERLINK("https://www.boe.es/gazeta/dias/1812/03/31/pdfs/GRE-1812-40.pdf#page=8","Abrir facsímil")</f>
        <v>Abrir facsímil</v>
      </c>
      <c r="K3609" s="3" t="s">
        <v>23</v>
      </c>
    </row>
    <row r="3610" spans="1:11" ht="42" customHeight="1">
      <c r="A3610" s="2" t="s">
        <v>9643</v>
      </c>
      <c r="B3610" s="2" t="s">
        <v>9644</v>
      </c>
      <c r="C3610" s="2" t="s">
        <v>17</v>
      </c>
      <c r="D3610" s="2" t="s">
        <v>27</v>
      </c>
      <c r="E3610" s="4">
        <v>-31962</v>
      </c>
      <c r="F3610" s="3" t="s">
        <v>643</v>
      </c>
      <c r="G3610" s="3" t="s">
        <v>644</v>
      </c>
      <c r="H3610" s="2" t="s">
        <v>21</v>
      </c>
      <c r="I3610" s="2" t="s">
        <v>9645</v>
      </c>
      <c r="J3610" s="3" t="str">
        <f>HYPERLINK("https://www.boe.es/gazeta/dias/1812/06/27/pdfs/GMD-1812-179.pdf#page=2","Abrir facsímil")</f>
        <v>Abrir facsímil</v>
      </c>
      <c r="K3610" s="3" t="s">
        <v>23</v>
      </c>
    </row>
    <row r="3611" spans="1:11" ht="42" customHeight="1">
      <c r="A3611" s="2" t="s">
        <v>9646</v>
      </c>
      <c r="B3611" s="2" t="s">
        <v>9647</v>
      </c>
      <c r="C3611" s="2" t="s">
        <v>49</v>
      </c>
      <c r="D3611" s="2" t="s">
        <v>27</v>
      </c>
      <c r="E3611" s="4">
        <v>-31850</v>
      </c>
      <c r="F3611" s="3" t="s">
        <v>719</v>
      </c>
      <c r="G3611" s="3" t="s">
        <v>217</v>
      </c>
      <c r="H3611" s="2" t="s">
        <v>21</v>
      </c>
      <c r="I3611" s="2" t="s">
        <v>9648</v>
      </c>
      <c r="J3611" s="3" t="str">
        <f>HYPERLINK("https://www.boe.es/gazeta/dias/1812/10/17/pdfs/GMR-1812-28.pdf#page=5","Abrir facsímil")</f>
        <v>Abrir facsímil</v>
      </c>
      <c r="K3611" s="3" t="s">
        <v>23</v>
      </c>
    </row>
    <row r="3612" spans="1:11" ht="42" customHeight="1">
      <c r="A3612" s="2" t="s">
        <v>9649</v>
      </c>
      <c r="B3612" s="2" t="s">
        <v>9650</v>
      </c>
      <c r="C3612" s="2" t="s">
        <v>26</v>
      </c>
      <c r="D3612" s="2" t="s">
        <v>134</v>
      </c>
      <c r="E3612" s="4">
        <v>-31983</v>
      </c>
      <c r="F3612" s="3" t="s">
        <v>1437</v>
      </c>
      <c r="G3612" s="3" t="s">
        <v>1438</v>
      </c>
      <c r="H3612" s="2" t="s">
        <v>21</v>
      </c>
      <c r="I3612" s="2" t="s">
        <v>9651</v>
      </c>
      <c r="J3612" s="3" t="str">
        <f>HYPERLINK("https://www.boe.es/gazeta/dias/1812/06/06/pdfs/GRE-F-1812-70.pdf#page=4","Abrir facsímil")</f>
        <v>Abrir facsímil</v>
      </c>
      <c r="K3612" s="3" t="s">
        <v>23</v>
      </c>
    </row>
    <row r="3613" spans="1:11" ht="42" customHeight="1">
      <c r="A3613" s="2" t="s">
        <v>9652</v>
      </c>
      <c r="B3613" s="2" t="s">
        <v>9653</v>
      </c>
      <c r="C3613" s="2" t="s">
        <v>26</v>
      </c>
      <c r="D3613" s="2" t="s">
        <v>27</v>
      </c>
      <c r="E3613" s="4">
        <v>-32100</v>
      </c>
      <c r="F3613" s="3" t="s">
        <v>492</v>
      </c>
      <c r="G3613" s="3" t="s">
        <v>493</v>
      </c>
      <c r="H3613" s="2" t="s">
        <v>21</v>
      </c>
      <c r="I3613" s="2" t="s">
        <v>9654</v>
      </c>
      <c r="J3613" s="3" t="str">
        <f>HYPERLINK("https://www.boe.es/gazeta/dias/1812/02/10/pdfs/GRE-1812-31.pdf#page=8","Abrir facsímil")</f>
        <v>Abrir facsímil</v>
      </c>
      <c r="K3613" s="3" t="s">
        <v>23</v>
      </c>
    </row>
    <row r="3614" spans="1:11" ht="42" customHeight="1">
      <c r="A3614" s="2" t="s">
        <v>9652</v>
      </c>
      <c r="B3614" s="2" t="s">
        <v>9653</v>
      </c>
      <c r="C3614" s="2" t="s">
        <v>26</v>
      </c>
      <c r="D3614" s="2" t="s">
        <v>27</v>
      </c>
      <c r="E3614" s="4">
        <v>-32071</v>
      </c>
      <c r="F3614" s="3" t="s">
        <v>492</v>
      </c>
      <c r="G3614" s="3" t="s">
        <v>493</v>
      </c>
      <c r="H3614" s="2" t="s">
        <v>21</v>
      </c>
      <c r="I3614" s="2" t="s">
        <v>9654</v>
      </c>
      <c r="J3614" s="3" t="str">
        <f>HYPERLINK("https://www.boe.es/gazeta/dias/1812/03/10/pdfs/GRE-1812-31.pdf#page=8","Abrir facsímil")</f>
        <v>Abrir facsímil</v>
      </c>
      <c r="K3614" s="3" t="s">
        <v>23</v>
      </c>
    </row>
    <row r="3615" spans="1:11" ht="42" customHeight="1">
      <c r="A3615" s="2" t="s">
        <v>9655</v>
      </c>
      <c r="B3615" s="2" t="s">
        <v>9656</v>
      </c>
      <c r="C3615" s="2" t="s">
        <v>26</v>
      </c>
      <c r="D3615" s="2" t="s">
        <v>573</v>
      </c>
      <c r="E3615" s="4">
        <v>-31900</v>
      </c>
      <c r="F3615" s="3" t="s">
        <v>276</v>
      </c>
      <c r="G3615" s="3" t="s">
        <v>277</v>
      </c>
      <c r="H3615" s="2" t="s">
        <v>21</v>
      </c>
      <c r="I3615" s="2" t="s">
        <v>9657</v>
      </c>
      <c r="J3615" s="3" t="str">
        <f>HYPERLINK("https://www.boe.es/gazeta/dias/1812/08/28/pdfs/GRE-1812-113E.pdf#page=8","Abrir facsímil")</f>
        <v>Abrir facsímil</v>
      </c>
      <c r="K3615" s="3" t="s">
        <v>23</v>
      </c>
    </row>
    <row r="3616" spans="1:11" ht="42" customHeight="1">
      <c r="A3616" s="2" t="s">
        <v>9658</v>
      </c>
      <c r="B3616" s="2" t="s">
        <v>9659</v>
      </c>
      <c r="C3616" s="2" t="s">
        <v>26</v>
      </c>
      <c r="D3616" s="2" t="s">
        <v>27</v>
      </c>
      <c r="E3616" s="4">
        <v>-32060</v>
      </c>
      <c r="F3616" s="3" t="s">
        <v>399</v>
      </c>
      <c r="G3616" s="3" t="s">
        <v>136</v>
      </c>
      <c r="H3616" s="2" t="s">
        <v>21</v>
      </c>
      <c r="I3616" s="2" t="s">
        <v>9660</v>
      </c>
      <c r="J3616" s="3" t="str">
        <f>HYPERLINK("https://www.boe.es/gazeta/dias/1812/03/21/pdfs/GMD-1812-81.pdf#page=4","Abrir facsímil")</f>
        <v>Abrir facsímil</v>
      </c>
      <c r="K3616" s="3" t="s">
        <v>23</v>
      </c>
    </row>
    <row r="3617" spans="1:11" ht="42" customHeight="1">
      <c r="A3617" s="2" t="s">
        <v>9661</v>
      </c>
      <c r="B3617" s="2" t="s">
        <v>9662</v>
      </c>
      <c r="C3617" s="2" t="s">
        <v>17</v>
      </c>
      <c r="D3617" s="2" t="s">
        <v>27</v>
      </c>
      <c r="E3617" s="4">
        <v>-31929</v>
      </c>
      <c r="F3617" s="3" t="s">
        <v>1148</v>
      </c>
      <c r="G3617" s="3" t="s">
        <v>1301</v>
      </c>
      <c r="H3617" s="2" t="s">
        <v>21</v>
      </c>
      <c r="I3617" s="2" t="s">
        <v>9663</v>
      </c>
      <c r="J3617" s="3" t="str">
        <f>HYPERLINK("https://www.boe.es/gazeta/dias/1812/07/30/pdfs/GRE-1812-95.pdf#page=8","Abrir facsímil")</f>
        <v>Abrir facsímil</v>
      </c>
      <c r="K3617" s="3" t="s">
        <v>23</v>
      </c>
    </row>
    <row r="3618" spans="1:11" ht="42" customHeight="1">
      <c r="A3618" s="2" t="s">
        <v>9664</v>
      </c>
      <c r="B3618" s="2" t="s">
        <v>9665</v>
      </c>
      <c r="C3618" s="2" t="s">
        <v>26</v>
      </c>
      <c r="D3618" s="2" t="s">
        <v>27</v>
      </c>
      <c r="E3618" s="4">
        <v>-32137</v>
      </c>
      <c r="F3618" s="3" t="s">
        <v>355</v>
      </c>
      <c r="G3618" s="3" t="s">
        <v>117</v>
      </c>
      <c r="H3618" s="2" t="s">
        <v>21</v>
      </c>
      <c r="I3618" s="2" t="s">
        <v>9666</v>
      </c>
      <c r="J3618" s="3" t="str">
        <f>HYPERLINK("https://www.boe.es/gazeta/dias/1812/01/04/pdfs/GEI-1812-2.pdf#page=8","Abrir facsímil")</f>
        <v>Abrir facsímil</v>
      </c>
      <c r="K3618" s="3" t="s">
        <v>23</v>
      </c>
    </row>
    <row r="3619" spans="1:11" ht="42" customHeight="1">
      <c r="A3619" s="2" t="s">
        <v>9667</v>
      </c>
      <c r="B3619" s="2" t="s">
        <v>9667</v>
      </c>
      <c r="C3619" s="2" t="s">
        <v>17</v>
      </c>
      <c r="D3619" s="2" t="s">
        <v>194</v>
      </c>
      <c r="E3619" s="4">
        <v>-31793</v>
      </c>
      <c r="F3619" s="3" t="s">
        <v>2570</v>
      </c>
      <c r="G3619" s="3" t="s">
        <v>20</v>
      </c>
      <c r="H3619" s="2" t="s">
        <v>21</v>
      </c>
      <c r="I3619" s="2" t="s">
        <v>9668</v>
      </c>
      <c r="J3619" s="3" t="str">
        <f>HYPERLINK("https://www.boe.es/gazeta/dias/1812/12/13/pdfs/GMD-1812-236.pdf#page=2","Abrir facsímil")</f>
        <v>Abrir facsímil</v>
      </c>
      <c r="K3619" s="3" t="s">
        <v>23</v>
      </c>
    </row>
    <row r="3620" spans="1:11" ht="42" customHeight="1">
      <c r="A3620" s="2" t="s">
        <v>9669</v>
      </c>
      <c r="B3620" s="2" t="s">
        <v>9670</v>
      </c>
      <c r="C3620" s="2" t="s">
        <v>26</v>
      </c>
      <c r="D3620" s="2" t="s">
        <v>27</v>
      </c>
      <c r="E3620" s="4">
        <v>-31981</v>
      </c>
      <c r="F3620" s="3" t="s">
        <v>5059</v>
      </c>
      <c r="G3620" s="3" t="s">
        <v>45</v>
      </c>
      <c r="H3620" s="2" t="s">
        <v>21</v>
      </c>
      <c r="I3620" s="2" t="s">
        <v>9671</v>
      </c>
      <c r="J3620" s="3" t="str">
        <f>HYPERLINK("https://www.boe.es/gazeta/dias/1812/06/08/pdfs/GMD-1812-160.pdf#page=3","Abrir facsímil")</f>
        <v>Abrir facsímil</v>
      </c>
      <c r="K3620" s="3" t="s">
        <v>23</v>
      </c>
    </row>
    <row r="3621" spans="1:11" ht="42" customHeight="1">
      <c r="A3621" s="2" t="s">
        <v>9672</v>
      </c>
      <c r="B3621" s="2" t="s">
        <v>9673</v>
      </c>
      <c r="C3621" s="2" t="s">
        <v>17</v>
      </c>
      <c r="D3621" s="2" t="s">
        <v>18</v>
      </c>
      <c r="E3621" s="4">
        <v>-32125</v>
      </c>
      <c r="F3621" s="3" t="s">
        <v>964</v>
      </c>
      <c r="G3621" s="3" t="s">
        <v>514</v>
      </c>
      <c r="H3621" s="2" t="s">
        <v>21</v>
      </c>
      <c r="I3621" s="2" t="s">
        <v>9674</v>
      </c>
      <c r="J3621" s="3" t="str">
        <f>HYPERLINK("https://www.boe.es/gazeta/dias/1812/01/16/pdfs/GEI-H-1812-7.pdf#page=1","Abrir facsímil")</f>
        <v>Abrir facsímil</v>
      </c>
      <c r="K3621" s="3" t="s">
        <v>23</v>
      </c>
    </row>
    <row r="3622" spans="1:11" ht="42" customHeight="1">
      <c r="A3622" s="2" t="s">
        <v>9675</v>
      </c>
      <c r="B3622" s="2" t="s">
        <v>9676</v>
      </c>
      <c r="C3622" s="2" t="s">
        <v>26</v>
      </c>
      <c r="D3622" s="2" t="s">
        <v>27</v>
      </c>
      <c r="E3622" s="4">
        <v>-31945</v>
      </c>
      <c r="F3622" s="3" t="s">
        <v>1485</v>
      </c>
      <c r="G3622" s="3" t="s">
        <v>1486</v>
      </c>
      <c r="H3622" s="2" t="s">
        <v>21</v>
      </c>
      <c r="I3622" s="2" t="s">
        <v>9677</v>
      </c>
      <c r="J3622" s="3" t="str">
        <f>HYPERLINK("https://www.boe.es/gazeta/dias/1812/07/14/pdfs/GRE-1812-88.pdf#page=1","Abrir facsímil")</f>
        <v>Abrir facsímil</v>
      </c>
      <c r="K3622" s="3" t="s">
        <v>23</v>
      </c>
    </row>
    <row r="3623" spans="1:11" ht="42" customHeight="1">
      <c r="A3623" s="2" t="s">
        <v>9678</v>
      </c>
      <c r="B3623" s="2" t="s">
        <v>9679</v>
      </c>
      <c r="C3623" s="2" t="s">
        <v>26</v>
      </c>
      <c r="D3623" s="2" t="s">
        <v>27</v>
      </c>
      <c r="E3623" s="4">
        <v>-31942</v>
      </c>
      <c r="F3623" s="3" t="s">
        <v>3065</v>
      </c>
      <c r="G3623" s="3" t="s">
        <v>3066</v>
      </c>
      <c r="H3623" s="2" t="s">
        <v>21</v>
      </c>
      <c r="I3623" s="2" t="s">
        <v>9680</v>
      </c>
      <c r="J3623" s="3" t="str">
        <f>HYPERLINK("https://www.boe.es/gazeta/dias/1812/07/17/pdfs/GMD-1812-199.pdf#page=3","Abrir facsímil")</f>
        <v>Abrir facsímil</v>
      </c>
      <c r="K3623" s="3" t="s">
        <v>23</v>
      </c>
    </row>
    <row r="3624" spans="1:11" ht="42" customHeight="1">
      <c r="A3624" s="2" t="s">
        <v>9681</v>
      </c>
      <c r="B3624" s="2" t="s">
        <v>9682</v>
      </c>
      <c r="C3624" s="2" t="s">
        <v>17</v>
      </c>
      <c r="D3624" s="2" t="s">
        <v>27</v>
      </c>
      <c r="E3624" s="4">
        <v>-32134</v>
      </c>
      <c r="F3624" s="3" t="s">
        <v>50</v>
      </c>
      <c r="G3624" s="3" t="s">
        <v>233</v>
      </c>
      <c r="H3624" s="2" t="s">
        <v>21</v>
      </c>
      <c r="I3624" s="2" t="s">
        <v>9683</v>
      </c>
      <c r="J3624" s="3" t="str">
        <f>HYPERLINK("https://www.boe.es/gazeta/dias/1812/01/07/pdfs/GEI-1812-3.pdf#page=8","Abrir facsímil")</f>
        <v>Abrir facsímil</v>
      </c>
      <c r="K3624" s="3" t="s">
        <v>23</v>
      </c>
    </row>
    <row r="3625" spans="1:11" ht="42" customHeight="1">
      <c r="A3625" s="2" t="s">
        <v>9684</v>
      </c>
      <c r="B3625" s="2" t="s">
        <v>9684</v>
      </c>
      <c r="C3625" s="2" t="s">
        <v>17</v>
      </c>
      <c r="D3625" s="2" t="s">
        <v>27</v>
      </c>
      <c r="E3625" s="4">
        <v>-32029</v>
      </c>
      <c r="F3625" s="3" t="s">
        <v>176</v>
      </c>
      <c r="G3625" s="3" t="s">
        <v>125</v>
      </c>
      <c r="H3625" s="2" t="s">
        <v>21</v>
      </c>
      <c r="I3625" s="2" t="s">
        <v>9685</v>
      </c>
      <c r="J3625" s="3" t="str">
        <f>HYPERLINK("https://www.boe.es/gazeta/dias/1812/04/21/pdfs/GRE-1812-50.pdf#page=3","Abrir facsímil")</f>
        <v>Abrir facsímil</v>
      </c>
      <c r="K3625" s="3" t="s">
        <v>23</v>
      </c>
    </row>
    <row r="3626" spans="1:11" ht="42" customHeight="1">
      <c r="A3626" s="2" t="s">
        <v>9686</v>
      </c>
      <c r="B3626" s="2" t="s">
        <v>9687</v>
      </c>
      <c r="C3626" s="2" t="s">
        <v>17</v>
      </c>
      <c r="D3626" s="2" t="s">
        <v>134</v>
      </c>
      <c r="E3626" s="4">
        <v>-31955</v>
      </c>
      <c r="F3626" s="3" t="s">
        <v>135</v>
      </c>
      <c r="G3626" s="3" t="s">
        <v>136</v>
      </c>
      <c r="H3626" s="2" t="s">
        <v>21</v>
      </c>
      <c r="I3626" s="2" t="s">
        <v>9688</v>
      </c>
      <c r="J3626" s="3" t="str">
        <f>HYPERLINK("https://www.boe.es/gazeta/dias/1812/07/04/pdfs/GRE-F-1812-82.pdf#page=8","Abrir facsímil")</f>
        <v>Abrir facsímil</v>
      </c>
      <c r="K3626" s="3" t="s">
        <v>23</v>
      </c>
    </row>
    <row r="3627" spans="1:11" ht="42" customHeight="1">
      <c r="A3627" s="2" t="s">
        <v>9689</v>
      </c>
      <c r="B3627" s="2" t="s">
        <v>9690</v>
      </c>
      <c r="C3627" s="2" t="s">
        <v>26</v>
      </c>
      <c r="D3627" s="2" t="s">
        <v>27</v>
      </c>
      <c r="E3627" s="4">
        <v>-31976</v>
      </c>
      <c r="F3627" s="3" t="s">
        <v>54</v>
      </c>
      <c r="G3627" s="3" t="s">
        <v>55</v>
      </c>
      <c r="H3627" s="2" t="s">
        <v>21</v>
      </c>
      <c r="I3627" s="2" t="s">
        <v>9691</v>
      </c>
      <c r="J3627" s="3" t="str">
        <f>HYPERLINK("https://www.boe.es/gazeta/dias/1812/06/13/pdfs/GRE-1812-73.pdf#page=6","Abrir facsímil")</f>
        <v>Abrir facsímil</v>
      </c>
      <c r="K3627" s="3" t="s">
        <v>23</v>
      </c>
    </row>
    <row r="3628" spans="1:11" ht="42" customHeight="1">
      <c r="A3628" s="2" t="s">
        <v>9692</v>
      </c>
      <c r="B3628" s="2" t="s">
        <v>9692</v>
      </c>
      <c r="C3628" s="2" t="s">
        <v>17</v>
      </c>
      <c r="D3628" s="2" t="s">
        <v>27</v>
      </c>
      <c r="E3628" s="4">
        <v>-32087</v>
      </c>
      <c r="F3628" s="3" t="s">
        <v>9693</v>
      </c>
      <c r="G3628" s="3" t="s">
        <v>125</v>
      </c>
      <c r="H3628" s="2" t="s">
        <v>21</v>
      </c>
      <c r="I3628" s="2" t="s">
        <v>9694</v>
      </c>
      <c r="J3628" s="3" t="str">
        <f>HYPERLINK("https://www.boe.es/gazeta/dias/1812/02/23/pdfs/GMD-1812-54.pdf#page=2","Abrir facsímil")</f>
        <v>Abrir facsímil</v>
      </c>
      <c r="K3628" s="3" t="s">
        <v>23</v>
      </c>
    </row>
    <row r="3629" spans="1:11" ht="42" customHeight="1">
      <c r="A3629" s="2" t="s">
        <v>9695</v>
      </c>
      <c r="B3629" s="2" t="s">
        <v>9696</v>
      </c>
      <c r="C3629" s="2" t="s">
        <v>26</v>
      </c>
      <c r="D3629" s="2" t="s">
        <v>27</v>
      </c>
      <c r="E3629" s="4">
        <v>-32034</v>
      </c>
      <c r="F3629" s="3" t="s">
        <v>28</v>
      </c>
      <c r="G3629" s="3" t="s">
        <v>317</v>
      </c>
      <c r="H3629" s="2" t="s">
        <v>21</v>
      </c>
      <c r="I3629" s="2" t="s">
        <v>9697</v>
      </c>
      <c r="J3629" s="3" t="str">
        <f>HYPERLINK("https://www.boe.es/gazeta/dias/1812/04/16/pdfs/GMD-1812-107.pdf#page=6","Abrir facsímil")</f>
        <v>Abrir facsímil</v>
      </c>
      <c r="K3629" s="3" t="s">
        <v>23</v>
      </c>
    </row>
    <row r="3630" spans="1:11" ht="42" customHeight="1">
      <c r="A3630" s="2" t="s">
        <v>9698</v>
      </c>
      <c r="B3630" s="2" t="s">
        <v>9699</v>
      </c>
      <c r="C3630" s="2" t="s">
        <v>26</v>
      </c>
      <c r="D3630" s="2" t="s">
        <v>27</v>
      </c>
      <c r="E3630" s="4">
        <v>-31794</v>
      </c>
      <c r="F3630" s="3" t="s">
        <v>3308</v>
      </c>
      <c r="G3630" s="3" t="s">
        <v>9700</v>
      </c>
      <c r="H3630" s="2" t="s">
        <v>21</v>
      </c>
      <c r="I3630" s="2" t="s">
        <v>9701</v>
      </c>
      <c r="J3630" s="3" t="str">
        <f>HYPERLINK("https://www.boe.es/gazeta/dias/1812/12/12/pdfs/GRE-1812-164.pdf#page=8","Abrir facsímil")</f>
        <v>Abrir facsímil</v>
      </c>
      <c r="K3630" s="3" t="s">
        <v>23</v>
      </c>
    </row>
    <row r="3631" spans="1:11" ht="42" customHeight="1">
      <c r="A3631" s="2" t="s">
        <v>9702</v>
      </c>
      <c r="B3631" s="2" t="s">
        <v>9703</v>
      </c>
      <c r="C3631" s="2" t="s">
        <v>26</v>
      </c>
      <c r="D3631" s="2" t="s">
        <v>27</v>
      </c>
      <c r="E3631" s="4">
        <v>-32055</v>
      </c>
      <c r="F3631" s="3" t="s">
        <v>1271</v>
      </c>
      <c r="G3631" s="3" t="s">
        <v>130</v>
      </c>
      <c r="H3631" s="2" t="s">
        <v>21</v>
      </c>
      <c r="I3631" s="2" t="s">
        <v>9704</v>
      </c>
      <c r="J3631" s="3" t="str">
        <f>HYPERLINK("https://www.boe.es/gazeta/dias/1812/03/26/pdfs/GMD-1812-86.pdf#page=4","Abrir facsímil")</f>
        <v>Abrir facsímil</v>
      </c>
      <c r="K3631" s="3" t="s">
        <v>23</v>
      </c>
    </row>
    <row r="3632" spans="1:11" ht="42" customHeight="1">
      <c r="A3632" s="2" t="s">
        <v>9702</v>
      </c>
      <c r="B3632" s="2" t="s">
        <v>9703</v>
      </c>
      <c r="C3632" s="2" t="s">
        <v>26</v>
      </c>
      <c r="D3632" s="2" t="s">
        <v>27</v>
      </c>
      <c r="E3632" s="4">
        <v>-31938</v>
      </c>
      <c r="F3632" s="3" t="s">
        <v>324</v>
      </c>
      <c r="G3632" s="3" t="s">
        <v>237</v>
      </c>
      <c r="H3632" s="2" t="s">
        <v>21</v>
      </c>
      <c r="I3632" s="2" t="s">
        <v>9705</v>
      </c>
      <c r="J3632" s="3" t="str">
        <f>HYPERLINK("https://www.boe.es/gazeta/dias/1812/07/21/pdfs/GMD-1812-203.pdf#page=2","Abrir facsímil")</f>
        <v>Abrir facsímil</v>
      </c>
      <c r="K3632" s="3" t="s">
        <v>23</v>
      </c>
    </row>
    <row r="3633" spans="1:11" ht="42" customHeight="1">
      <c r="A3633" s="2" t="s">
        <v>9706</v>
      </c>
      <c r="B3633" s="2" t="s">
        <v>9707</v>
      </c>
      <c r="C3633" s="2" t="s">
        <v>26</v>
      </c>
      <c r="D3633" s="2" t="s">
        <v>27</v>
      </c>
      <c r="E3633" s="4">
        <v>-31938</v>
      </c>
      <c r="F3633" s="3" t="s">
        <v>324</v>
      </c>
      <c r="G3633" s="3" t="s">
        <v>404</v>
      </c>
      <c r="H3633" s="2" t="s">
        <v>21</v>
      </c>
      <c r="I3633" s="2" t="s">
        <v>9708</v>
      </c>
      <c r="J3633" s="3" t="str">
        <f>HYPERLINK("https://www.boe.es/gazeta/dias/1812/07/21/pdfs/GMD-1812-203.pdf#page=4","Abrir facsímil")</f>
        <v>Abrir facsímil</v>
      </c>
      <c r="K3633" s="3" t="s">
        <v>23</v>
      </c>
    </row>
    <row r="3634" spans="1:11" ht="42" customHeight="1">
      <c r="A3634" s="2" t="s">
        <v>9709</v>
      </c>
      <c r="B3634" s="2" t="s">
        <v>9710</v>
      </c>
      <c r="C3634" s="2" t="s">
        <v>26</v>
      </c>
      <c r="D3634" s="2" t="s">
        <v>27</v>
      </c>
      <c r="E3634" s="4">
        <v>-32034</v>
      </c>
      <c r="F3634" s="3" t="s">
        <v>28</v>
      </c>
      <c r="G3634" s="3" t="s">
        <v>794</v>
      </c>
      <c r="H3634" s="2" t="s">
        <v>21</v>
      </c>
      <c r="I3634" s="2" t="s">
        <v>9711</v>
      </c>
      <c r="J3634" s="3" t="str">
        <f>HYPERLINK("https://www.boe.es/gazeta/dias/1812/04/16/pdfs/GMD-1812-107.pdf#page=7","Abrir facsímil")</f>
        <v>Abrir facsímil</v>
      </c>
      <c r="K3634" s="3" t="s">
        <v>23</v>
      </c>
    </row>
    <row r="3635" spans="1:11" ht="42" customHeight="1">
      <c r="A3635" s="2" t="s">
        <v>9712</v>
      </c>
      <c r="B3635" s="2" t="s">
        <v>9713</v>
      </c>
      <c r="C3635" s="2" t="s">
        <v>26</v>
      </c>
      <c r="D3635" s="2" t="s">
        <v>27</v>
      </c>
      <c r="E3635" s="4">
        <v>-31964</v>
      </c>
      <c r="F3635" s="3" t="s">
        <v>305</v>
      </c>
      <c r="G3635" s="3" t="s">
        <v>58</v>
      </c>
      <c r="H3635" s="2" t="s">
        <v>21</v>
      </c>
      <c r="I3635" s="2" t="s">
        <v>9714</v>
      </c>
      <c r="J3635" s="3" t="str">
        <f>HYPERLINK("https://www.boe.es/gazeta/dias/1812/06/25/pdfs/GMD-1812-177.pdf#page=2","Abrir facsímil")</f>
        <v>Abrir facsímil</v>
      </c>
      <c r="K3635" s="3" t="s">
        <v>23</v>
      </c>
    </row>
    <row r="3636" spans="1:11" ht="42" customHeight="1">
      <c r="A3636" s="2" t="s">
        <v>9709</v>
      </c>
      <c r="B3636" s="2" t="s">
        <v>9710</v>
      </c>
      <c r="C3636" s="2" t="s">
        <v>26</v>
      </c>
      <c r="D3636" s="2" t="s">
        <v>573</v>
      </c>
      <c r="E3636" s="4">
        <v>-31874</v>
      </c>
      <c r="F3636" s="3" t="s">
        <v>1697</v>
      </c>
      <c r="G3636" s="3" t="s">
        <v>1698</v>
      </c>
      <c r="H3636" s="2" t="s">
        <v>21</v>
      </c>
      <c r="I3636" s="2" t="s">
        <v>9715</v>
      </c>
      <c r="J3636" s="3" t="str">
        <f>HYPERLINK("https://www.boe.es/gazeta/dias/1812/09/23/pdfs/GRE-1812-129E.pdf#page=3","Abrir facsímil")</f>
        <v>Abrir facsímil</v>
      </c>
      <c r="K3636" s="3" t="s">
        <v>23</v>
      </c>
    </row>
    <row r="3637" spans="1:11" ht="42" customHeight="1">
      <c r="A3637" s="2" t="s">
        <v>9716</v>
      </c>
      <c r="B3637" s="2" t="s">
        <v>9717</v>
      </c>
      <c r="C3637" s="2" t="s">
        <v>26</v>
      </c>
      <c r="D3637" s="2" t="s">
        <v>27</v>
      </c>
      <c r="E3637" s="4">
        <v>-31957</v>
      </c>
      <c r="F3637" s="3" t="s">
        <v>598</v>
      </c>
      <c r="G3637" s="3" t="s">
        <v>599</v>
      </c>
      <c r="H3637" s="2" t="s">
        <v>21</v>
      </c>
      <c r="I3637" s="2" t="s">
        <v>9718</v>
      </c>
      <c r="J3637" s="3" t="str">
        <f>HYPERLINK("https://www.boe.es/gazeta/dias/1812/07/02/pdfs/GMD-1812-184.pdf#page=2","Abrir facsímil")</f>
        <v>Abrir facsímil</v>
      </c>
      <c r="K3637" s="3" t="s">
        <v>23</v>
      </c>
    </row>
    <row r="3638" spans="1:11" ht="42" customHeight="1">
      <c r="A3638" s="2" t="s">
        <v>9719</v>
      </c>
      <c r="B3638" s="2" t="s">
        <v>9720</v>
      </c>
      <c r="C3638" s="2" t="s">
        <v>26</v>
      </c>
      <c r="D3638" s="2" t="s">
        <v>194</v>
      </c>
      <c r="E3638" s="4">
        <v>-31975</v>
      </c>
      <c r="F3638" s="3" t="s">
        <v>9721</v>
      </c>
      <c r="G3638" s="3" t="s">
        <v>130</v>
      </c>
      <c r="H3638" s="2" t="s">
        <v>21</v>
      </c>
      <c r="I3638" s="2" t="s">
        <v>9722</v>
      </c>
      <c r="J3638" s="3" t="str">
        <f>HYPERLINK("https://www.boe.es/gazeta/dias/1812/06/14/pdfs/GMD-1812-166.pdf#page=4","Abrir facsímil")</f>
        <v>Abrir facsímil</v>
      </c>
      <c r="K3638" s="3" t="s">
        <v>23</v>
      </c>
    </row>
    <row r="3639" spans="1:11" ht="42" customHeight="1">
      <c r="A3639" s="2" t="s">
        <v>9723</v>
      </c>
      <c r="B3639" s="2" t="s">
        <v>9724</v>
      </c>
      <c r="C3639" s="2" t="s">
        <v>26</v>
      </c>
      <c r="D3639" s="2" t="s">
        <v>27</v>
      </c>
      <c r="E3639" s="4">
        <v>-31976</v>
      </c>
      <c r="F3639" s="3" t="s">
        <v>54</v>
      </c>
      <c r="G3639" s="3" t="s">
        <v>55</v>
      </c>
      <c r="H3639" s="2" t="s">
        <v>21</v>
      </c>
      <c r="I3639" s="2" t="s">
        <v>9725</v>
      </c>
      <c r="J3639" s="3" t="str">
        <f>HYPERLINK("https://www.boe.es/gazeta/dias/1812/06/13/pdfs/GRE-1812-73.pdf#page=6","Abrir facsímil")</f>
        <v>Abrir facsímil</v>
      </c>
      <c r="K3639" s="3" t="s">
        <v>23</v>
      </c>
    </row>
    <row r="3640" spans="1:11" ht="42" customHeight="1">
      <c r="A3640" s="2" t="s">
        <v>9723</v>
      </c>
      <c r="B3640" s="2" t="s">
        <v>9724</v>
      </c>
      <c r="C3640" s="2" t="s">
        <v>105</v>
      </c>
      <c r="D3640" s="2" t="s">
        <v>27</v>
      </c>
      <c r="E3640" s="4">
        <v>-31940</v>
      </c>
      <c r="F3640" s="3" t="s">
        <v>187</v>
      </c>
      <c r="G3640" s="3" t="s">
        <v>404</v>
      </c>
      <c r="H3640" s="2" t="s">
        <v>21</v>
      </c>
      <c r="I3640" s="2" t="s">
        <v>9726</v>
      </c>
      <c r="J3640" s="3" t="str">
        <f>HYPERLINK("https://www.boe.es/gazeta/dias/1812/07/19/pdfs/GMD-1812-201.pdf#page=4","Abrir facsímil")</f>
        <v>Abrir facsímil</v>
      </c>
      <c r="K3640" s="3" t="s">
        <v>23</v>
      </c>
    </row>
    <row r="3641" spans="1:11" ht="42" customHeight="1">
      <c r="A3641" s="2" t="s">
        <v>9727</v>
      </c>
      <c r="B3641" s="2" t="s">
        <v>9728</v>
      </c>
      <c r="C3641" s="2" t="s">
        <v>17</v>
      </c>
      <c r="D3641" s="2" t="s">
        <v>134</v>
      </c>
      <c r="E3641" s="4">
        <v>-31955</v>
      </c>
      <c r="F3641" s="3" t="s">
        <v>135</v>
      </c>
      <c r="G3641" s="3" t="s">
        <v>136</v>
      </c>
      <c r="H3641" s="2" t="s">
        <v>21</v>
      </c>
      <c r="I3641" s="2" t="s">
        <v>9729</v>
      </c>
      <c r="J3641" s="3" t="str">
        <f>HYPERLINK("https://www.boe.es/gazeta/dias/1812/07/04/pdfs/GRE-F-1812-82.pdf#page=8","Abrir facsímil")</f>
        <v>Abrir facsímil</v>
      </c>
      <c r="K3641" s="3" t="s">
        <v>23</v>
      </c>
    </row>
    <row r="3642" spans="1:11" ht="42" customHeight="1">
      <c r="A3642" s="2" t="s">
        <v>9730</v>
      </c>
      <c r="B3642" s="2" t="s">
        <v>9731</v>
      </c>
      <c r="C3642" s="2" t="s">
        <v>105</v>
      </c>
      <c r="D3642" s="2" t="s">
        <v>27</v>
      </c>
      <c r="E3642" s="4">
        <v>-32055</v>
      </c>
      <c r="F3642" s="3" t="s">
        <v>459</v>
      </c>
      <c r="G3642" s="3" t="s">
        <v>20</v>
      </c>
      <c r="H3642" s="2" t="s">
        <v>21</v>
      </c>
      <c r="I3642" s="2" t="s">
        <v>9732</v>
      </c>
      <c r="J3642" s="3" t="str">
        <f>HYPERLINK("https://www.boe.es/gazeta/dias/1812/03/26/pdfs/GRE-1812-38.pdf#page=8","Abrir facsímil")</f>
        <v>Abrir facsímil</v>
      </c>
      <c r="K3642" s="3" t="s">
        <v>23</v>
      </c>
    </row>
    <row r="3643" spans="1:11" ht="42" customHeight="1">
      <c r="A3643" s="2" t="s">
        <v>9733</v>
      </c>
      <c r="B3643" s="2" t="s">
        <v>9734</v>
      </c>
      <c r="C3643" s="2" t="s">
        <v>26</v>
      </c>
      <c r="D3643" s="2" t="s">
        <v>27</v>
      </c>
      <c r="E3643" s="4">
        <v>-31940</v>
      </c>
      <c r="F3643" s="3" t="s">
        <v>187</v>
      </c>
      <c r="G3643" s="3" t="s">
        <v>45</v>
      </c>
      <c r="H3643" s="2" t="s">
        <v>21</v>
      </c>
      <c r="I3643" s="2" t="s">
        <v>9735</v>
      </c>
      <c r="J3643" s="3" t="str">
        <f>HYPERLINK("https://www.boe.es/gazeta/dias/1812/07/19/pdfs/GMD-1812-201.pdf#page=2","Abrir facsímil")</f>
        <v>Abrir facsímil</v>
      </c>
      <c r="K3643" s="3" t="s">
        <v>23</v>
      </c>
    </row>
    <row r="3644" spans="1:11" ht="42" customHeight="1">
      <c r="A3644" s="2" t="s">
        <v>9736</v>
      </c>
      <c r="B3644" s="2" t="s">
        <v>9737</v>
      </c>
      <c r="C3644" s="2" t="s">
        <v>26</v>
      </c>
      <c r="D3644" s="2" t="s">
        <v>27</v>
      </c>
      <c r="E3644" s="4">
        <v>-32055</v>
      </c>
      <c r="F3644" s="3" t="s">
        <v>1271</v>
      </c>
      <c r="G3644" s="3" t="s">
        <v>130</v>
      </c>
      <c r="H3644" s="2" t="s">
        <v>21</v>
      </c>
      <c r="I3644" s="2" t="s">
        <v>9738</v>
      </c>
      <c r="J3644" s="3" t="str">
        <f>HYPERLINK("https://www.boe.es/gazeta/dias/1812/03/26/pdfs/GMD-1812-86.pdf#page=4","Abrir facsímil")</f>
        <v>Abrir facsímil</v>
      </c>
      <c r="K3644" s="3" t="s">
        <v>23</v>
      </c>
    </row>
    <row r="3645" spans="1:11" ht="42" customHeight="1">
      <c r="A3645" s="2" t="s">
        <v>9739</v>
      </c>
      <c r="B3645" s="2" t="s">
        <v>9740</v>
      </c>
      <c r="C3645" s="2" t="s">
        <v>67</v>
      </c>
      <c r="D3645" s="2" t="s">
        <v>27</v>
      </c>
      <c r="E3645" s="4">
        <v>-32096</v>
      </c>
      <c r="F3645" s="3" t="s">
        <v>4149</v>
      </c>
      <c r="G3645" s="3" t="s">
        <v>214</v>
      </c>
      <c r="H3645" s="2" t="s">
        <v>21</v>
      </c>
      <c r="I3645" s="2" t="s">
        <v>9741</v>
      </c>
      <c r="J3645" s="3" t="str">
        <f>HYPERLINK("https://www.boe.es/gazeta/dias/1812/02/14/pdfs/GMD-1812-45.pdf#page=4","Abrir facsímil")</f>
        <v>Abrir facsímil</v>
      </c>
      <c r="K3645" s="3" t="s">
        <v>23</v>
      </c>
    </row>
    <row r="3646" spans="1:11" ht="42" customHeight="1">
      <c r="A3646" s="2" t="s">
        <v>9739</v>
      </c>
      <c r="B3646" s="2" t="s">
        <v>9740</v>
      </c>
      <c r="C3646" s="2" t="s">
        <v>26</v>
      </c>
      <c r="D3646" s="2" t="s">
        <v>27</v>
      </c>
      <c r="E3646" s="4">
        <v>-32034</v>
      </c>
      <c r="F3646" s="3" t="s">
        <v>28</v>
      </c>
      <c r="G3646" s="3" t="s">
        <v>130</v>
      </c>
      <c r="H3646" s="2" t="s">
        <v>21</v>
      </c>
      <c r="I3646" s="2" t="s">
        <v>9742</v>
      </c>
      <c r="J3646" s="3" t="str">
        <f>HYPERLINK("https://www.boe.es/gazeta/dias/1812/04/16/pdfs/GMD-1812-107.pdf#page=4","Abrir facsímil")</f>
        <v>Abrir facsímil</v>
      </c>
      <c r="K3646" s="3" t="s">
        <v>23</v>
      </c>
    </row>
    <row r="3647" spans="1:11" ht="42" customHeight="1">
      <c r="A3647" s="2" t="s">
        <v>9739</v>
      </c>
      <c r="B3647" s="2" t="s">
        <v>9740</v>
      </c>
      <c r="C3647" s="2" t="s">
        <v>17</v>
      </c>
      <c r="D3647" s="2" t="s">
        <v>27</v>
      </c>
      <c r="E3647" s="4">
        <v>-31989</v>
      </c>
      <c r="F3647" s="3" t="s">
        <v>263</v>
      </c>
      <c r="G3647" s="3" t="s">
        <v>58</v>
      </c>
      <c r="H3647" s="2" t="s">
        <v>21</v>
      </c>
      <c r="I3647" s="2" t="s">
        <v>9743</v>
      </c>
      <c r="J3647" s="3" t="str">
        <f>HYPERLINK("https://www.boe.es/gazeta/dias/1812/05/31/pdfs/GMD-1812-152.pdf#page=4","Abrir facsímil")</f>
        <v>Abrir facsímil</v>
      </c>
      <c r="K3647" s="3" t="s">
        <v>23</v>
      </c>
    </row>
    <row r="3648" spans="1:11" ht="42" customHeight="1">
      <c r="A3648" s="2" t="s">
        <v>9739</v>
      </c>
      <c r="B3648" s="2" t="s">
        <v>9740</v>
      </c>
      <c r="C3648" s="2" t="s">
        <v>26</v>
      </c>
      <c r="D3648" s="2" t="s">
        <v>27</v>
      </c>
      <c r="E3648" s="4">
        <v>-31939</v>
      </c>
      <c r="F3648" s="3" t="s">
        <v>408</v>
      </c>
      <c r="G3648" s="3" t="s">
        <v>409</v>
      </c>
      <c r="H3648" s="2" t="s">
        <v>21</v>
      </c>
      <c r="I3648" s="2" t="s">
        <v>9744</v>
      </c>
      <c r="J3648" s="3" t="str">
        <f>HYPERLINK("https://www.boe.es/gazeta/dias/1812/07/20/pdfs/GMD-1812-202.pdf#page=3","Abrir facsímil")</f>
        <v>Abrir facsímil</v>
      </c>
      <c r="K3648" s="3" t="s">
        <v>23</v>
      </c>
    </row>
    <row r="3649" spans="1:11" ht="42" customHeight="1">
      <c r="A3649" s="2" t="s">
        <v>9739</v>
      </c>
      <c r="B3649" s="2" t="s">
        <v>9740</v>
      </c>
      <c r="C3649" s="2" t="s">
        <v>26</v>
      </c>
      <c r="D3649" s="2" t="s">
        <v>27</v>
      </c>
      <c r="E3649" s="4">
        <v>-31938</v>
      </c>
      <c r="F3649" s="3" t="s">
        <v>324</v>
      </c>
      <c r="G3649" s="3" t="s">
        <v>404</v>
      </c>
      <c r="H3649" s="2" t="s">
        <v>21</v>
      </c>
      <c r="I3649" s="2" t="s">
        <v>9745</v>
      </c>
      <c r="J3649" s="3" t="str">
        <f>HYPERLINK("https://www.boe.es/gazeta/dias/1812/07/21/pdfs/GMD-1812-203.pdf#page=4","Abrir facsímil")</f>
        <v>Abrir facsímil</v>
      </c>
      <c r="K3649" s="3" t="s">
        <v>23</v>
      </c>
    </row>
    <row r="3650" spans="1:11" ht="42" customHeight="1">
      <c r="A3650" s="2" t="s">
        <v>9739</v>
      </c>
      <c r="B3650" s="2" t="s">
        <v>9740</v>
      </c>
      <c r="C3650" s="2" t="s">
        <v>26</v>
      </c>
      <c r="D3650" s="2" t="s">
        <v>27</v>
      </c>
      <c r="E3650" s="4">
        <v>-31936</v>
      </c>
      <c r="F3650" s="3" t="s">
        <v>614</v>
      </c>
      <c r="G3650" s="3" t="s">
        <v>615</v>
      </c>
      <c r="H3650" s="2" t="s">
        <v>21</v>
      </c>
      <c r="I3650" s="2" t="s">
        <v>9746</v>
      </c>
      <c r="J3650" s="3" t="str">
        <f>HYPERLINK("https://www.boe.es/gazeta/dias/1812/07/23/pdfs/GRE-1812-92.pdf#page=8","Abrir facsímil")</f>
        <v>Abrir facsímil</v>
      </c>
      <c r="K3650" s="3" t="s">
        <v>23</v>
      </c>
    </row>
    <row r="3651" spans="1:11" ht="42" customHeight="1">
      <c r="A3651" s="2" t="s">
        <v>9747</v>
      </c>
      <c r="B3651" s="2" t="s">
        <v>9748</v>
      </c>
      <c r="C3651" s="2" t="s">
        <v>26</v>
      </c>
      <c r="D3651" s="2" t="s">
        <v>27</v>
      </c>
      <c r="E3651" s="4">
        <v>-31969</v>
      </c>
      <c r="F3651" s="3" t="s">
        <v>83</v>
      </c>
      <c r="G3651" s="3" t="s">
        <v>84</v>
      </c>
      <c r="H3651" s="2" t="s">
        <v>21</v>
      </c>
      <c r="I3651" s="2" t="s">
        <v>9749</v>
      </c>
      <c r="J3651" s="3" t="str">
        <f>HYPERLINK("https://www.boe.es/gazeta/dias/1812/06/20/pdfs/GRE-1812-76.pdf#page=8","Abrir facsímil")</f>
        <v>Abrir facsímil</v>
      </c>
      <c r="K3651" s="3" t="s">
        <v>23</v>
      </c>
    </row>
    <row r="3652" spans="1:11" ht="42" customHeight="1">
      <c r="A3652" s="2" t="s">
        <v>9750</v>
      </c>
      <c r="B3652" s="2" t="s">
        <v>9751</v>
      </c>
      <c r="C3652" s="2" t="s">
        <v>26</v>
      </c>
      <c r="D3652" s="2" t="s">
        <v>27</v>
      </c>
      <c r="E3652" s="4">
        <v>-31940</v>
      </c>
      <c r="F3652" s="3" t="s">
        <v>187</v>
      </c>
      <c r="G3652" s="3" t="s">
        <v>404</v>
      </c>
      <c r="H3652" s="2" t="s">
        <v>21</v>
      </c>
      <c r="I3652" s="2" t="s">
        <v>9752</v>
      </c>
      <c r="J3652" s="3" t="str">
        <f>HYPERLINK("https://www.boe.es/gazeta/dias/1812/07/19/pdfs/GMD-1812-201.pdf#page=4","Abrir facsímil")</f>
        <v>Abrir facsímil</v>
      </c>
      <c r="K3652" s="3" t="s">
        <v>23</v>
      </c>
    </row>
    <row r="3653" spans="1:11" ht="42" customHeight="1">
      <c r="A3653" s="2" t="s">
        <v>9753</v>
      </c>
      <c r="B3653" s="2" t="s">
        <v>9754</v>
      </c>
      <c r="C3653" s="2" t="s">
        <v>26</v>
      </c>
      <c r="D3653" s="2" t="s">
        <v>27</v>
      </c>
      <c r="E3653" s="4">
        <v>-32034</v>
      </c>
      <c r="F3653" s="3" t="s">
        <v>28</v>
      </c>
      <c r="G3653" s="3" t="s">
        <v>130</v>
      </c>
      <c r="H3653" s="2" t="s">
        <v>21</v>
      </c>
      <c r="I3653" s="2" t="s">
        <v>9755</v>
      </c>
      <c r="J3653" s="3" t="str">
        <f>HYPERLINK("https://www.boe.es/gazeta/dias/1812/04/16/pdfs/GMD-1812-107.pdf#page=4","Abrir facsímil")</f>
        <v>Abrir facsímil</v>
      </c>
      <c r="K3653" s="3" t="s">
        <v>23</v>
      </c>
    </row>
    <row r="3654" spans="1:11" ht="42" customHeight="1">
      <c r="A3654" s="2" t="s">
        <v>9756</v>
      </c>
      <c r="B3654" s="2" t="s">
        <v>9757</v>
      </c>
      <c r="C3654" s="2" t="s">
        <v>17</v>
      </c>
      <c r="D3654" s="2" t="s">
        <v>18</v>
      </c>
      <c r="E3654" s="4">
        <v>-31936</v>
      </c>
      <c r="F3654" s="3" t="s">
        <v>603</v>
      </c>
      <c r="G3654" s="3" t="s">
        <v>36</v>
      </c>
      <c r="H3654" s="2" t="s">
        <v>21</v>
      </c>
      <c r="I3654" s="2" t="s">
        <v>9758</v>
      </c>
      <c r="J3654" s="3" t="str">
        <f>HYPERLINK("https://www.boe.es/gazeta/dias/1812/07/23/pdfs/GMD-1812-205.pdf#page=3","Abrir facsímil")</f>
        <v>Abrir facsímil</v>
      </c>
      <c r="K3654" s="3" t="s">
        <v>23</v>
      </c>
    </row>
    <row r="3655" spans="1:11" ht="42" customHeight="1">
      <c r="A3655" s="2" t="s">
        <v>9759</v>
      </c>
      <c r="B3655" s="2" t="s">
        <v>9760</v>
      </c>
      <c r="C3655" s="2" t="s">
        <v>17</v>
      </c>
      <c r="D3655" s="2" t="s">
        <v>18</v>
      </c>
      <c r="E3655" s="4">
        <v>-32129</v>
      </c>
      <c r="F3655" s="3" t="s">
        <v>3162</v>
      </c>
      <c r="G3655" s="3" t="s">
        <v>2313</v>
      </c>
      <c r="H3655" s="2" t="s">
        <v>21</v>
      </c>
      <c r="I3655" s="2" t="s">
        <v>9761</v>
      </c>
      <c r="J3655" s="3" t="str">
        <f>HYPERLINK("https://www.boe.es/gazeta/dias/1812/01/12/pdfs/GMD-1812-12.pdf#page=4","Abrir facsímil")</f>
        <v>Abrir facsímil</v>
      </c>
      <c r="K3655" s="3" t="s">
        <v>23</v>
      </c>
    </row>
    <row r="3656" spans="1:11" ht="42" customHeight="1">
      <c r="A3656" s="2" t="s">
        <v>9759</v>
      </c>
      <c r="B3656" s="2" t="s">
        <v>9760</v>
      </c>
      <c r="C3656" s="2" t="s">
        <v>49</v>
      </c>
      <c r="D3656" s="2" t="s">
        <v>18</v>
      </c>
      <c r="E3656" s="4">
        <v>-32059</v>
      </c>
      <c r="F3656" s="3" t="s">
        <v>2531</v>
      </c>
      <c r="G3656" s="3" t="s">
        <v>2532</v>
      </c>
      <c r="H3656" s="2" t="s">
        <v>21</v>
      </c>
      <c r="I3656" s="2" t="s">
        <v>9762</v>
      </c>
      <c r="J3656" s="3" t="str">
        <f>HYPERLINK("https://www.boe.es/gazeta/dias/1812/03/22/pdfs/GMD-1812-82.pdf#page=4","Abrir facsímil")</f>
        <v>Abrir facsímil</v>
      </c>
      <c r="K3656" s="3" t="s">
        <v>23</v>
      </c>
    </row>
    <row r="3657" spans="1:11" ht="42" customHeight="1">
      <c r="A3657" s="2" t="s">
        <v>9759</v>
      </c>
      <c r="B3657" s="2" t="s">
        <v>9760</v>
      </c>
      <c r="C3657" s="2" t="s">
        <v>26</v>
      </c>
      <c r="D3657" s="2" t="s">
        <v>27</v>
      </c>
      <c r="E3657" s="4">
        <v>-32034</v>
      </c>
      <c r="F3657" s="3" t="s">
        <v>28</v>
      </c>
      <c r="G3657" s="3" t="s">
        <v>794</v>
      </c>
      <c r="H3657" s="2" t="s">
        <v>21</v>
      </c>
      <c r="I3657" s="2" t="s">
        <v>9763</v>
      </c>
      <c r="J3657" s="3" t="str">
        <f>HYPERLINK("https://www.boe.es/gazeta/dias/1812/04/16/pdfs/GMD-1812-107.pdf#page=7","Abrir facsímil")</f>
        <v>Abrir facsímil</v>
      </c>
      <c r="K3657" s="3" t="s">
        <v>23</v>
      </c>
    </row>
    <row r="3658" spans="1:11" ht="42" customHeight="1">
      <c r="A3658" s="2" t="s">
        <v>9759</v>
      </c>
      <c r="B3658" s="2" t="s">
        <v>9760</v>
      </c>
      <c r="C3658" s="2" t="s">
        <v>26</v>
      </c>
      <c r="D3658" s="2" t="s">
        <v>27</v>
      </c>
      <c r="E3658" s="4">
        <v>-31938</v>
      </c>
      <c r="F3658" s="3" t="s">
        <v>324</v>
      </c>
      <c r="G3658" s="3" t="s">
        <v>237</v>
      </c>
      <c r="H3658" s="2" t="s">
        <v>21</v>
      </c>
      <c r="I3658" s="2" t="s">
        <v>9764</v>
      </c>
      <c r="J3658" s="3" t="str">
        <f>HYPERLINK("https://www.boe.es/gazeta/dias/1812/07/21/pdfs/GMD-1812-203.pdf#page=2","Abrir facsímil")</f>
        <v>Abrir facsímil</v>
      </c>
      <c r="K3658" s="3" t="s">
        <v>23</v>
      </c>
    </row>
    <row r="3659" spans="1:11" ht="42" customHeight="1">
      <c r="A3659" s="2" t="s">
        <v>9765</v>
      </c>
      <c r="B3659" s="2" t="s">
        <v>9766</v>
      </c>
      <c r="C3659" s="2" t="s">
        <v>26</v>
      </c>
      <c r="D3659" s="2" t="s">
        <v>27</v>
      </c>
      <c r="E3659" s="4">
        <v>-31964</v>
      </c>
      <c r="F3659" s="3" t="s">
        <v>305</v>
      </c>
      <c r="G3659" s="3" t="s">
        <v>306</v>
      </c>
      <c r="H3659" s="2" t="s">
        <v>21</v>
      </c>
      <c r="I3659" s="2" t="s">
        <v>9767</v>
      </c>
      <c r="J3659" s="3" t="str">
        <f>HYPERLINK("https://www.boe.es/gazeta/dias/1812/06/25/pdfs/GMD-1812-177.pdf#page=3","Abrir facsímil")</f>
        <v>Abrir facsímil</v>
      </c>
      <c r="K3659" s="3" t="s">
        <v>23</v>
      </c>
    </row>
    <row r="3660" spans="1:11" ht="42" customHeight="1">
      <c r="A3660" s="2" t="s">
        <v>9768</v>
      </c>
      <c r="B3660" s="2" t="s">
        <v>9769</v>
      </c>
      <c r="C3660" s="2" t="s">
        <v>49</v>
      </c>
      <c r="D3660" s="2" t="s">
        <v>18</v>
      </c>
      <c r="E3660" s="4">
        <v>-32018</v>
      </c>
      <c r="F3660" s="3" t="s">
        <v>1287</v>
      </c>
      <c r="G3660" s="3" t="s">
        <v>1288</v>
      </c>
      <c r="H3660" s="2" t="s">
        <v>21</v>
      </c>
      <c r="I3660" s="2" t="s">
        <v>9770</v>
      </c>
      <c r="J3660" s="3" t="str">
        <f>HYPERLINK("https://www.boe.es/gazeta/dias/1812/05/02/pdfs/GMD-1812-123.pdf#page=2","Abrir facsímil")</f>
        <v>Abrir facsímil</v>
      </c>
      <c r="K3660" s="3" t="s">
        <v>23</v>
      </c>
    </row>
    <row r="3661" spans="1:11" ht="42" customHeight="1">
      <c r="A3661" s="2" t="s">
        <v>9771</v>
      </c>
      <c r="B3661" s="2" t="s">
        <v>9772</v>
      </c>
      <c r="C3661" s="2" t="s">
        <v>26</v>
      </c>
      <c r="D3661" s="2" t="s">
        <v>27</v>
      </c>
      <c r="E3661" s="4">
        <v>-32034</v>
      </c>
      <c r="F3661" s="3" t="s">
        <v>28</v>
      </c>
      <c r="G3661" s="3" t="s">
        <v>317</v>
      </c>
      <c r="H3661" s="2" t="s">
        <v>21</v>
      </c>
      <c r="I3661" s="2" t="s">
        <v>9773</v>
      </c>
      <c r="J3661" s="3" t="str">
        <f>HYPERLINK("https://www.boe.es/gazeta/dias/1812/04/16/pdfs/GMD-1812-107.pdf#page=6","Abrir facsímil")</f>
        <v>Abrir facsímil</v>
      </c>
      <c r="K3661" s="3" t="s">
        <v>23</v>
      </c>
    </row>
    <row r="3662" spans="1:11" ht="42" customHeight="1">
      <c r="A3662" s="2" t="s">
        <v>9771</v>
      </c>
      <c r="B3662" s="2" t="s">
        <v>9772</v>
      </c>
      <c r="C3662" s="2" t="s">
        <v>26</v>
      </c>
      <c r="D3662" s="2" t="s">
        <v>27</v>
      </c>
      <c r="E3662" s="4">
        <v>-31938</v>
      </c>
      <c r="F3662" s="3" t="s">
        <v>324</v>
      </c>
      <c r="G3662" s="3" t="s">
        <v>497</v>
      </c>
      <c r="H3662" s="2" t="s">
        <v>21</v>
      </c>
      <c r="I3662" s="2" t="s">
        <v>9774</v>
      </c>
      <c r="J3662" s="3" t="str">
        <f>HYPERLINK("https://www.boe.es/gazeta/dias/1812/07/21/pdfs/GMD-1812-203.pdf#page=3","Abrir facsímil")</f>
        <v>Abrir facsímil</v>
      </c>
      <c r="K3662" s="3" t="s">
        <v>23</v>
      </c>
    </row>
    <row r="3663" spans="1:11" ht="42" customHeight="1">
      <c r="A3663" s="2" t="s">
        <v>9775</v>
      </c>
      <c r="B3663" s="2" t="s">
        <v>9776</v>
      </c>
      <c r="C3663" s="2" t="s">
        <v>26</v>
      </c>
      <c r="D3663" s="2" t="s">
        <v>27</v>
      </c>
      <c r="E3663" s="4">
        <v>-32044</v>
      </c>
      <c r="F3663" s="3" t="s">
        <v>1031</v>
      </c>
      <c r="G3663" s="3" t="s">
        <v>1873</v>
      </c>
      <c r="H3663" s="2" t="s">
        <v>21</v>
      </c>
      <c r="I3663" s="2" t="s">
        <v>9777</v>
      </c>
      <c r="J3663" s="3" t="str">
        <f>HYPERLINK("https://www.boe.es/gazeta/dias/1812/04/06/pdfs/GMD-1812-97.pdf#page=4","Abrir facsímil")</f>
        <v>Abrir facsímil</v>
      </c>
      <c r="K3663" s="3" t="s">
        <v>23</v>
      </c>
    </row>
    <row r="3664" spans="1:11" ht="42" customHeight="1">
      <c r="A3664" s="2" t="s">
        <v>9778</v>
      </c>
      <c r="B3664" s="2" t="s">
        <v>9779</v>
      </c>
      <c r="C3664" s="2" t="s">
        <v>26</v>
      </c>
      <c r="D3664" s="2" t="s">
        <v>27</v>
      </c>
      <c r="E3664" s="4">
        <v>-31940</v>
      </c>
      <c r="F3664" s="3" t="s">
        <v>187</v>
      </c>
      <c r="G3664" s="3" t="s">
        <v>404</v>
      </c>
      <c r="H3664" s="2" t="s">
        <v>21</v>
      </c>
      <c r="I3664" s="2" t="s">
        <v>9780</v>
      </c>
      <c r="J3664" s="3" t="str">
        <f>HYPERLINK("https://www.boe.es/gazeta/dias/1812/07/19/pdfs/GMD-1812-201.pdf#page=3","Abrir facsímil")</f>
        <v>Abrir facsímil</v>
      </c>
      <c r="K3664" s="3" t="s">
        <v>23</v>
      </c>
    </row>
    <row r="3665" spans="1:11" ht="42" customHeight="1">
      <c r="A3665" s="2" t="s">
        <v>9781</v>
      </c>
      <c r="B3665" s="2" t="s">
        <v>9782</v>
      </c>
      <c r="C3665" s="2" t="s">
        <v>26</v>
      </c>
      <c r="D3665" s="2" t="s">
        <v>27</v>
      </c>
      <c r="E3665" s="4">
        <v>-32109</v>
      </c>
      <c r="F3665" s="3" t="s">
        <v>62</v>
      </c>
      <c r="G3665" s="3" t="s">
        <v>63</v>
      </c>
      <c r="H3665" s="2" t="s">
        <v>21</v>
      </c>
      <c r="I3665" s="2" t="s">
        <v>9783</v>
      </c>
      <c r="J3665" s="3" t="str">
        <f>HYPERLINK("https://www.boe.es/gazeta/dias/1812/02/01/pdfs/GRE-1812-14.pdf#page=10","Abrir facsímil")</f>
        <v>Abrir facsímil</v>
      </c>
      <c r="K3665" s="3" t="s">
        <v>23</v>
      </c>
    </row>
    <row r="3666" spans="1:11" ht="42" customHeight="1">
      <c r="A3666" s="2" t="s">
        <v>9784</v>
      </c>
      <c r="B3666" s="2" t="s">
        <v>9785</v>
      </c>
      <c r="C3666" s="2" t="s">
        <v>26</v>
      </c>
      <c r="D3666" s="2" t="s">
        <v>27</v>
      </c>
      <c r="E3666" s="4">
        <v>-31940</v>
      </c>
      <c r="F3666" s="3" t="s">
        <v>187</v>
      </c>
      <c r="G3666" s="3" t="s">
        <v>404</v>
      </c>
      <c r="H3666" s="2" t="s">
        <v>21</v>
      </c>
      <c r="I3666" s="2" t="s">
        <v>9786</v>
      </c>
      <c r="J3666" s="3" t="str">
        <f>HYPERLINK("https://www.boe.es/gazeta/dias/1812/07/19/pdfs/GMD-1812-201.pdf#page=3","Abrir facsímil")</f>
        <v>Abrir facsímil</v>
      </c>
      <c r="K3666" s="3" t="s">
        <v>23</v>
      </c>
    </row>
    <row r="3667" spans="1:11" ht="42" customHeight="1">
      <c r="A3667" s="2" t="s">
        <v>9787</v>
      </c>
      <c r="B3667" s="2" t="s">
        <v>9788</v>
      </c>
      <c r="C3667" s="2" t="s">
        <v>115</v>
      </c>
      <c r="D3667" s="2" t="s">
        <v>27</v>
      </c>
      <c r="E3667" s="4">
        <v>-32050</v>
      </c>
      <c r="F3667" s="3" t="s">
        <v>864</v>
      </c>
      <c r="G3667" s="3" t="s">
        <v>3583</v>
      </c>
      <c r="H3667" s="2" t="s">
        <v>21</v>
      </c>
      <c r="I3667" s="2" t="s">
        <v>9789</v>
      </c>
      <c r="J3667" s="3" t="str">
        <f>HYPERLINK("https://www.boe.es/gazeta/dias/1812/03/31/pdfs/GRE-1812-40.pdf#page=6","Abrir facsímil")</f>
        <v>Abrir facsímil</v>
      </c>
      <c r="K3667" s="3" t="s">
        <v>23</v>
      </c>
    </row>
    <row r="3668" spans="1:11" ht="42" customHeight="1">
      <c r="A3668" s="2" t="s">
        <v>9787</v>
      </c>
      <c r="B3668" s="2" t="s">
        <v>9788</v>
      </c>
      <c r="C3668" s="2" t="s">
        <v>26</v>
      </c>
      <c r="D3668" s="2" t="s">
        <v>27</v>
      </c>
      <c r="E3668" s="4">
        <v>-31940</v>
      </c>
      <c r="F3668" s="3" t="s">
        <v>187</v>
      </c>
      <c r="G3668" s="3" t="s">
        <v>404</v>
      </c>
      <c r="H3668" s="2" t="s">
        <v>21</v>
      </c>
      <c r="I3668" s="2" t="s">
        <v>9790</v>
      </c>
      <c r="J3668" s="3" t="str">
        <f>HYPERLINK("https://www.boe.es/gazeta/dias/1812/07/19/pdfs/GMD-1812-201.pdf#page=4","Abrir facsímil")</f>
        <v>Abrir facsímil</v>
      </c>
      <c r="K3668" s="3" t="s">
        <v>23</v>
      </c>
    </row>
    <row r="3669" spans="1:11" ht="42" customHeight="1">
      <c r="A3669" s="2" t="s">
        <v>9791</v>
      </c>
      <c r="B3669" s="2" t="s">
        <v>9792</v>
      </c>
      <c r="C3669" s="2" t="s">
        <v>26</v>
      </c>
      <c r="D3669" s="2" t="s">
        <v>27</v>
      </c>
      <c r="E3669" s="4">
        <v>-32010</v>
      </c>
      <c r="F3669" s="3" t="s">
        <v>243</v>
      </c>
      <c r="G3669" s="3" t="s">
        <v>45</v>
      </c>
      <c r="H3669" s="2" t="s">
        <v>21</v>
      </c>
      <c r="I3669" s="2" t="s">
        <v>9793</v>
      </c>
      <c r="J3669" s="3" t="str">
        <f>HYPERLINK("https://www.boe.es/gazeta/dias/1812/05/10/pdfs/GMD-1812-131.pdf#page=3","Abrir facsímil")</f>
        <v>Abrir facsímil</v>
      </c>
      <c r="K3669" s="3" t="s">
        <v>23</v>
      </c>
    </row>
    <row r="3670" spans="1:11" ht="42" customHeight="1">
      <c r="A3670" s="2" t="s">
        <v>9794</v>
      </c>
      <c r="B3670" s="2" t="s">
        <v>9795</v>
      </c>
      <c r="C3670" s="2" t="s">
        <v>26</v>
      </c>
      <c r="D3670" s="2" t="s">
        <v>27</v>
      </c>
      <c r="E3670" s="4">
        <v>-31994</v>
      </c>
      <c r="F3670" s="3" t="s">
        <v>207</v>
      </c>
      <c r="G3670" s="3" t="s">
        <v>1176</v>
      </c>
      <c r="H3670" s="2" t="s">
        <v>21</v>
      </c>
      <c r="I3670" s="2" t="s">
        <v>9796</v>
      </c>
      <c r="J3670" s="3" t="str">
        <f>HYPERLINK("https://www.boe.es/gazeta/dias/1812/05/26/pdfs/GRE-1812-65.pdf#page=8","Abrir facsímil")</f>
        <v>Abrir facsímil</v>
      </c>
      <c r="K3670" s="3" t="s">
        <v>23</v>
      </c>
    </row>
    <row r="3671" spans="1:11" ht="42" customHeight="1">
      <c r="A3671" s="2" t="s">
        <v>9797</v>
      </c>
      <c r="B3671" s="2" t="s">
        <v>9798</v>
      </c>
      <c r="C3671" s="2" t="s">
        <v>26</v>
      </c>
      <c r="D3671" s="2" t="s">
        <v>275</v>
      </c>
      <c r="E3671" s="4">
        <v>-32063</v>
      </c>
      <c r="F3671" s="3" t="s">
        <v>384</v>
      </c>
      <c r="G3671" s="3" t="s">
        <v>125</v>
      </c>
      <c r="H3671" s="2" t="s">
        <v>21</v>
      </c>
      <c r="I3671" s="2" t="s">
        <v>9799</v>
      </c>
      <c r="J3671" s="3" t="str">
        <f>HYPERLINK("https://www.boe.es/gazeta/dias/1812/03/18/pdfs/GMD-1812-78.pdf#page=3","Abrir facsímil")</f>
        <v>Abrir facsímil</v>
      </c>
      <c r="K3671" s="3" t="s">
        <v>23</v>
      </c>
    </row>
    <row r="3672" spans="1:11" ht="42" customHeight="1">
      <c r="A3672" s="2" t="s">
        <v>9800</v>
      </c>
      <c r="B3672" s="2" t="s">
        <v>9801</v>
      </c>
      <c r="C3672" s="2" t="s">
        <v>105</v>
      </c>
      <c r="D3672" s="2" t="s">
        <v>27</v>
      </c>
      <c r="E3672" s="4">
        <v>-32111</v>
      </c>
      <c r="F3672" s="3" t="s">
        <v>553</v>
      </c>
      <c r="G3672" s="3" t="s">
        <v>7933</v>
      </c>
      <c r="H3672" s="2" t="s">
        <v>21</v>
      </c>
      <c r="I3672" s="2" t="s">
        <v>9802</v>
      </c>
      <c r="J3672" s="3" t="str">
        <f>HYPERLINK("https://www.boe.es/gazeta/dias/1812/01/30/pdfs/GRE-1812-13.pdf#page=2","Abrir facsímil")</f>
        <v>Abrir facsímil</v>
      </c>
      <c r="K3672" s="3" t="s">
        <v>23</v>
      </c>
    </row>
    <row r="3673" spans="1:11" ht="42" customHeight="1">
      <c r="A3673" s="2" t="s">
        <v>9800</v>
      </c>
      <c r="B3673" s="2" t="s">
        <v>9801</v>
      </c>
      <c r="C3673" s="2" t="s">
        <v>26</v>
      </c>
      <c r="D3673" s="2" t="s">
        <v>134</v>
      </c>
      <c r="E3673" s="4">
        <v>-32085</v>
      </c>
      <c r="F3673" s="3" t="s">
        <v>2287</v>
      </c>
      <c r="G3673" s="3" t="s">
        <v>2288</v>
      </c>
      <c r="H3673" s="2" t="s">
        <v>21</v>
      </c>
      <c r="I3673" s="2" t="s">
        <v>9803</v>
      </c>
      <c r="J3673" s="3" t="str">
        <f>HYPERLINK("https://www.boe.es/gazeta/dias/1812/02/25/pdfs/GRE-F-1812-25.pdf#page=1","Abrir facsímil")</f>
        <v>Abrir facsímil</v>
      </c>
      <c r="K3673" s="3" t="s">
        <v>23</v>
      </c>
    </row>
    <row r="3674" spans="1:11" ht="42" customHeight="1">
      <c r="A3674" s="2" t="s">
        <v>9800</v>
      </c>
      <c r="B3674" s="2" t="s">
        <v>9801</v>
      </c>
      <c r="C3674" s="2" t="s">
        <v>17</v>
      </c>
      <c r="D3674" s="2" t="s">
        <v>134</v>
      </c>
      <c r="E3674" s="4">
        <v>-31983</v>
      </c>
      <c r="F3674" s="3" t="s">
        <v>1437</v>
      </c>
      <c r="G3674" s="3" t="s">
        <v>1438</v>
      </c>
      <c r="H3674" s="2" t="s">
        <v>21</v>
      </c>
      <c r="I3674" s="2" t="s">
        <v>9804</v>
      </c>
      <c r="J3674" s="3" t="str">
        <f>HYPERLINK("https://www.boe.es/gazeta/dias/1812/06/06/pdfs/GRE-F-1812-70.pdf#page=4","Abrir facsímil")</f>
        <v>Abrir facsímil</v>
      </c>
      <c r="K3674" s="3" t="s">
        <v>23</v>
      </c>
    </row>
    <row r="3675" spans="1:11" ht="42" customHeight="1">
      <c r="A3675" s="2" t="s">
        <v>9805</v>
      </c>
      <c r="B3675" s="2" t="s">
        <v>9806</v>
      </c>
      <c r="C3675" s="2" t="s">
        <v>26</v>
      </c>
      <c r="D3675" s="2" t="s">
        <v>275</v>
      </c>
      <c r="E3675" s="4">
        <v>-31964</v>
      </c>
      <c r="F3675" s="3" t="s">
        <v>305</v>
      </c>
      <c r="G3675" s="3" t="s">
        <v>58</v>
      </c>
      <c r="H3675" s="2" t="s">
        <v>21</v>
      </c>
      <c r="I3675" s="2" t="s">
        <v>9807</v>
      </c>
      <c r="J3675" s="3" t="str">
        <f>HYPERLINK("https://www.boe.es/gazeta/dias/1812/06/25/pdfs/GMD-1812-177.pdf#page=2","Abrir facsímil")</f>
        <v>Abrir facsímil</v>
      </c>
      <c r="K3675" s="3" t="s">
        <v>23</v>
      </c>
    </row>
    <row r="3676" spans="1:11" ht="42" customHeight="1">
      <c r="A3676" s="2" t="s">
        <v>9808</v>
      </c>
      <c r="B3676" s="2" t="s">
        <v>9809</v>
      </c>
      <c r="C3676" s="2" t="s">
        <v>26</v>
      </c>
      <c r="D3676" s="2" t="s">
        <v>27</v>
      </c>
      <c r="E3676" s="4">
        <v>-32034</v>
      </c>
      <c r="F3676" s="3" t="s">
        <v>28</v>
      </c>
      <c r="G3676" s="3" t="s">
        <v>130</v>
      </c>
      <c r="H3676" s="2" t="s">
        <v>21</v>
      </c>
      <c r="I3676" s="2" t="s">
        <v>9810</v>
      </c>
      <c r="J3676" s="3" t="str">
        <f>HYPERLINK("https://www.boe.es/gazeta/dias/1812/04/16/pdfs/GMD-1812-107.pdf#page=4","Abrir facsímil")</f>
        <v>Abrir facsímil</v>
      </c>
      <c r="K3676" s="3" t="s">
        <v>23</v>
      </c>
    </row>
    <row r="3677" spans="1:11" ht="42" customHeight="1">
      <c r="A3677" s="2" t="s">
        <v>9811</v>
      </c>
      <c r="B3677" s="2" t="s">
        <v>9812</v>
      </c>
      <c r="C3677" s="2" t="s">
        <v>17</v>
      </c>
      <c r="D3677" s="2" t="s">
        <v>18</v>
      </c>
      <c r="E3677" s="4">
        <v>-31900</v>
      </c>
      <c r="F3677" s="3" t="s">
        <v>276</v>
      </c>
      <c r="G3677" s="3" t="s">
        <v>794</v>
      </c>
      <c r="H3677" s="2" t="s">
        <v>21</v>
      </c>
      <c r="I3677" s="2" t="s">
        <v>9813</v>
      </c>
      <c r="J3677" s="3" t="str">
        <f>HYPERLINK("https://www.boe.es/gazeta/dias/1812/08/28/pdfs/GRE-1812-113E.pdf#page=7","Abrir facsímil")</f>
        <v>Abrir facsímil</v>
      </c>
      <c r="K3677" s="3" t="s">
        <v>23</v>
      </c>
    </row>
    <row r="3678" spans="1:11" ht="42" customHeight="1">
      <c r="A3678" s="2" t="s">
        <v>9814</v>
      </c>
      <c r="B3678" s="2" t="s">
        <v>9815</v>
      </c>
      <c r="C3678" s="2" t="s">
        <v>186</v>
      </c>
      <c r="D3678" s="2" t="s">
        <v>27</v>
      </c>
      <c r="E3678" s="4">
        <v>-32114</v>
      </c>
      <c r="F3678" s="3" t="s">
        <v>480</v>
      </c>
      <c r="G3678" s="3" t="s">
        <v>481</v>
      </c>
      <c r="H3678" s="2" t="s">
        <v>21</v>
      </c>
      <c r="I3678" s="2" t="s">
        <v>9816</v>
      </c>
      <c r="J3678" s="3" t="str">
        <f>HYPERLINK("https://www.boe.es/gazeta/dias/1812/01/27/pdfs/GMD-1812-27.pdf#page=4","Abrir facsímil")</f>
        <v>Abrir facsímil</v>
      </c>
      <c r="K3678" s="3" t="s">
        <v>23</v>
      </c>
    </row>
    <row r="3679" spans="1:11" ht="42" customHeight="1">
      <c r="A3679" s="2" t="s">
        <v>9817</v>
      </c>
      <c r="B3679" s="2" t="s">
        <v>9818</v>
      </c>
      <c r="C3679" s="2" t="s">
        <v>26</v>
      </c>
      <c r="D3679" s="2" t="s">
        <v>27</v>
      </c>
      <c r="E3679" s="4">
        <v>-31940</v>
      </c>
      <c r="F3679" s="3" t="s">
        <v>187</v>
      </c>
      <c r="G3679" s="3" t="s">
        <v>404</v>
      </c>
      <c r="H3679" s="2" t="s">
        <v>21</v>
      </c>
      <c r="I3679" s="2" t="s">
        <v>9819</v>
      </c>
      <c r="J3679" s="3" t="str">
        <f>HYPERLINK("https://www.boe.es/gazeta/dias/1812/07/19/pdfs/GMD-1812-201.pdf#page=3","Abrir facsímil")</f>
        <v>Abrir facsímil</v>
      </c>
      <c r="K3679" s="3" t="s">
        <v>23</v>
      </c>
    </row>
    <row r="3680" spans="1:11" ht="42" customHeight="1">
      <c r="A3680" s="2" t="s">
        <v>9820</v>
      </c>
      <c r="B3680" s="2" t="s">
        <v>9821</v>
      </c>
      <c r="C3680" s="2" t="s">
        <v>17</v>
      </c>
      <c r="D3680" s="2" t="s">
        <v>134</v>
      </c>
      <c r="E3680" s="4">
        <v>-31955</v>
      </c>
      <c r="F3680" s="3" t="s">
        <v>135</v>
      </c>
      <c r="G3680" s="3" t="s">
        <v>136</v>
      </c>
      <c r="H3680" s="2" t="s">
        <v>21</v>
      </c>
      <c r="I3680" s="2" t="s">
        <v>9822</v>
      </c>
      <c r="J3680" s="3" t="str">
        <f>HYPERLINK("https://www.boe.es/gazeta/dias/1812/07/04/pdfs/GRE-F-1812-82.pdf#page=8","Abrir facsímil")</f>
        <v>Abrir facsímil</v>
      </c>
      <c r="K3680" s="3" t="s">
        <v>23</v>
      </c>
    </row>
    <row r="3681" spans="1:11" ht="42" customHeight="1">
      <c r="A3681" s="2" t="s">
        <v>9823</v>
      </c>
      <c r="B3681" s="2" t="s">
        <v>9824</v>
      </c>
      <c r="C3681" s="2" t="s">
        <v>105</v>
      </c>
      <c r="D3681" s="2" t="s">
        <v>27</v>
      </c>
      <c r="E3681" s="4">
        <v>-32055</v>
      </c>
      <c r="F3681" s="3" t="s">
        <v>459</v>
      </c>
      <c r="G3681" s="3" t="s">
        <v>20</v>
      </c>
      <c r="H3681" s="2" t="s">
        <v>21</v>
      </c>
      <c r="I3681" s="2" t="s">
        <v>9825</v>
      </c>
      <c r="J3681" s="3" t="str">
        <f>HYPERLINK("https://www.boe.es/gazeta/dias/1812/03/26/pdfs/GRE-1812-38.pdf#page=8","Abrir facsímil")</f>
        <v>Abrir facsímil</v>
      </c>
      <c r="K3681" s="3" t="s">
        <v>23</v>
      </c>
    </row>
    <row r="3682" spans="1:11" ht="42" customHeight="1">
      <c r="A3682" s="2" t="s">
        <v>9826</v>
      </c>
      <c r="B3682" s="2" t="s">
        <v>9827</v>
      </c>
      <c r="C3682" s="2" t="s">
        <v>26</v>
      </c>
      <c r="D3682" s="2" t="s">
        <v>27</v>
      </c>
      <c r="E3682" s="4">
        <v>-31843</v>
      </c>
      <c r="F3682" s="3" t="s">
        <v>6436</v>
      </c>
      <c r="G3682" s="3" t="s">
        <v>7883</v>
      </c>
      <c r="H3682" s="2" t="s">
        <v>21</v>
      </c>
      <c r="I3682" s="2" t="s">
        <v>9828</v>
      </c>
      <c r="J3682" s="3" t="str">
        <f>HYPERLINK("https://www.boe.es/gazeta/dias/1812/10/24/pdfs/GRE-1812-143.pdf#page=3","Abrir facsímil")</f>
        <v>Abrir facsímil</v>
      </c>
      <c r="K3682" s="3" t="s">
        <v>23</v>
      </c>
    </row>
    <row r="3683" spans="1:11" ht="42" customHeight="1">
      <c r="A3683" s="2" t="s">
        <v>9829</v>
      </c>
      <c r="B3683" s="2" t="s">
        <v>9830</v>
      </c>
      <c r="C3683" s="2" t="s">
        <v>26</v>
      </c>
      <c r="D3683" s="2" t="s">
        <v>27</v>
      </c>
      <c r="E3683" s="4">
        <v>-31992</v>
      </c>
      <c r="F3683" s="3" t="s">
        <v>1292</v>
      </c>
      <c r="G3683" s="3" t="s">
        <v>4854</v>
      </c>
      <c r="H3683" s="2" t="s">
        <v>21</v>
      </c>
      <c r="I3683" s="2" t="s">
        <v>9831</v>
      </c>
      <c r="J3683" s="3" t="str">
        <f>HYPERLINK("https://www.boe.es/gazeta/dias/1812/05/28/pdfs/GRE-1812-66.pdf#page=8","Abrir facsímil")</f>
        <v>Abrir facsímil</v>
      </c>
      <c r="K3683" s="3" t="s">
        <v>23</v>
      </c>
    </row>
    <row r="3684" spans="1:11" ht="42" customHeight="1">
      <c r="A3684" s="2" t="s">
        <v>9832</v>
      </c>
      <c r="B3684" s="2" t="s">
        <v>9832</v>
      </c>
      <c r="C3684" s="2" t="s">
        <v>17</v>
      </c>
      <c r="D3684" s="2" t="s">
        <v>27</v>
      </c>
      <c r="E3684" s="4">
        <v>-31892</v>
      </c>
      <c r="F3684" s="3" t="s">
        <v>1825</v>
      </c>
      <c r="G3684" s="3" t="s">
        <v>404</v>
      </c>
      <c r="H3684" s="2" t="s">
        <v>21</v>
      </c>
      <c r="I3684" s="2" t="s">
        <v>9833</v>
      </c>
      <c r="J3684" s="3" t="str">
        <f>HYPERLINK("https://www.boe.es/gazeta/dias/1812/09/05/pdfs/GMR-1812-10.pdf#page=1","Abrir facsímil")</f>
        <v>Abrir facsímil</v>
      </c>
      <c r="K3684" s="3" t="s">
        <v>23</v>
      </c>
    </row>
    <row r="3685" spans="1:11" ht="42" customHeight="1">
      <c r="A3685" s="2" t="s">
        <v>9834</v>
      </c>
      <c r="B3685" s="2" t="s">
        <v>9834</v>
      </c>
      <c r="C3685" s="2" t="s">
        <v>17</v>
      </c>
      <c r="D3685" s="2" t="s">
        <v>27</v>
      </c>
      <c r="E3685" s="4">
        <v>-32022</v>
      </c>
      <c r="F3685" s="3" t="s">
        <v>1186</v>
      </c>
      <c r="G3685" s="3" t="s">
        <v>125</v>
      </c>
      <c r="H3685" s="2" t="s">
        <v>21</v>
      </c>
      <c r="I3685" s="2" t="s">
        <v>9835</v>
      </c>
      <c r="J3685" s="3" t="str">
        <f>HYPERLINK("https://www.boe.es/gazeta/dias/1812/04/28/pdfs/GRE-1812-53.pdf#page=3","Abrir facsímil")</f>
        <v>Abrir facsímil</v>
      </c>
      <c r="K3685" s="3" t="s">
        <v>23</v>
      </c>
    </row>
    <row r="3686" spans="1:11" ht="42" customHeight="1">
      <c r="A3686" s="2" t="s">
        <v>9836</v>
      </c>
      <c r="B3686" s="2" t="s">
        <v>9836</v>
      </c>
      <c r="C3686" s="2" t="s">
        <v>17</v>
      </c>
      <c r="D3686" s="2" t="s">
        <v>18</v>
      </c>
      <c r="E3686" s="4">
        <v>-31782</v>
      </c>
      <c r="F3686" s="3" t="s">
        <v>860</v>
      </c>
      <c r="G3686" s="3" t="s">
        <v>214</v>
      </c>
      <c r="H3686" s="2" t="s">
        <v>21</v>
      </c>
      <c r="I3686" s="2" t="s">
        <v>9837</v>
      </c>
      <c r="J3686" s="3" t="str">
        <f>HYPERLINK("https://www.boe.es/gazeta/dias/1812/12/24/pdfs/GRE-1812-169.pdf#page=3","Abrir facsímil")</f>
        <v>Abrir facsímil</v>
      </c>
      <c r="K3686" s="3" t="s">
        <v>23</v>
      </c>
    </row>
    <row r="3687" spans="1:11" ht="42" customHeight="1">
      <c r="A3687" s="2" t="s">
        <v>9838</v>
      </c>
      <c r="B3687" s="2" t="s">
        <v>9839</v>
      </c>
      <c r="C3687" s="2" t="s">
        <v>26</v>
      </c>
      <c r="D3687" s="2" t="s">
        <v>27</v>
      </c>
      <c r="E3687" s="4">
        <v>-31875</v>
      </c>
      <c r="F3687" s="3" t="s">
        <v>110</v>
      </c>
      <c r="G3687" s="3" t="s">
        <v>111</v>
      </c>
      <c r="H3687" s="2" t="s">
        <v>21</v>
      </c>
      <c r="I3687" s="2" t="s">
        <v>9840</v>
      </c>
      <c r="J3687" s="3" t="str">
        <f>HYPERLINK("https://www.boe.es/gazeta/dias/1812/09/22/pdfs/GRE-1812-128.pdf#page=6","Abrir facsímil")</f>
        <v>Abrir facsímil</v>
      </c>
      <c r="K3687" s="3" t="s">
        <v>23</v>
      </c>
    </row>
    <row r="3688" spans="1:11" ht="42" customHeight="1">
      <c r="A3688" s="2" t="s">
        <v>9841</v>
      </c>
      <c r="B3688" s="2" t="s">
        <v>9842</v>
      </c>
      <c r="C3688" s="2" t="s">
        <v>26</v>
      </c>
      <c r="D3688" s="2" t="s">
        <v>27</v>
      </c>
      <c r="E3688" s="4">
        <v>-32075</v>
      </c>
      <c r="F3688" s="3" t="s">
        <v>301</v>
      </c>
      <c r="G3688" s="3" t="s">
        <v>20</v>
      </c>
      <c r="H3688" s="2" t="s">
        <v>21</v>
      </c>
      <c r="I3688" s="2" t="s">
        <v>9843</v>
      </c>
      <c r="J3688" s="3" t="str">
        <f>HYPERLINK("https://www.boe.es/gazeta/dias/1812/03/06/pdfs/GMD-1812-66.pdf#page=4","Abrir facsímil")</f>
        <v>Abrir facsímil</v>
      </c>
      <c r="K3688" s="3" t="s">
        <v>23</v>
      </c>
    </row>
    <row r="3689" spans="1:11" ht="42" customHeight="1">
      <c r="A3689" s="2" t="s">
        <v>9844</v>
      </c>
      <c r="B3689" s="2" t="s">
        <v>9844</v>
      </c>
      <c r="C3689" s="2" t="s">
        <v>17</v>
      </c>
      <c r="D3689" s="2" t="s">
        <v>18</v>
      </c>
      <c r="E3689" s="4">
        <v>-31798</v>
      </c>
      <c r="F3689" s="3" t="s">
        <v>2194</v>
      </c>
      <c r="G3689" s="3" t="s">
        <v>6619</v>
      </c>
      <c r="H3689" s="2" t="s">
        <v>21</v>
      </c>
      <c r="I3689" s="2" t="s">
        <v>9845</v>
      </c>
      <c r="J3689" s="3" t="str">
        <f>HYPERLINK("https://www.boe.es/gazeta/dias/1812/12/08/pdfs/GRE-1812-162.pdf#page=3","Abrir facsímil")</f>
        <v>Abrir facsímil</v>
      </c>
      <c r="K3689" s="3" t="s">
        <v>23</v>
      </c>
    </row>
    <row r="3690" spans="1:11" ht="42" customHeight="1">
      <c r="A3690" s="2" t="s">
        <v>9846</v>
      </c>
      <c r="B3690" s="2" t="s">
        <v>9847</v>
      </c>
      <c r="C3690" s="2" t="s">
        <v>17</v>
      </c>
      <c r="D3690" s="2" t="s">
        <v>27</v>
      </c>
      <c r="E3690" s="4">
        <v>-32121</v>
      </c>
      <c r="F3690" s="3" t="s">
        <v>1237</v>
      </c>
      <c r="G3690" s="3" t="s">
        <v>404</v>
      </c>
      <c r="H3690" s="2" t="s">
        <v>21</v>
      </c>
      <c r="I3690" s="2" t="s">
        <v>9848</v>
      </c>
      <c r="J3690" s="3" t="str">
        <f>HYPERLINK("https://www.boe.es/gazeta/dias/1812/01/20/pdfs/GMD-1812-20.pdf#page=4","Abrir facsímil")</f>
        <v>Abrir facsímil</v>
      </c>
      <c r="K3690" s="3" t="s">
        <v>23</v>
      </c>
    </row>
    <row r="3691" spans="1:11" ht="42" customHeight="1">
      <c r="A3691" s="2" t="s">
        <v>9846</v>
      </c>
      <c r="B3691" s="2" t="s">
        <v>9847</v>
      </c>
      <c r="C3691" s="2" t="s">
        <v>26</v>
      </c>
      <c r="D3691" s="2" t="s">
        <v>27</v>
      </c>
      <c r="E3691" s="4">
        <v>-31938</v>
      </c>
      <c r="F3691" s="3" t="s">
        <v>324</v>
      </c>
      <c r="G3691" s="3" t="s">
        <v>497</v>
      </c>
      <c r="H3691" s="2" t="s">
        <v>21</v>
      </c>
      <c r="I3691" s="2" t="s">
        <v>9849</v>
      </c>
      <c r="J3691" s="3" t="str">
        <f>HYPERLINK("https://www.boe.es/gazeta/dias/1812/07/21/pdfs/GMD-1812-203.pdf#page=3","Abrir facsímil")</f>
        <v>Abrir facsímil</v>
      </c>
      <c r="K3691" s="3" t="s">
        <v>23</v>
      </c>
    </row>
    <row r="3692" spans="1:11" ht="42" customHeight="1">
      <c r="A3692" s="2" t="s">
        <v>9850</v>
      </c>
      <c r="B3692" s="2" t="s">
        <v>9851</v>
      </c>
      <c r="C3692" s="2" t="s">
        <v>26</v>
      </c>
      <c r="D3692" s="2" t="s">
        <v>27</v>
      </c>
      <c r="E3692" s="4">
        <v>-31964</v>
      </c>
      <c r="F3692" s="3" t="s">
        <v>305</v>
      </c>
      <c r="G3692" s="3" t="s">
        <v>306</v>
      </c>
      <c r="H3692" s="2" t="s">
        <v>21</v>
      </c>
      <c r="I3692" s="2" t="s">
        <v>9852</v>
      </c>
      <c r="J3692" s="3" t="str">
        <f>HYPERLINK("https://www.boe.es/gazeta/dias/1812/06/25/pdfs/GMD-1812-177.pdf#page=3","Abrir facsímil")</f>
        <v>Abrir facsímil</v>
      </c>
      <c r="K3692" s="3" t="s">
        <v>23</v>
      </c>
    </row>
    <row r="3693" spans="1:11" ht="42" customHeight="1">
      <c r="A3693" s="2" t="s">
        <v>9853</v>
      </c>
      <c r="B3693" s="2" t="s">
        <v>9854</v>
      </c>
      <c r="C3693" s="2" t="s">
        <v>26</v>
      </c>
      <c r="D3693" s="2" t="s">
        <v>27</v>
      </c>
      <c r="E3693" s="4">
        <v>-32107</v>
      </c>
      <c r="F3693" s="3" t="s">
        <v>9281</v>
      </c>
      <c r="G3693" s="3" t="s">
        <v>9855</v>
      </c>
      <c r="H3693" s="2" t="s">
        <v>21</v>
      </c>
      <c r="I3693" s="2" t="s">
        <v>9856</v>
      </c>
      <c r="J3693" s="3" t="str">
        <f>HYPERLINK("https://www.boe.es/gazeta/dias/1812/02/03/pdfs/GMD-1812-34.pdf#page=4","Abrir facsímil")</f>
        <v>Abrir facsímil</v>
      </c>
      <c r="K3693" s="3" t="s">
        <v>23</v>
      </c>
    </row>
    <row r="3694" spans="1:11" ht="42" customHeight="1">
      <c r="A3694" s="2" t="s">
        <v>9853</v>
      </c>
      <c r="B3694" s="2" t="s">
        <v>9854</v>
      </c>
      <c r="C3694" s="2" t="s">
        <v>26</v>
      </c>
      <c r="D3694" s="2" t="s">
        <v>27</v>
      </c>
      <c r="E3694" s="4">
        <v>-32106</v>
      </c>
      <c r="F3694" s="3" t="s">
        <v>9281</v>
      </c>
      <c r="G3694" s="3" t="s">
        <v>9855</v>
      </c>
      <c r="H3694" s="2" t="s">
        <v>21</v>
      </c>
      <c r="I3694" s="2" t="s">
        <v>9856</v>
      </c>
      <c r="J3694" s="3" t="str">
        <f>HYPERLINK("https://www.boe.es/gazeta/dias/1812/02/04/pdfs/GMD-1812-34.pdf#page=4","Abrir facsímil")</f>
        <v>Abrir facsímil</v>
      </c>
      <c r="K3694" s="3" t="s">
        <v>23</v>
      </c>
    </row>
    <row r="3695" spans="1:11" ht="42" customHeight="1">
      <c r="A3695" s="2" t="s">
        <v>9853</v>
      </c>
      <c r="B3695" s="2" t="s">
        <v>9854</v>
      </c>
      <c r="C3695" s="2" t="s">
        <v>26</v>
      </c>
      <c r="D3695" s="2" t="s">
        <v>27</v>
      </c>
      <c r="E3695" s="4">
        <v>-31938</v>
      </c>
      <c r="F3695" s="3" t="s">
        <v>324</v>
      </c>
      <c r="G3695" s="3" t="s">
        <v>497</v>
      </c>
      <c r="H3695" s="2" t="s">
        <v>21</v>
      </c>
      <c r="I3695" s="2" t="s">
        <v>9857</v>
      </c>
      <c r="J3695" s="3" t="str">
        <f>HYPERLINK("https://www.boe.es/gazeta/dias/1812/07/21/pdfs/GMD-1812-203.pdf#page=3","Abrir facsímil")</f>
        <v>Abrir facsímil</v>
      </c>
      <c r="K3695" s="3" t="s">
        <v>23</v>
      </c>
    </row>
    <row r="3696" spans="1:11" ht="42" customHeight="1">
      <c r="A3696" s="2" t="s">
        <v>9853</v>
      </c>
      <c r="B3696" s="2" t="s">
        <v>9854</v>
      </c>
      <c r="C3696" s="2" t="s">
        <v>26</v>
      </c>
      <c r="D3696" s="2" t="s">
        <v>27</v>
      </c>
      <c r="E3696" s="4">
        <v>-31885</v>
      </c>
      <c r="F3696" s="3" t="s">
        <v>750</v>
      </c>
      <c r="G3696" s="3" t="s">
        <v>5613</v>
      </c>
      <c r="H3696" s="2" t="s">
        <v>21</v>
      </c>
      <c r="I3696" s="2" t="s">
        <v>9858</v>
      </c>
      <c r="J3696" s="3" t="str">
        <f>HYPERLINK("https://www.boe.es/gazeta/dias/1812/09/12/pdfs/GMR-1812-13.pdf#page=6","Abrir facsímil")</f>
        <v>Abrir facsímil</v>
      </c>
      <c r="K3696" s="3" t="s">
        <v>23</v>
      </c>
    </row>
    <row r="3697" spans="1:11" ht="42" customHeight="1">
      <c r="A3697" s="2" t="s">
        <v>9859</v>
      </c>
      <c r="B3697" s="2" t="s">
        <v>9860</v>
      </c>
      <c r="C3697" s="2" t="s">
        <v>82</v>
      </c>
      <c r="D3697" s="2" t="s">
        <v>27</v>
      </c>
      <c r="E3697" s="4">
        <v>-32095</v>
      </c>
      <c r="F3697" s="3" t="s">
        <v>284</v>
      </c>
      <c r="G3697" s="3" t="s">
        <v>29</v>
      </c>
      <c r="H3697" s="2" t="s">
        <v>21</v>
      </c>
      <c r="I3697" s="2" t="s">
        <v>9861</v>
      </c>
      <c r="J3697" s="3" t="str">
        <f>HYPERLINK("https://www.boe.es/gazeta/dias/1812/02/15/pdfs/GRE-1812-20.pdf#page=8","Abrir facsímil")</f>
        <v>Abrir facsímil</v>
      </c>
      <c r="K3697" s="3" t="s">
        <v>23</v>
      </c>
    </row>
    <row r="3698" spans="1:11" ht="42" customHeight="1">
      <c r="A3698" s="2" t="s">
        <v>9862</v>
      </c>
      <c r="B3698" s="2" t="s">
        <v>9863</v>
      </c>
      <c r="C3698" s="2" t="s">
        <v>67</v>
      </c>
      <c r="D3698" s="2" t="s">
        <v>27</v>
      </c>
      <c r="E3698" s="4">
        <v>-31885</v>
      </c>
      <c r="F3698" s="3" t="s">
        <v>750</v>
      </c>
      <c r="G3698" s="3" t="s">
        <v>5613</v>
      </c>
      <c r="H3698" s="2" t="s">
        <v>21</v>
      </c>
      <c r="I3698" s="2" t="s">
        <v>9864</v>
      </c>
      <c r="J3698" s="3" t="str">
        <f>HYPERLINK("https://www.boe.es/gazeta/dias/1812/09/12/pdfs/GMR-1812-13.pdf#page=6","Abrir facsímil")</f>
        <v>Abrir facsímil</v>
      </c>
      <c r="K3698" s="3" t="s">
        <v>23</v>
      </c>
    </row>
    <row r="3699" spans="1:11" ht="42" customHeight="1">
      <c r="A3699" s="2" t="s">
        <v>9865</v>
      </c>
      <c r="B3699" s="2" t="s">
        <v>9866</v>
      </c>
      <c r="C3699" s="2" t="s">
        <v>26</v>
      </c>
      <c r="D3699" s="2" t="s">
        <v>27</v>
      </c>
      <c r="E3699" s="4">
        <v>-32100</v>
      </c>
      <c r="F3699" s="3" t="s">
        <v>492</v>
      </c>
      <c r="G3699" s="3" t="s">
        <v>493</v>
      </c>
      <c r="H3699" s="2" t="s">
        <v>21</v>
      </c>
      <c r="I3699" s="2" t="s">
        <v>9867</v>
      </c>
      <c r="J3699" s="3" t="str">
        <f>HYPERLINK("https://www.boe.es/gazeta/dias/1812/02/10/pdfs/GRE-1812-31.pdf#page=8","Abrir facsímil")</f>
        <v>Abrir facsímil</v>
      </c>
      <c r="K3699" s="3" t="s">
        <v>23</v>
      </c>
    </row>
    <row r="3700" spans="1:11" ht="42" customHeight="1">
      <c r="A3700" s="2" t="s">
        <v>9865</v>
      </c>
      <c r="B3700" s="2" t="s">
        <v>9866</v>
      </c>
      <c r="C3700" s="2" t="s">
        <v>26</v>
      </c>
      <c r="D3700" s="2" t="s">
        <v>27</v>
      </c>
      <c r="E3700" s="4">
        <v>-32071</v>
      </c>
      <c r="F3700" s="3" t="s">
        <v>492</v>
      </c>
      <c r="G3700" s="3" t="s">
        <v>493</v>
      </c>
      <c r="H3700" s="2" t="s">
        <v>21</v>
      </c>
      <c r="I3700" s="2" t="s">
        <v>9867</v>
      </c>
      <c r="J3700" s="3" t="str">
        <f>HYPERLINK("https://www.boe.es/gazeta/dias/1812/03/10/pdfs/GRE-1812-31.pdf#page=8","Abrir facsímil")</f>
        <v>Abrir facsímil</v>
      </c>
      <c r="K3700" s="3" t="s">
        <v>23</v>
      </c>
    </row>
    <row r="3701" spans="1:11" ht="42" customHeight="1">
      <c r="A3701" s="2" t="s">
        <v>9868</v>
      </c>
      <c r="B3701" s="2" t="s">
        <v>9869</v>
      </c>
      <c r="C3701" s="2" t="s">
        <v>26</v>
      </c>
      <c r="D3701" s="2" t="s">
        <v>27</v>
      </c>
      <c r="E3701" s="4">
        <v>-32100</v>
      </c>
      <c r="F3701" s="3" t="s">
        <v>492</v>
      </c>
      <c r="G3701" s="3" t="s">
        <v>493</v>
      </c>
      <c r="H3701" s="2" t="s">
        <v>21</v>
      </c>
      <c r="I3701" s="2" t="s">
        <v>9870</v>
      </c>
      <c r="J3701" s="3" t="str">
        <f>HYPERLINK("https://www.boe.es/gazeta/dias/1812/02/10/pdfs/GRE-1812-31.pdf#page=8","Abrir facsímil")</f>
        <v>Abrir facsímil</v>
      </c>
      <c r="K3701" s="3" t="s">
        <v>23</v>
      </c>
    </row>
    <row r="3702" spans="1:11" ht="42" customHeight="1">
      <c r="A3702" s="2" t="s">
        <v>9868</v>
      </c>
      <c r="B3702" s="2" t="s">
        <v>9869</v>
      </c>
      <c r="C3702" s="2" t="s">
        <v>26</v>
      </c>
      <c r="D3702" s="2" t="s">
        <v>27</v>
      </c>
      <c r="E3702" s="4">
        <v>-32071</v>
      </c>
      <c r="F3702" s="3" t="s">
        <v>492</v>
      </c>
      <c r="G3702" s="3" t="s">
        <v>493</v>
      </c>
      <c r="H3702" s="2" t="s">
        <v>21</v>
      </c>
      <c r="I3702" s="2" t="s">
        <v>9870</v>
      </c>
      <c r="J3702" s="3" t="str">
        <f>HYPERLINK("https://www.boe.es/gazeta/dias/1812/03/10/pdfs/GRE-1812-31.pdf#page=8","Abrir facsímil")</f>
        <v>Abrir facsímil</v>
      </c>
      <c r="K3702" s="3" t="s">
        <v>23</v>
      </c>
    </row>
    <row r="3703" spans="1:11" ht="42" customHeight="1">
      <c r="A3703" s="2" t="s">
        <v>9871</v>
      </c>
      <c r="B3703" s="2" t="s">
        <v>9872</v>
      </c>
      <c r="C3703" s="2" t="s">
        <v>26</v>
      </c>
      <c r="D3703" s="2" t="s">
        <v>27</v>
      </c>
      <c r="E3703" s="4">
        <v>-32088</v>
      </c>
      <c r="F3703" s="3" t="s">
        <v>1217</v>
      </c>
      <c r="G3703" s="3" t="s">
        <v>1218</v>
      </c>
      <c r="H3703" s="2" t="s">
        <v>21</v>
      </c>
      <c r="I3703" s="2" t="s">
        <v>9873</v>
      </c>
      <c r="J3703" s="3" t="str">
        <f>HYPERLINK("https://www.boe.es/gazeta/dias/1812/02/22/pdfs/GMD-1812-53.pdf#page=4","Abrir facsímil")</f>
        <v>Abrir facsímil</v>
      </c>
      <c r="K3703" s="3" t="s">
        <v>23</v>
      </c>
    </row>
    <row r="3704" spans="1:11" ht="42" customHeight="1">
      <c r="A3704" s="2" t="s">
        <v>9874</v>
      </c>
      <c r="B3704" s="2" t="s">
        <v>9875</v>
      </c>
      <c r="C3704" s="2" t="s">
        <v>17</v>
      </c>
      <c r="D3704" s="2" t="s">
        <v>27</v>
      </c>
      <c r="E3704" s="4">
        <v>-31824</v>
      </c>
      <c r="F3704" s="3" t="s">
        <v>3123</v>
      </c>
      <c r="G3704" s="3" t="s">
        <v>857</v>
      </c>
      <c r="H3704" s="2" t="s">
        <v>21</v>
      </c>
      <c r="I3704" s="2" t="s">
        <v>9876</v>
      </c>
      <c r="J3704" s="3" t="str">
        <f>HYPERLINK("https://www.boe.es/gazeta/dias/1812/11/12/pdfs/GRE-1812-151.pdf#page=8","Abrir facsímil")</f>
        <v>Abrir facsímil</v>
      </c>
      <c r="K3704" s="3" t="s">
        <v>23</v>
      </c>
    </row>
    <row r="3705" spans="1:11" ht="42" customHeight="1">
      <c r="A3705" s="2" t="s">
        <v>9877</v>
      </c>
      <c r="B3705" s="2" t="s">
        <v>9877</v>
      </c>
      <c r="C3705" s="2" t="s">
        <v>17</v>
      </c>
      <c r="D3705" s="2" t="s">
        <v>27</v>
      </c>
      <c r="E3705" s="4">
        <v>-31944</v>
      </c>
      <c r="F3705" s="3" t="s">
        <v>5796</v>
      </c>
      <c r="G3705" s="3" t="s">
        <v>404</v>
      </c>
      <c r="H3705" s="2" t="s">
        <v>21</v>
      </c>
      <c r="I3705" s="2" t="s">
        <v>9878</v>
      </c>
      <c r="J3705" s="3" t="str">
        <f>HYPERLINK("https://www.boe.es/gazeta/dias/1812/07/15/pdfs/GMD-1812-197.pdf#page=2","Abrir facsímil")</f>
        <v>Abrir facsímil</v>
      </c>
      <c r="K3705" s="3" t="s">
        <v>23</v>
      </c>
    </row>
    <row r="3706" spans="1:11" ht="42" customHeight="1">
      <c r="A3706" s="2" t="s">
        <v>9879</v>
      </c>
      <c r="B3706" s="2" t="s">
        <v>9879</v>
      </c>
      <c r="C3706" s="2" t="s">
        <v>17</v>
      </c>
      <c r="D3706" s="2" t="s">
        <v>27</v>
      </c>
      <c r="E3706" s="4">
        <v>-31945</v>
      </c>
      <c r="F3706" s="3" t="s">
        <v>9880</v>
      </c>
      <c r="G3706" s="3" t="s">
        <v>182</v>
      </c>
      <c r="H3706" s="2" t="s">
        <v>21</v>
      </c>
      <c r="I3706" s="2" t="s">
        <v>9881</v>
      </c>
      <c r="J3706" s="3" t="str">
        <f>HYPERLINK("https://www.boe.es/gazeta/dias/1812/07/14/pdfs/GMD-1812-196.pdf#page=2","Abrir facsímil")</f>
        <v>Abrir facsímil</v>
      </c>
      <c r="K3706" s="3" t="s">
        <v>23</v>
      </c>
    </row>
    <row r="3707" spans="1:11" ht="42" customHeight="1">
      <c r="A3707" s="2" t="s">
        <v>9882</v>
      </c>
      <c r="B3707" s="2" t="s">
        <v>9882</v>
      </c>
      <c r="C3707" s="2" t="s">
        <v>17</v>
      </c>
      <c r="D3707" s="2" t="s">
        <v>18</v>
      </c>
      <c r="E3707" s="4">
        <v>-31942</v>
      </c>
      <c r="F3707" s="3" t="s">
        <v>3065</v>
      </c>
      <c r="G3707" s="3" t="s">
        <v>9883</v>
      </c>
      <c r="H3707" s="2" t="s">
        <v>21</v>
      </c>
      <c r="I3707" s="2" t="s">
        <v>9884</v>
      </c>
      <c r="J3707" s="3" t="str">
        <f>HYPERLINK("https://www.boe.es/gazeta/dias/1812/07/17/pdfs/GMD-1812-199.pdf#page=1","Abrir facsímil")</f>
        <v>Abrir facsímil</v>
      </c>
      <c r="K3707" s="3" t="s">
        <v>23</v>
      </c>
    </row>
    <row r="3708" spans="1:11" ht="42" customHeight="1">
      <c r="A3708" s="2" t="s">
        <v>9882</v>
      </c>
      <c r="B3708" s="2" t="s">
        <v>9882</v>
      </c>
      <c r="C3708" s="2" t="s">
        <v>17</v>
      </c>
      <c r="D3708" s="2" t="s">
        <v>27</v>
      </c>
      <c r="E3708" s="4">
        <v>-31942</v>
      </c>
      <c r="F3708" s="3" t="s">
        <v>3065</v>
      </c>
      <c r="G3708" s="3" t="s">
        <v>404</v>
      </c>
      <c r="H3708" s="2" t="s">
        <v>21</v>
      </c>
      <c r="I3708" s="2" t="s">
        <v>9885</v>
      </c>
      <c r="J3708" s="3" t="str">
        <f>HYPERLINK("https://www.boe.es/gazeta/dias/1812/07/17/pdfs/GMD-1812-199.pdf#page=2","Abrir facsímil")</f>
        <v>Abrir facsímil</v>
      </c>
      <c r="K3708" s="3" t="s">
        <v>23</v>
      </c>
    </row>
    <row r="3709" spans="1:11" ht="42" customHeight="1">
      <c r="A3709" s="2" t="s">
        <v>9886</v>
      </c>
      <c r="B3709" s="2" t="s">
        <v>9886</v>
      </c>
      <c r="C3709" s="2" t="s">
        <v>17</v>
      </c>
      <c r="D3709" s="2" t="s">
        <v>27</v>
      </c>
      <c r="E3709" s="4">
        <v>-31942</v>
      </c>
      <c r="F3709" s="3" t="s">
        <v>3065</v>
      </c>
      <c r="G3709" s="3" t="s">
        <v>404</v>
      </c>
      <c r="H3709" s="2" t="s">
        <v>21</v>
      </c>
      <c r="I3709" s="2" t="s">
        <v>9887</v>
      </c>
      <c r="J3709" s="3" t="str">
        <f>HYPERLINK("https://www.boe.es/gazeta/dias/1812/07/17/pdfs/GMD-1812-199.pdf#page=2","Abrir facsímil")</f>
        <v>Abrir facsímil</v>
      </c>
      <c r="K3709" s="3" t="s">
        <v>23</v>
      </c>
    </row>
    <row r="3710" spans="1:11" ht="42" customHeight="1">
      <c r="A3710" s="2" t="s">
        <v>9888</v>
      </c>
      <c r="B3710" s="2" t="s">
        <v>9888</v>
      </c>
      <c r="C3710" s="2" t="s">
        <v>115</v>
      </c>
      <c r="D3710" s="2" t="s">
        <v>27</v>
      </c>
      <c r="E3710" s="4">
        <v>-31977</v>
      </c>
      <c r="F3710" s="3" t="s">
        <v>1566</v>
      </c>
      <c r="G3710" s="3" t="s">
        <v>6158</v>
      </c>
      <c r="H3710" s="2" t="s">
        <v>21</v>
      </c>
      <c r="I3710" s="2" t="s">
        <v>9889</v>
      </c>
      <c r="J3710" s="3" t="str">
        <f>HYPERLINK("https://www.boe.es/gazeta/dias/1812/06/12/pdfs/GMD-1812-164.pdf#page=2","Abrir facsímil")</f>
        <v>Abrir facsímil</v>
      </c>
      <c r="K3710" s="3" t="s">
        <v>23</v>
      </c>
    </row>
    <row r="3711" spans="1:11" ht="42" customHeight="1">
      <c r="A3711" s="2" t="s">
        <v>9890</v>
      </c>
      <c r="B3711" s="2" t="s">
        <v>9890</v>
      </c>
      <c r="C3711" s="2" t="s">
        <v>26</v>
      </c>
      <c r="D3711" s="2" t="s">
        <v>27</v>
      </c>
      <c r="E3711" s="4">
        <v>-31937</v>
      </c>
      <c r="F3711" s="3" t="s">
        <v>1198</v>
      </c>
      <c r="G3711" s="3" t="s">
        <v>140</v>
      </c>
      <c r="H3711" s="2" t="s">
        <v>21</v>
      </c>
      <c r="I3711" s="2" t="s">
        <v>9891</v>
      </c>
      <c r="J3711" s="3" t="str">
        <f>HYPERLINK("https://www.boe.es/gazeta/dias/1812/07/22/pdfs/GMD-1812-204.pdf#page=2","Abrir facsímil")</f>
        <v>Abrir facsímil</v>
      </c>
      <c r="K3711" s="3" t="s">
        <v>23</v>
      </c>
    </row>
    <row r="3712" spans="1:11" ht="42" customHeight="1">
      <c r="A3712" s="2" t="s">
        <v>9892</v>
      </c>
      <c r="B3712" s="2" t="s">
        <v>9892</v>
      </c>
      <c r="C3712" s="2" t="s">
        <v>17</v>
      </c>
      <c r="D3712" s="2" t="s">
        <v>18</v>
      </c>
      <c r="E3712" s="4">
        <v>-32032</v>
      </c>
      <c r="F3712" s="3" t="s">
        <v>421</v>
      </c>
      <c r="G3712" s="3" t="s">
        <v>7302</v>
      </c>
      <c r="H3712" s="2" t="s">
        <v>21</v>
      </c>
      <c r="I3712" s="2" t="s">
        <v>9893</v>
      </c>
      <c r="J3712" s="3" t="str">
        <f>HYPERLINK("https://www.boe.es/gazeta/dias/1812/04/18/pdfs/GRE-1812-49.pdf#page=1","Abrir facsímil")</f>
        <v>Abrir facsímil</v>
      </c>
      <c r="K3712" s="3" t="s">
        <v>23</v>
      </c>
    </row>
    <row r="3713" spans="1:11" ht="42" customHeight="1">
      <c r="A3713" s="2" t="s">
        <v>9894</v>
      </c>
      <c r="B3713" s="2" t="s">
        <v>9895</v>
      </c>
      <c r="C3713" s="2" t="s">
        <v>26</v>
      </c>
      <c r="D3713" s="2" t="s">
        <v>27</v>
      </c>
      <c r="E3713" s="4">
        <v>-32034</v>
      </c>
      <c r="F3713" s="3" t="s">
        <v>28</v>
      </c>
      <c r="G3713" s="3" t="s">
        <v>794</v>
      </c>
      <c r="H3713" s="2" t="s">
        <v>21</v>
      </c>
      <c r="I3713" s="2" t="s">
        <v>9896</v>
      </c>
      <c r="J3713" s="3" t="str">
        <f>HYPERLINK("https://www.boe.es/gazeta/dias/1812/04/16/pdfs/GMD-1812-107.pdf#page=7","Abrir facsímil")</f>
        <v>Abrir facsímil</v>
      </c>
      <c r="K3713" s="3" t="s">
        <v>23</v>
      </c>
    </row>
    <row r="3714" spans="1:11" ht="42" customHeight="1">
      <c r="A3714" s="2" t="s">
        <v>9897</v>
      </c>
      <c r="B3714" s="2" t="s">
        <v>9897</v>
      </c>
      <c r="C3714" s="2" t="s">
        <v>17</v>
      </c>
      <c r="D3714" s="2" t="s">
        <v>27</v>
      </c>
      <c r="E3714" s="4">
        <v>-31922</v>
      </c>
      <c r="F3714" s="3" t="s">
        <v>622</v>
      </c>
      <c r="G3714" s="3" t="s">
        <v>404</v>
      </c>
      <c r="H3714" s="2" t="s">
        <v>21</v>
      </c>
      <c r="I3714" s="2" t="s">
        <v>9898</v>
      </c>
      <c r="J3714" s="3" t="str">
        <f>HYPERLINK("https://www.boe.es/gazeta/dias/1812/08/06/pdfs/GMD-1812-219.pdf#page=2","Abrir facsímil")</f>
        <v>Abrir facsímil</v>
      </c>
      <c r="K3714" s="3" t="s">
        <v>23</v>
      </c>
    </row>
    <row r="3715" spans="1:11" ht="42" customHeight="1">
      <c r="A3715" s="2" t="s">
        <v>9899</v>
      </c>
      <c r="B3715" s="2" t="s">
        <v>9900</v>
      </c>
      <c r="C3715" s="2" t="s">
        <v>549</v>
      </c>
      <c r="D3715" s="2" t="s">
        <v>27</v>
      </c>
      <c r="E3715" s="4">
        <v>-31857</v>
      </c>
      <c r="F3715" s="3" t="s">
        <v>1000</v>
      </c>
      <c r="G3715" s="3" t="s">
        <v>1001</v>
      </c>
      <c r="H3715" s="2" t="s">
        <v>21</v>
      </c>
      <c r="I3715" s="2" t="s">
        <v>9901</v>
      </c>
      <c r="J3715" s="3" t="str">
        <f>HYPERLINK("https://www.boe.es/gazeta/dias/1812/10/10/pdfs/GRE-1812-137.pdf#page=7","Abrir facsímil")</f>
        <v>Abrir facsímil</v>
      </c>
      <c r="K3715" s="3" t="s">
        <v>23</v>
      </c>
    </row>
    <row r="3716" spans="1:11" ht="42" customHeight="1">
      <c r="A3716" s="2" t="s">
        <v>9902</v>
      </c>
      <c r="B3716" s="2" t="s">
        <v>9902</v>
      </c>
      <c r="C3716" s="2" t="s">
        <v>17</v>
      </c>
      <c r="D3716" s="2" t="s">
        <v>27</v>
      </c>
      <c r="E3716" s="4">
        <v>-32062</v>
      </c>
      <c r="F3716" s="3" t="s">
        <v>2168</v>
      </c>
      <c r="G3716" s="3" t="s">
        <v>2815</v>
      </c>
      <c r="H3716" s="2" t="s">
        <v>21</v>
      </c>
      <c r="I3716" s="2" t="s">
        <v>9903</v>
      </c>
      <c r="J3716" s="3" t="str">
        <f>HYPERLINK("https://www.boe.es/gazeta/dias/1812/03/19/pdfs/GRE-1812-35.pdf#page=7","Abrir facsímil")</f>
        <v>Abrir facsímil</v>
      </c>
      <c r="K3716" s="3" t="s">
        <v>23</v>
      </c>
    </row>
    <row r="3717" spans="1:11" ht="42" customHeight="1">
      <c r="A3717" s="2" t="s">
        <v>9904</v>
      </c>
      <c r="B3717" s="2" t="s">
        <v>9904</v>
      </c>
      <c r="C3717" s="2" t="s">
        <v>17</v>
      </c>
      <c r="D3717" s="2" t="s">
        <v>27</v>
      </c>
      <c r="E3717" s="4">
        <v>-31950</v>
      </c>
      <c r="F3717" s="3" t="s">
        <v>1024</v>
      </c>
      <c r="G3717" s="3" t="s">
        <v>4600</v>
      </c>
      <c r="H3717" s="2" t="s">
        <v>21</v>
      </c>
      <c r="I3717" s="2" t="s">
        <v>9905</v>
      </c>
      <c r="J3717" s="3" t="str">
        <f>HYPERLINK("https://www.boe.es/gazeta/dias/1812/07/09/pdfs/GRE-1812-84.pdf#page=3","Abrir facsímil")</f>
        <v>Abrir facsímil</v>
      </c>
      <c r="K3717" s="3" t="s">
        <v>23</v>
      </c>
    </row>
    <row r="3718" spans="1:11" ht="42" customHeight="1">
      <c r="A3718" s="2" t="s">
        <v>9904</v>
      </c>
      <c r="B3718" s="2" t="s">
        <v>9904</v>
      </c>
      <c r="C3718" s="2" t="s">
        <v>17</v>
      </c>
      <c r="D3718" s="2" t="s">
        <v>18</v>
      </c>
      <c r="E3718" s="4">
        <v>-31950</v>
      </c>
      <c r="F3718" s="3" t="s">
        <v>2822</v>
      </c>
      <c r="G3718" s="3" t="s">
        <v>2823</v>
      </c>
      <c r="H3718" s="2" t="s">
        <v>21</v>
      </c>
      <c r="I3718" s="2" t="s">
        <v>9906</v>
      </c>
      <c r="J3718" s="3" t="str">
        <f>HYPERLINK("https://www.boe.es/gazeta/dias/1812/07/09/pdfs/GRE-1812-85E.pdf#page=2","Abrir facsímil")</f>
        <v>Abrir facsímil</v>
      </c>
      <c r="K3718" s="3" t="s">
        <v>23</v>
      </c>
    </row>
    <row r="3719" spans="1:11" ht="42" customHeight="1">
      <c r="A3719" s="2" t="s">
        <v>9907</v>
      </c>
      <c r="B3719" s="2" t="s">
        <v>9908</v>
      </c>
      <c r="C3719" s="2" t="s">
        <v>17</v>
      </c>
      <c r="D3719" s="2" t="s">
        <v>27</v>
      </c>
      <c r="E3719" s="4">
        <v>-31950</v>
      </c>
      <c r="F3719" s="3" t="s">
        <v>1024</v>
      </c>
      <c r="G3719" s="3" t="s">
        <v>1025</v>
      </c>
      <c r="H3719" s="2" t="s">
        <v>21</v>
      </c>
      <c r="I3719" s="2" t="s">
        <v>9909</v>
      </c>
      <c r="J3719" s="3" t="str">
        <f>HYPERLINK("https://www.boe.es/gazeta/dias/1812/07/09/pdfs/GRE-1812-84.pdf#page=7","Abrir facsímil")</f>
        <v>Abrir facsímil</v>
      </c>
      <c r="K3719" s="3" t="s">
        <v>23</v>
      </c>
    </row>
    <row r="3720" spans="1:11" ht="42" customHeight="1">
      <c r="A3720" s="2" t="s">
        <v>9910</v>
      </c>
      <c r="B3720" s="2" t="s">
        <v>9911</v>
      </c>
      <c r="C3720" s="2" t="s">
        <v>186</v>
      </c>
      <c r="D3720" s="2" t="s">
        <v>27</v>
      </c>
      <c r="E3720" s="4">
        <v>-32095</v>
      </c>
      <c r="F3720" s="3" t="s">
        <v>1099</v>
      </c>
      <c r="G3720" s="3" t="s">
        <v>438</v>
      </c>
      <c r="H3720" s="2" t="s">
        <v>21</v>
      </c>
      <c r="I3720" s="2" t="s">
        <v>9912</v>
      </c>
      <c r="J3720" s="3" t="str">
        <f>HYPERLINK("https://www.boe.es/gazeta/dias/1812/02/15/pdfs/GMD-1812-46.pdf#page=4","Abrir facsímil")</f>
        <v>Abrir facsímil</v>
      </c>
      <c r="K3720" s="3" t="s">
        <v>23</v>
      </c>
    </row>
    <row r="3721" spans="1:11" ht="42" customHeight="1">
      <c r="A3721" s="2" t="s">
        <v>9913</v>
      </c>
      <c r="B3721" s="2" t="s">
        <v>9913</v>
      </c>
      <c r="C3721" s="2" t="s">
        <v>17</v>
      </c>
      <c r="D3721" s="2" t="s">
        <v>18</v>
      </c>
      <c r="E3721" s="4">
        <v>-31903</v>
      </c>
      <c r="F3721" s="3" t="s">
        <v>2720</v>
      </c>
      <c r="G3721" s="3" t="s">
        <v>2955</v>
      </c>
      <c r="H3721" s="2" t="s">
        <v>21</v>
      </c>
      <c r="I3721" s="2" t="s">
        <v>9914</v>
      </c>
      <c r="J3721" s="3" t="str">
        <f>HYPERLINK("https://www.boe.es/gazeta/dias/1812/08/25/pdfs/GRE-1812-110.pdf#page=8","Abrir facsímil")</f>
        <v>Abrir facsímil</v>
      </c>
      <c r="K3721" s="3" t="s">
        <v>23</v>
      </c>
    </row>
    <row r="3722" spans="1:11" ht="42" customHeight="1">
      <c r="A3722" s="2" t="s">
        <v>9915</v>
      </c>
      <c r="B3722" s="2" t="s">
        <v>9915</v>
      </c>
      <c r="C3722" s="2" t="s">
        <v>17</v>
      </c>
      <c r="D3722" s="2" t="s">
        <v>27</v>
      </c>
      <c r="E3722" s="4">
        <v>-32078</v>
      </c>
      <c r="F3722" s="3" t="s">
        <v>145</v>
      </c>
      <c r="G3722" s="3" t="s">
        <v>1930</v>
      </c>
      <c r="H3722" s="2" t="s">
        <v>21</v>
      </c>
      <c r="I3722" s="2" t="s">
        <v>9916</v>
      </c>
      <c r="J3722" s="3" t="str">
        <f>HYPERLINK("https://www.boe.es/gazeta/dias/1812/03/03/pdfs/GRE-1812-28.pdf#page=7","Abrir facsímil")</f>
        <v>Abrir facsímil</v>
      </c>
      <c r="K3722" s="3" t="s">
        <v>23</v>
      </c>
    </row>
    <row r="3723" spans="1:11" ht="42" customHeight="1">
      <c r="A3723" s="2" t="s">
        <v>9915</v>
      </c>
      <c r="B3723" s="2" t="s">
        <v>9915</v>
      </c>
      <c r="C3723" s="2" t="s">
        <v>17</v>
      </c>
      <c r="D3723" s="2" t="s">
        <v>27</v>
      </c>
      <c r="E3723" s="4">
        <v>-32062</v>
      </c>
      <c r="F3723" s="3" t="s">
        <v>2168</v>
      </c>
      <c r="G3723" s="3" t="s">
        <v>8557</v>
      </c>
      <c r="H3723" s="2" t="s">
        <v>21</v>
      </c>
      <c r="I3723" s="2" t="s">
        <v>9917</v>
      </c>
      <c r="J3723" s="3" t="str">
        <f>HYPERLINK("https://www.boe.es/gazeta/dias/1812/03/19/pdfs/GRE-1812-35.pdf#page=3","Abrir facsímil")</f>
        <v>Abrir facsímil</v>
      </c>
      <c r="K3723" s="3" t="s">
        <v>23</v>
      </c>
    </row>
    <row r="3724" spans="1:11" ht="42" customHeight="1">
      <c r="A3724" s="2" t="s">
        <v>9915</v>
      </c>
      <c r="B3724" s="2" t="s">
        <v>9915</v>
      </c>
      <c r="C3724" s="2" t="s">
        <v>17</v>
      </c>
      <c r="D3724" s="2" t="s">
        <v>27</v>
      </c>
      <c r="E3724" s="4">
        <v>-32027</v>
      </c>
      <c r="F3724" s="3" t="s">
        <v>803</v>
      </c>
      <c r="G3724" s="3" t="s">
        <v>9003</v>
      </c>
      <c r="H3724" s="2" t="s">
        <v>21</v>
      </c>
      <c r="I3724" s="2" t="s">
        <v>9918</v>
      </c>
      <c r="J3724" s="3" t="str">
        <f>HYPERLINK("https://www.boe.es/gazeta/dias/1812/04/23/pdfs/GRE-1812-51.pdf#page=5","Abrir facsímil")</f>
        <v>Abrir facsímil</v>
      </c>
      <c r="K3724" s="3" t="s">
        <v>23</v>
      </c>
    </row>
    <row r="3725" spans="1:11" ht="42" customHeight="1">
      <c r="A3725" s="2" t="s">
        <v>9919</v>
      </c>
      <c r="B3725" s="2" t="s">
        <v>9920</v>
      </c>
      <c r="C3725" s="2" t="s">
        <v>17</v>
      </c>
      <c r="D3725" s="2" t="s">
        <v>27</v>
      </c>
      <c r="E3725" s="4">
        <v>-32050</v>
      </c>
      <c r="F3725" s="3" t="s">
        <v>2028</v>
      </c>
      <c r="G3725" s="3" t="s">
        <v>20</v>
      </c>
      <c r="H3725" s="2" t="s">
        <v>21</v>
      </c>
      <c r="I3725" s="2" t="s">
        <v>9921</v>
      </c>
      <c r="J3725" s="3" t="str">
        <f>HYPERLINK("https://www.boe.es/gazeta/dias/1812/03/31/pdfs/GMD-1812-91.pdf#page=2","Abrir facsímil")</f>
        <v>Abrir facsímil</v>
      </c>
      <c r="K3725" s="3" t="s">
        <v>23</v>
      </c>
    </row>
    <row r="3726" spans="1:11" ht="42" customHeight="1">
      <c r="A3726" s="2" t="s">
        <v>9919</v>
      </c>
      <c r="B3726" s="2" t="s">
        <v>9920</v>
      </c>
      <c r="C3726" s="2" t="s">
        <v>17</v>
      </c>
      <c r="D3726" s="2" t="s">
        <v>27</v>
      </c>
      <c r="E3726" s="4">
        <v>-31982</v>
      </c>
      <c r="F3726" s="3" t="s">
        <v>1630</v>
      </c>
      <c r="G3726" s="3" t="s">
        <v>1631</v>
      </c>
      <c r="H3726" s="2" t="s">
        <v>21</v>
      </c>
      <c r="I3726" s="2" t="s">
        <v>9922</v>
      </c>
      <c r="J3726" s="3" t="str">
        <f>HYPERLINK("https://www.boe.es/gazeta/dias/1812/06/07/pdfs/GMD-1812-159.pdf#page=4","Abrir facsímil")</f>
        <v>Abrir facsímil</v>
      </c>
      <c r="K3726" s="3" t="s">
        <v>23</v>
      </c>
    </row>
    <row r="3727" spans="1:11" ht="42" customHeight="1">
      <c r="A3727" s="2" t="s">
        <v>9923</v>
      </c>
      <c r="B3727" s="2" t="s">
        <v>9924</v>
      </c>
      <c r="C3727" s="2" t="s">
        <v>17</v>
      </c>
      <c r="D3727" s="2" t="s">
        <v>18</v>
      </c>
      <c r="E3727" s="4">
        <v>-32050</v>
      </c>
      <c r="F3727" s="3" t="s">
        <v>2028</v>
      </c>
      <c r="G3727" s="3" t="s">
        <v>2029</v>
      </c>
      <c r="H3727" s="2" t="s">
        <v>21</v>
      </c>
      <c r="I3727" s="2" t="s">
        <v>9925</v>
      </c>
      <c r="J3727" s="3" t="str">
        <f>HYPERLINK("https://www.boe.es/gazeta/dias/1812/03/31/pdfs/GMD-1812-91.pdf#page=1","Abrir facsímil")</f>
        <v>Abrir facsímil</v>
      </c>
      <c r="K3727" s="3" t="s">
        <v>23</v>
      </c>
    </row>
    <row r="3728" spans="1:11" ht="42" customHeight="1">
      <c r="A3728" s="2" t="s">
        <v>9926</v>
      </c>
      <c r="B3728" s="2" t="s">
        <v>9927</v>
      </c>
      <c r="C3728" s="2" t="s">
        <v>17</v>
      </c>
      <c r="D3728" s="2" t="s">
        <v>18</v>
      </c>
      <c r="E3728" s="4">
        <v>-31894</v>
      </c>
      <c r="F3728" s="3" t="s">
        <v>793</v>
      </c>
      <c r="G3728" s="3" t="s">
        <v>644</v>
      </c>
      <c r="H3728" s="2" t="s">
        <v>21</v>
      </c>
      <c r="I3728" s="2" t="s">
        <v>9928</v>
      </c>
      <c r="J3728" s="3" t="str">
        <f>HYPERLINK("https://www.boe.es/gazeta/dias/1812/09/03/pdfs/GRE-1812-119.pdf#page=4","Abrir facsímil")</f>
        <v>Abrir facsímil</v>
      </c>
      <c r="K3728" s="3" t="s">
        <v>23</v>
      </c>
    </row>
    <row r="3729" spans="1:11" ht="42" customHeight="1">
      <c r="A3729" s="2" t="s">
        <v>9929</v>
      </c>
      <c r="B3729" s="2" t="s">
        <v>9930</v>
      </c>
      <c r="C3729" s="2" t="s">
        <v>26</v>
      </c>
      <c r="D3729" s="2" t="s">
        <v>27</v>
      </c>
      <c r="E3729" s="4">
        <v>-31864</v>
      </c>
      <c r="F3729" s="3" t="s">
        <v>4258</v>
      </c>
      <c r="G3729" s="3" t="s">
        <v>6389</v>
      </c>
      <c r="H3729" s="2" t="s">
        <v>21</v>
      </c>
      <c r="I3729" s="2" t="s">
        <v>9931</v>
      </c>
      <c r="J3729" s="3" t="str">
        <f>HYPERLINK("https://www.boe.es/gazeta/dias/1812/10/03/pdfs/GMR-1812-22.pdf#page=8","Abrir facsímil")</f>
        <v>Abrir facsímil</v>
      </c>
      <c r="K3729" s="3" t="s">
        <v>23</v>
      </c>
    </row>
    <row r="3730" spans="1:11" ht="42" customHeight="1">
      <c r="A3730" s="2" t="s">
        <v>9932</v>
      </c>
      <c r="B3730" s="2" t="s">
        <v>9933</v>
      </c>
      <c r="C3730" s="2" t="s">
        <v>26</v>
      </c>
      <c r="D3730" s="2" t="s">
        <v>27</v>
      </c>
      <c r="E3730" s="4">
        <v>-32034</v>
      </c>
      <c r="F3730" s="3" t="s">
        <v>28</v>
      </c>
      <c r="G3730" s="3" t="s">
        <v>794</v>
      </c>
      <c r="H3730" s="2" t="s">
        <v>21</v>
      </c>
      <c r="I3730" s="2" t="s">
        <v>9934</v>
      </c>
      <c r="J3730" s="3" t="str">
        <f>HYPERLINK("https://www.boe.es/gazeta/dias/1812/04/16/pdfs/GMD-1812-107.pdf#page=7","Abrir facsímil")</f>
        <v>Abrir facsímil</v>
      </c>
      <c r="K3730" s="3" t="s">
        <v>23</v>
      </c>
    </row>
    <row r="3731" spans="1:11" ht="42" customHeight="1">
      <c r="A3731" s="2" t="s">
        <v>9935</v>
      </c>
      <c r="B3731" s="2" t="s">
        <v>9936</v>
      </c>
      <c r="C3731" s="2" t="s">
        <v>26</v>
      </c>
      <c r="D3731" s="2" t="s">
        <v>27</v>
      </c>
      <c r="E3731" s="4">
        <v>-32101</v>
      </c>
      <c r="F3731" s="3" t="s">
        <v>228</v>
      </c>
      <c r="G3731" s="3" t="s">
        <v>58</v>
      </c>
      <c r="H3731" s="2" t="s">
        <v>21</v>
      </c>
      <c r="I3731" s="2" t="s">
        <v>9937</v>
      </c>
      <c r="J3731" s="3" t="str">
        <f>HYPERLINK("https://www.boe.es/gazeta/dias/1812/02/09/pdfs/GMD-1812-40.pdf#page=4","Abrir facsímil")</f>
        <v>Abrir facsímil</v>
      </c>
      <c r="K3731" s="3" t="s">
        <v>23</v>
      </c>
    </row>
    <row r="3732" spans="1:11" ht="42" customHeight="1">
      <c r="A3732" s="2" t="s">
        <v>9938</v>
      </c>
      <c r="B3732" s="2" t="s">
        <v>9939</v>
      </c>
      <c r="C3732" s="2" t="s">
        <v>26</v>
      </c>
      <c r="D3732" s="2" t="s">
        <v>27</v>
      </c>
      <c r="E3732" s="4">
        <v>-31942</v>
      </c>
      <c r="F3732" s="3" t="s">
        <v>3065</v>
      </c>
      <c r="G3732" s="3" t="s">
        <v>3066</v>
      </c>
      <c r="H3732" s="2" t="s">
        <v>21</v>
      </c>
      <c r="I3732" s="2" t="s">
        <v>9940</v>
      </c>
      <c r="J3732" s="3" t="str">
        <f>HYPERLINK("https://www.boe.es/gazeta/dias/1812/07/17/pdfs/GMD-1812-199.pdf#page=3","Abrir facsímil")</f>
        <v>Abrir facsímil</v>
      </c>
      <c r="K3732" s="3" t="s">
        <v>23</v>
      </c>
    </row>
    <row r="3733" spans="1:11" ht="42" customHeight="1">
      <c r="A3733" s="2" t="s">
        <v>9941</v>
      </c>
      <c r="B3733" s="2" t="s">
        <v>9941</v>
      </c>
      <c r="C3733" s="2" t="s">
        <v>26</v>
      </c>
      <c r="D3733" s="2" t="s">
        <v>194</v>
      </c>
      <c r="E3733" s="4">
        <v>-32124</v>
      </c>
      <c r="F3733" s="3" t="s">
        <v>3729</v>
      </c>
      <c r="G3733" s="3" t="s">
        <v>514</v>
      </c>
      <c r="H3733" s="2" t="s">
        <v>21</v>
      </c>
      <c r="I3733" s="2" t="s">
        <v>9942</v>
      </c>
      <c r="J3733" s="3" t="str">
        <f>HYPERLINK("https://www.boe.es/gazeta/dias/1812/01/17/pdfs/GMD-1812-17.pdf#page=1","Abrir facsímil")</f>
        <v>Abrir facsímil</v>
      </c>
      <c r="K3733" s="3" t="s">
        <v>23</v>
      </c>
    </row>
    <row r="3734" spans="1:11" ht="42" customHeight="1">
      <c r="A3734" s="2" t="s">
        <v>9943</v>
      </c>
      <c r="B3734" s="2" t="s">
        <v>9943</v>
      </c>
      <c r="C3734" s="2" t="s">
        <v>26</v>
      </c>
      <c r="D3734" s="2" t="s">
        <v>275</v>
      </c>
      <c r="E3734" s="4">
        <v>-32063</v>
      </c>
      <c r="F3734" s="3" t="s">
        <v>384</v>
      </c>
      <c r="G3734" s="3" t="s">
        <v>125</v>
      </c>
      <c r="H3734" s="2" t="s">
        <v>21</v>
      </c>
      <c r="I3734" s="2" t="s">
        <v>9944</v>
      </c>
      <c r="J3734" s="3" t="str">
        <f>HYPERLINK("https://www.boe.es/gazeta/dias/1812/03/18/pdfs/GMD-1812-78.pdf#page=3","Abrir facsímil")</f>
        <v>Abrir facsímil</v>
      </c>
      <c r="K3734" s="3" t="s">
        <v>23</v>
      </c>
    </row>
    <row r="3735" spans="1:11" ht="42" customHeight="1">
      <c r="A3735" s="2" t="s">
        <v>9945</v>
      </c>
      <c r="B3735" s="2" t="s">
        <v>9945</v>
      </c>
      <c r="C3735" s="2" t="s">
        <v>17</v>
      </c>
      <c r="D3735" s="2" t="s">
        <v>18</v>
      </c>
      <c r="E3735" s="4">
        <v>-32100</v>
      </c>
      <c r="F3735" s="3" t="s">
        <v>9946</v>
      </c>
      <c r="G3735" s="3" t="s">
        <v>58</v>
      </c>
      <c r="H3735" s="2" t="s">
        <v>21</v>
      </c>
      <c r="I3735" s="2" t="s">
        <v>9947</v>
      </c>
      <c r="J3735" s="3" t="str">
        <f>HYPERLINK("https://www.boe.es/gazeta/dias/1812/02/10/pdfs/GMD-1812-41.pdf#page=2","Abrir facsímil")</f>
        <v>Abrir facsímil</v>
      </c>
      <c r="K3735" s="3" t="s">
        <v>23</v>
      </c>
    </row>
    <row r="3736" spans="1:11" ht="42" customHeight="1">
      <c r="A3736" s="2" t="s">
        <v>9948</v>
      </c>
      <c r="B3736" s="2" t="s">
        <v>9949</v>
      </c>
      <c r="C3736" s="2" t="s">
        <v>26</v>
      </c>
      <c r="D3736" s="2" t="s">
        <v>27</v>
      </c>
      <c r="E3736" s="4">
        <v>-31931</v>
      </c>
      <c r="F3736" s="3" t="s">
        <v>4174</v>
      </c>
      <c r="G3736" s="3" t="s">
        <v>336</v>
      </c>
      <c r="H3736" s="2" t="s">
        <v>21</v>
      </c>
      <c r="I3736" s="2" t="s">
        <v>9950</v>
      </c>
      <c r="J3736" s="3" t="str">
        <f>HYPERLINK("https://www.boe.es/gazeta/dias/1812/07/28/pdfs/GRE-1812-94.pdf#page=7","Abrir facsímil")</f>
        <v>Abrir facsímil</v>
      </c>
      <c r="K3736" s="3" t="s">
        <v>23</v>
      </c>
    </row>
    <row r="3737" spans="1:11" ht="42" customHeight="1">
      <c r="A3737" s="2" t="s">
        <v>9951</v>
      </c>
      <c r="B3737" s="2" t="s">
        <v>9952</v>
      </c>
      <c r="C3737" s="2" t="s">
        <v>17</v>
      </c>
      <c r="D3737" s="2" t="s">
        <v>27</v>
      </c>
      <c r="E3737" s="4">
        <v>-32025</v>
      </c>
      <c r="F3737" s="3" t="s">
        <v>2323</v>
      </c>
      <c r="G3737" s="3" t="s">
        <v>125</v>
      </c>
      <c r="H3737" s="2" t="s">
        <v>21</v>
      </c>
      <c r="I3737" s="2" t="s">
        <v>9953</v>
      </c>
      <c r="J3737" s="3" t="str">
        <f>HYPERLINK("https://www.boe.es/gazeta/dias/1812/04/25/pdfs/GRE-1812-52.pdf#page=7","Abrir facsímil")</f>
        <v>Abrir facsímil</v>
      </c>
      <c r="K3737" s="3" t="s">
        <v>23</v>
      </c>
    </row>
    <row r="3738" spans="1:11" ht="42" customHeight="1">
      <c r="A3738" s="2" t="s">
        <v>9954</v>
      </c>
      <c r="B3738" s="2" t="s">
        <v>9955</v>
      </c>
      <c r="C3738" s="2" t="s">
        <v>26</v>
      </c>
      <c r="D3738" s="2" t="s">
        <v>27</v>
      </c>
      <c r="E3738" s="4">
        <v>-32125</v>
      </c>
      <c r="F3738" s="3" t="s">
        <v>335</v>
      </c>
      <c r="G3738" s="3" t="s">
        <v>336</v>
      </c>
      <c r="H3738" s="2" t="s">
        <v>21</v>
      </c>
      <c r="I3738" s="2" t="s">
        <v>9956</v>
      </c>
      <c r="J3738" s="3" t="str">
        <f>HYPERLINK("https://www.boe.es/gazeta/dias/1812/01/16/pdfs/GEI-1812-7.pdf#page=8","Abrir facsímil")</f>
        <v>Abrir facsímil</v>
      </c>
      <c r="K3738" s="3" t="s">
        <v>23</v>
      </c>
    </row>
    <row r="3739" spans="1:11" ht="42" customHeight="1">
      <c r="A3739" s="2" t="s">
        <v>9957</v>
      </c>
      <c r="B3739" s="2" t="s">
        <v>9958</v>
      </c>
      <c r="C3739" s="2" t="s">
        <v>17</v>
      </c>
      <c r="D3739" s="2" t="s">
        <v>27</v>
      </c>
      <c r="E3739" s="4">
        <v>-31931</v>
      </c>
      <c r="F3739" s="3" t="s">
        <v>4174</v>
      </c>
      <c r="G3739" s="3" t="s">
        <v>6688</v>
      </c>
      <c r="H3739" s="2" t="s">
        <v>21</v>
      </c>
      <c r="I3739" s="2" t="s">
        <v>9959</v>
      </c>
      <c r="J3739" s="3" t="str">
        <f>HYPERLINK("https://www.boe.es/gazeta/dias/1812/07/28/pdfs/GRE-1812-94.pdf#page=6","Abrir facsímil")</f>
        <v>Abrir facsímil</v>
      </c>
      <c r="K3739" s="3" t="s">
        <v>23</v>
      </c>
    </row>
    <row r="3740" spans="1:11" ht="42" customHeight="1">
      <c r="A3740" s="2" t="s">
        <v>9960</v>
      </c>
      <c r="B3740" s="2" t="s">
        <v>9960</v>
      </c>
      <c r="C3740" s="2" t="s">
        <v>17</v>
      </c>
      <c r="D3740" s="2" t="s">
        <v>18</v>
      </c>
      <c r="E3740" s="4">
        <v>-31782</v>
      </c>
      <c r="F3740" s="3" t="s">
        <v>4408</v>
      </c>
      <c r="G3740" s="3" t="s">
        <v>4409</v>
      </c>
      <c r="H3740" s="2" t="s">
        <v>21</v>
      </c>
      <c r="I3740" s="2" t="s">
        <v>9961</v>
      </c>
      <c r="J3740" s="3" t="str">
        <f>HYPERLINK("https://www.boe.es/gazeta/dias/1812/12/24/pdfs/GMD-1812-247.pdf#page=4","Abrir facsímil")</f>
        <v>Abrir facsímil</v>
      </c>
      <c r="K3740" s="3" t="s">
        <v>23</v>
      </c>
    </row>
    <row r="3741" spans="1:11" ht="42" customHeight="1">
      <c r="A3741" s="2" t="s">
        <v>9962</v>
      </c>
      <c r="B3741" s="2" t="s">
        <v>9962</v>
      </c>
      <c r="C3741" s="2" t="s">
        <v>17</v>
      </c>
      <c r="D3741" s="2" t="s">
        <v>27</v>
      </c>
      <c r="E3741" s="4">
        <v>-31782</v>
      </c>
      <c r="F3741" s="3" t="s">
        <v>4408</v>
      </c>
      <c r="G3741" s="3" t="s">
        <v>514</v>
      </c>
      <c r="H3741" s="2" t="s">
        <v>21</v>
      </c>
      <c r="I3741" s="2" t="s">
        <v>9963</v>
      </c>
      <c r="J3741" s="3" t="str">
        <f>HYPERLINK("https://www.boe.es/gazeta/dias/1812/12/24/pdfs/GMD-1812-247.pdf#page=3","Abrir facsímil")</f>
        <v>Abrir facsímil</v>
      </c>
      <c r="K3741" s="3" t="s">
        <v>23</v>
      </c>
    </row>
    <row r="3742" spans="1:11" ht="42" customHeight="1">
      <c r="A3742" s="2" t="s">
        <v>9964</v>
      </c>
      <c r="B3742" s="2" t="s">
        <v>9965</v>
      </c>
      <c r="C3742" s="2" t="s">
        <v>105</v>
      </c>
      <c r="D3742" s="2" t="s">
        <v>27</v>
      </c>
      <c r="E3742" s="4">
        <v>-31840</v>
      </c>
      <c r="F3742" s="3" t="s">
        <v>2181</v>
      </c>
      <c r="G3742" s="3" t="s">
        <v>1076</v>
      </c>
      <c r="H3742" s="2" t="s">
        <v>21</v>
      </c>
      <c r="I3742" s="2" t="s">
        <v>9966</v>
      </c>
      <c r="J3742" s="3" t="str">
        <f>HYPERLINK("https://www.boe.es/gazeta/dias/1812/10/27/pdfs/GMR-1812-32.pdf#page=8","Abrir facsímil")</f>
        <v>Abrir facsímil</v>
      </c>
      <c r="K3742" s="3" t="s">
        <v>23</v>
      </c>
    </row>
    <row r="3743" spans="1:11" ht="42" customHeight="1">
      <c r="A3743" s="2" t="s">
        <v>9967</v>
      </c>
      <c r="B3743" s="2" t="s">
        <v>9967</v>
      </c>
      <c r="C3743" s="2" t="s">
        <v>26</v>
      </c>
      <c r="D3743" s="2" t="s">
        <v>27</v>
      </c>
      <c r="E3743" s="4">
        <v>-31952</v>
      </c>
      <c r="F3743" s="3" t="s">
        <v>210</v>
      </c>
      <c r="G3743" s="3" t="s">
        <v>438</v>
      </c>
      <c r="H3743" s="2" t="s">
        <v>21</v>
      </c>
      <c r="I3743" s="2" t="s">
        <v>9968</v>
      </c>
      <c r="J3743" s="3" t="str">
        <f>HYPERLINK("https://www.boe.es/gazeta/dias/1812/07/07/pdfs/GRE-1812-83.pdf#page=5","Abrir facsímil")</f>
        <v>Abrir facsímil</v>
      </c>
      <c r="K3743" s="3" t="s">
        <v>23</v>
      </c>
    </row>
    <row r="3744" spans="1:11" ht="42" customHeight="1">
      <c r="A3744" s="2" t="s">
        <v>9969</v>
      </c>
      <c r="B3744" s="2" t="s">
        <v>9969</v>
      </c>
      <c r="C3744" s="2" t="s">
        <v>17</v>
      </c>
      <c r="D3744" s="2" t="s">
        <v>18</v>
      </c>
      <c r="E3744" s="4">
        <v>-31954</v>
      </c>
      <c r="F3744" s="3" t="s">
        <v>692</v>
      </c>
      <c r="G3744" s="3" t="s">
        <v>2858</v>
      </c>
      <c r="H3744" s="2" t="s">
        <v>21</v>
      </c>
      <c r="I3744" s="2" t="s">
        <v>9970</v>
      </c>
      <c r="J3744" s="3" t="str">
        <f>HYPERLINK("https://www.boe.es/gazeta/dias/1812/07/05/pdfs/GMD-1812-187.pdf#page=2","Abrir facsímil")</f>
        <v>Abrir facsímil</v>
      </c>
      <c r="K3744" s="3" t="s">
        <v>23</v>
      </c>
    </row>
    <row r="3745" spans="1:11" ht="42" customHeight="1">
      <c r="A3745" s="2" t="s">
        <v>9971</v>
      </c>
      <c r="B3745" s="2" t="s">
        <v>9971</v>
      </c>
      <c r="C3745" s="2" t="s">
        <v>17</v>
      </c>
      <c r="D3745" s="2" t="s">
        <v>27</v>
      </c>
      <c r="E3745" s="4">
        <v>-31795</v>
      </c>
      <c r="F3745" s="3" t="s">
        <v>2344</v>
      </c>
      <c r="G3745" s="3" t="s">
        <v>2280</v>
      </c>
      <c r="H3745" s="2" t="s">
        <v>21</v>
      </c>
      <c r="I3745" s="2" t="s">
        <v>9972</v>
      </c>
      <c r="J3745" s="3" t="str">
        <f>HYPERLINK("https://www.boe.es/gazeta/dias/1812/12/11/pdfs/GMD-1812-234.pdf#page=1","Abrir facsímil")</f>
        <v>Abrir facsímil</v>
      </c>
      <c r="K3745" s="3" t="s">
        <v>23</v>
      </c>
    </row>
    <row r="3746" spans="1:11" ht="42" customHeight="1">
      <c r="A3746" s="2" t="s">
        <v>9973</v>
      </c>
      <c r="B3746" s="2" t="s">
        <v>9974</v>
      </c>
      <c r="C3746" s="2" t="s">
        <v>17</v>
      </c>
      <c r="D3746" s="2" t="s">
        <v>18</v>
      </c>
      <c r="E3746" s="4">
        <v>-32030</v>
      </c>
      <c r="F3746" s="3" t="s">
        <v>2226</v>
      </c>
      <c r="G3746" s="3" t="s">
        <v>20</v>
      </c>
      <c r="H3746" s="2" t="s">
        <v>21</v>
      </c>
      <c r="I3746" s="2" t="s">
        <v>9975</v>
      </c>
      <c r="J3746" s="3" t="str">
        <f>HYPERLINK("https://www.boe.es/gazeta/dias/1812/04/20/pdfs/GMD-1812-111.pdf#page=4","Abrir facsímil")</f>
        <v>Abrir facsímil</v>
      </c>
      <c r="K3746" s="3" t="s">
        <v>23</v>
      </c>
    </row>
    <row r="3747" spans="1:11" ht="42" customHeight="1">
      <c r="A3747" s="2" t="s">
        <v>9976</v>
      </c>
      <c r="B3747" s="2" t="s">
        <v>9977</v>
      </c>
      <c r="C3747" s="2" t="s">
        <v>49</v>
      </c>
      <c r="D3747" s="2" t="s">
        <v>27</v>
      </c>
      <c r="E3747" s="4">
        <v>-32013</v>
      </c>
      <c r="F3747" s="3" t="s">
        <v>849</v>
      </c>
      <c r="G3747" s="3" t="s">
        <v>6818</v>
      </c>
      <c r="H3747" s="2" t="s">
        <v>21</v>
      </c>
      <c r="I3747" s="2" t="s">
        <v>9978</v>
      </c>
      <c r="J3747" s="3" t="str">
        <f>HYPERLINK("https://www.boe.es/gazeta/dias/1812/05/07/pdfs/GRE-1812-57.pdf#page=8","Abrir facsímil")</f>
        <v>Abrir facsímil</v>
      </c>
      <c r="K3747" s="3" t="s">
        <v>23</v>
      </c>
    </row>
    <row r="3748" spans="1:11" ht="42" customHeight="1">
      <c r="A3748" s="2" t="s">
        <v>9979</v>
      </c>
      <c r="B3748" s="2" t="s">
        <v>9979</v>
      </c>
      <c r="C3748" s="2" t="s">
        <v>17</v>
      </c>
      <c r="D3748" s="2" t="s">
        <v>275</v>
      </c>
      <c r="E3748" s="4">
        <v>-32139</v>
      </c>
      <c r="F3748" s="3" t="s">
        <v>518</v>
      </c>
      <c r="G3748" s="3" t="s">
        <v>514</v>
      </c>
      <c r="H3748" s="2" t="s">
        <v>21</v>
      </c>
      <c r="I3748" s="2" t="s">
        <v>9980</v>
      </c>
      <c r="J3748" s="3" t="str">
        <f>HYPERLINK("https://www.boe.es/gazeta/dias/1812/01/02/pdfs/GEI-1812-1.pdf#page=5","Abrir facsímil")</f>
        <v>Abrir facsímil</v>
      </c>
      <c r="K3748" s="3" t="s">
        <v>23</v>
      </c>
    </row>
    <row r="3749" spans="1:11" ht="42" customHeight="1">
      <c r="A3749" s="2" t="s">
        <v>9981</v>
      </c>
      <c r="B3749" s="2" t="s">
        <v>9982</v>
      </c>
      <c r="C3749" s="2" t="s">
        <v>17</v>
      </c>
      <c r="D3749" s="2" t="s">
        <v>27</v>
      </c>
      <c r="E3749" s="4">
        <v>-31931</v>
      </c>
      <c r="F3749" s="3" t="s">
        <v>2350</v>
      </c>
      <c r="G3749" s="3" t="s">
        <v>2351</v>
      </c>
      <c r="H3749" s="2" t="s">
        <v>21</v>
      </c>
      <c r="I3749" s="2" t="s">
        <v>9983</v>
      </c>
      <c r="J3749" s="3" t="str">
        <f>HYPERLINK("https://www.boe.es/gazeta/dias/1812/07/28/pdfs/GMD-1812-210.pdf#page=2","Abrir facsímil")</f>
        <v>Abrir facsímil</v>
      </c>
      <c r="K3749" s="3" t="s">
        <v>23</v>
      </c>
    </row>
    <row r="3750" spans="1:11" ht="42" customHeight="1">
      <c r="A3750" s="2" t="s">
        <v>9984</v>
      </c>
      <c r="B3750" s="2" t="s">
        <v>9984</v>
      </c>
      <c r="C3750" s="2" t="s">
        <v>17</v>
      </c>
      <c r="D3750" s="2" t="s">
        <v>27</v>
      </c>
      <c r="E3750" s="4">
        <v>-32090</v>
      </c>
      <c r="F3750" s="3" t="s">
        <v>142</v>
      </c>
      <c r="G3750" s="3" t="s">
        <v>297</v>
      </c>
      <c r="H3750" s="2" t="s">
        <v>21</v>
      </c>
      <c r="I3750" s="2" t="s">
        <v>9985</v>
      </c>
      <c r="J3750" s="3" t="str">
        <f>HYPERLINK("https://www.boe.es/gazeta/dias/1812/02/20/pdfs/GRE-1812-22.pdf#page=4","Abrir facsímil")</f>
        <v>Abrir facsímil</v>
      </c>
      <c r="K3750" s="3" t="s">
        <v>23</v>
      </c>
    </row>
    <row r="3751" spans="1:11" ht="42" customHeight="1">
      <c r="A3751" s="2" t="s">
        <v>9984</v>
      </c>
      <c r="B3751" s="2" t="s">
        <v>9984</v>
      </c>
      <c r="C3751" s="2" t="s">
        <v>17</v>
      </c>
      <c r="D3751" s="2" t="s">
        <v>27</v>
      </c>
      <c r="E3751" s="4">
        <v>-32025</v>
      </c>
      <c r="F3751" s="3" t="s">
        <v>2323</v>
      </c>
      <c r="G3751" s="3" t="s">
        <v>45</v>
      </c>
      <c r="H3751" s="2" t="s">
        <v>21</v>
      </c>
      <c r="I3751" s="2" t="s">
        <v>9986</v>
      </c>
      <c r="J3751" s="3" t="str">
        <f>HYPERLINK("https://www.boe.es/gazeta/dias/1812/04/25/pdfs/GRE-1812-52.pdf#page=6","Abrir facsímil")</f>
        <v>Abrir facsímil</v>
      </c>
      <c r="K3751" s="3" t="s">
        <v>23</v>
      </c>
    </row>
    <row r="3752" spans="1:11" ht="42" customHeight="1">
      <c r="A3752" s="2" t="s">
        <v>9987</v>
      </c>
      <c r="B3752" s="2" t="s">
        <v>9988</v>
      </c>
      <c r="C3752" s="2" t="s">
        <v>26</v>
      </c>
      <c r="D3752" s="2" t="s">
        <v>27</v>
      </c>
      <c r="E3752" s="4">
        <v>-31976</v>
      </c>
      <c r="F3752" s="3" t="s">
        <v>54</v>
      </c>
      <c r="G3752" s="3" t="s">
        <v>55</v>
      </c>
      <c r="H3752" s="2" t="s">
        <v>21</v>
      </c>
      <c r="I3752" s="2" t="s">
        <v>9989</v>
      </c>
      <c r="J3752" s="3" t="str">
        <f>HYPERLINK("https://www.boe.es/gazeta/dias/1812/06/13/pdfs/GRE-1812-73.pdf#page=6","Abrir facsímil")</f>
        <v>Abrir facsímil</v>
      </c>
      <c r="K3752" s="3" t="s">
        <v>23</v>
      </c>
    </row>
    <row r="3753" spans="1:11" ht="42" customHeight="1">
      <c r="A3753" s="2" t="s">
        <v>9990</v>
      </c>
      <c r="B3753" s="2" t="s">
        <v>9991</v>
      </c>
      <c r="C3753" s="2" t="s">
        <v>26</v>
      </c>
      <c r="D3753" s="2" t="s">
        <v>27</v>
      </c>
      <c r="E3753" s="4">
        <v>-31940</v>
      </c>
      <c r="F3753" s="3" t="s">
        <v>187</v>
      </c>
      <c r="G3753" s="3" t="s">
        <v>404</v>
      </c>
      <c r="H3753" s="2" t="s">
        <v>21</v>
      </c>
      <c r="I3753" s="2" t="s">
        <v>9992</v>
      </c>
      <c r="J3753" s="3" t="str">
        <f>HYPERLINK("https://www.boe.es/gazeta/dias/1812/07/19/pdfs/GMD-1812-201.pdf#page=3","Abrir facsímil")</f>
        <v>Abrir facsímil</v>
      </c>
      <c r="K3753" s="3" t="s">
        <v>23</v>
      </c>
    </row>
    <row r="3754" spans="1:11" ht="42" customHeight="1">
      <c r="A3754" s="2" t="s">
        <v>9993</v>
      </c>
      <c r="B3754" s="2" t="s">
        <v>9994</v>
      </c>
      <c r="C3754" s="2" t="s">
        <v>115</v>
      </c>
      <c r="D3754" s="2" t="s">
        <v>275</v>
      </c>
      <c r="E3754" s="4">
        <v>-32019</v>
      </c>
      <c r="F3754" s="3" t="s">
        <v>476</v>
      </c>
      <c r="G3754" s="3" t="s">
        <v>404</v>
      </c>
      <c r="H3754" s="2" t="s">
        <v>21</v>
      </c>
      <c r="I3754" s="2" t="s">
        <v>9995</v>
      </c>
      <c r="J3754" s="3" t="str">
        <f>HYPERLINK("https://www.boe.es/gazeta/dias/1812/05/01/pdfs/GMD-1812-122.pdf#page=3","Abrir facsímil")</f>
        <v>Abrir facsímil</v>
      </c>
      <c r="K3754" s="3" t="s">
        <v>23</v>
      </c>
    </row>
    <row r="3755" spans="1:11" ht="42" customHeight="1">
      <c r="A3755" s="2" t="s">
        <v>9996</v>
      </c>
      <c r="B3755" s="2" t="s">
        <v>9997</v>
      </c>
      <c r="C3755" s="2" t="s">
        <v>26</v>
      </c>
      <c r="D3755" s="2" t="s">
        <v>27</v>
      </c>
      <c r="E3755" s="4">
        <v>-32125</v>
      </c>
      <c r="F3755" s="3" t="s">
        <v>335</v>
      </c>
      <c r="G3755" s="3" t="s">
        <v>336</v>
      </c>
      <c r="H3755" s="2" t="s">
        <v>21</v>
      </c>
      <c r="I3755" s="2" t="s">
        <v>9998</v>
      </c>
      <c r="J3755" s="3" t="str">
        <f>HYPERLINK("https://www.boe.es/gazeta/dias/1812/01/16/pdfs/GEI-1812-7.pdf#page=8","Abrir facsímil")</f>
        <v>Abrir facsímil</v>
      </c>
      <c r="K3755" s="3" t="s">
        <v>23</v>
      </c>
    </row>
    <row r="3756" spans="1:11" ht="42" customHeight="1">
      <c r="A3756" s="2" t="s">
        <v>9999</v>
      </c>
      <c r="B3756" s="2" t="s">
        <v>10000</v>
      </c>
      <c r="C3756" s="2" t="s">
        <v>26</v>
      </c>
      <c r="D3756" s="2" t="s">
        <v>27</v>
      </c>
      <c r="E3756" s="4">
        <v>-32060</v>
      </c>
      <c r="F3756" s="3" t="s">
        <v>399</v>
      </c>
      <c r="G3756" s="3" t="s">
        <v>136</v>
      </c>
      <c r="H3756" s="2" t="s">
        <v>21</v>
      </c>
      <c r="I3756" s="2" t="s">
        <v>10001</v>
      </c>
      <c r="J3756" s="3" t="str">
        <f>HYPERLINK("https://www.boe.es/gazeta/dias/1812/03/21/pdfs/GMD-1812-81.pdf#page=4","Abrir facsímil")</f>
        <v>Abrir facsímil</v>
      </c>
      <c r="K3756" s="3" t="s">
        <v>23</v>
      </c>
    </row>
    <row r="3757" spans="1:11" ht="42" customHeight="1">
      <c r="A3757" s="2" t="s">
        <v>10002</v>
      </c>
      <c r="B3757" s="2" t="s">
        <v>10003</v>
      </c>
      <c r="C3757" s="2" t="s">
        <v>26</v>
      </c>
      <c r="D3757" s="2" t="s">
        <v>27</v>
      </c>
      <c r="E3757" s="4">
        <v>-31980</v>
      </c>
      <c r="F3757" s="3" t="s">
        <v>40</v>
      </c>
      <c r="G3757" s="3" t="s">
        <v>41</v>
      </c>
      <c r="H3757" s="2" t="s">
        <v>21</v>
      </c>
      <c r="I3757" s="2" t="s">
        <v>10004</v>
      </c>
      <c r="J3757" s="3" t="str">
        <f>HYPERLINK("https://www.boe.es/gazeta/dias/1812/06/09/pdfs/GRE-1812-71.pdf#page=6","Abrir facsímil")</f>
        <v>Abrir facsímil</v>
      </c>
      <c r="K3757" s="3" t="s">
        <v>23</v>
      </c>
    </row>
    <row r="3758" spans="1:11" ht="42" customHeight="1">
      <c r="A3758" s="2" t="s">
        <v>10005</v>
      </c>
      <c r="B3758" s="2" t="s">
        <v>10006</v>
      </c>
      <c r="C3758" s="2" t="s">
        <v>26</v>
      </c>
      <c r="D3758" s="2" t="s">
        <v>27</v>
      </c>
      <c r="E3758" s="4">
        <v>-32067</v>
      </c>
      <c r="F3758" s="3" t="s">
        <v>199</v>
      </c>
      <c r="G3758" s="3" t="s">
        <v>200</v>
      </c>
      <c r="H3758" s="2" t="s">
        <v>21</v>
      </c>
      <c r="I3758" s="2" t="s">
        <v>10007</v>
      </c>
      <c r="J3758" s="3" t="str">
        <f>HYPERLINK("https://www.boe.es/gazeta/dias/1812/03/14/pdfs/GRE-1812-33.pdf#page=3","Abrir facsímil")</f>
        <v>Abrir facsímil</v>
      </c>
      <c r="K3758" s="3" t="s">
        <v>23</v>
      </c>
    </row>
    <row r="3759" spans="1:11" ht="42" customHeight="1">
      <c r="A3759" s="2" t="s">
        <v>10008</v>
      </c>
      <c r="B3759" s="2" t="s">
        <v>10009</v>
      </c>
      <c r="C3759" s="2" t="s">
        <v>26</v>
      </c>
      <c r="D3759" s="2" t="s">
        <v>27</v>
      </c>
      <c r="E3759" s="4">
        <v>-31940</v>
      </c>
      <c r="F3759" s="3" t="s">
        <v>187</v>
      </c>
      <c r="G3759" s="3" t="s">
        <v>404</v>
      </c>
      <c r="H3759" s="2" t="s">
        <v>21</v>
      </c>
      <c r="I3759" s="2" t="s">
        <v>10010</v>
      </c>
      <c r="J3759" s="3" t="str">
        <f>HYPERLINK("https://www.boe.es/gazeta/dias/1812/07/19/pdfs/GMD-1812-201.pdf#page=4","Abrir facsímil")</f>
        <v>Abrir facsímil</v>
      </c>
      <c r="K3759" s="3" t="s">
        <v>23</v>
      </c>
    </row>
    <row r="3760" spans="1:11" ht="42" customHeight="1">
      <c r="A3760" s="2" t="s">
        <v>10011</v>
      </c>
      <c r="B3760" s="2" t="s">
        <v>10012</v>
      </c>
      <c r="C3760" s="2" t="s">
        <v>26</v>
      </c>
      <c r="D3760" s="2" t="s">
        <v>27</v>
      </c>
      <c r="E3760" s="4">
        <v>-32137</v>
      </c>
      <c r="F3760" s="3" t="s">
        <v>355</v>
      </c>
      <c r="G3760" s="3" t="s">
        <v>117</v>
      </c>
      <c r="H3760" s="2" t="s">
        <v>21</v>
      </c>
      <c r="I3760" s="2" t="s">
        <v>10013</v>
      </c>
      <c r="J3760" s="3" t="str">
        <f>HYPERLINK("https://www.boe.es/gazeta/dias/1812/01/04/pdfs/GEI-1812-2.pdf#page=8","Abrir facsímil")</f>
        <v>Abrir facsímil</v>
      </c>
      <c r="K3760" s="3" t="s">
        <v>23</v>
      </c>
    </row>
    <row r="3761" spans="1:11" ht="42" customHeight="1">
      <c r="A3761" s="2" t="s">
        <v>10014</v>
      </c>
      <c r="B3761" s="2" t="s">
        <v>10015</v>
      </c>
      <c r="C3761" s="2" t="s">
        <v>26</v>
      </c>
      <c r="D3761" s="2" t="s">
        <v>27</v>
      </c>
      <c r="E3761" s="4">
        <v>-31965</v>
      </c>
      <c r="F3761" s="3" t="s">
        <v>1180</v>
      </c>
      <c r="G3761" s="3" t="s">
        <v>777</v>
      </c>
      <c r="H3761" s="2" t="s">
        <v>21</v>
      </c>
      <c r="I3761" s="2" t="s">
        <v>10016</v>
      </c>
      <c r="J3761" s="3" t="str">
        <f>HYPERLINK("https://www.boe.es/gazeta/dias/1812/06/24/pdfs/GMD-1812-176.pdf#page=2","Abrir facsímil")</f>
        <v>Abrir facsímil</v>
      </c>
      <c r="K3761" s="3" t="s">
        <v>23</v>
      </c>
    </row>
    <row r="3762" spans="1:11" ht="42" customHeight="1">
      <c r="A3762" s="2" t="s">
        <v>10017</v>
      </c>
      <c r="B3762" s="2" t="s">
        <v>10018</v>
      </c>
      <c r="C3762" s="2" t="s">
        <v>26</v>
      </c>
      <c r="D3762" s="2" t="s">
        <v>27</v>
      </c>
      <c r="E3762" s="4">
        <v>-32000</v>
      </c>
      <c r="F3762" s="3" t="s">
        <v>878</v>
      </c>
      <c r="G3762" s="3" t="s">
        <v>214</v>
      </c>
      <c r="H3762" s="2" t="s">
        <v>21</v>
      </c>
      <c r="I3762" s="2" t="s">
        <v>10019</v>
      </c>
      <c r="J3762" s="3" t="str">
        <f>HYPERLINK("https://www.boe.es/gazeta/dias/1812/05/20/pdfs/GMD-1812-141.pdf#page=2","Abrir facsímil")</f>
        <v>Abrir facsímil</v>
      </c>
      <c r="K3762" s="3" t="s">
        <v>23</v>
      </c>
    </row>
    <row r="3763" spans="1:11" ht="42" customHeight="1">
      <c r="A3763" s="2" t="s">
        <v>10020</v>
      </c>
      <c r="B3763" s="2" t="s">
        <v>10021</v>
      </c>
      <c r="C3763" s="2" t="s">
        <v>49</v>
      </c>
      <c r="D3763" s="2" t="s">
        <v>27</v>
      </c>
      <c r="E3763" s="4">
        <v>-31988</v>
      </c>
      <c r="F3763" s="3" t="s">
        <v>1094</v>
      </c>
      <c r="G3763" s="3" t="s">
        <v>1095</v>
      </c>
      <c r="H3763" s="2" t="s">
        <v>21</v>
      </c>
      <c r="I3763" s="2" t="s">
        <v>10022</v>
      </c>
      <c r="J3763" s="3" t="str">
        <f>HYPERLINK("https://www.boe.es/gazeta/dias/1812/06/01/pdfs/GMD-1812-153.pdf#page=2","Abrir facsímil")</f>
        <v>Abrir facsímil</v>
      </c>
      <c r="K3763" s="3" t="s">
        <v>23</v>
      </c>
    </row>
    <row r="3764" spans="1:11" ht="42" customHeight="1">
      <c r="A3764" s="2" t="s">
        <v>10023</v>
      </c>
      <c r="B3764" s="2" t="s">
        <v>10023</v>
      </c>
      <c r="C3764" s="2" t="s">
        <v>17</v>
      </c>
      <c r="D3764" s="2" t="s">
        <v>27</v>
      </c>
      <c r="E3764" s="4">
        <v>-32090</v>
      </c>
      <c r="F3764" s="3" t="s">
        <v>142</v>
      </c>
      <c r="G3764" s="3" t="s">
        <v>20</v>
      </c>
      <c r="H3764" s="2" t="s">
        <v>21</v>
      </c>
      <c r="I3764" s="2" t="s">
        <v>10024</v>
      </c>
      <c r="J3764" s="3" t="str">
        <f>HYPERLINK("https://www.boe.es/gazeta/dias/1812/02/20/pdfs/GRE-1812-22.pdf#page=2","Abrir facsímil")</f>
        <v>Abrir facsímil</v>
      </c>
      <c r="K3764" s="3" t="s">
        <v>23</v>
      </c>
    </row>
    <row r="3765" spans="1:11" ht="42" customHeight="1">
      <c r="A3765" s="2" t="s">
        <v>10025</v>
      </c>
      <c r="B3765" s="2" t="s">
        <v>10026</v>
      </c>
      <c r="C3765" s="2" t="s">
        <v>17</v>
      </c>
      <c r="D3765" s="2" t="s">
        <v>27</v>
      </c>
      <c r="E3765" s="4">
        <v>-31966</v>
      </c>
      <c r="F3765" s="3" t="s">
        <v>3665</v>
      </c>
      <c r="G3765" s="3" t="s">
        <v>10027</v>
      </c>
      <c r="H3765" s="2" t="s">
        <v>21</v>
      </c>
      <c r="I3765" s="2" t="s">
        <v>10028</v>
      </c>
      <c r="J3765" s="3" t="str">
        <f>HYPERLINK("https://www.boe.es/gazeta/dias/1812/06/23/pdfs/GRE-1812-77.pdf#page=2","Abrir facsímil")</f>
        <v>Abrir facsímil</v>
      </c>
      <c r="K3765" s="3" t="s">
        <v>23</v>
      </c>
    </row>
    <row r="3766" spans="1:11" ht="42" customHeight="1">
      <c r="A3766" s="2" t="s">
        <v>10029</v>
      </c>
      <c r="B3766" s="2" t="s">
        <v>10030</v>
      </c>
      <c r="C3766" s="2" t="s">
        <v>26</v>
      </c>
      <c r="D3766" s="2" t="s">
        <v>27</v>
      </c>
      <c r="E3766" s="4">
        <v>-32034</v>
      </c>
      <c r="F3766" s="3" t="s">
        <v>28</v>
      </c>
      <c r="G3766" s="3" t="s">
        <v>45</v>
      </c>
      <c r="H3766" s="2" t="s">
        <v>21</v>
      </c>
      <c r="I3766" s="2" t="s">
        <v>10031</v>
      </c>
      <c r="J3766" s="3" t="str">
        <f>HYPERLINK("https://www.boe.es/gazeta/dias/1812/04/16/pdfs/GMD-1812-107.pdf#page=5","Abrir facsímil")</f>
        <v>Abrir facsímil</v>
      </c>
      <c r="K3766" s="3" t="s">
        <v>23</v>
      </c>
    </row>
    <row r="3767" spans="1:11" ht="42" customHeight="1">
      <c r="A3767" s="2" t="s">
        <v>10032</v>
      </c>
      <c r="B3767" s="2" t="s">
        <v>10033</v>
      </c>
      <c r="C3767" s="2" t="s">
        <v>549</v>
      </c>
      <c r="D3767" s="2" t="s">
        <v>27</v>
      </c>
      <c r="E3767" s="4">
        <v>-31915</v>
      </c>
      <c r="F3767" s="3" t="s">
        <v>1592</v>
      </c>
      <c r="G3767" s="3" t="s">
        <v>29</v>
      </c>
      <c r="H3767" s="2" t="s">
        <v>30</v>
      </c>
      <c r="I3767" s="2" t="s">
        <v>10034</v>
      </c>
      <c r="J3767" s="3" t="str">
        <f>HYPERLINK("https://www.boe.es/gazeta/dias/1812/08/13/pdfs/GRE-1812-104.pdf#page=8","Abrir facsímil")</f>
        <v>Abrir facsímil</v>
      </c>
      <c r="K3767" s="3" t="s">
        <v>32</v>
      </c>
    </row>
    <row r="3768" spans="1:11" ht="42" customHeight="1">
      <c r="A3768" s="2" t="s">
        <v>10035</v>
      </c>
      <c r="B3768" s="2" t="s">
        <v>10035</v>
      </c>
      <c r="C3768" s="2" t="s">
        <v>17</v>
      </c>
      <c r="D3768" s="2" t="s">
        <v>27</v>
      </c>
      <c r="E3768" s="4">
        <v>-32116</v>
      </c>
      <c r="F3768" s="3" t="s">
        <v>993</v>
      </c>
      <c r="G3768" s="3" t="s">
        <v>2650</v>
      </c>
      <c r="H3768" s="2" t="s">
        <v>21</v>
      </c>
      <c r="I3768" s="2" t="s">
        <v>10036</v>
      </c>
      <c r="J3768" s="3" t="str">
        <f>HYPERLINK("https://www.boe.es/gazeta/dias/1812/01/25/pdfs/GEI-1812-11.pdf#page=2","Abrir facsímil")</f>
        <v>Abrir facsímil</v>
      </c>
      <c r="K3768" s="3" t="s">
        <v>23</v>
      </c>
    </row>
    <row r="3769" spans="1:11" ht="42" customHeight="1">
      <c r="A3769" s="2" t="s">
        <v>10035</v>
      </c>
      <c r="B3769" s="2" t="s">
        <v>10035</v>
      </c>
      <c r="C3769" s="2" t="s">
        <v>17</v>
      </c>
      <c r="D3769" s="2" t="s">
        <v>18</v>
      </c>
      <c r="E3769" s="4">
        <v>-32116</v>
      </c>
      <c r="F3769" s="3" t="s">
        <v>993</v>
      </c>
      <c r="G3769" s="3" t="s">
        <v>6450</v>
      </c>
      <c r="H3769" s="2" t="s">
        <v>21</v>
      </c>
      <c r="I3769" s="2" t="s">
        <v>10037</v>
      </c>
      <c r="J3769" s="3" t="str">
        <f>HYPERLINK("https://www.boe.es/gazeta/dias/1812/01/25/pdfs/GEI-1812-11.pdf#page=3","Abrir facsímil")</f>
        <v>Abrir facsímil</v>
      </c>
      <c r="K3769" s="3" t="s">
        <v>23</v>
      </c>
    </row>
    <row r="3770" spans="1:11" ht="42" customHeight="1">
      <c r="A3770" s="2" t="s">
        <v>10038</v>
      </c>
      <c r="B3770" s="2" t="s">
        <v>10039</v>
      </c>
      <c r="C3770" s="2" t="s">
        <v>17</v>
      </c>
      <c r="D3770" s="2" t="s">
        <v>27</v>
      </c>
      <c r="E3770" s="4">
        <v>-31966</v>
      </c>
      <c r="F3770" s="3" t="s">
        <v>387</v>
      </c>
      <c r="G3770" s="3" t="s">
        <v>388</v>
      </c>
      <c r="H3770" s="2" t="s">
        <v>21</v>
      </c>
      <c r="I3770" s="2" t="s">
        <v>10040</v>
      </c>
      <c r="J3770" s="3" t="str">
        <f>HYPERLINK("https://www.boe.es/gazeta/dias/1812/06/23/pdfs/GMD-1812-175.pdf#page=2","Abrir facsímil")</f>
        <v>Abrir facsímil</v>
      </c>
      <c r="K3770" s="3" t="s">
        <v>23</v>
      </c>
    </row>
    <row r="3771" spans="1:11" ht="42" customHeight="1">
      <c r="A3771" s="2" t="s">
        <v>10041</v>
      </c>
      <c r="B3771" s="2" t="s">
        <v>10041</v>
      </c>
      <c r="C3771" s="2" t="s">
        <v>17</v>
      </c>
      <c r="D3771" s="2" t="s">
        <v>27</v>
      </c>
      <c r="E3771" s="4">
        <v>-31795</v>
      </c>
      <c r="F3771" s="3" t="s">
        <v>2344</v>
      </c>
      <c r="G3771" s="3" t="s">
        <v>2280</v>
      </c>
      <c r="H3771" s="2" t="s">
        <v>21</v>
      </c>
      <c r="I3771" s="2" t="s">
        <v>10042</v>
      </c>
      <c r="J3771" s="3" t="str">
        <f>HYPERLINK("https://www.boe.es/gazeta/dias/1812/12/11/pdfs/GMD-1812-234.pdf#page=1","Abrir facsímil")</f>
        <v>Abrir facsímil</v>
      </c>
      <c r="K3771" s="3" t="s">
        <v>23</v>
      </c>
    </row>
    <row r="3772" spans="1:11" ht="42" customHeight="1">
      <c r="A3772" s="2" t="s">
        <v>10043</v>
      </c>
      <c r="B3772" s="2" t="s">
        <v>10043</v>
      </c>
      <c r="C3772" s="2" t="s">
        <v>17</v>
      </c>
      <c r="D3772" s="2" t="s">
        <v>275</v>
      </c>
      <c r="E3772" s="4">
        <v>-32116</v>
      </c>
      <c r="F3772" s="3" t="s">
        <v>993</v>
      </c>
      <c r="G3772" s="3" t="s">
        <v>125</v>
      </c>
      <c r="H3772" s="2" t="s">
        <v>21</v>
      </c>
      <c r="I3772" s="2" t="s">
        <v>10044</v>
      </c>
      <c r="J3772" s="3" t="str">
        <f>HYPERLINK("https://www.boe.es/gazeta/dias/1812/01/25/pdfs/GEI-1812-11.pdf#page=1","Abrir facsímil")</f>
        <v>Abrir facsímil</v>
      </c>
      <c r="K3772" s="3" t="s">
        <v>23</v>
      </c>
    </row>
    <row r="3773" spans="1:11" ht="42" customHeight="1">
      <c r="A3773" s="2" t="s">
        <v>10045</v>
      </c>
      <c r="B3773" s="2" t="s">
        <v>10045</v>
      </c>
      <c r="C3773" s="2" t="s">
        <v>17</v>
      </c>
      <c r="D3773" s="2" t="s">
        <v>18</v>
      </c>
      <c r="E3773" s="4">
        <v>-31992</v>
      </c>
      <c r="F3773" s="3" t="s">
        <v>1292</v>
      </c>
      <c r="G3773" s="3" t="s">
        <v>10046</v>
      </c>
      <c r="H3773" s="2" t="s">
        <v>21</v>
      </c>
      <c r="I3773" s="2" t="s">
        <v>10047</v>
      </c>
      <c r="J3773" s="3" t="str">
        <f>HYPERLINK("https://www.boe.es/gazeta/dias/1812/05/28/pdfs/GRE-1812-66.pdf#page=1","Abrir facsímil")</f>
        <v>Abrir facsímil</v>
      </c>
      <c r="K3773" s="3" t="s">
        <v>23</v>
      </c>
    </row>
    <row r="3774" spans="1:11" ht="42" customHeight="1">
      <c r="A3774" s="2" t="s">
        <v>10048</v>
      </c>
      <c r="B3774" s="2" t="s">
        <v>10049</v>
      </c>
      <c r="C3774" s="2" t="s">
        <v>26</v>
      </c>
      <c r="D3774" s="2" t="s">
        <v>27</v>
      </c>
      <c r="E3774" s="4">
        <v>-31938</v>
      </c>
      <c r="F3774" s="3" t="s">
        <v>324</v>
      </c>
      <c r="G3774" s="3" t="s">
        <v>404</v>
      </c>
      <c r="H3774" s="2" t="s">
        <v>21</v>
      </c>
      <c r="I3774" s="2" t="s">
        <v>10050</v>
      </c>
      <c r="J3774" s="3" t="str">
        <f>HYPERLINK("https://www.boe.es/gazeta/dias/1812/07/21/pdfs/GMD-1812-203.pdf#page=4","Abrir facsímil")</f>
        <v>Abrir facsímil</v>
      </c>
      <c r="K3774" s="3" t="s">
        <v>23</v>
      </c>
    </row>
    <row r="3775" spans="1:11" ht="42" customHeight="1">
      <c r="A3775" s="2" t="s">
        <v>10051</v>
      </c>
      <c r="B3775" s="2" t="s">
        <v>10052</v>
      </c>
      <c r="C3775" s="2" t="s">
        <v>17</v>
      </c>
      <c r="D3775" s="2" t="s">
        <v>27</v>
      </c>
      <c r="E3775" s="4">
        <v>-32132</v>
      </c>
      <c r="F3775" s="3" t="s">
        <v>484</v>
      </c>
      <c r="G3775" s="3" t="s">
        <v>2895</v>
      </c>
      <c r="H3775" s="2" t="s">
        <v>21</v>
      </c>
      <c r="I3775" s="2" t="s">
        <v>10053</v>
      </c>
      <c r="J3775" s="3" t="str">
        <f>HYPERLINK("https://www.boe.es/gazeta/dias/1812/01/09/pdfs/GEI-1812-4.pdf#page=7","Abrir facsímil")</f>
        <v>Abrir facsímil</v>
      </c>
      <c r="K3775" s="3" t="s">
        <v>23</v>
      </c>
    </row>
    <row r="3776" spans="1:11" ht="42" customHeight="1">
      <c r="A3776" s="2" t="s">
        <v>10051</v>
      </c>
      <c r="B3776" s="2" t="s">
        <v>10052</v>
      </c>
      <c r="C3776" s="2" t="s">
        <v>17</v>
      </c>
      <c r="D3776" s="2" t="s">
        <v>573</v>
      </c>
      <c r="E3776" s="4">
        <v>-31895</v>
      </c>
      <c r="F3776" s="3" t="s">
        <v>3980</v>
      </c>
      <c r="G3776" s="3" t="s">
        <v>20</v>
      </c>
      <c r="H3776" s="2" t="s">
        <v>21</v>
      </c>
      <c r="I3776" s="2" t="s">
        <v>10054</v>
      </c>
      <c r="J3776" s="3" t="str">
        <f>HYPERLINK("https://www.boe.es/gazeta/dias/1812/09/02/pdfs/GRE-1812-118E.pdf#page=1","Abrir facsímil")</f>
        <v>Abrir facsímil</v>
      </c>
      <c r="K3776" s="3" t="s">
        <v>23</v>
      </c>
    </row>
    <row r="3777" spans="1:11" ht="42" customHeight="1">
      <c r="A3777" s="2" t="s">
        <v>10051</v>
      </c>
      <c r="B3777" s="2" t="s">
        <v>10052</v>
      </c>
      <c r="C3777" s="2" t="s">
        <v>17</v>
      </c>
      <c r="D3777" s="2" t="s">
        <v>18</v>
      </c>
      <c r="E3777" s="4">
        <v>-31878</v>
      </c>
      <c r="F3777" s="3" t="s">
        <v>2891</v>
      </c>
      <c r="G3777" s="3" t="s">
        <v>404</v>
      </c>
      <c r="H3777" s="2" t="s">
        <v>21</v>
      </c>
      <c r="I3777" s="2" t="s">
        <v>10055</v>
      </c>
      <c r="J3777" s="3" t="str">
        <f>HYPERLINK("https://www.boe.es/gazeta/dias/1812/09/19/pdfs/GRE-1812-127.pdf#page=6","Abrir facsímil")</f>
        <v>Abrir facsímil</v>
      </c>
      <c r="K3777" s="3" t="s">
        <v>23</v>
      </c>
    </row>
    <row r="3778" spans="1:11" ht="42" customHeight="1">
      <c r="A3778" s="2" t="s">
        <v>10056</v>
      </c>
      <c r="B3778" s="2" t="s">
        <v>10056</v>
      </c>
      <c r="C3778" s="2" t="s">
        <v>17</v>
      </c>
      <c r="D3778" s="2" t="s">
        <v>18</v>
      </c>
      <c r="E3778" s="4">
        <v>-31917</v>
      </c>
      <c r="F3778" s="3" t="s">
        <v>946</v>
      </c>
      <c r="G3778" s="3" t="s">
        <v>404</v>
      </c>
      <c r="H3778" s="2" t="s">
        <v>21</v>
      </c>
      <c r="I3778" s="2" t="s">
        <v>10057</v>
      </c>
      <c r="J3778" s="3" t="str">
        <f>HYPERLINK("https://www.boe.es/gazeta/dias/1812/08/11/pdfs/GRE-1812-103.pdf#page=2","Abrir facsímil")</f>
        <v>Abrir facsímil</v>
      </c>
      <c r="K3778" s="3" t="s">
        <v>23</v>
      </c>
    </row>
    <row r="3779" spans="1:11" ht="42" customHeight="1">
      <c r="A3779" s="2" t="s">
        <v>10058</v>
      </c>
      <c r="B3779" s="2" t="s">
        <v>10058</v>
      </c>
      <c r="C3779" s="2" t="s">
        <v>49</v>
      </c>
      <c r="D3779" s="2" t="s">
        <v>27</v>
      </c>
      <c r="E3779" s="4">
        <v>-31930</v>
      </c>
      <c r="F3779" s="3" t="s">
        <v>10059</v>
      </c>
      <c r="G3779" s="3" t="s">
        <v>10060</v>
      </c>
      <c r="H3779" s="2" t="s">
        <v>21</v>
      </c>
      <c r="I3779" s="2" t="s">
        <v>10061</v>
      </c>
      <c r="J3779" s="3" t="str">
        <f>HYPERLINK("https://www.boe.es/gazeta/dias/1812/07/29/pdfs/GMD-1812-211.pdf#page=1","Abrir facsímil")</f>
        <v>Abrir facsímil</v>
      </c>
      <c r="K3779" s="3" t="s">
        <v>23</v>
      </c>
    </row>
    <row r="3780" spans="1:11" ht="42" customHeight="1">
      <c r="A3780" s="2" t="s">
        <v>10062</v>
      </c>
      <c r="B3780" s="2" t="s">
        <v>10062</v>
      </c>
      <c r="C3780" s="2" t="s">
        <v>49</v>
      </c>
      <c r="D3780" s="2" t="s">
        <v>194</v>
      </c>
      <c r="E3780" s="4">
        <v>-31977</v>
      </c>
      <c r="F3780" s="3" t="s">
        <v>1566</v>
      </c>
      <c r="G3780" s="3" t="s">
        <v>1567</v>
      </c>
      <c r="H3780" s="2" t="s">
        <v>21</v>
      </c>
      <c r="I3780" s="2" t="s">
        <v>10063</v>
      </c>
      <c r="J3780" s="3" t="str">
        <f>HYPERLINK("https://www.boe.es/gazeta/dias/1812/06/12/pdfs/GMD-1812-164.pdf#page=1","Abrir facsímil")</f>
        <v>Abrir facsímil</v>
      </c>
      <c r="K3780" s="3" t="s">
        <v>23</v>
      </c>
    </row>
    <row r="3781" spans="1:11" ht="42" customHeight="1">
      <c r="A3781" s="2" t="s">
        <v>10064</v>
      </c>
      <c r="B3781" s="2" t="s">
        <v>10065</v>
      </c>
      <c r="C3781" s="2" t="s">
        <v>186</v>
      </c>
      <c r="D3781" s="2" t="s">
        <v>27</v>
      </c>
      <c r="E3781" s="4">
        <v>-31938</v>
      </c>
      <c r="F3781" s="3" t="s">
        <v>324</v>
      </c>
      <c r="G3781" s="3" t="s">
        <v>404</v>
      </c>
      <c r="H3781" s="2" t="s">
        <v>21</v>
      </c>
      <c r="I3781" s="2" t="s">
        <v>10066</v>
      </c>
      <c r="J3781" s="3" t="str">
        <f>HYPERLINK("https://www.boe.es/gazeta/dias/1812/07/21/pdfs/GMD-1812-203.pdf#page=4","Abrir facsímil")</f>
        <v>Abrir facsímil</v>
      </c>
      <c r="K3781" s="3" t="s">
        <v>23</v>
      </c>
    </row>
    <row r="3782" spans="1:11" ht="42" customHeight="1">
      <c r="A3782" s="2" t="s">
        <v>10067</v>
      </c>
      <c r="B3782" s="2" t="s">
        <v>10068</v>
      </c>
      <c r="C3782" s="2" t="s">
        <v>17</v>
      </c>
      <c r="D3782" s="2" t="s">
        <v>18</v>
      </c>
      <c r="E3782" s="4">
        <v>-32101</v>
      </c>
      <c r="F3782" s="3" t="s">
        <v>228</v>
      </c>
      <c r="G3782" s="3" t="s">
        <v>58</v>
      </c>
      <c r="H3782" s="2" t="s">
        <v>21</v>
      </c>
      <c r="I3782" s="2" t="s">
        <v>10069</v>
      </c>
      <c r="J3782" s="3" t="str">
        <f>HYPERLINK("https://www.boe.es/gazeta/dias/1812/02/09/pdfs/GMD-1812-40.pdf#page=4","Abrir facsímil")</f>
        <v>Abrir facsímil</v>
      </c>
      <c r="K3782" s="3" t="s">
        <v>23</v>
      </c>
    </row>
    <row r="3783" spans="1:11" ht="42" customHeight="1">
      <c r="A3783" s="2" t="s">
        <v>10070</v>
      </c>
      <c r="B3783" s="2" t="s">
        <v>10071</v>
      </c>
      <c r="C3783" s="2" t="s">
        <v>26</v>
      </c>
      <c r="D3783" s="2" t="s">
        <v>27</v>
      </c>
      <c r="E3783" s="4">
        <v>-31935</v>
      </c>
      <c r="F3783" s="3" t="s">
        <v>2678</v>
      </c>
      <c r="G3783" s="3" t="s">
        <v>404</v>
      </c>
      <c r="H3783" s="2" t="s">
        <v>21</v>
      </c>
      <c r="I3783" s="2" t="s">
        <v>10072</v>
      </c>
      <c r="J3783" s="3" t="str">
        <f>HYPERLINK("https://www.boe.es/gazeta/dias/1812/07/24/pdfs/GMD-1812-206.pdf#page=1","Abrir facsímil")</f>
        <v>Abrir facsímil</v>
      </c>
      <c r="K3783" s="3" t="s">
        <v>23</v>
      </c>
    </row>
    <row r="3784" spans="1:11" ht="42" customHeight="1">
      <c r="A3784" s="2" t="s">
        <v>10073</v>
      </c>
      <c r="B3784" s="2" t="s">
        <v>10074</v>
      </c>
      <c r="C3784" s="2" t="s">
        <v>26</v>
      </c>
      <c r="D3784" s="2" t="s">
        <v>27</v>
      </c>
      <c r="E3784" s="4">
        <v>-31945</v>
      </c>
      <c r="F3784" s="3" t="s">
        <v>1485</v>
      </c>
      <c r="G3784" s="3" t="s">
        <v>2905</v>
      </c>
      <c r="H3784" s="2" t="s">
        <v>21</v>
      </c>
      <c r="I3784" s="2" t="s">
        <v>10075</v>
      </c>
      <c r="J3784" s="3" t="str">
        <f>HYPERLINK("https://www.boe.es/gazeta/dias/1812/07/14/pdfs/GRE-1812-88.pdf#page=2","Abrir facsímil")</f>
        <v>Abrir facsímil</v>
      </c>
      <c r="K3784" s="3" t="s">
        <v>23</v>
      </c>
    </row>
    <row r="3785" spans="1:11" ht="42" customHeight="1">
      <c r="A3785" s="2" t="s">
        <v>10076</v>
      </c>
      <c r="B3785" s="2" t="s">
        <v>10076</v>
      </c>
      <c r="C3785" s="2" t="s">
        <v>17</v>
      </c>
      <c r="D3785" s="2" t="s">
        <v>27</v>
      </c>
      <c r="E3785" s="4">
        <v>-31791</v>
      </c>
      <c r="F3785" s="3" t="s">
        <v>905</v>
      </c>
      <c r="G3785" s="3" t="s">
        <v>514</v>
      </c>
      <c r="H3785" s="2" t="s">
        <v>21</v>
      </c>
      <c r="I3785" s="2" t="s">
        <v>10077</v>
      </c>
      <c r="J3785" s="3" t="str">
        <f>HYPERLINK("https://www.boe.es/gazeta/dias/1812/12/15/pdfs/GRE-1812-165.pdf#page=2","Abrir facsímil")</f>
        <v>Abrir facsímil</v>
      </c>
      <c r="K3785" s="3" t="s">
        <v>23</v>
      </c>
    </row>
    <row r="3786" spans="1:11" ht="42" customHeight="1">
      <c r="A3786" s="2" t="s">
        <v>10078</v>
      </c>
      <c r="B3786" s="2" t="s">
        <v>10079</v>
      </c>
      <c r="C3786" s="2" t="s">
        <v>17</v>
      </c>
      <c r="D3786" s="2" t="s">
        <v>27</v>
      </c>
      <c r="E3786" s="4">
        <v>-32061</v>
      </c>
      <c r="F3786" s="3" t="s">
        <v>798</v>
      </c>
      <c r="G3786" s="3" t="s">
        <v>36</v>
      </c>
      <c r="H3786" s="2" t="s">
        <v>21</v>
      </c>
      <c r="I3786" s="2" t="s">
        <v>10080</v>
      </c>
      <c r="J3786" s="3" t="str">
        <f>HYPERLINK("https://www.boe.es/gazeta/dias/1812/03/20/pdfs/GMD-1812-80.pdf#page=3","Abrir facsímil")</f>
        <v>Abrir facsímil</v>
      </c>
      <c r="K3786" s="3" t="s">
        <v>23</v>
      </c>
    </row>
    <row r="3787" spans="1:11" ht="42" customHeight="1">
      <c r="A3787" s="2" t="s">
        <v>10081</v>
      </c>
      <c r="B3787" s="2" t="s">
        <v>10082</v>
      </c>
      <c r="C3787" s="2" t="s">
        <v>26</v>
      </c>
      <c r="D3787" s="2" t="s">
        <v>27</v>
      </c>
      <c r="E3787" s="4">
        <v>-32066</v>
      </c>
      <c r="F3787" s="3" t="s">
        <v>291</v>
      </c>
      <c r="G3787" s="3" t="s">
        <v>125</v>
      </c>
      <c r="H3787" s="2" t="s">
        <v>21</v>
      </c>
      <c r="I3787" s="2" t="s">
        <v>10083</v>
      </c>
      <c r="J3787" s="3" t="str">
        <f>HYPERLINK("https://www.boe.es/gazeta/dias/1812/03/15/pdfs/GMD-1812-75.pdf#page=4","Abrir facsímil")</f>
        <v>Abrir facsímil</v>
      </c>
      <c r="K3787" s="3" t="s">
        <v>23</v>
      </c>
    </row>
    <row r="3788" spans="1:11" ht="42" customHeight="1">
      <c r="A3788" s="2" t="s">
        <v>10084</v>
      </c>
      <c r="B3788" s="2" t="s">
        <v>10085</v>
      </c>
      <c r="C3788" s="2" t="s">
        <v>49</v>
      </c>
      <c r="D3788" s="2" t="s">
        <v>27</v>
      </c>
      <c r="E3788" s="4">
        <v>-32018</v>
      </c>
      <c r="F3788" s="3" t="s">
        <v>365</v>
      </c>
      <c r="G3788" s="3" t="s">
        <v>366</v>
      </c>
      <c r="H3788" s="2" t="s">
        <v>21</v>
      </c>
      <c r="I3788" s="2" t="s">
        <v>10086</v>
      </c>
      <c r="J3788" s="3" t="str">
        <f>HYPERLINK("https://www.boe.es/gazeta/dias/1812/05/02/pdfs/GRE-1812-55.pdf#page=3","Abrir facsímil")</f>
        <v>Abrir facsímil</v>
      </c>
      <c r="K3788" s="3" t="s">
        <v>23</v>
      </c>
    </row>
    <row r="3789" spans="1:11" ht="42" customHeight="1">
      <c r="A3789" s="2" t="s">
        <v>10087</v>
      </c>
      <c r="B3789" s="2" t="s">
        <v>10087</v>
      </c>
      <c r="C3789" s="2" t="s">
        <v>17</v>
      </c>
      <c r="D3789" s="2" t="s">
        <v>18</v>
      </c>
      <c r="E3789" s="4">
        <v>-31928</v>
      </c>
      <c r="F3789" s="3" t="s">
        <v>7417</v>
      </c>
      <c r="G3789" s="3" t="s">
        <v>3409</v>
      </c>
      <c r="H3789" s="2" t="s">
        <v>21</v>
      </c>
      <c r="I3789" s="2" t="s">
        <v>10088</v>
      </c>
      <c r="J3789" s="3" t="str">
        <f>HYPERLINK("https://www.boe.es/gazeta/dias/1812/07/31/pdfs/GMD-1812-213.pdf#page=1","Abrir facsímil")</f>
        <v>Abrir facsímil</v>
      </c>
      <c r="K3789" s="3" t="s">
        <v>23</v>
      </c>
    </row>
    <row r="3790" spans="1:11" ht="42" customHeight="1">
      <c r="A3790" s="2" t="s">
        <v>10089</v>
      </c>
      <c r="B3790" s="2" t="s">
        <v>10090</v>
      </c>
      <c r="C3790" s="2" t="s">
        <v>26</v>
      </c>
      <c r="D3790" s="2" t="s">
        <v>27</v>
      </c>
      <c r="E3790" s="4">
        <v>-31816</v>
      </c>
      <c r="F3790" s="3" t="s">
        <v>270</v>
      </c>
      <c r="G3790" s="3" t="s">
        <v>271</v>
      </c>
      <c r="H3790" s="2" t="s">
        <v>21</v>
      </c>
      <c r="I3790" s="2" t="s">
        <v>10091</v>
      </c>
      <c r="J3790" s="3" t="str">
        <f>HYPERLINK("https://www.boe.es/gazeta/dias/1812/11/20/pdfs/GMR-1812-36.pdf#page=6","Abrir facsímil")</f>
        <v>Abrir facsímil</v>
      </c>
      <c r="K3790" s="3" t="s">
        <v>23</v>
      </c>
    </row>
    <row r="3791" spans="1:11" ht="42" customHeight="1">
      <c r="A3791" s="2" t="s">
        <v>10092</v>
      </c>
      <c r="B3791" s="2" t="s">
        <v>10092</v>
      </c>
      <c r="C3791" s="2" t="s">
        <v>17</v>
      </c>
      <c r="D3791" s="2" t="s">
        <v>18</v>
      </c>
      <c r="E3791" s="4">
        <v>-32116</v>
      </c>
      <c r="F3791" s="3" t="s">
        <v>993</v>
      </c>
      <c r="G3791" s="3" t="s">
        <v>6450</v>
      </c>
      <c r="H3791" s="2" t="s">
        <v>21</v>
      </c>
      <c r="I3791" s="2" t="s">
        <v>10093</v>
      </c>
      <c r="J3791" s="3" t="str">
        <f>HYPERLINK("https://www.boe.es/gazeta/dias/1812/01/25/pdfs/GEI-1812-11.pdf#page=3","Abrir facsímil")</f>
        <v>Abrir facsímil</v>
      </c>
      <c r="K3791" s="3" t="s">
        <v>23</v>
      </c>
    </row>
    <row r="3792" spans="1:11" ht="42" customHeight="1">
      <c r="A3792" s="2" t="s">
        <v>10094</v>
      </c>
      <c r="B3792" s="2" t="s">
        <v>10095</v>
      </c>
      <c r="C3792" s="2" t="s">
        <v>49</v>
      </c>
      <c r="D3792" s="2" t="s">
        <v>27</v>
      </c>
      <c r="E3792" s="4">
        <v>-32033</v>
      </c>
      <c r="F3792" s="3" t="s">
        <v>771</v>
      </c>
      <c r="G3792" s="3" t="s">
        <v>130</v>
      </c>
      <c r="H3792" s="2" t="s">
        <v>21</v>
      </c>
      <c r="I3792" s="2" t="s">
        <v>10096</v>
      </c>
      <c r="J3792" s="3" t="str">
        <f>HYPERLINK("https://www.boe.es/gazeta/dias/1812/04/17/pdfs/GMD-1812-108.pdf#page=4","Abrir facsímil")</f>
        <v>Abrir facsímil</v>
      </c>
      <c r="K3792" s="3" t="s">
        <v>23</v>
      </c>
    </row>
    <row r="3793" spans="1:11" ht="42" customHeight="1">
      <c r="A3793" s="2" t="s">
        <v>10097</v>
      </c>
      <c r="B3793" s="2" t="s">
        <v>10098</v>
      </c>
      <c r="C3793" s="2" t="s">
        <v>105</v>
      </c>
      <c r="D3793" s="2" t="s">
        <v>27</v>
      </c>
      <c r="E3793" s="4">
        <v>-31805</v>
      </c>
      <c r="F3793" s="3" t="s">
        <v>895</v>
      </c>
      <c r="G3793" s="3" t="s">
        <v>896</v>
      </c>
      <c r="H3793" s="2" t="s">
        <v>21</v>
      </c>
      <c r="I3793" s="2" t="s">
        <v>10099</v>
      </c>
      <c r="J3793" s="3" t="str">
        <f>HYPERLINK("https://www.boe.es/gazeta/dias/1812/12/01/pdfs/GMR-1812-39.pdf#page=15","Abrir facsímil")</f>
        <v>Abrir facsímil</v>
      </c>
      <c r="K3793" s="3" t="s">
        <v>23</v>
      </c>
    </row>
    <row r="3794" spans="1:11" ht="42" customHeight="1">
      <c r="A3794" s="2" t="s">
        <v>10100</v>
      </c>
      <c r="B3794" s="2" t="s">
        <v>10101</v>
      </c>
      <c r="C3794" s="2" t="s">
        <v>17</v>
      </c>
      <c r="D3794" s="2" t="s">
        <v>27</v>
      </c>
      <c r="E3794" s="4">
        <v>-32022</v>
      </c>
      <c r="F3794" s="3" t="s">
        <v>1186</v>
      </c>
      <c r="G3794" s="3" t="s">
        <v>336</v>
      </c>
      <c r="H3794" s="2" t="s">
        <v>21</v>
      </c>
      <c r="I3794" s="2" t="s">
        <v>10102</v>
      </c>
      <c r="J3794" s="3" t="str">
        <f>HYPERLINK("https://www.boe.es/gazeta/dias/1812/04/28/pdfs/GRE-1812-53.pdf#page=8","Abrir facsímil")</f>
        <v>Abrir facsímil</v>
      </c>
      <c r="K3794" s="3" t="s">
        <v>23</v>
      </c>
    </row>
    <row r="3795" spans="1:11" ht="42" customHeight="1">
      <c r="A3795" s="2" t="s">
        <v>10103</v>
      </c>
      <c r="B3795" s="2" t="s">
        <v>10104</v>
      </c>
      <c r="C3795" s="2" t="s">
        <v>17</v>
      </c>
      <c r="D3795" s="2" t="s">
        <v>27</v>
      </c>
      <c r="E3795" s="4">
        <v>-32118</v>
      </c>
      <c r="F3795" s="3" t="s">
        <v>964</v>
      </c>
      <c r="G3795" s="3" t="s">
        <v>965</v>
      </c>
      <c r="H3795" s="2" t="s">
        <v>21</v>
      </c>
      <c r="I3795" s="2" t="s">
        <v>10105</v>
      </c>
      <c r="J3795" s="3" t="str">
        <f>HYPERLINK("https://www.boe.es/gazeta/dias/1812/01/23/pdfs/GEI-H-1812-10.pdf#page=4","Abrir facsímil")</f>
        <v>Abrir facsímil</v>
      </c>
      <c r="K3795" s="3" t="s">
        <v>23</v>
      </c>
    </row>
    <row r="3796" spans="1:11" ht="42" customHeight="1">
      <c r="A3796" s="2" t="s">
        <v>10106</v>
      </c>
      <c r="B3796" s="2" t="s">
        <v>10107</v>
      </c>
      <c r="C3796" s="2" t="s">
        <v>26</v>
      </c>
      <c r="D3796" s="2" t="s">
        <v>27</v>
      </c>
      <c r="E3796" s="4">
        <v>-32000</v>
      </c>
      <c r="F3796" s="3" t="s">
        <v>878</v>
      </c>
      <c r="G3796" s="3" t="s">
        <v>214</v>
      </c>
      <c r="H3796" s="2" t="s">
        <v>21</v>
      </c>
      <c r="I3796" s="2" t="s">
        <v>10108</v>
      </c>
      <c r="J3796" s="3" t="str">
        <f>HYPERLINK("https://www.boe.es/gazeta/dias/1812/05/20/pdfs/GMD-1812-141.pdf#page=2","Abrir facsímil")</f>
        <v>Abrir facsímil</v>
      </c>
      <c r="K3796" s="3" t="s">
        <v>23</v>
      </c>
    </row>
    <row r="3797" spans="1:11" ht="42" customHeight="1">
      <c r="A3797" s="2" t="s">
        <v>10109</v>
      </c>
      <c r="B3797" s="2" t="s">
        <v>10109</v>
      </c>
      <c r="C3797" s="2" t="s">
        <v>17</v>
      </c>
      <c r="D3797" s="2" t="s">
        <v>275</v>
      </c>
      <c r="E3797" s="4">
        <v>-32126</v>
      </c>
      <c r="F3797" s="3" t="s">
        <v>5107</v>
      </c>
      <c r="G3797" s="3" t="s">
        <v>58</v>
      </c>
      <c r="H3797" s="2" t="s">
        <v>21</v>
      </c>
      <c r="I3797" s="2" t="s">
        <v>10110</v>
      </c>
      <c r="J3797" s="3" t="str">
        <f>HYPERLINK("https://www.boe.es/gazeta/dias/1812/01/15/pdfs/GMD-1812-15.pdf#page=4","Abrir facsímil")</f>
        <v>Abrir facsímil</v>
      </c>
      <c r="K3797" s="3" t="s">
        <v>23</v>
      </c>
    </row>
    <row r="3798" spans="1:11" ht="42" customHeight="1">
      <c r="A3798" s="2" t="s">
        <v>10111</v>
      </c>
      <c r="B3798" s="2" t="s">
        <v>10111</v>
      </c>
      <c r="C3798" s="2" t="s">
        <v>49</v>
      </c>
      <c r="D3798" s="2" t="s">
        <v>27</v>
      </c>
      <c r="E3798" s="4">
        <v>-31984</v>
      </c>
      <c r="F3798" s="3" t="s">
        <v>5154</v>
      </c>
      <c r="G3798" s="3" t="s">
        <v>1076</v>
      </c>
      <c r="H3798" s="2" t="s">
        <v>21</v>
      </c>
      <c r="I3798" s="2" t="s">
        <v>10112</v>
      </c>
      <c r="J3798" s="3" t="str">
        <f>HYPERLINK("https://www.boe.es/gazeta/dias/1812/06/05/pdfs/GMD-1812-157.pdf#page=1","Abrir facsímil")</f>
        <v>Abrir facsímil</v>
      </c>
      <c r="K3798" s="3" t="s">
        <v>23</v>
      </c>
    </row>
    <row r="3799" spans="1:11" ht="42" customHeight="1">
      <c r="A3799" s="2" t="s">
        <v>10113</v>
      </c>
      <c r="B3799" s="2" t="s">
        <v>10113</v>
      </c>
      <c r="C3799" s="2" t="s">
        <v>17</v>
      </c>
      <c r="D3799" s="2" t="s">
        <v>27</v>
      </c>
      <c r="E3799" s="4">
        <v>-31984</v>
      </c>
      <c r="F3799" s="3" t="s">
        <v>5154</v>
      </c>
      <c r="G3799" s="3" t="s">
        <v>1076</v>
      </c>
      <c r="H3799" s="2" t="s">
        <v>21</v>
      </c>
      <c r="I3799" s="2" t="s">
        <v>10114</v>
      </c>
      <c r="J3799" s="3" t="str">
        <f>HYPERLINK("https://www.boe.es/gazeta/dias/1812/06/05/pdfs/GMD-1812-157.pdf#page=1","Abrir facsímil")</f>
        <v>Abrir facsímil</v>
      </c>
      <c r="K3799" s="3" t="s">
        <v>23</v>
      </c>
    </row>
    <row r="3800" spans="1:11" ht="42" customHeight="1">
      <c r="A3800" s="2" t="s">
        <v>10115</v>
      </c>
      <c r="B3800" s="2" t="s">
        <v>10116</v>
      </c>
      <c r="C3800" s="2" t="s">
        <v>49</v>
      </c>
      <c r="D3800" s="2" t="s">
        <v>27</v>
      </c>
      <c r="E3800" s="4">
        <v>-31866</v>
      </c>
      <c r="F3800" s="3" t="s">
        <v>845</v>
      </c>
      <c r="G3800" s="3" t="s">
        <v>1210</v>
      </c>
      <c r="H3800" s="2" t="s">
        <v>21</v>
      </c>
      <c r="I3800" s="2" t="s">
        <v>10117</v>
      </c>
      <c r="J3800" s="3" t="str">
        <f>HYPERLINK("https://www.boe.es/gazeta/dias/1812/10/01/pdfs/GRE-1812-133.pdf#page=5","Abrir facsímil")</f>
        <v>Abrir facsímil</v>
      </c>
      <c r="K3800" s="3" t="s">
        <v>23</v>
      </c>
    </row>
    <row r="3801" spans="1:11" ht="42" customHeight="1">
      <c r="A3801" s="2" t="s">
        <v>10118</v>
      </c>
      <c r="B3801" s="2" t="s">
        <v>10118</v>
      </c>
      <c r="C3801" s="2" t="s">
        <v>26</v>
      </c>
      <c r="D3801" s="2" t="s">
        <v>27</v>
      </c>
      <c r="E3801" s="4">
        <v>-31791</v>
      </c>
      <c r="F3801" s="3" t="s">
        <v>905</v>
      </c>
      <c r="G3801" s="3" t="s">
        <v>906</v>
      </c>
      <c r="H3801" s="2" t="s">
        <v>21</v>
      </c>
      <c r="I3801" s="2" t="s">
        <v>10119</v>
      </c>
      <c r="J3801" s="3" t="str">
        <f>HYPERLINK("https://www.boe.es/gazeta/dias/1812/12/15/pdfs/GRE-1812-165.pdf#page=4","Abrir facsímil")</f>
        <v>Abrir facsímil</v>
      </c>
      <c r="K3801" s="3" t="s">
        <v>23</v>
      </c>
    </row>
    <row r="3802" spans="1:11" ht="42" customHeight="1">
      <c r="A3802" s="2" t="s">
        <v>10120</v>
      </c>
      <c r="B3802" s="2" t="s">
        <v>10121</v>
      </c>
      <c r="C3802" s="2" t="s">
        <v>26</v>
      </c>
      <c r="D3802" s="2" t="s">
        <v>27</v>
      </c>
      <c r="E3802" s="4">
        <v>-32125</v>
      </c>
      <c r="F3802" s="3" t="s">
        <v>335</v>
      </c>
      <c r="G3802" s="3" t="s">
        <v>336</v>
      </c>
      <c r="H3802" s="2" t="s">
        <v>21</v>
      </c>
      <c r="I3802" s="2" t="s">
        <v>10122</v>
      </c>
      <c r="J3802" s="3" t="str">
        <f>HYPERLINK("https://www.boe.es/gazeta/dias/1812/01/16/pdfs/GEI-1812-7.pdf#page=8","Abrir facsímil")</f>
        <v>Abrir facsímil</v>
      </c>
      <c r="K3802" s="3" t="s">
        <v>23</v>
      </c>
    </row>
    <row r="3803" spans="1:11" ht="42" customHeight="1">
      <c r="A3803" s="2" t="s">
        <v>10123</v>
      </c>
      <c r="B3803" s="2" t="s">
        <v>10124</v>
      </c>
      <c r="C3803" s="2" t="s">
        <v>115</v>
      </c>
      <c r="D3803" s="2" t="s">
        <v>27</v>
      </c>
      <c r="E3803" s="4">
        <v>-32031</v>
      </c>
      <c r="F3803" s="3" t="s">
        <v>1343</v>
      </c>
      <c r="G3803" s="3" t="s">
        <v>514</v>
      </c>
      <c r="H3803" s="2" t="s">
        <v>21</v>
      </c>
      <c r="I3803" s="2" t="s">
        <v>10125</v>
      </c>
      <c r="J3803" s="3" t="str">
        <f>HYPERLINK("https://www.boe.es/gazeta/dias/1812/04/19/pdfs/GMD-1812-110.pdf#page=4","Abrir facsímil")</f>
        <v>Abrir facsímil</v>
      </c>
      <c r="K3803" s="3" t="s">
        <v>23</v>
      </c>
    </row>
    <row r="3804" spans="1:11" ht="42" customHeight="1">
      <c r="A3804" s="2" t="s">
        <v>10126</v>
      </c>
      <c r="B3804" s="2" t="s">
        <v>10127</v>
      </c>
      <c r="C3804" s="2" t="s">
        <v>26</v>
      </c>
      <c r="D3804" s="2" t="s">
        <v>27</v>
      </c>
      <c r="E3804" s="4">
        <v>-32081</v>
      </c>
      <c r="F3804" s="3" t="s">
        <v>232</v>
      </c>
      <c r="G3804" s="3" t="s">
        <v>233</v>
      </c>
      <c r="H3804" s="2" t="s">
        <v>21</v>
      </c>
      <c r="I3804" s="2" t="s">
        <v>10128</v>
      </c>
      <c r="J3804" s="3" t="str">
        <f>HYPERLINK("https://www.boe.es/gazeta/dias/1812/02/29/pdfs/GRE-1812-27.pdf#page=8","Abrir facsímil")</f>
        <v>Abrir facsímil</v>
      </c>
      <c r="K3804" s="3" t="s">
        <v>23</v>
      </c>
    </row>
    <row r="3805" spans="1:11" ht="42" customHeight="1">
      <c r="A3805" s="2" t="s">
        <v>10129</v>
      </c>
      <c r="B3805" s="2" t="s">
        <v>10130</v>
      </c>
      <c r="C3805" s="2" t="s">
        <v>17</v>
      </c>
      <c r="D3805" s="2" t="s">
        <v>27</v>
      </c>
      <c r="E3805" s="4">
        <v>-31889</v>
      </c>
      <c r="F3805" s="3" t="s">
        <v>699</v>
      </c>
      <c r="G3805" s="3" t="s">
        <v>20</v>
      </c>
      <c r="H3805" s="2" t="s">
        <v>21</v>
      </c>
      <c r="I3805" s="2" t="s">
        <v>10131</v>
      </c>
      <c r="J3805" s="3" t="str">
        <f>HYPERLINK("https://www.boe.es/gazeta/dias/1812/09/08/pdfs/GMR-1812-11.pdf#page=8","Abrir facsímil")</f>
        <v>Abrir facsímil</v>
      </c>
      <c r="K3805" s="3" t="s">
        <v>23</v>
      </c>
    </row>
    <row r="3806" spans="1:11" ht="42" customHeight="1">
      <c r="A3806" s="2" t="s">
        <v>10132</v>
      </c>
      <c r="B3806" s="2" t="s">
        <v>10133</v>
      </c>
      <c r="C3806" s="2" t="s">
        <v>26</v>
      </c>
      <c r="D3806" s="2" t="s">
        <v>27</v>
      </c>
      <c r="E3806" s="4">
        <v>-31938</v>
      </c>
      <c r="F3806" s="3" t="s">
        <v>324</v>
      </c>
      <c r="G3806" s="3" t="s">
        <v>497</v>
      </c>
      <c r="H3806" s="2" t="s">
        <v>21</v>
      </c>
      <c r="I3806" s="2" t="s">
        <v>10134</v>
      </c>
      <c r="J3806" s="3" t="str">
        <f>HYPERLINK("https://www.boe.es/gazeta/dias/1812/07/21/pdfs/GMD-1812-203.pdf#page=3","Abrir facsímil")</f>
        <v>Abrir facsímil</v>
      </c>
      <c r="K3806" s="3" t="s">
        <v>23</v>
      </c>
    </row>
    <row r="3807" spans="1:11" ht="42" customHeight="1">
      <c r="A3807" s="2" t="s">
        <v>10132</v>
      </c>
      <c r="B3807" s="2" t="s">
        <v>10133</v>
      </c>
      <c r="C3807" s="2" t="s">
        <v>26</v>
      </c>
      <c r="D3807" s="2" t="s">
        <v>573</v>
      </c>
      <c r="E3807" s="4">
        <v>-31900</v>
      </c>
      <c r="F3807" s="3" t="s">
        <v>276</v>
      </c>
      <c r="G3807" s="3" t="s">
        <v>277</v>
      </c>
      <c r="H3807" s="2" t="s">
        <v>21</v>
      </c>
      <c r="I3807" s="2" t="s">
        <v>10135</v>
      </c>
      <c r="J3807" s="3" t="str">
        <f>HYPERLINK("https://www.boe.es/gazeta/dias/1812/08/28/pdfs/GRE-1812-113E.pdf#page=8","Abrir facsímil")</f>
        <v>Abrir facsímil</v>
      </c>
      <c r="K3807" s="3" t="s">
        <v>23</v>
      </c>
    </row>
    <row r="3808" spans="1:11" ht="42" customHeight="1">
      <c r="A3808" s="2" t="s">
        <v>10136</v>
      </c>
      <c r="B3808" s="2" t="s">
        <v>10137</v>
      </c>
      <c r="C3808" s="2" t="s">
        <v>82</v>
      </c>
      <c r="D3808" s="2" t="s">
        <v>27</v>
      </c>
      <c r="E3808" s="4">
        <v>-31969</v>
      </c>
      <c r="F3808" s="3" t="s">
        <v>83</v>
      </c>
      <c r="G3808" s="3" t="s">
        <v>84</v>
      </c>
      <c r="H3808" s="2" t="s">
        <v>21</v>
      </c>
      <c r="I3808" s="2" t="s">
        <v>10138</v>
      </c>
      <c r="J3808" s="3" t="str">
        <f>HYPERLINK("https://www.boe.es/gazeta/dias/1812/06/20/pdfs/GRE-1812-76.pdf#page=8","Abrir facsímil")</f>
        <v>Abrir facsímil</v>
      </c>
      <c r="K3808" s="3" t="s">
        <v>23</v>
      </c>
    </row>
    <row r="3809" spans="1:11" ht="42" customHeight="1">
      <c r="A3809" s="2" t="s">
        <v>10139</v>
      </c>
      <c r="B3809" s="2" t="s">
        <v>10140</v>
      </c>
      <c r="C3809" s="2" t="s">
        <v>26</v>
      </c>
      <c r="D3809" s="2" t="s">
        <v>27</v>
      </c>
      <c r="E3809" s="4">
        <v>-31936</v>
      </c>
      <c r="F3809" s="3" t="s">
        <v>614</v>
      </c>
      <c r="G3809" s="3" t="s">
        <v>10141</v>
      </c>
      <c r="H3809" s="2" t="s">
        <v>21</v>
      </c>
      <c r="I3809" s="2" t="s">
        <v>10142</v>
      </c>
      <c r="J3809" s="3" t="str">
        <f>HYPERLINK("https://www.boe.es/gazeta/dias/1812/07/23/pdfs/GRE-1812-92.pdf#page=6","Abrir facsímil")</f>
        <v>Abrir facsímil</v>
      </c>
      <c r="K3809" s="3" t="s">
        <v>23</v>
      </c>
    </row>
    <row r="3810" spans="1:11" ht="42" customHeight="1">
      <c r="A3810" s="2" t="s">
        <v>10143</v>
      </c>
      <c r="B3810" s="2" t="s">
        <v>10144</v>
      </c>
      <c r="C3810" s="2" t="s">
        <v>26</v>
      </c>
      <c r="D3810" s="2" t="s">
        <v>27</v>
      </c>
      <c r="E3810" s="4">
        <v>-31938</v>
      </c>
      <c r="F3810" s="3" t="s">
        <v>324</v>
      </c>
      <c r="G3810" s="3" t="s">
        <v>497</v>
      </c>
      <c r="H3810" s="2" t="s">
        <v>21</v>
      </c>
      <c r="I3810" s="2" t="s">
        <v>10145</v>
      </c>
      <c r="J3810" s="3" t="str">
        <f>HYPERLINK("https://www.boe.es/gazeta/dias/1812/07/21/pdfs/GMD-1812-203.pdf#page=3","Abrir facsímil")</f>
        <v>Abrir facsímil</v>
      </c>
      <c r="K3810" s="3" t="s">
        <v>23</v>
      </c>
    </row>
    <row r="3811" spans="1:11" ht="42" customHeight="1">
      <c r="A3811" s="2" t="s">
        <v>10146</v>
      </c>
      <c r="B3811" s="2" t="s">
        <v>10147</v>
      </c>
      <c r="C3811" s="2" t="s">
        <v>115</v>
      </c>
      <c r="D3811" s="2" t="s">
        <v>27</v>
      </c>
      <c r="E3811" s="4">
        <v>-32019</v>
      </c>
      <c r="F3811" s="3" t="s">
        <v>476</v>
      </c>
      <c r="G3811" s="3" t="s">
        <v>404</v>
      </c>
      <c r="H3811" s="2" t="s">
        <v>21</v>
      </c>
      <c r="I3811" s="2" t="s">
        <v>10148</v>
      </c>
      <c r="J3811" s="3" t="str">
        <f>HYPERLINK("https://www.boe.es/gazeta/dias/1812/05/01/pdfs/GMD-1812-122.pdf#page=3","Abrir facsímil")</f>
        <v>Abrir facsímil</v>
      </c>
      <c r="K3811" s="3" t="s">
        <v>23</v>
      </c>
    </row>
    <row r="3812" spans="1:11" ht="42" customHeight="1">
      <c r="A3812" s="2" t="s">
        <v>10149</v>
      </c>
      <c r="B3812" s="2" t="s">
        <v>10150</v>
      </c>
      <c r="C3812" s="2" t="s">
        <v>17</v>
      </c>
      <c r="D3812" s="2" t="s">
        <v>27</v>
      </c>
      <c r="E3812" s="4">
        <v>-32022</v>
      </c>
      <c r="F3812" s="3" t="s">
        <v>1186</v>
      </c>
      <c r="G3812" s="3" t="s">
        <v>336</v>
      </c>
      <c r="H3812" s="2" t="s">
        <v>21</v>
      </c>
      <c r="I3812" s="2" t="s">
        <v>10151</v>
      </c>
      <c r="J3812" s="3" t="str">
        <f>HYPERLINK("https://www.boe.es/gazeta/dias/1812/04/28/pdfs/GRE-1812-53.pdf#page=8","Abrir facsímil")</f>
        <v>Abrir facsímil</v>
      </c>
      <c r="K3812" s="3" t="s">
        <v>23</v>
      </c>
    </row>
    <row r="3813" spans="1:11" ht="42" customHeight="1">
      <c r="A3813" s="2" t="s">
        <v>10152</v>
      </c>
      <c r="B3813" s="2" t="s">
        <v>10153</v>
      </c>
      <c r="C3813" s="2" t="s">
        <v>17</v>
      </c>
      <c r="D3813" s="2" t="s">
        <v>27</v>
      </c>
      <c r="E3813" s="4">
        <v>-32109</v>
      </c>
      <c r="F3813" s="3" t="s">
        <v>62</v>
      </c>
      <c r="G3813" s="3" t="s">
        <v>472</v>
      </c>
      <c r="H3813" s="2" t="s">
        <v>21</v>
      </c>
      <c r="I3813" s="2" t="s">
        <v>10154</v>
      </c>
      <c r="J3813" s="3" t="str">
        <f>HYPERLINK("https://www.boe.es/gazeta/dias/1812/02/01/pdfs/GRE-1812-14.pdf#page=12","Abrir facsímil")</f>
        <v>Abrir facsímil</v>
      </c>
      <c r="K3813" s="3" t="s">
        <v>23</v>
      </c>
    </row>
    <row r="3814" spans="1:11" ht="42" customHeight="1">
      <c r="A3814" s="2" t="s">
        <v>10155</v>
      </c>
      <c r="B3814" s="2" t="s">
        <v>10156</v>
      </c>
      <c r="C3814" s="2" t="s">
        <v>26</v>
      </c>
      <c r="D3814" s="2" t="s">
        <v>27</v>
      </c>
      <c r="E3814" s="4">
        <v>-31938</v>
      </c>
      <c r="F3814" s="3" t="s">
        <v>324</v>
      </c>
      <c r="G3814" s="3" t="s">
        <v>497</v>
      </c>
      <c r="H3814" s="2" t="s">
        <v>21</v>
      </c>
      <c r="I3814" s="2" t="s">
        <v>10157</v>
      </c>
      <c r="J3814" s="3" t="str">
        <f>HYPERLINK("https://www.boe.es/gazeta/dias/1812/07/21/pdfs/GMD-1812-203.pdf#page=3","Abrir facsímil")</f>
        <v>Abrir facsímil</v>
      </c>
      <c r="K3814" s="3" t="s">
        <v>23</v>
      </c>
    </row>
    <row r="3815" spans="1:11" ht="42" customHeight="1">
      <c r="A3815" s="2" t="s">
        <v>10158</v>
      </c>
      <c r="B3815" s="2" t="s">
        <v>10159</v>
      </c>
      <c r="C3815" s="2" t="s">
        <v>26</v>
      </c>
      <c r="D3815" s="2" t="s">
        <v>27</v>
      </c>
      <c r="E3815" s="4">
        <v>-32055</v>
      </c>
      <c r="F3815" s="3" t="s">
        <v>1271</v>
      </c>
      <c r="G3815" s="3" t="s">
        <v>130</v>
      </c>
      <c r="H3815" s="2" t="s">
        <v>21</v>
      </c>
      <c r="I3815" s="2" t="s">
        <v>10160</v>
      </c>
      <c r="J3815" s="3" t="str">
        <f>HYPERLINK("https://www.boe.es/gazeta/dias/1812/03/26/pdfs/GMD-1812-86.pdf#page=4","Abrir facsímil")</f>
        <v>Abrir facsímil</v>
      </c>
      <c r="K3815" s="3" t="s">
        <v>23</v>
      </c>
    </row>
    <row r="3816" spans="1:11" ht="42" customHeight="1">
      <c r="A3816" s="2" t="s">
        <v>10161</v>
      </c>
      <c r="B3816" s="2" t="s">
        <v>10162</v>
      </c>
      <c r="C3816" s="2" t="s">
        <v>26</v>
      </c>
      <c r="D3816" s="2" t="s">
        <v>573</v>
      </c>
      <c r="E3816" s="4">
        <v>-31900</v>
      </c>
      <c r="F3816" s="3" t="s">
        <v>276</v>
      </c>
      <c r="G3816" s="3" t="s">
        <v>277</v>
      </c>
      <c r="H3816" s="2" t="s">
        <v>21</v>
      </c>
      <c r="I3816" s="2" t="s">
        <v>10163</v>
      </c>
      <c r="J3816" s="3" t="str">
        <f>HYPERLINK("https://www.boe.es/gazeta/dias/1812/08/28/pdfs/GRE-1812-113E.pdf#page=8","Abrir facsímil")</f>
        <v>Abrir facsímil</v>
      </c>
      <c r="K3816" s="3" t="s">
        <v>23</v>
      </c>
    </row>
    <row r="3817" spans="1:11" ht="42" customHeight="1">
      <c r="A3817" s="2" t="s">
        <v>10164</v>
      </c>
      <c r="B3817" s="2" t="s">
        <v>10165</v>
      </c>
      <c r="C3817" s="2" t="s">
        <v>26</v>
      </c>
      <c r="D3817" s="2" t="s">
        <v>27</v>
      </c>
      <c r="E3817" s="4">
        <v>-32055</v>
      </c>
      <c r="F3817" s="3" t="s">
        <v>1271</v>
      </c>
      <c r="G3817" s="3" t="s">
        <v>130</v>
      </c>
      <c r="H3817" s="2" t="s">
        <v>21</v>
      </c>
      <c r="I3817" s="2" t="s">
        <v>10166</v>
      </c>
      <c r="J3817" s="3" t="str">
        <f>HYPERLINK("https://www.boe.es/gazeta/dias/1812/03/26/pdfs/GMD-1812-86.pdf#page=4","Abrir facsímil")</f>
        <v>Abrir facsímil</v>
      </c>
      <c r="K3817" s="3" t="s">
        <v>23</v>
      </c>
    </row>
    <row r="3818" spans="1:11" ht="42" customHeight="1">
      <c r="A3818" s="2" t="s">
        <v>10167</v>
      </c>
      <c r="B3818" s="2" t="s">
        <v>10168</v>
      </c>
      <c r="C3818" s="2" t="s">
        <v>17</v>
      </c>
      <c r="D3818" s="2" t="s">
        <v>27</v>
      </c>
      <c r="E3818" s="4">
        <v>-31940</v>
      </c>
      <c r="F3818" s="3" t="s">
        <v>187</v>
      </c>
      <c r="G3818" s="3" t="s">
        <v>45</v>
      </c>
      <c r="H3818" s="2" t="s">
        <v>21</v>
      </c>
      <c r="I3818" s="2" t="s">
        <v>10169</v>
      </c>
      <c r="J3818" s="3" t="str">
        <f>HYPERLINK("https://www.boe.es/gazeta/dias/1812/07/19/pdfs/GMD-1812-201.pdf#page=2","Abrir facsímil")</f>
        <v>Abrir facsímil</v>
      </c>
      <c r="K3818" s="3" t="s">
        <v>23</v>
      </c>
    </row>
    <row r="3819" spans="1:11" ht="42" customHeight="1">
      <c r="A3819" s="2" t="s">
        <v>10170</v>
      </c>
      <c r="B3819" s="2" t="s">
        <v>10171</v>
      </c>
      <c r="C3819" s="2" t="s">
        <v>26</v>
      </c>
      <c r="D3819" s="2" t="s">
        <v>27</v>
      </c>
      <c r="E3819" s="4">
        <v>-32114</v>
      </c>
      <c r="F3819" s="3" t="s">
        <v>480</v>
      </c>
      <c r="G3819" s="3" t="s">
        <v>481</v>
      </c>
      <c r="H3819" s="2" t="s">
        <v>21</v>
      </c>
      <c r="I3819" s="2" t="s">
        <v>10172</v>
      </c>
      <c r="J3819" s="3" t="str">
        <f>HYPERLINK("https://www.boe.es/gazeta/dias/1812/01/27/pdfs/GMD-1812-27.pdf#page=4","Abrir facsímil")</f>
        <v>Abrir facsímil</v>
      </c>
      <c r="K3819" s="3" t="s">
        <v>23</v>
      </c>
    </row>
    <row r="3820" spans="1:11" ht="42" customHeight="1">
      <c r="A3820" s="2" t="s">
        <v>10173</v>
      </c>
      <c r="B3820" s="2" t="s">
        <v>10174</v>
      </c>
      <c r="C3820" s="2" t="s">
        <v>26</v>
      </c>
      <c r="D3820" s="2" t="s">
        <v>27</v>
      </c>
      <c r="E3820" s="4">
        <v>-31936</v>
      </c>
      <c r="F3820" s="3" t="s">
        <v>603</v>
      </c>
      <c r="G3820" s="3" t="s">
        <v>2410</v>
      </c>
      <c r="H3820" s="2" t="s">
        <v>21</v>
      </c>
      <c r="I3820" s="2" t="s">
        <v>10175</v>
      </c>
      <c r="J3820" s="3" t="str">
        <f>HYPERLINK("https://www.boe.es/gazeta/dias/1812/07/23/pdfs/GMD-1812-205.pdf#page=4","Abrir facsímil")</f>
        <v>Abrir facsímil</v>
      </c>
      <c r="K3820" s="3" t="s">
        <v>23</v>
      </c>
    </row>
    <row r="3821" spans="1:11" ht="42" customHeight="1">
      <c r="A3821" s="2" t="s">
        <v>10176</v>
      </c>
      <c r="B3821" s="2" t="s">
        <v>10177</v>
      </c>
      <c r="C3821" s="2" t="s">
        <v>26</v>
      </c>
      <c r="D3821" s="2" t="s">
        <v>27</v>
      </c>
      <c r="E3821" s="4">
        <v>-32113</v>
      </c>
      <c r="F3821" s="3" t="s">
        <v>121</v>
      </c>
      <c r="G3821" s="3" t="s">
        <v>2655</v>
      </c>
      <c r="H3821" s="2" t="s">
        <v>21</v>
      </c>
      <c r="I3821" s="2" t="s">
        <v>10178</v>
      </c>
      <c r="J3821" s="3" t="str">
        <f>HYPERLINK("https://www.boe.es/gazeta/dias/1812/01/28/pdfs/GRE-1812-12.pdf#page=8","Abrir facsímil")</f>
        <v>Abrir facsímil</v>
      </c>
      <c r="K3821" s="3" t="s">
        <v>23</v>
      </c>
    </row>
    <row r="3822" spans="1:11" ht="42" customHeight="1">
      <c r="A3822" s="2" t="s">
        <v>10179</v>
      </c>
      <c r="B3822" s="2" t="s">
        <v>10180</v>
      </c>
      <c r="C3822" s="2" t="s">
        <v>26</v>
      </c>
      <c r="D3822" s="2" t="s">
        <v>27</v>
      </c>
      <c r="E3822" s="4">
        <v>-31978</v>
      </c>
      <c r="F3822" s="3" t="s">
        <v>1790</v>
      </c>
      <c r="G3822" s="3" t="s">
        <v>1791</v>
      </c>
      <c r="H3822" s="2" t="s">
        <v>21</v>
      </c>
      <c r="I3822" s="2" t="s">
        <v>10181</v>
      </c>
      <c r="J3822" s="3" t="str">
        <f>HYPERLINK("https://www.boe.es/gazeta/dias/1812/06/11/pdfs/GRE-1812-72.pdf#page=8","Abrir facsímil")</f>
        <v>Abrir facsímil</v>
      </c>
      <c r="K3822" s="3" t="s">
        <v>23</v>
      </c>
    </row>
    <row r="3823" spans="1:11" ht="42" customHeight="1">
      <c r="A3823" s="2" t="s">
        <v>10182</v>
      </c>
      <c r="B3823" s="2" t="s">
        <v>10183</v>
      </c>
      <c r="C3823" s="2" t="s">
        <v>26</v>
      </c>
      <c r="D3823" s="2" t="s">
        <v>27</v>
      </c>
      <c r="E3823" s="4">
        <v>-32039</v>
      </c>
      <c r="F3823" s="3" t="s">
        <v>1910</v>
      </c>
      <c r="G3823" s="3" t="s">
        <v>10184</v>
      </c>
      <c r="H3823" s="2" t="s">
        <v>21</v>
      </c>
      <c r="I3823" s="2" t="s">
        <v>10185</v>
      </c>
      <c r="J3823" s="3" t="str">
        <f>HYPERLINK("https://www.boe.es/gazeta/dias/1812/04/11/pdfs/GRE-1812-46.pdf#page=5","Abrir facsímil")</f>
        <v>Abrir facsímil</v>
      </c>
      <c r="K3823" s="3" t="s">
        <v>23</v>
      </c>
    </row>
    <row r="3824" spans="1:11" ht="42" customHeight="1">
      <c r="A3824" s="2" t="s">
        <v>10186</v>
      </c>
      <c r="B3824" s="2" t="s">
        <v>10187</v>
      </c>
      <c r="C3824" s="2" t="s">
        <v>17</v>
      </c>
      <c r="D3824" s="2" t="s">
        <v>27</v>
      </c>
      <c r="E3824" s="4">
        <v>-32018</v>
      </c>
      <c r="F3824" s="3" t="s">
        <v>365</v>
      </c>
      <c r="G3824" s="3" t="s">
        <v>366</v>
      </c>
      <c r="H3824" s="2" t="s">
        <v>21</v>
      </c>
      <c r="I3824" s="2" t="s">
        <v>10188</v>
      </c>
      <c r="J3824" s="3" t="str">
        <f>HYPERLINK("https://www.boe.es/gazeta/dias/1812/05/02/pdfs/GRE-1812-55.pdf#page=3","Abrir facsímil")</f>
        <v>Abrir facsímil</v>
      </c>
      <c r="K3824" s="3" t="s">
        <v>23</v>
      </c>
    </row>
    <row r="3825" spans="1:11" ht="42" customHeight="1">
      <c r="A3825" s="2" t="s">
        <v>10189</v>
      </c>
      <c r="B3825" s="2" t="s">
        <v>10189</v>
      </c>
      <c r="C3825" s="2" t="s">
        <v>105</v>
      </c>
      <c r="D3825" s="2" t="s">
        <v>194</v>
      </c>
      <c r="E3825" s="4">
        <v>-32075</v>
      </c>
      <c r="F3825" s="3" t="s">
        <v>301</v>
      </c>
      <c r="G3825" s="3" t="s">
        <v>10190</v>
      </c>
      <c r="H3825" s="2" t="s">
        <v>21</v>
      </c>
      <c r="I3825" s="2" t="s">
        <v>10191</v>
      </c>
      <c r="J3825" s="3" t="str">
        <f>HYPERLINK("https://www.boe.es/gazeta/dias/1812/03/06/pdfs/GMD-1812-66.pdf#page=2","Abrir facsímil")</f>
        <v>Abrir facsímil</v>
      </c>
      <c r="K3825" s="3" t="s">
        <v>23</v>
      </c>
    </row>
    <row r="3826" spans="1:11" ht="42" customHeight="1">
      <c r="A3826" s="2" t="s">
        <v>10192</v>
      </c>
      <c r="B3826" s="2" t="s">
        <v>10193</v>
      </c>
      <c r="C3826" s="2" t="s">
        <v>17</v>
      </c>
      <c r="D3826" s="2" t="s">
        <v>275</v>
      </c>
      <c r="E3826" s="4">
        <v>-31843</v>
      </c>
      <c r="F3826" s="3" t="s">
        <v>3493</v>
      </c>
      <c r="G3826" s="3" t="s">
        <v>3494</v>
      </c>
      <c r="H3826" s="2" t="s">
        <v>21</v>
      </c>
      <c r="I3826" s="2" t="s">
        <v>10194</v>
      </c>
      <c r="J3826" s="3" t="str">
        <f>HYPERLINK("https://www.boe.es/gazeta/dias/1812/10/24/pdfs/GMR-1812-31.pdf#page=8","Abrir facsímil")</f>
        <v>Abrir facsímil</v>
      </c>
      <c r="K3826" s="3" t="s">
        <v>23</v>
      </c>
    </row>
    <row r="3827" spans="1:11" ht="42" customHeight="1">
      <c r="A3827" s="2" t="s">
        <v>10195</v>
      </c>
      <c r="B3827" s="2" t="s">
        <v>10196</v>
      </c>
      <c r="C3827" s="2" t="s">
        <v>26</v>
      </c>
      <c r="D3827" s="2" t="s">
        <v>27</v>
      </c>
      <c r="E3827" s="4">
        <v>-31824</v>
      </c>
      <c r="F3827" s="3" t="s">
        <v>3123</v>
      </c>
      <c r="G3827" s="3" t="s">
        <v>3897</v>
      </c>
      <c r="H3827" s="2" t="s">
        <v>21</v>
      </c>
      <c r="I3827" s="2" t="s">
        <v>10197</v>
      </c>
      <c r="J3827" s="3" t="str">
        <f>HYPERLINK("https://www.boe.es/gazeta/dias/1812/11/12/pdfs/GRE-1812-151.pdf#page=3","Abrir facsímil")</f>
        <v>Abrir facsímil</v>
      </c>
      <c r="K3827" s="3" t="s">
        <v>23</v>
      </c>
    </row>
    <row r="3828" spans="1:11" ht="42" customHeight="1">
      <c r="A3828" s="2" t="s">
        <v>10198</v>
      </c>
      <c r="B3828" s="2" t="s">
        <v>10199</v>
      </c>
      <c r="C3828" s="2" t="s">
        <v>26</v>
      </c>
      <c r="D3828" s="2" t="s">
        <v>27</v>
      </c>
      <c r="E3828" s="4">
        <v>-31940</v>
      </c>
      <c r="F3828" s="3" t="s">
        <v>187</v>
      </c>
      <c r="G3828" s="3" t="s">
        <v>404</v>
      </c>
      <c r="H3828" s="2" t="s">
        <v>21</v>
      </c>
      <c r="I3828" s="2" t="s">
        <v>10200</v>
      </c>
      <c r="J3828" s="3" t="str">
        <f>HYPERLINK("https://www.boe.es/gazeta/dias/1812/07/19/pdfs/GMD-1812-201.pdf#page=3","Abrir facsímil")</f>
        <v>Abrir facsímil</v>
      </c>
      <c r="K3828" s="3" t="s">
        <v>23</v>
      </c>
    </row>
    <row r="3829" spans="1:11" ht="42" customHeight="1">
      <c r="A3829" s="2" t="s">
        <v>10201</v>
      </c>
      <c r="B3829" s="2" t="s">
        <v>10202</v>
      </c>
      <c r="C3829" s="2" t="s">
        <v>17</v>
      </c>
      <c r="D3829" s="2" t="s">
        <v>18</v>
      </c>
      <c r="E3829" s="4">
        <v>-32053</v>
      </c>
      <c r="F3829" s="3" t="s">
        <v>910</v>
      </c>
      <c r="G3829" s="3" t="s">
        <v>911</v>
      </c>
      <c r="H3829" s="2" t="s">
        <v>21</v>
      </c>
      <c r="I3829" s="2" t="s">
        <v>10203</v>
      </c>
      <c r="J3829" s="3" t="str">
        <f>HYPERLINK("https://www.boe.es/gazeta/dias/1812/03/28/pdfs/GRE-1812-39.pdf#page=8","Abrir facsímil")</f>
        <v>Abrir facsímil</v>
      </c>
      <c r="K3829" s="3" t="s">
        <v>23</v>
      </c>
    </row>
    <row r="3830" spans="1:11" ht="42" customHeight="1">
      <c r="A3830" s="2" t="s">
        <v>10204</v>
      </c>
      <c r="B3830" s="2" t="s">
        <v>10205</v>
      </c>
      <c r="C3830" s="2" t="s">
        <v>115</v>
      </c>
      <c r="D3830" s="2" t="s">
        <v>27</v>
      </c>
      <c r="E3830" s="4">
        <v>-32019</v>
      </c>
      <c r="F3830" s="3" t="s">
        <v>476</v>
      </c>
      <c r="G3830" s="3" t="s">
        <v>404</v>
      </c>
      <c r="H3830" s="2" t="s">
        <v>21</v>
      </c>
      <c r="I3830" s="2" t="s">
        <v>10206</v>
      </c>
      <c r="J3830" s="3" t="str">
        <f>HYPERLINK("https://www.boe.es/gazeta/dias/1812/05/01/pdfs/GMD-1812-122.pdf#page=3","Abrir facsímil")</f>
        <v>Abrir facsímil</v>
      </c>
      <c r="K3830" s="3" t="s">
        <v>23</v>
      </c>
    </row>
    <row r="3831" spans="1:11" ht="42" customHeight="1">
      <c r="A3831" s="2" t="s">
        <v>10207</v>
      </c>
      <c r="B3831" s="2" t="s">
        <v>10208</v>
      </c>
      <c r="C3831" s="2" t="s">
        <v>49</v>
      </c>
      <c r="D3831" s="2" t="s">
        <v>18</v>
      </c>
      <c r="E3831" s="4">
        <v>-32106</v>
      </c>
      <c r="F3831" s="3" t="s">
        <v>166</v>
      </c>
      <c r="G3831" s="3" t="s">
        <v>9855</v>
      </c>
      <c r="H3831" s="2" t="s">
        <v>21</v>
      </c>
      <c r="I3831" s="2" t="s">
        <v>10209</v>
      </c>
      <c r="J3831" s="3" t="str">
        <f>HYPERLINK("https://www.boe.es/gazeta/dias/1812/02/04/pdfs/GRE-1812-15.pdf#page=4","Abrir facsímil")</f>
        <v>Abrir facsímil</v>
      </c>
      <c r="K3831" s="3" t="s">
        <v>23</v>
      </c>
    </row>
    <row r="3832" spans="1:11" ht="42" customHeight="1">
      <c r="A3832" s="2" t="s">
        <v>10210</v>
      </c>
      <c r="B3832" s="2" t="s">
        <v>10211</v>
      </c>
      <c r="C3832" s="2" t="s">
        <v>17</v>
      </c>
      <c r="D3832" s="2" t="s">
        <v>27</v>
      </c>
      <c r="E3832" s="4">
        <v>-32018</v>
      </c>
      <c r="F3832" s="3" t="s">
        <v>365</v>
      </c>
      <c r="G3832" s="3" t="s">
        <v>10212</v>
      </c>
      <c r="H3832" s="2" t="s">
        <v>21</v>
      </c>
      <c r="I3832" s="2" t="s">
        <v>10213</v>
      </c>
      <c r="J3832" s="3" t="str">
        <f>HYPERLINK("https://www.boe.es/gazeta/dias/1812/05/02/pdfs/GRE-1812-55.pdf#page=5","Abrir facsímil")</f>
        <v>Abrir facsímil</v>
      </c>
      <c r="K3832" s="3" t="s">
        <v>23</v>
      </c>
    </row>
    <row r="3833" spans="1:11" ht="42" customHeight="1">
      <c r="A3833" s="2" t="s">
        <v>10214</v>
      </c>
      <c r="B3833" s="2" t="s">
        <v>10215</v>
      </c>
      <c r="C3833" s="2" t="s">
        <v>549</v>
      </c>
      <c r="D3833" s="2" t="s">
        <v>27</v>
      </c>
      <c r="E3833" s="4">
        <v>-32022</v>
      </c>
      <c r="F3833" s="3" t="s">
        <v>1186</v>
      </c>
      <c r="G3833" s="3" t="s">
        <v>336</v>
      </c>
      <c r="H3833" s="2" t="s">
        <v>21</v>
      </c>
      <c r="I3833" s="2" t="s">
        <v>10216</v>
      </c>
      <c r="J3833" s="3" t="str">
        <f>HYPERLINK("https://www.boe.es/gazeta/dias/1812/04/28/pdfs/GRE-1812-53.pdf#page=8","Abrir facsímil")</f>
        <v>Abrir facsímil</v>
      </c>
      <c r="K3833" s="3" t="s">
        <v>23</v>
      </c>
    </row>
    <row r="3834" spans="1:11" ht="42" customHeight="1">
      <c r="A3834" s="2" t="s">
        <v>10214</v>
      </c>
      <c r="B3834" s="2" t="s">
        <v>10215</v>
      </c>
      <c r="C3834" s="2" t="s">
        <v>105</v>
      </c>
      <c r="D3834" s="2" t="s">
        <v>27</v>
      </c>
      <c r="E3834" s="4">
        <v>-31816</v>
      </c>
      <c r="F3834" s="3" t="s">
        <v>270</v>
      </c>
      <c r="G3834" s="3" t="s">
        <v>271</v>
      </c>
      <c r="H3834" s="2" t="s">
        <v>21</v>
      </c>
      <c r="I3834" s="2" t="s">
        <v>10217</v>
      </c>
      <c r="J3834" s="3" t="str">
        <f>HYPERLINK("https://www.boe.es/gazeta/dias/1812/11/20/pdfs/GMR-1812-36.pdf#page=6","Abrir facsímil")</f>
        <v>Abrir facsímil</v>
      </c>
      <c r="K3834" s="3" t="s">
        <v>23</v>
      </c>
    </row>
    <row r="3835" spans="1:11" ht="42" customHeight="1">
      <c r="A3835" s="2" t="s">
        <v>10218</v>
      </c>
      <c r="B3835" s="2" t="s">
        <v>10219</v>
      </c>
      <c r="C3835" s="2" t="s">
        <v>26</v>
      </c>
      <c r="D3835" s="2" t="s">
        <v>27</v>
      </c>
      <c r="E3835" s="4">
        <v>-31940</v>
      </c>
      <c r="F3835" s="3" t="s">
        <v>187</v>
      </c>
      <c r="G3835" s="3" t="s">
        <v>404</v>
      </c>
      <c r="H3835" s="2" t="s">
        <v>21</v>
      </c>
      <c r="I3835" s="2" t="s">
        <v>10220</v>
      </c>
      <c r="J3835" s="3" t="str">
        <f>HYPERLINK("https://www.boe.es/gazeta/dias/1812/07/19/pdfs/GMD-1812-201.pdf#page=3","Abrir facsímil")</f>
        <v>Abrir facsímil</v>
      </c>
      <c r="K3835" s="3" t="s">
        <v>23</v>
      </c>
    </row>
    <row r="3836" spans="1:11" ht="42" customHeight="1">
      <c r="A3836" s="2" t="s">
        <v>10221</v>
      </c>
      <c r="B3836" s="2" t="s">
        <v>10222</v>
      </c>
      <c r="C3836" s="2" t="s">
        <v>26</v>
      </c>
      <c r="D3836" s="2" t="s">
        <v>27</v>
      </c>
      <c r="E3836" s="4">
        <v>-31969</v>
      </c>
      <c r="F3836" s="3" t="s">
        <v>83</v>
      </c>
      <c r="G3836" s="3" t="s">
        <v>84</v>
      </c>
      <c r="H3836" s="2" t="s">
        <v>21</v>
      </c>
      <c r="I3836" s="2" t="s">
        <v>10223</v>
      </c>
      <c r="J3836" s="3" t="str">
        <f>HYPERLINK("https://www.boe.es/gazeta/dias/1812/06/20/pdfs/GRE-1812-76.pdf#page=8","Abrir facsímil")</f>
        <v>Abrir facsímil</v>
      </c>
      <c r="K3836" s="3" t="s">
        <v>23</v>
      </c>
    </row>
    <row r="3837" spans="1:11" ht="42" customHeight="1">
      <c r="A3837" s="2" t="s">
        <v>10224</v>
      </c>
      <c r="B3837" s="2" t="s">
        <v>10225</v>
      </c>
      <c r="C3837" s="2" t="s">
        <v>26</v>
      </c>
      <c r="D3837" s="2" t="s">
        <v>27</v>
      </c>
      <c r="E3837" s="4">
        <v>-32125</v>
      </c>
      <c r="F3837" s="3" t="s">
        <v>964</v>
      </c>
      <c r="G3837" s="3" t="s">
        <v>1842</v>
      </c>
      <c r="H3837" s="2" t="s">
        <v>21</v>
      </c>
      <c r="I3837" s="2" t="s">
        <v>10226</v>
      </c>
      <c r="J3837" s="3" t="str">
        <f>HYPERLINK("https://www.boe.es/gazeta/dias/1812/01/16/pdfs/GEI-H-1812-7.pdf#page=4","Abrir facsímil")</f>
        <v>Abrir facsímil</v>
      </c>
      <c r="K3837" s="3" t="s">
        <v>23</v>
      </c>
    </row>
    <row r="3838" spans="1:11" ht="42" customHeight="1">
      <c r="A3838" s="2" t="s">
        <v>10227</v>
      </c>
      <c r="B3838" s="2" t="s">
        <v>10228</v>
      </c>
      <c r="C3838" s="2" t="s">
        <v>67</v>
      </c>
      <c r="D3838" s="2" t="s">
        <v>27</v>
      </c>
      <c r="E3838" s="4">
        <v>-32110</v>
      </c>
      <c r="F3838" s="3" t="s">
        <v>68</v>
      </c>
      <c r="G3838" s="3" t="s">
        <v>20</v>
      </c>
      <c r="H3838" s="2" t="s">
        <v>21</v>
      </c>
      <c r="I3838" s="2" t="s">
        <v>10229</v>
      </c>
      <c r="J3838" s="3" t="str">
        <f>HYPERLINK("https://www.boe.es/gazeta/dias/1812/01/31/pdfs/GMD-1812-31.pdf#page=4","Abrir facsímil")</f>
        <v>Abrir facsímil</v>
      </c>
      <c r="K3838" s="3" t="s">
        <v>23</v>
      </c>
    </row>
    <row r="3839" spans="1:11" ht="42" customHeight="1">
      <c r="A3839" s="2" t="s">
        <v>10227</v>
      </c>
      <c r="B3839" s="2" t="s">
        <v>10228</v>
      </c>
      <c r="C3839" s="2" t="s">
        <v>17</v>
      </c>
      <c r="D3839" s="2" t="s">
        <v>27</v>
      </c>
      <c r="E3839" s="4">
        <v>-32051</v>
      </c>
      <c r="F3839" s="3" t="s">
        <v>2534</v>
      </c>
      <c r="G3839" s="3" t="s">
        <v>125</v>
      </c>
      <c r="H3839" s="2" t="s">
        <v>21</v>
      </c>
      <c r="I3839" s="2" t="s">
        <v>10230</v>
      </c>
      <c r="J3839" s="3" t="str">
        <f>HYPERLINK("https://www.boe.es/gazeta/dias/1812/03/30/pdfs/GMD-1812-90.pdf#page=4","Abrir facsímil")</f>
        <v>Abrir facsímil</v>
      </c>
      <c r="K3839" s="3" t="s">
        <v>23</v>
      </c>
    </row>
    <row r="3840" spans="1:11" ht="42" customHeight="1">
      <c r="A3840" s="2" t="s">
        <v>10227</v>
      </c>
      <c r="B3840" s="2" t="s">
        <v>10228</v>
      </c>
      <c r="C3840" s="2" t="s">
        <v>26</v>
      </c>
      <c r="D3840" s="2" t="s">
        <v>27</v>
      </c>
      <c r="E3840" s="4">
        <v>-32034</v>
      </c>
      <c r="F3840" s="3" t="s">
        <v>28</v>
      </c>
      <c r="G3840" s="3" t="s">
        <v>45</v>
      </c>
      <c r="H3840" s="2" t="s">
        <v>21</v>
      </c>
      <c r="I3840" s="2" t="s">
        <v>10231</v>
      </c>
      <c r="J3840" s="3" t="str">
        <f>HYPERLINK("https://www.boe.es/gazeta/dias/1812/04/16/pdfs/GMD-1812-107.pdf#page=5","Abrir facsímil")</f>
        <v>Abrir facsímil</v>
      </c>
      <c r="K3840" s="3" t="s">
        <v>23</v>
      </c>
    </row>
    <row r="3841" spans="1:11" ht="42" customHeight="1">
      <c r="A3841" s="2" t="s">
        <v>10227</v>
      </c>
      <c r="B3841" s="2" t="s">
        <v>10228</v>
      </c>
      <c r="C3841" s="2" t="s">
        <v>26</v>
      </c>
      <c r="D3841" s="2" t="s">
        <v>27</v>
      </c>
      <c r="E3841" s="4">
        <v>-32034</v>
      </c>
      <c r="F3841" s="3" t="s">
        <v>1008</v>
      </c>
      <c r="G3841" s="3" t="s">
        <v>1009</v>
      </c>
      <c r="H3841" s="2" t="s">
        <v>21</v>
      </c>
      <c r="I3841" s="2" t="s">
        <v>10232</v>
      </c>
      <c r="J3841" s="3" t="str">
        <f>HYPERLINK("https://www.boe.es/gazeta/dias/1812/04/16/pdfs/GRE-1812-48.pdf#page=8","Abrir facsímil")</f>
        <v>Abrir facsímil</v>
      </c>
      <c r="K3841" s="3" t="s">
        <v>23</v>
      </c>
    </row>
    <row r="3842" spans="1:11" ht="42" customHeight="1">
      <c r="A3842" s="2" t="s">
        <v>10227</v>
      </c>
      <c r="B3842" s="2" t="s">
        <v>10228</v>
      </c>
      <c r="C3842" s="2" t="s">
        <v>26</v>
      </c>
      <c r="D3842" s="2" t="s">
        <v>27</v>
      </c>
      <c r="E3842" s="4">
        <v>-31939</v>
      </c>
      <c r="F3842" s="3" t="s">
        <v>408</v>
      </c>
      <c r="G3842" s="3" t="s">
        <v>20</v>
      </c>
      <c r="H3842" s="2" t="s">
        <v>21</v>
      </c>
      <c r="I3842" s="2" t="s">
        <v>10233</v>
      </c>
      <c r="J3842" s="3" t="str">
        <f>HYPERLINK("https://www.boe.es/gazeta/dias/1812/07/20/pdfs/GMD-1812-202.pdf#page=4","Abrir facsímil")</f>
        <v>Abrir facsímil</v>
      </c>
      <c r="K3842" s="3" t="s">
        <v>23</v>
      </c>
    </row>
    <row r="3843" spans="1:11" ht="42" customHeight="1">
      <c r="A3843" s="2" t="s">
        <v>10234</v>
      </c>
      <c r="B3843" s="2" t="s">
        <v>10235</v>
      </c>
      <c r="C3843" s="2" t="s">
        <v>115</v>
      </c>
      <c r="D3843" s="2" t="s">
        <v>27</v>
      </c>
      <c r="E3843" s="4">
        <v>-32019</v>
      </c>
      <c r="F3843" s="3" t="s">
        <v>476</v>
      </c>
      <c r="G3843" s="3" t="s">
        <v>404</v>
      </c>
      <c r="H3843" s="2" t="s">
        <v>21</v>
      </c>
      <c r="I3843" s="2" t="s">
        <v>10236</v>
      </c>
      <c r="J3843" s="3" t="str">
        <f>HYPERLINK("https://www.boe.es/gazeta/dias/1812/05/01/pdfs/GMD-1812-122.pdf#page=3","Abrir facsímil")</f>
        <v>Abrir facsímil</v>
      </c>
      <c r="K3843" s="3" t="s">
        <v>23</v>
      </c>
    </row>
    <row r="3844" spans="1:11" ht="42" customHeight="1">
      <c r="A3844" s="2" t="s">
        <v>10237</v>
      </c>
      <c r="B3844" s="2" t="s">
        <v>10238</v>
      </c>
      <c r="C3844" s="2" t="s">
        <v>26</v>
      </c>
      <c r="D3844" s="2" t="s">
        <v>27</v>
      </c>
      <c r="E3844" s="4">
        <v>-31939</v>
      </c>
      <c r="F3844" s="3" t="s">
        <v>408</v>
      </c>
      <c r="G3844" s="3" t="s">
        <v>20</v>
      </c>
      <c r="H3844" s="2" t="s">
        <v>21</v>
      </c>
      <c r="I3844" s="2" t="s">
        <v>10239</v>
      </c>
      <c r="J3844" s="3" t="str">
        <f>HYPERLINK("https://www.boe.es/gazeta/dias/1812/07/20/pdfs/GMD-1812-202.pdf#page=4","Abrir facsímil")</f>
        <v>Abrir facsímil</v>
      </c>
      <c r="K3844" s="3" t="s">
        <v>23</v>
      </c>
    </row>
    <row r="3845" spans="1:11" ht="42" customHeight="1">
      <c r="A3845" s="2" t="s">
        <v>10240</v>
      </c>
      <c r="B3845" s="2" t="s">
        <v>10241</v>
      </c>
      <c r="C3845" s="2" t="s">
        <v>17</v>
      </c>
      <c r="D3845" s="2" t="s">
        <v>27</v>
      </c>
      <c r="E3845" s="4">
        <v>-32127</v>
      </c>
      <c r="F3845" s="3" t="s">
        <v>88</v>
      </c>
      <c r="G3845" s="3" t="s">
        <v>58</v>
      </c>
      <c r="H3845" s="2" t="s">
        <v>21</v>
      </c>
      <c r="I3845" s="2" t="s">
        <v>10242</v>
      </c>
      <c r="J3845" s="3" t="str">
        <f>HYPERLINK("https://www.boe.es/gazeta/dias/1812/01/14/pdfs/GEI-1812-6.pdf#page=6","Abrir facsímil")</f>
        <v>Abrir facsímil</v>
      </c>
      <c r="K3845" s="3" t="s">
        <v>23</v>
      </c>
    </row>
    <row r="3846" spans="1:11" ht="42" customHeight="1">
      <c r="A3846" s="2" t="s">
        <v>10240</v>
      </c>
      <c r="B3846" s="2" t="s">
        <v>10241</v>
      </c>
      <c r="C3846" s="2" t="s">
        <v>26</v>
      </c>
      <c r="D3846" s="2" t="s">
        <v>27</v>
      </c>
      <c r="E3846" s="4">
        <v>-32109</v>
      </c>
      <c r="F3846" s="3" t="s">
        <v>62</v>
      </c>
      <c r="G3846" s="3" t="s">
        <v>106</v>
      </c>
      <c r="H3846" s="2" t="s">
        <v>21</v>
      </c>
      <c r="I3846" s="2" t="s">
        <v>10243</v>
      </c>
      <c r="J3846" s="3" t="str">
        <f>HYPERLINK("https://www.boe.es/gazeta/dias/1812/02/01/pdfs/GRE-1812-14.pdf#page=11","Abrir facsímil")</f>
        <v>Abrir facsímil</v>
      </c>
      <c r="K3846" s="3" t="s">
        <v>23</v>
      </c>
    </row>
    <row r="3847" spans="1:11" ht="42" customHeight="1">
      <c r="A3847" s="2" t="s">
        <v>10240</v>
      </c>
      <c r="B3847" s="2" t="s">
        <v>10241</v>
      </c>
      <c r="C3847" s="2" t="s">
        <v>26</v>
      </c>
      <c r="D3847" s="2" t="s">
        <v>27</v>
      </c>
      <c r="E3847" s="4">
        <v>-32022</v>
      </c>
      <c r="F3847" s="3" t="s">
        <v>1186</v>
      </c>
      <c r="G3847" s="3" t="s">
        <v>336</v>
      </c>
      <c r="H3847" s="2" t="s">
        <v>21</v>
      </c>
      <c r="I3847" s="2" t="s">
        <v>10244</v>
      </c>
      <c r="J3847" s="3" t="str">
        <f>HYPERLINK("https://www.boe.es/gazeta/dias/1812/04/28/pdfs/GRE-1812-53.pdf#page=8","Abrir facsímil")</f>
        <v>Abrir facsímil</v>
      </c>
      <c r="K3847" s="3" t="s">
        <v>23</v>
      </c>
    </row>
    <row r="3848" spans="1:11" ht="42" customHeight="1">
      <c r="A3848" s="2" t="s">
        <v>10240</v>
      </c>
      <c r="B3848" s="2" t="s">
        <v>10241</v>
      </c>
      <c r="C3848" s="2" t="s">
        <v>26</v>
      </c>
      <c r="D3848" s="2" t="s">
        <v>27</v>
      </c>
      <c r="E3848" s="4">
        <v>-31850</v>
      </c>
      <c r="F3848" s="3" t="s">
        <v>2178</v>
      </c>
      <c r="G3848" s="3" t="s">
        <v>10245</v>
      </c>
      <c r="H3848" s="2" t="s">
        <v>21</v>
      </c>
      <c r="I3848" s="2" t="s">
        <v>10246</v>
      </c>
      <c r="J3848" s="3" t="str">
        <f>HYPERLINK("https://www.boe.es/gazeta/dias/1812/10/17/pdfs/GRE-1812-140.pdf#page=5","Abrir facsímil")</f>
        <v>Abrir facsímil</v>
      </c>
      <c r="K3848" s="3" t="s">
        <v>23</v>
      </c>
    </row>
    <row r="3849" spans="1:11" ht="42" customHeight="1">
      <c r="A3849" s="2" t="s">
        <v>10247</v>
      </c>
      <c r="B3849" s="2" t="s">
        <v>10248</v>
      </c>
      <c r="C3849" s="2" t="s">
        <v>26</v>
      </c>
      <c r="D3849" s="2" t="s">
        <v>27</v>
      </c>
      <c r="E3849" s="4">
        <v>-32034</v>
      </c>
      <c r="F3849" s="3" t="s">
        <v>1008</v>
      </c>
      <c r="G3849" s="3" t="s">
        <v>1009</v>
      </c>
      <c r="H3849" s="2" t="s">
        <v>21</v>
      </c>
      <c r="I3849" s="2" t="s">
        <v>10249</v>
      </c>
      <c r="J3849" s="3" t="str">
        <f>HYPERLINK("https://www.boe.es/gazeta/dias/1812/04/16/pdfs/GRE-1812-48.pdf#page=8","Abrir facsímil")</f>
        <v>Abrir facsímil</v>
      </c>
      <c r="K3849" s="3" t="s">
        <v>23</v>
      </c>
    </row>
    <row r="3850" spans="1:11" ht="42" customHeight="1">
      <c r="A3850" s="2" t="s">
        <v>10247</v>
      </c>
      <c r="B3850" s="2" t="s">
        <v>10248</v>
      </c>
      <c r="C3850" s="2" t="s">
        <v>26</v>
      </c>
      <c r="D3850" s="2" t="s">
        <v>27</v>
      </c>
      <c r="E3850" s="4">
        <v>-31964</v>
      </c>
      <c r="F3850" s="3" t="s">
        <v>305</v>
      </c>
      <c r="G3850" s="3" t="s">
        <v>306</v>
      </c>
      <c r="H3850" s="2" t="s">
        <v>21</v>
      </c>
      <c r="I3850" s="2" t="s">
        <v>10250</v>
      </c>
      <c r="J3850" s="3" t="str">
        <f>HYPERLINK("https://www.boe.es/gazeta/dias/1812/06/25/pdfs/GMD-1812-177.pdf#page=3","Abrir facsímil")</f>
        <v>Abrir facsímil</v>
      </c>
      <c r="K3850" s="3" t="s">
        <v>23</v>
      </c>
    </row>
    <row r="3851" spans="1:11" ht="42" customHeight="1">
      <c r="A3851" s="2" t="s">
        <v>10251</v>
      </c>
      <c r="B3851" s="2" t="s">
        <v>10252</v>
      </c>
      <c r="C3851" s="2" t="s">
        <v>105</v>
      </c>
      <c r="D3851" s="2" t="s">
        <v>275</v>
      </c>
      <c r="E3851" s="4">
        <v>-31962</v>
      </c>
      <c r="F3851" s="3" t="s">
        <v>643</v>
      </c>
      <c r="G3851" s="3" t="s">
        <v>644</v>
      </c>
      <c r="H3851" s="2" t="s">
        <v>21</v>
      </c>
      <c r="I3851" s="2" t="s">
        <v>10253</v>
      </c>
      <c r="J3851" s="3" t="str">
        <f>HYPERLINK("https://www.boe.es/gazeta/dias/1812/06/27/pdfs/GMD-1812-179.pdf#page=2","Abrir facsímil")</f>
        <v>Abrir facsímil</v>
      </c>
      <c r="K3851" s="3" t="s">
        <v>23</v>
      </c>
    </row>
    <row r="3852" spans="1:11" ht="42" customHeight="1">
      <c r="A3852" s="2" t="s">
        <v>10254</v>
      </c>
      <c r="B3852" s="2" t="s">
        <v>10255</v>
      </c>
      <c r="C3852" s="2" t="s">
        <v>67</v>
      </c>
      <c r="D3852" s="2" t="s">
        <v>27</v>
      </c>
      <c r="E3852" s="4">
        <v>-32044</v>
      </c>
      <c r="F3852" s="3" t="s">
        <v>1031</v>
      </c>
      <c r="G3852" s="3" t="s">
        <v>1873</v>
      </c>
      <c r="H3852" s="2" t="s">
        <v>21</v>
      </c>
      <c r="I3852" s="2" t="s">
        <v>10256</v>
      </c>
      <c r="J3852" s="3" t="str">
        <f>HYPERLINK("https://www.boe.es/gazeta/dias/1812/04/06/pdfs/GMD-1812-97.pdf#page=4","Abrir facsímil")</f>
        <v>Abrir facsímil</v>
      </c>
      <c r="K3852" s="3" t="s">
        <v>23</v>
      </c>
    </row>
    <row r="3853" spans="1:11" ht="42" customHeight="1">
      <c r="A3853" s="2" t="s">
        <v>10254</v>
      </c>
      <c r="B3853" s="2" t="s">
        <v>10255</v>
      </c>
      <c r="C3853" s="2" t="s">
        <v>26</v>
      </c>
      <c r="D3853" s="2" t="s">
        <v>27</v>
      </c>
      <c r="E3853" s="4">
        <v>-32018</v>
      </c>
      <c r="F3853" s="3" t="s">
        <v>365</v>
      </c>
      <c r="G3853" s="3" t="s">
        <v>1639</v>
      </c>
      <c r="H3853" s="2" t="s">
        <v>21</v>
      </c>
      <c r="I3853" s="2" t="s">
        <v>10257</v>
      </c>
      <c r="J3853" s="3" t="str">
        <f>HYPERLINK("https://www.boe.es/gazeta/dias/1812/05/02/pdfs/GRE-1812-55.pdf#page=6","Abrir facsímil")</f>
        <v>Abrir facsímil</v>
      </c>
      <c r="K3853" s="3" t="s">
        <v>23</v>
      </c>
    </row>
    <row r="3854" spans="1:11" ht="42" customHeight="1">
      <c r="A3854" s="2" t="s">
        <v>10258</v>
      </c>
      <c r="B3854" s="2" t="s">
        <v>10259</v>
      </c>
      <c r="C3854" s="2" t="s">
        <v>26</v>
      </c>
      <c r="D3854" s="2" t="s">
        <v>27</v>
      </c>
      <c r="E3854" s="4">
        <v>-31938</v>
      </c>
      <c r="F3854" s="3" t="s">
        <v>324</v>
      </c>
      <c r="G3854" s="3" t="s">
        <v>497</v>
      </c>
      <c r="H3854" s="2" t="s">
        <v>21</v>
      </c>
      <c r="I3854" s="2" t="s">
        <v>10260</v>
      </c>
      <c r="J3854" s="3" t="str">
        <f>HYPERLINK("https://www.boe.es/gazeta/dias/1812/07/21/pdfs/GMD-1812-203.pdf#page=3","Abrir facsímil")</f>
        <v>Abrir facsímil</v>
      </c>
      <c r="K3854" s="3" t="s">
        <v>23</v>
      </c>
    </row>
    <row r="3855" spans="1:11" ht="42" customHeight="1">
      <c r="A3855" s="2" t="s">
        <v>10261</v>
      </c>
      <c r="B3855" s="2" t="s">
        <v>10262</v>
      </c>
      <c r="C3855" s="2" t="s">
        <v>67</v>
      </c>
      <c r="D3855" s="2" t="s">
        <v>27</v>
      </c>
      <c r="E3855" s="4">
        <v>-32063</v>
      </c>
      <c r="F3855" s="3" t="s">
        <v>384</v>
      </c>
      <c r="G3855" s="3" t="s">
        <v>366</v>
      </c>
      <c r="H3855" s="2" t="s">
        <v>21</v>
      </c>
      <c r="I3855" s="2" t="s">
        <v>10263</v>
      </c>
      <c r="J3855" s="3" t="str">
        <f>HYPERLINK("https://www.boe.es/gazeta/dias/1812/03/18/pdfs/GMD-1812-78.pdf#page=2","Abrir facsímil")</f>
        <v>Abrir facsímil</v>
      </c>
      <c r="K3855" s="3" t="s">
        <v>23</v>
      </c>
    </row>
    <row r="3856" spans="1:11" ht="42" customHeight="1">
      <c r="A3856" s="2" t="s">
        <v>10264</v>
      </c>
      <c r="B3856" s="2" t="s">
        <v>10265</v>
      </c>
      <c r="C3856" s="2" t="s">
        <v>26</v>
      </c>
      <c r="D3856" s="2" t="s">
        <v>27</v>
      </c>
      <c r="E3856" s="4">
        <v>-31819</v>
      </c>
      <c r="F3856" s="3" t="s">
        <v>1770</v>
      </c>
      <c r="G3856" s="3" t="s">
        <v>10266</v>
      </c>
      <c r="H3856" s="2" t="s">
        <v>21</v>
      </c>
      <c r="I3856" s="2" t="s">
        <v>10267</v>
      </c>
      <c r="J3856" s="3" t="str">
        <f>HYPERLINK("https://www.boe.es/gazeta/dias/1812/11/17/pdfs/GRE-1812-153.pdf#page=5","Abrir facsímil")</f>
        <v>Abrir facsímil</v>
      </c>
      <c r="K3856" s="3" t="s">
        <v>23</v>
      </c>
    </row>
    <row r="3857" spans="1:11" ht="42" customHeight="1">
      <c r="A3857" s="2" t="s">
        <v>10268</v>
      </c>
      <c r="B3857" s="2" t="s">
        <v>10269</v>
      </c>
      <c r="C3857" s="2" t="s">
        <v>49</v>
      </c>
      <c r="D3857" s="2" t="s">
        <v>18</v>
      </c>
      <c r="E3857" s="4">
        <v>-31982</v>
      </c>
      <c r="F3857" s="3" t="s">
        <v>1630</v>
      </c>
      <c r="G3857" s="3" t="s">
        <v>1631</v>
      </c>
      <c r="H3857" s="2" t="s">
        <v>21</v>
      </c>
      <c r="I3857" s="2" t="s">
        <v>10270</v>
      </c>
      <c r="J3857" s="3" t="str">
        <f>HYPERLINK("https://www.boe.es/gazeta/dias/1812/06/07/pdfs/GMD-1812-159.pdf#page=4","Abrir facsímil")</f>
        <v>Abrir facsímil</v>
      </c>
      <c r="K3857" s="3" t="s">
        <v>23</v>
      </c>
    </row>
    <row r="3858" spans="1:11" ht="42" customHeight="1">
      <c r="A3858" s="2" t="s">
        <v>10268</v>
      </c>
      <c r="B3858" s="2" t="s">
        <v>10269</v>
      </c>
      <c r="C3858" s="2" t="s">
        <v>105</v>
      </c>
      <c r="D3858" s="2" t="s">
        <v>27</v>
      </c>
      <c r="E3858" s="4">
        <v>-31833</v>
      </c>
      <c r="F3858" s="3" t="s">
        <v>267</v>
      </c>
      <c r="G3858" s="3" t="s">
        <v>268</v>
      </c>
      <c r="H3858" s="2" t="s">
        <v>21</v>
      </c>
      <c r="I3858" s="2" t="s">
        <v>10271</v>
      </c>
      <c r="J3858" s="3" t="str">
        <f>HYPERLINK("https://www.boe.es/gazeta/dias/1812/11/03/pdfs/GRE-1812-147.pdf#page=8","Abrir facsímil")</f>
        <v>Abrir facsímil</v>
      </c>
      <c r="K3858" s="3" t="s">
        <v>23</v>
      </c>
    </row>
    <row r="3859" spans="1:11" ht="42" customHeight="1">
      <c r="A3859" s="2" t="s">
        <v>10268</v>
      </c>
      <c r="B3859" s="2" t="s">
        <v>10269</v>
      </c>
      <c r="C3859" s="2" t="s">
        <v>105</v>
      </c>
      <c r="D3859" s="2" t="s">
        <v>27</v>
      </c>
      <c r="E3859" s="4">
        <v>-31816</v>
      </c>
      <c r="F3859" s="3" t="s">
        <v>270</v>
      </c>
      <c r="G3859" s="3" t="s">
        <v>271</v>
      </c>
      <c r="H3859" s="2" t="s">
        <v>21</v>
      </c>
      <c r="I3859" s="2" t="s">
        <v>10272</v>
      </c>
      <c r="J3859" s="3" t="str">
        <f>HYPERLINK("https://www.boe.es/gazeta/dias/1812/11/20/pdfs/GMR-1812-36.pdf#page=6","Abrir facsímil")</f>
        <v>Abrir facsímil</v>
      </c>
      <c r="K3859" s="3" t="s">
        <v>23</v>
      </c>
    </row>
    <row r="3860" spans="1:11" ht="42" customHeight="1">
      <c r="A3860" s="2" t="s">
        <v>10273</v>
      </c>
      <c r="B3860" s="2" t="s">
        <v>10274</v>
      </c>
      <c r="C3860" s="2" t="s">
        <v>26</v>
      </c>
      <c r="D3860" s="2" t="s">
        <v>27</v>
      </c>
      <c r="E3860" s="4">
        <v>-32109</v>
      </c>
      <c r="F3860" s="3" t="s">
        <v>62</v>
      </c>
      <c r="G3860" s="3" t="s">
        <v>106</v>
      </c>
      <c r="H3860" s="2" t="s">
        <v>21</v>
      </c>
      <c r="I3860" s="2" t="s">
        <v>10275</v>
      </c>
      <c r="J3860" s="3" t="str">
        <f>HYPERLINK("https://www.boe.es/gazeta/dias/1812/02/01/pdfs/GRE-1812-14.pdf#page=11","Abrir facsímil")</f>
        <v>Abrir facsímil</v>
      </c>
      <c r="K3860" s="3" t="s">
        <v>23</v>
      </c>
    </row>
    <row r="3861" spans="1:11" ht="42" customHeight="1">
      <c r="A3861" s="2" t="s">
        <v>10273</v>
      </c>
      <c r="B3861" s="2" t="s">
        <v>10274</v>
      </c>
      <c r="C3861" s="2" t="s">
        <v>26</v>
      </c>
      <c r="D3861" s="2" t="s">
        <v>27</v>
      </c>
      <c r="E3861" s="4">
        <v>-31938</v>
      </c>
      <c r="F3861" s="3" t="s">
        <v>324</v>
      </c>
      <c r="G3861" s="3" t="s">
        <v>237</v>
      </c>
      <c r="H3861" s="2" t="s">
        <v>21</v>
      </c>
      <c r="I3861" s="2" t="s">
        <v>10276</v>
      </c>
      <c r="J3861" s="3" t="str">
        <f>HYPERLINK("https://www.boe.es/gazeta/dias/1812/07/21/pdfs/GMD-1812-203.pdf#page=2","Abrir facsímil")</f>
        <v>Abrir facsímil</v>
      </c>
      <c r="K3861" s="3" t="s">
        <v>23</v>
      </c>
    </row>
    <row r="3862" spans="1:11" ht="42" customHeight="1">
      <c r="A3862" s="2" t="s">
        <v>10277</v>
      </c>
      <c r="B3862" s="2" t="s">
        <v>10278</v>
      </c>
      <c r="C3862" s="2" t="s">
        <v>26</v>
      </c>
      <c r="D3862" s="2" t="s">
        <v>27</v>
      </c>
      <c r="E3862" s="4">
        <v>-32069</v>
      </c>
      <c r="F3862" s="3" t="s">
        <v>445</v>
      </c>
      <c r="G3862" s="3" t="s">
        <v>446</v>
      </c>
      <c r="H3862" s="2" t="s">
        <v>21</v>
      </c>
      <c r="I3862" s="2" t="s">
        <v>10279</v>
      </c>
      <c r="J3862" s="3" t="str">
        <f>HYPERLINK("https://www.boe.es/gazeta/dias/1812/03/12/pdfs/GRE-1812-32.pdf#page=8","Abrir facsímil")</f>
        <v>Abrir facsímil</v>
      </c>
      <c r="K3862" s="3" t="s">
        <v>23</v>
      </c>
    </row>
    <row r="3863" spans="1:11" ht="42" customHeight="1">
      <c r="A3863" s="2" t="s">
        <v>10277</v>
      </c>
      <c r="B3863" s="2" t="s">
        <v>10278</v>
      </c>
      <c r="C3863" s="2" t="s">
        <v>26</v>
      </c>
      <c r="D3863" s="2" t="s">
        <v>27</v>
      </c>
      <c r="E3863" s="4">
        <v>-32019</v>
      </c>
      <c r="F3863" s="3" t="s">
        <v>476</v>
      </c>
      <c r="G3863" s="3" t="s">
        <v>404</v>
      </c>
      <c r="H3863" s="2" t="s">
        <v>21</v>
      </c>
      <c r="I3863" s="2" t="s">
        <v>10280</v>
      </c>
      <c r="J3863" s="3" t="str">
        <f>HYPERLINK("https://www.boe.es/gazeta/dias/1812/05/01/pdfs/GMD-1812-122.pdf#page=3","Abrir facsímil")</f>
        <v>Abrir facsímil</v>
      </c>
      <c r="K3863" s="3" t="s">
        <v>23</v>
      </c>
    </row>
    <row r="3864" spans="1:11" ht="42" customHeight="1">
      <c r="A3864" s="2" t="s">
        <v>10281</v>
      </c>
      <c r="B3864" s="2" t="s">
        <v>10282</v>
      </c>
      <c r="C3864" s="2" t="s">
        <v>17</v>
      </c>
      <c r="D3864" s="2" t="s">
        <v>18</v>
      </c>
      <c r="E3864" s="4">
        <v>-31857</v>
      </c>
      <c r="F3864" s="3" t="s">
        <v>1000</v>
      </c>
      <c r="G3864" s="3" t="s">
        <v>1001</v>
      </c>
      <c r="H3864" s="2" t="s">
        <v>21</v>
      </c>
      <c r="I3864" s="2" t="s">
        <v>10283</v>
      </c>
      <c r="J3864" s="3" t="str">
        <f>HYPERLINK("https://www.boe.es/gazeta/dias/1812/10/10/pdfs/GRE-1812-137.pdf#page=7","Abrir facsímil")</f>
        <v>Abrir facsímil</v>
      </c>
      <c r="K3864" s="3" t="s">
        <v>23</v>
      </c>
    </row>
    <row r="3865" spans="1:11" ht="42" customHeight="1">
      <c r="A3865" s="2" t="s">
        <v>10284</v>
      </c>
      <c r="B3865" s="2" t="s">
        <v>10285</v>
      </c>
      <c r="C3865" s="2" t="s">
        <v>26</v>
      </c>
      <c r="D3865" s="2" t="s">
        <v>27</v>
      </c>
      <c r="E3865" s="4">
        <v>-31940</v>
      </c>
      <c r="F3865" s="3" t="s">
        <v>187</v>
      </c>
      <c r="G3865" s="3" t="s">
        <v>404</v>
      </c>
      <c r="H3865" s="2" t="s">
        <v>21</v>
      </c>
      <c r="I3865" s="2" t="s">
        <v>10286</v>
      </c>
      <c r="J3865" s="3" t="str">
        <f>HYPERLINK("https://www.boe.es/gazeta/dias/1812/07/19/pdfs/GMD-1812-201.pdf#page=3","Abrir facsímil")</f>
        <v>Abrir facsímil</v>
      </c>
      <c r="K3865" s="3" t="s">
        <v>23</v>
      </c>
    </row>
    <row r="3866" spans="1:11" ht="42" customHeight="1">
      <c r="A3866" s="2" t="s">
        <v>10287</v>
      </c>
      <c r="B3866" s="2" t="s">
        <v>10288</v>
      </c>
      <c r="C3866" s="2" t="s">
        <v>17</v>
      </c>
      <c r="D3866" s="2" t="s">
        <v>18</v>
      </c>
      <c r="E3866" s="4">
        <v>-32030</v>
      </c>
      <c r="F3866" s="3" t="s">
        <v>2226</v>
      </c>
      <c r="G3866" s="3" t="s">
        <v>20</v>
      </c>
      <c r="H3866" s="2" t="s">
        <v>21</v>
      </c>
      <c r="I3866" s="2" t="s">
        <v>10289</v>
      </c>
      <c r="J3866" s="3" t="str">
        <f>HYPERLINK("https://www.boe.es/gazeta/dias/1812/04/20/pdfs/GMD-1812-111.pdf#page=4","Abrir facsímil")</f>
        <v>Abrir facsímil</v>
      </c>
      <c r="K3866" s="3" t="s">
        <v>23</v>
      </c>
    </row>
    <row r="3867" spans="1:11" ht="42" customHeight="1">
      <c r="A3867" s="2" t="s">
        <v>10290</v>
      </c>
      <c r="B3867" s="2" t="s">
        <v>10291</v>
      </c>
      <c r="C3867" s="2" t="s">
        <v>26</v>
      </c>
      <c r="D3867" s="2" t="s">
        <v>27</v>
      </c>
      <c r="E3867" s="4">
        <v>-31857</v>
      </c>
      <c r="F3867" s="3" t="s">
        <v>1000</v>
      </c>
      <c r="G3867" s="3" t="s">
        <v>136</v>
      </c>
      <c r="H3867" s="2" t="s">
        <v>21</v>
      </c>
      <c r="I3867" s="2" t="s">
        <v>10292</v>
      </c>
      <c r="J3867" s="3" t="str">
        <f>HYPERLINK("https://www.boe.es/gazeta/dias/1812/10/10/pdfs/GRE-1812-137.pdf#page=8","Abrir facsímil")</f>
        <v>Abrir facsímil</v>
      </c>
      <c r="K3867" s="3" t="s">
        <v>23</v>
      </c>
    </row>
    <row r="3868" spans="1:11" ht="42" customHeight="1">
      <c r="A3868" s="2" t="s">
        <v>10293</v>
      </c>
      <c r="B3868" s="2" t="s">
        <v>10294</v>
      </c>
      <c r="C3868" s="2" t="s">
        <v>26</v>
      </c>
      <c r="D3868" s="2" t="s">
        <v>194</v>
      </c>
      <c r="E3868" s="4">
        <v>-31964</v>
      </c>
      <c r="F3868" s="3" t="s">
        <v>305</v>
      </c>
      <c r="G3868" s="3" t="s">
        <v>306</v>
      </c>
      <c r="H3868" s="2" t="s">
        <v>21</v>
      </c>
      <c r="I3868" s="2" t="s">
        <v>10295</v>
      </c>
      <c r="J3868" s="3" t="str">
        <f>HYPERLINK("https://www.boe.es/gazeta/dias/1812/06/25/pdfs/GMD-1812-177.pdf#page=3","Abrir facsímil")</f>
        <v>Abrir facsímil</v>
      </c>
      <c r="K3868" s="3" t="s">
        <v>23</v>
      </c>
    </row>
    <row r="3869" spans="1:11" ht="42" customHeight="1">
      <c r="A3869" s="2" t="s">
        <v>10296</v>
      </c>
      <c r="B3869" s="2" t="s">
        <v>10296</v>
      </c>
      <c r="C3869" s="2" t="s">
        <v>17</v>
      </c>
      <c r="D3869" s="2" t="s">
        <v>18</v>
      </c>
      <c r="E3869" s="4">
        <v>-32043</v>
      </c>
      <c r="F3869" s="3" t="s">
        <v>4582</v>
      </c>
      <c r="G3869" s="3" t="s">
        <v>4842</v>
      </c>
      <c r="H3869" s="2" t="s">
        <v>21</v>
      </c>
      <c r="I3869" s="2" t="s">
        <v>10297</v>
      </c>
      <c r="J3869" s="3" t="str">
        <f>HYPERLINK("https://www.boe.es/gazeta/dias/1812/04/07/pdfs/GRE-1812-43.pdf#page=5","Abrir facsímil")</f>
        <v>Abrir facsímil</v>
      </c>
      <c r="K3869" s="3" t="s">
        <v>23</v>
      </c>
    </row>
    <row r="3870" spans="1:11" ht="42" customHeight="1">
      <c r="A3870" s="2" t="s">
        <v>10298</v>
      </c>
      <c r="B3870" s="2" t="s">
        <v>10299</v>
      </c>
      <c r="C3870" s="2" t="s">
        <v>26</v>
      </c>
      <c r="D3870" s="2" t="s">
        <v>27</v>
      </c>
      <c r="E3870" s="4">
        <v>-32125</v>
      </c>
      <c r="F3870" s="3" t="s">
        <v>335</v>
      </c>
      <c r="G3870" s="3" t="s">
        <v>336</v>
      </c>
      <c r="H3870" s="2" t="s">
        <v>21</v>
      </c>
      <c r="I3870" s="2" t="s">
        <v>10300</v>
      </c>
      <c r="J3870" s="3" t="str">
        <f>HYPERLINK("https://www.boe.es/gazeta/dias/1812/01/16/pdfs/GEI-1812-7.pdf#page=8","Abrir facsímil")</f>
        <v>Abrir facsímil</v>
      </c>
      <c r="K3870" s="3" t="s">
        <v>23</v>
      </c>
    </row>
    <row r="3871" spans="1:11" ht="42" customHeight="1">
      <c r="A3871" s="2" t="s">
        <v>10301</v>
      </c>
      <c r="B3871" s="2" t="s">
        <v>10302</v>
      </c>
      <c r="C3871" s="2" t="s">
        <v>26</v>
      </c>
      <c r="D3871" s="2" t="s">
        <v>27</v>
      </c>
      <c r="E3871" s="4">
        <v>-31938</v>
      </c>
      <c r="F3871" s="3" t="s">
        <v>324</v>
      </c>
      <c r="G3871" s="3" t="s">
        <v>497</v>
      </c>
      <c r="H3871" s="2" t="s">
        <v>21</v>
      </c>
      <c r="I3871" s="2" t="s">
        <v>10303</v>
      </c>
      <c r="J3871" s="3" t="str">
        <f>HYPERLINK("https://www.boe.es/gazeta/dias/1812/07/21/pdfs/GMD-1812-203.pdf#page=3","Abrir facsímil")</f>
        <v>Abrir facsímil</v>
      </c>
      <c r="K3871" s="3" t="s">
        <v>23</v>
      </c>
    </row>
    <row r="3872" spans="1:11" ht="42" customHeight="1">
      <c r="A3872" s="2" t="s">
        <v>10304</v>
      </c>
      <c r="B3872" s="2" t="s">
        <v>10305</v>
      </c>
      <c r="C3872" s="2" t="s">
        <v>26</v>
      </c>
      <c r="D3872" s="2" t="s">
        <v>27</v>
      </c>
      <c r="E3872" s="4">
        <v>-31903</v>
      </c>
      <c r="F3872" s="3" t="s">
        <v>2720</v>
      </c>
      <c r="G3872" s="3" t="s">
        <v>794</v>
      </c>
      <c r="H3872" s="2" t="s">
        <v>21</v>
      </c>
      <c r="I3872" s="2" t="s">
        <v>10306</v>
      </c>
      <c r="J3872" s="3" t="str">
        <f>HYPERLINK("https://www.boe.es/gazeta/dias/1812/08/25/pdfs/GRE-1812-110.pdf#page=7","Abrir facsímil")</f>
        <v>Abrir facsímil</v>
      </c>
      <c r="K3872" s="3" t="s">
        <v>23</v>
      </c>
    </row>
    <row r="3873" spans="1:11" ht="42" customHeight="1">
      <c r="A3873" s="2" t="s">
        <v>10307</v>
      </c>
      <c r="B3873" s="2" t="s">
        <v>10308</v>
      </c>
      <c r="C3873" s="2" t="s">
        <v>17</v>
      </c>
      <c r="D3873" s="2" t="s">
        <v>18</v>
      </c>
      <c r="E3873" s="4">
        <v>-31816</v>
      </c>
      <c r="F3873" s="3" t="s">
        <v>270</v>
      </c>
      <c r="G3873" s="3" t="s">
        <v>271</v>
      </c>
      <c r="H3873" s="2" t="s">
        <v>21</v>
      </c>
      <c r="I3873" s="2" t="s">
        <v>10309</v>
      </c>
      <c r="J3873" s="3" t="str">
        <f>HYPERLINK("https://www.boe.es/gazeta/dias/1812/11/20/pdfs/GMR-1812-36.pdf#page=6","Abrir facsímil")</f>
        <v>Abrir facsímil</v>
      </c>
      <c r="K3873" s="3" t="s">
        <v>23</v>
      </c>
    </row>
    <row r="3874" spans="1:11" ht="42" customHeight="1">
      <c r="A3874" s="2" t="s">
        <v>10310</v>
      </c>
      <c r="B3874" s="2" t="s">
        <v>10311</v>
      </c>
      <c r="C3874" s="2" t="s">
        <v>26</v>
      </c>
      <c r="D3874" s="2" t="s">
        <v>27</v>
      </c>
      <c r="E3874" s="4">
        <v>-32015</v>
      </c>
      <c r="F3874" s="3" t="s">
        <v>77</v>
      </c>
      <c r="G3874" s="3" t="s">
        <v>4787</v>
      </c>
      <c r="H3874" s="2" t="s">
        <v>21</v>
      </c>
      <c r="I3874" s="2" t="s">
        <v>10312</v>
      </c>
      <c r="J3874" s="3" t="str">
        <f>HYPERLINK("https://www.boe.es/gazeta/dias/1812/05/05/pdfs/GRE-1812-56.pdf#page=7","Abrir facsímil")</f>
        <v>Abrir facsímil</v>
      </c>
      <c r="K3874" s="3" t="s">
        <v>23</v>
      </c>
    </row>
    <row r="3875" spans="1:11" ht="42" customHeight="1">
      <c r="A3875" s="2" t="s">
        <v>10313</v>
      </c>
      <c r="B3875" s="2" t="s">
        <v>10313</v>
      </c>
      <c r="C3875" s="2" t="s">
        <v>17</v>
      </c>
      <c r="D3875" s="2" t="s">
        <v>27</v>
      </c>
      <c r="E3875" s="4">
        <v>-32137</v>
      </c>
      <c r="F3875" s="3" t="s">
        <v>355</v>
      </c>
      <c r="G3875" s="3" t="s">
        <v>196</v>
      </c>
      <c r="H3875" s="2" t="s">
        <v>21</v>
      </c>
      <c r="I3875" s="2" t="s">
        <v>10314</v>
      </c>
      <c r="J3875" s="3" t="str">
        <f>HYPERLINK("https://www.boe.es/gazeta/dias/1812/01/04/pdfs/GEI-1812-2.pdf#page=1","Abrir facsímil")</f>
        <v>Abrir facsímil</v>
      </c>
      <c r="K3875" s="3" t="s">
        <v>23</v>
      </c>
    </row>
    <row r="3876" spans="1:11" ht="42" customHeight="1">
      <c r="A3876" s="2" t="s">
        <v>10315</v>
      </c>
      <c r="B3876" s="2" t="s">
        <v>10315</v>
      </c>
      <c r="C3876" s="2" t="s">
        <v>17</v>
      </c>
      <c r="D3876" s="2" t="s">
        <v>27</v>
      </c>
      <c r="E3876" s="4">
        <v>-31896</v>
      </c>
      <c r="F3876" s="3" t="s">
        <v>1808</v>
      </c>
      <c r="G3876" s="3" t="s">
        <v>140</v>
      </c>
      <c r="H3876" s="2" t="s">
        <v>21</v>
      </c>
      <c r="I3876" s="2" t="s">
        <v>10316</v>
      </c>
      <c r="J3876" s="3" t="str">
        <f>HYPERLINK("https://www.boe.es/gazeta/dias/1812/09/01/pdfs/GMR-1812-8.pdf#page=2","Abrir facsímil")</f>
        <v>Abrir facsímil</v>
      </c>
      <c r="K3876" s="3" t="s">
        <v>23</v>
      </c>
    </row>
    <row r="3877" spans="1:11" ht="42" customHeight="1">
      <c r="A3877" s="2" t="s">
        <v>10317</v>
      </c>
      <c r="B3877" s="2" t="s">
        <v>10318</v>
      </c>
      <c r="C3877" s="2" t="s">
        <v>26</v>
      </c>
      <c r="D3877" s="2" t="s">
        <v>27</v>
      </c>
      <c r="E3877" s="4">
        <v>-31965</v>
      </c>
      <c r="F3877" s="3" t="s">
        <v>1180</v>
      </c>
      <c r="G3877" s="3" t="s">
        <v>777</v>
      </c>
      <c r="H3877" s="2" t="s">
        <v>21</v>
      </c>
      <c r="I3877" s="2" t="s">
        <v>10319</v>
      </c>
      <c r="J3877" s="3" t="str">
        <f>HYPERLINK("https://www.boe.es/gazeta/dias/1812/06/24/pdfs/GMD-1812-176.pdf#page=2","Abrir facsímil")</f>
        <v>Abrir facsímil</v>
      </c>
      <c r="K3877" s="3" t="s">
        <v>23</v>
      </c>
    </row>
    <row r="3878" spans="1:11" ht="42" customHeight="1">
      <c r="A3878" s="2" t="s">
        <v>10320</v>
      </c>
      <c r="B3878" s="2" t="s">
        <v>10320</v>
      </c>
      <c r="C3878" s="2" t="s">
        <v>17</v>
      </c>
      <c r="D3878" s="2" t="s">
        <v>27</v>
      </c>
      <c r="E3878" s="4">
        <v>-31836</v>
      </c>
      <c r="F3878" s="3" t="s">
        <v>729</v>
      </c>
      <c r="G3878" s="3" t="s">
        <v>1837</v>
      </c>
      <c r="H3878" s="2" t="s">
        <v>21</v>
      </c>
      <c r="I3878" s="2" t="s">
        <v>10321</v>
      </c>
      <c r="J3878" s="3" t="str">
        <f>HYPERLINK("https://www.boe.es/gazeta/dias/1812/10/31/pdfs/GRE-1812-146.pdf#page=2","Abrir facsímil")</f>
        <v>Abrir facsímil</v>
      </c>
      <c r="K3878" s="3" t="s">
        <v>23</v>
      </c>
    </row>
    <row r="3879" spans="1:11" ht="42" customHeight="1">
      <c r="A3879" s="2" t="s">
        <v>10322</v>
      </c>
      <c r="B3879" s="2" t="s">
        <v>10323</v>
      </c>
      <c r="C3879" s="2" t="s">
        <v>26</v>
      </c>
      <c r="D3879" s="2" t="s">
        <v>27</v>
      </c>
      <c r="E3879" s="4">
        <v>-32065</v>
      </c>
      <c r="F3879" s="3" t="s">
        <v>259</v>
      </c>
      <c r="G3879" s="3" t="s">
        <v>20</v>
      </c>
      <c r="H3879" s="2" t="s">
        <v>21</v>
      </c>
      <c r="I3879" s="2" t="s">
        <v>10324</v>
      </c>
      <c r="J3879" s="3" t="str">
        <f>HYPERLINK("https://www.boe.es/gazeta/dias/1812/03/16/pdfs/GMD-1812-76.pdf#page=4","Abrir facsímil")</f>
        <v>Abrir facsímil</v>
      </c>
      <c r="K3879" s="3" t="s">
        <v>23</v>
      </c>
    </row>
    <row r="3880" spans="1:11" ht="42" customHeight="1">
      <c r="A3880" s="2" t="s">
        <v>10325</v>
      </c>
      <c r="B3880" s="2" t="s">
        <v>10326</v>
      </c>
      <c r="C3880" s="2" t="s">
        <v>186</v>
      </c>
      <c r="D3880" s="2" t="s">
        <v>27</v>
      </c>
      <c r="E3880" s="4">
        <v>-32075</v>
      </c>
      <c r="F3880" s="3" t="s">
        <v>301</v>
      </c>
      <c r="G3880" s="3" t="s">
        <v>20</v>
      </c>
      <c r="H3880" s="2" t="s">
        <v>21</v>
      </c>
      <c r="I3880" s="2" t="s">
        <v>10327</v>
      </c>
      <c r="J3880" s="3" t="str">
        <f>HYPERLINK("https://www.boe.es/gazeta/dias/1812/03/06/pdfs/GMD-1812-66.pdf#page=4","Abrir facsímil")</f>
        <v>Abrir facsímil</v>
      </c>
      <c r="K3880" s="3" t="s">
        <v>23</v>
      </c>
    </row>
    <row r="3881" spans="1:11" ht="42" customHeight="1">
      <c r="A3881" s="2" t="s">
        <v>10328</v>
      </c>
      <c r="B3881" s="2" t="s">
        <v>10329</v>
      </c>
      <c r="C3881" s="2" t="s">
        <v>26</v>
      </c>
      <c r="D3881" s="2" t="s">
        <v>27</v>
      </c>
      <c r="E3881" s="4">
        <v>-31885</v>
      </c>
      <c r="F3881" s="3" t="s">
        <v>750</v>
      </c>
      <c r="G3881" s="3" t="s">
        <v>5613</v>
      </c>
      <c r="H3881" s="2" t="s">
        <v>21</v>
      </c>
      <c r="I3881" s="2" t="s">
        <v>10330</v>
      </c>
      <c r="J3881" s="3" t="str">
        <f>HYPERLINK("https://www.boe.es/gazeta/dias/1812/09/12/pdfs/GMR-1812-13.pdf#page=6","Abrir facsímil")</f>
        <v>Abrir facsímil</v>
      </c>
      <c r="K3881" s="3" t="s">
        <v>23</v>
      </c>
    </row>
    <row r="3882" spans="1:11" ht="42" customHeight="1">
      <c r="A3882" s="2" t="s">
        <v>10328</v>
      </c>
      <c r="B3882" s="2" t="s">
        <v>10329</v>
      </c>
      <c r="C3882" s="2" t="s">
        <v>186</v>
      </c>
      <c r="D3882" s="2" t="s">
        <v>275</v>
      </c>
      <c r="E3882" s="4">
        <v>-31843</v>
      </c>
      <c r="F3882" s="3" t="s">
        <v>3493</v>
      </c>
      <c r="G3882" s="3" t="s">
        <v>3494</v>
      </c>
      <c r="H3882" s="2" t="s">
        <v>21</v>
      </c>
      <c r="I3882" s="2" t="s">
        <v>10331</v>
      </c>
      <c r="J3882" s="3" t="str">
        <f>HYPERLINK("https://www.boe.es/gazeta/dias/1812/10/24/pdfs/GMR-1812-31.pdf#page=8","Abrir facsímil")</f>
        <v>Abrir facsímil</v>
      </c>
      <c r="K3882" s="3" t="s">
        <v>23</v>
      </c>
    </row>
    <row r="3883" spans="1:11" ht="42" customHeight="1">
      <c r="A3883" s="2" t="s">
        <v>10332</v>
      </c>
      <c r="B3883" s="2" t="s">
        <v>10332</v>
      </c>
      <c r="C3883" s="2" t="s">
        <v>26</v>
      </c>
      <c r="D3883" s="2" t="s">
        <v>194</v>
      </c>
      <c r="E3883" s="4">
        <v>-31778</v>
      </c>
      <c r="F3883" s="3" t="s">
        <v>1966</v>
      </c>
      <c r="G3883" s="3" t="s">
        <v>45</v>
      </c>
      <c r="H3883" s="2" t="s">
        <v>21</v>
      </c>
      <c r="I3883" s="2" t="s">
        <v>10333</v>
      </c>
      <c r="J3883" s="3" t="str">
        <f>HYPERLINK("https://www.boe.es/gazeta/dias/1812/12/28/pdfs/GMD-1812-251.pdf#page=4","Abrir facsímil")</f>
        <v>Abrir facsímil</v>
      </c>
      <c r="K3883" s="3" t="s">
        <v>23</v>
      </c>
    </row>
    <row r="3884" spans="1:11" ht="42" customHeight="1">
      <c r="A3884" s="2" t="s">
        <v>10334</v>
      </c>
      <c r="B3884" s="2" t="s">
        <v>10334</v>
      </c>
      <c r="C3884" s="2" t="s">
        <v>17</v>
      </c>
      <c r="D3884" s="2" t="s">
        <v>18</v>
      </c>
      <c r="E3884" s="4">
        <v>-31778</v>
      </c>
      <c r="F3884" s="3" t="s">
        <v>1966</v>
      </c>
      <c r="G3884" s="3" t="s">
        <v>45</v>
      </c>
      <c r="H3884" s="2" t="s">
        <v>21</v>
      </c>
      <c r="I3884" s="2" t="s">
        <v>10335</v>
      </c>
      <c r="J3884" s="3" t="str">
        <f>HYPERLINK("https://www.boe.es/gazeta/dias/1812/12/28/pdfs/GMD-1812-251.pdf#page=4","Abrir facsímil")</f>
        <v>Abrir facsímil</v>
      </c>
      <c r="K3884" s="3" t="s">
        <v>23</v>
      </c>
    </row>
    <row r="3885" spans="1:11" ht="42" customHeight="1">
      <c r="A3885" s="2" t="s">
        <v>10336</v>
      </c>
      <c r="B3885" s="2" t="s">
        <v>10336</v>
      </c>
      <c r="C3885" s="2" t="s">
        <v>17</v>
      </c>
      <c r="D3885" s="2" t="s">
        <v>18</v>
      </c>
      <c r="E3885" s="4">
        <v>-31797</v>
      </c>
      <c r="F3885" s="3" t="s">
        <v>738</v>
      </c>
      <c r="G3885" s="3" t="s">
        <v>739</v>
      </c>
      <c r="H3885" s="2" t="s">
        <v>21</v>
      </c>
      <c r="I3885" s="2" t="s">
        <v>10337</v>
      </c>
      <c r="J3885" s="3" t="str">
        <f>HYPERLINK("https://www.boe.es/gazeta/dias/1812/12/09/pdfs/GMD-1812-232.pdf#page=2","Abrir facsímil")</f>
        <v>Abrir facsímil</v>
      </c>
      <c r="K3885" s="3" t="s">
        <v>23</v>
      </c>
    </row>
    <row r="3886" spans="1:11" ht="42" customHeight="1">
      <c r="A3886" s="2" t="s">
        <v>10338</v>
      </c>
      <c r="B3886" s="2" t="s">
        <v>10339</v>
      </c>
      <c r="C3886" s="2" t="s">
        <v>26</v>
      </c>
      <c r="D3886" s="2" t="s">
        <v>27</v>
      </c>
      <c r="E3886" s="4">
        <v>-31955</v>
      </c>
      <c r="F3886" s="3" t="s">
        <v>789</v>
      </c>
      <c r="G3886" s="3" t="s">
        <v>237</v>
      </c>
      <c r="H3886" s="2" t="s">
        <v>21</v>
      </c>
      <c r="I3886" s="2" t="s">
        <v>10340</v>
      </c>
      <c r="J3886" s="3" t="str">
        <f>HYPERLINK("https://www.boe.es/gazeta/dias/1812/07/04/pdfs/GRE-1812-82.pdf#page=8","Abrir facsímil")</f>
        <v>Abrir facsímil</v>
      </c>
      <c r="K3886" s="3" t="s">
        <v>23</v>
      </c>
    </row>
    <row r="3887" spans="1:11" ht="42" customHeight="1">
      <c r="A3887" s="2" t="s">
        <v>10341</v>
      </c>
      <c r="B3887" s="2" t="s">
        <v>10342</v>
      </c>
      <c r="C3887" s="2" t="s">
        <v>26</v>
      </c>
      <c r="D3887" s="2" t="s">
        <v>27</v>
      </c>
      <c r="E3887" s="4">
        <v>-31945</v>
      </c>
      <c r="F3887" s="3" t="s">
        <v>1485</v>
      </c>
      <c r="G3887" s="3" t="s">
        <v>1486</v>
      </c>
      <c r="H3887" s="2" t="s">
        <v>21</v>
      </c>
      <c r="I3887" s="2" t="s">
        <v>10343</v>
      </c>
      <c r="J3887" s="3" t="str">
        <f>HYPERLINK("https://www.boe.es/gazeta/dias/1812/07/14/pdfs/GRE-1812-88.pdf#page=1","Abrir facsímil")</f>
        <v>Abrir facsímil</v>
      </c>
      <c r="K3887" s="3" t="s">
        <v>23</v>
      </c>
    </row>
    <row r="3888" spans="1:11" ht="42" customHeight="1">
      <c r="A3888" s="2" t="s">
        <v>10344</v>
      </c>
      <c r="B3888" s="2" t="s">
        <v>10345</v>
      </c>
      <c r="C3888" s="2" t="s">
        <v>26</v>
      </c>
      <c r="D3888" s="2" t="s">
        <v>27</v>
      </c>
      <c r="E3888" s="4">
        <v>-31980</v>
      </c>
      <c r="F3888" s="3" t="s">
        <v>40</v>
      </c>
      <c r="G3888" s="3" t="s">
        <v>41</v>
      </c>
      <c r="H3888" s="2" t="s">
        <v>21</v>
      </c>
      <c r="I3888" s="2" t="s">
        <v>10346</v>
      </c>
      <c r="J3888" s="3" t="str">
        <f>HYPERLINK("https://www.boe.es/gazeta/dias/1812/06/09/pdfs/GRE-1812-71.pdf#page=6","Abrir facsímil")</f>
        <v>Abrir facsímil</v>
      </c>
      <c r="K3888" s="3" t="s">
        <v>23</v>
      </c>
    </row>
    <row r="3889" spans="1:11" ht="42" customHeight="1">
      <c r="A3889" s="2" t="s">
        <v>10347</v>
      </c>
      <c r="B3889" s="2" t="s">
        <v>10347</v>
      </c>
      <c r="C3889" s="2" t="s">
        <v>17</v>
      </c>
      <c r="D3889" s="2" t="s">
        <v>134</v>
      </c>
      <c r="E3889" s="4">
        <v>-32085</v>
      </c>
      <c r="F3889" s="3" t="s">
        <v>2287</v>
      </c>
      <c r="G3889" s="3" t="s">
        <v>10348</v>
      </c>
      <c r="H3889" s="2" t="s">
        <v>21</v>
      </c>
      <c r="I3889" s="2" t="s">
        <v>10349</v>
      </c>
      <c r="J3889" s="3" t="str">
        <f>HYPERLINK("https://www.boe.es/gazeta/dias/1812/02/25/pdfs/GRE-F-1812-25.pdf#page=3","Abrir facsímil")</f>
        <v>Abrir facsímil</v>
      </c>
      <c r="K3889" s="3" t="s">
        <v>23</v>
      </c>
    </row>
    <row r="3890" spans="1:11" ht="42" customHeight="1">
      <c r="A3890" s="2" t="s">
        <v>10350</v>
      </c>
      <c r="B3890" s="2" t="s">
        <v>10351</v>
      </c>
      <c r="C3890" s="2" t="s">
        <v>186</v>
      </c>
      <c r="D3890" s="2" t="s">
        <v>275</v>
      </c>
      <c r="E3890" s="4">
        <v>-31900</v>
      </c>
      <c r="F3890" s="3" t="s">
        <v>276</v>
      </c>
      <c r="G3890" s="3" t="s">
        <v>277</v>
      </c>
      <c r="H3890" s="2" t="s">
        <v>21</v>
      </c>
      <c r="I3890" s="2" t="s">
        <v>10352</v>
      </c>
      <c r="J3890" s="3" t="str">
        <f>HYPERLINK("https://www.boe.es/gazeta/dias/1812/08/28/pdfs/GRE-1812-113E.pdf#page=8","Abrir facsímil")</f>
        <v>Abrir facsímil</v>
      </c>
      <c r="K3890" s="3" t="s">
        <v>23</v>
      </c>
    </row>
    <row r="3891" spans="1:11" ht="42" customHeight="1">
      <c r="A3891" s="2" t="s">
        <v>10353</v>
      </c>
      <c r="B3891" s="2" t="s">
        <v>10353</v>
      </c>
      <c r="C3891" s="2" t="s">
        <v>17</v>
      </c>
      <c r="D3891" s="2" t="s">
        <v>18</v>
      </c>
      <c r="E3891" s="4">
        <v>-31983</v>
      </c>
      <c r="F3891" s="3" t="s">
        <v>809</v>
      </c>
      <c r="G3891" s="3" t="s">
        <v>6646</v>
      </c>
      <c r="H3891" s="2" t="s">
        <v>21</v>
      </c>
      <c r="I3891" s="2" t="s">
        <v>10354</v>
      </c>
      <c r="J3891" s="3" t="str">
        <f>HYPERLINK("https://www.boe.es/gazeta/dias/1812/06/06/pdfs/GRE-1812-70.pdf#page=2","Abrir facsímil")</f>
        <v>Abrir facsímil</v>
      </c>
      <c r="K3891" s="3" t="s">
        <v>23</v>
      </c>
    </row>
    <row r="3892" spans="1:11" ht="42" customHeight="1">
      <c r="A3892" s="2" t="s">
        <v>10355</v>
      </c>
      <c r="B3892" s="2" t="s">
        <v>10355</v>
      </c>
      <c r="C3892" s="2" t="s">
        <v>17</v>
      </c>
      <c r="D3892" s="2" t="s">
        <v>27</v>
      </c>
      <c r="E3892" s="4">
        <v>-32134</v>
      </c>
      <c r="F3892" s="3" t="s">
        <v>50</v>
      </c>
      <c r="G3892" s="3" t="s">
        <v>1650</v>
      </c>
      <c r="H3892" s="2" t="s">
        <v>21</v>
      </c>
      <c r="I3892" s="2" t="s">
        <v>10356</v>
      </c>
      <c r="J3892" s="3" t="str">
        <f>HYPERLINK("https://www.boe.es/gazeta/dias/1812/01/07/pdfs/GEI-1812-3.pdf#page=6","Abrir facsímil")</f>
        <v>Abrir facsímil</v>
      </c>
      <c r="K3892" s="3" t="s">
        <v>23</v>
      </c>
    </row>
    <row r="3893" spans="1:11" ht="42" customHeight="1">
      <c r="A3893" s="2" t="s">
        <v>10355</v>
      </c>
      <c r="B3893" s="2" t="s">
        <v>10355</v>
      </c>
      <c r="C3893" s="2" t="s">
        <v>17</v>
      </c>
      <c r="D3893" s="2" t="s">
        <v>134</v>
      </c>
      <c r="E3893" s="4">
        <v>-32099</v>
      </c>
      <c r="F3893" s="3" t="s">
        <v>7479</v>
      </c>
      <c r="G3893" s="3" t="s">
        <v>2058</v>
      </c>
      <c r="H3893" s="2" t="s">
        <v>21</v>
      </c>
      <c r="I3893" s="2" t="s">
        <v>10357</v>
      </c>
      <c r="J3893" s="3" t="str">
        <f>HYPERLINK("https://www.boe.es/gazeta/dias/1812/02/11/pdfs/F00165-00168.pdf#page=3","Abrir facsímil")</f>
        <v>Abrir facsímil</v>
      </c>
      <c r="K3893" s="3" t="s">
        <v>23</v>
      </c>
    </row>
    <row r="3894" spans="1:11" ht="42" customHeight="1">
      <c r="A3894" s="2" t="s">
        <v>10355</v>
      </c>
      <c r="B3894" s="2" t="s">
        <v>10355</v>
      </c>
      <c r="C3894" s="2" t="s">
        <v>17</v>
      </c>
      <c r="D3894" s="2" t="s">
        <v>27</v>
      </c>
      <c r="E3894" s="4">
        <v>-32081</v>
      </c>
      <c r="F3894" s="3" t="s">
        <v>232</v>
      </c>
      <c r="G3894" s="3" t="s">
        <v>125</v>
      </c>
      <c r="H3894" s="2" t="s">
        <v>21</v>
      </c>
      <c r="I3894" s="2" t="s">
        <v>10358</v>
      </c>
      <c r="J3894" s="3" t="str">
        <f>HYPERLINK("https://www.boe.es/gazeta/dias/1812/02/29/pdfs/GRE-1812-27.pdf#page=2","Abrir facsímil")</f>
        <v>Abrir facsímil</v>
      </c>
      <c r="K3894" s="3" t="s">
        <v>23</v>
      </c>
    </row>
    <row r="3895" spans="1:11" ht="42" customHeight="1">
      <c r="A3895" s="2" t="s">
        <v>10355</v>
      </c>
      <c r="B3895" s="2" t="s">
        <v>10355</v>
      </c>
      <c r="C3895" s="2" t="s">
        <v>17</v>
      </c>
      <c r="D3895" s="2" t="s">
        <v>18</v>
      </c>
      <c r="E3895" s="4">
        <v>-31983</v>
      </c>
      <c r="F3895" s="3" t="s">
        <v>809</v>
      </c>
      <c r="G3895" s="3" t="s">
        <v>6773</v>
      </c>
      <c r="H3895" s="2" t="s">
        <v>21</v>
      </c>
      <c r="I3895" s="2" t="s">
        <v>10359</v>
      </c>
      <c r="J3895" s="3" t="str">
        <f>HYPERLINK("https://www.boe.es/gazeta/dias/1812/06/06/pdfs/GRE-1812-70.pdf#page=5","Abrir facsímil")</f>
        <v>Abrir facsímil</v>
      </c>
      <c r="K3895" s="3" t="s">
        <v>23</v>
      </c>
    </row>
    <row r="3896" spans="1:11" ht="42" customHeight="1">
      <c r="A3896" s="2" t="s">
        <v>10355</v>
      </c>
      <c r="B3896" s="2" t="s">
        <v>10355</v>
      </c>
      <c r="C3896" s="2" t="s">
        <v>17</v>
      </c>
      <c r="D3896" s="2" t="s">
        <v>18</v>
      </c>
      <c r="E3896" s="4">
        <v>-31787</v>
      </c>
      <c r="F3896" s="3" t="s">
        <v>1560</v>
      </c>
      <c r="G3896" s="3" t="s">
        <v>10360</v>
      </c>
      <c r="H3896" s="2" t="s">
        <v>21</v>
      </c>
      <c r="I3896" s="2" t="s">
        <v>10361</v>
      </c>
      <c r="J3896" s="3" t="str">
        <f>HYPERLINK("https://www.boe.es/gazeta/dias/1812/12/19/pdfs/GRE-1812-167.pdf#page=6","Abrir facsímil")</f>
        <v>Abrir facsímil</v>
      </c>
      <c r="K3896" s="3" t="s">
        <v>23</v>
      </c>
    </row>
    <row r="3897" spans="1:11" ht="42" customHeight="1">
      <c r="A3897" s="2" t="s">
        <v>10362</v>
      </c>
      <c r="B3897" s="2" t="s">
        <v>10362</v>
      </c>
      <c r="C3897" s="2" t="s">
        <v>17</v>
      </c>
      <c r="D3897" s="2" t="s">
        <v>18</v>
      </c>
      <c r="E3897" s="4">
        <v>-32002</v>
      </c>
      <c r="F3897" s="3" t="s">
        <v>619</v>
      </c>
      <c r="G3897" s="3" t="s">
        <v>196</v>
      </c>
      <c r="H3897" s="2" t="s">
        <v>21</v>
      </c>
      <c r="I3897" s="2" t="s">
        <v>10363</v>
      </c>
      <c r="J3897" s="3" t="str">
        <f>HYPERLINK("https://www.boe.es/gazeta/dias/1812/05/18/pdfs/GMD-1812-139.pdf#page=1","Abrir facsímil")</f>
        <v>Abrir facsímil</v>
      </c>
      <c r="K3897" s="3" t="s">
        <v>23</v>
      </c>
    </row>
    <row r="3898" spans="1:11" ht="42" customHeight="1">
      <c r="A3898" s="2" t="s">
        <v>10364</v>
      </c>
      <c r="B3898" s="2" t="s">
        <v>10365</v>
      </c>
      <c r="C3898" s="2" t="s">
        <v>26</v>
      </c>
      <c r="D3898" s="2" t="s">
        <v>27</v>
      </c>
      <c r="E3898" s="4">
        <v>-32001</v>
      </c>
      <c r="F3898" s="3" t="s">
        <v>1938</v>
      </c>
      <c r="G3898" s="3" t="s">
        <v>1939</v>
      </c>
      <c r="H3898" s="2" t="s">
        <v>21</v>
      </c>
      <c r="I3898" s="2" t="s">
        <v>10366</v>
      </c>
      <c r="J3898" s="3" t="str">
        <f>HYPERLINK("https://www.boe.es/gazeta/dias/1812/05/19/pdfs/GRE-1812-62.pdf#page=7","Abrir facsímil")</f>
        <v>Abrir facsímil</v>
      </c>
      <c r="K3898" s="3" t="s">
        <v>23</v>
      </c>
    </row>
    <row r="3899" spans="1:11" ht="42" customHeight="1">
      <c r="A3899" s="2" t="s">
        <v>10367</v>
      </c>
      <c r="B3899" s="2" t="s">
        <v>10368</v>
      </c>
      <c r="C3899" s="2" t="s">
        <v>26</v>
      </c>
      <c r="D3899" s="2" t="s">
        <v>27</v>
      </c>
      <c r="E3899" s="4">
        <v>-32033</v>
      </c>
      <c r="F3899" s="3" t="s">
        <v>771</v>
      </c>
      <c r="G3899" s="3" t="s">
        <v>130</v>
      </c>
      <c r="H3899" s="2" t="s">
        <v>21</v>
      </c>
      <c r="I3899" s="2" t="s">
        <v>10369</v>
      </c>
      <c r="J3899" s="3" t="str">
        <f>HYPERLINK("https://www.boe.es/gazeta/dias/1812/04/17/pdfs/GMD-1812-108.pdf#page=4","Abrir facsímil")</f>
        <v>Abrir facsímil</v>
      </c>
      <c r="K3899" s="3" t="s">
        <v>23</v>
      </c>
    </row>
    <row r="3900" spans="1:11" ht="42" customHeight="1">
      <c r="A3900" s="2" t="s">
        <v>10370</v>
      </c>
      <c r="B3900" s="2" t="s">
        <v>10370</v>
      </c>
      <c r="C3900" s="2" t="s">
        <v>17</v>
      </c>
      <c r="D3900" s="2" t="s">
        <v>18</v>
      </c>
      <c r="E3900" s="4">
        <v>-32032</v>
      </c>
      <c r="F3900" s="3" t="s">
        <v>421</v>
      </c>
      <c r="G3900" s="3" t="s">
        <v>10371</v>
      </c>
      <c r="H3900" s="2" t="s">
        <v>21</v>
      </c>
      <c r="I3900" s="2" t="s">
        <v>10372</v>
      </c>
      <c r="J3900" s="3" t="str">
        <f>HYPERLINK("https://www.boe.es/gazeta/dias/1812/04/18/pdfs/GRE-1812-49.pdf#page=2","Abrir facsímil")</f>
        <v>Abrir facsímil</v>
      </c>
      <c r="K3900" s="3" t="s">
        <v>23</v>
      </c>
    </row>
    <row r="3901" spans="1:11" ht="42" customHeight="1">
      <c r="A3901" s="2" t="s">
        <v>10373</v>
      </c>
      <c r="B3901" s="2" t="s">
        <v>10373</v>
      </c>
      <c r="C3901" s="2" t="s">
        <v>17</v>
      </c>
      <c r="D3901" s="2" t="s">
        <v>27</v>
      </c>
      <c r="E3901" s="4">
        <v>-32109</v>
      </c>
      <c r="F3901" s="3" t="s">
        <v>62</v>
      </c>
      <c r="G3901" s="3" t="s">
        <v>317</v>
      </c>
      <c r="H3901" s="2" t="s">
        <v>21</v>
      </c>
      <c r="I3901" s="2" t="s">
        <v>10374</v>
      </c>
      <c r="J3901" s="3" t="str">
        <f>HYPERLINK("https://www.boe.es/gazeta/dias/1812/02/01/pdfs/GRE-1812-14.pdf#page=6","Abrir facsímil")</f>
        <v>Abrir facsímil</v>
      </c>
      <c r="K3901" s="3" t="s">
        <v>23</v>
      </c>
    </row>
    <row r="3902" spans="1:11" ht="42" customHeight="1">
      <c r="A3902" s="2" t="s">
        <v>10375</v>
      </c>
      <c r="B3902" s="2" t="s">
        <v>10375</v>
      </c>
      <c r="C3902" s="2" t="s">
        <v>17</v>
      </c>
      <c r="D3902" s="2" t="s">
        <v>18</v>
      </c>
      <c r="E3902" s="4">
        <v>-32109</v>
      </c>
      <c r="F3902" s="3" t="s">
        <v>62</v>
      </c>
      <c r="G3902" s="3" t="s">
        <v>2624</v>
      </c>
      <c r="H3902" s="2" t="s">
        <v>21</v>
      </c>
      <c r="I3902" s="2" t="s">
        <v>10376</v>
      </c>
      <c r="J3902" s="3" t="str">
        <f>HYPERLINK("https://www.boe.es/gazeta/dias/1812/02/01/pdfs/GRE-1812-14.pdf#page=7","Abrir facsímil")</f>
        <v>Abrir facsímil</v>
      </c>
      <c r="K3902" s="3" t="s">
        <v>23</v>
      </c>
    </row>
    <row r="3903" spans="1:11" ht="42" customHeight="1">
      <c r="A3903" s="2" t="s">
        <v>10377</v>
      </c>
      <c r="B3903" s="2" t="s">
        <v>10378</v>
      </c>
      <c r="C3903" s="2" t="s">
        <v>17</v>
      </c>
      <c r="D3903" s="2" t="s">
        <v>18</v>
      </c>
      <c r="E3903" s="4">
        <v>-32032</v>
      </c>
      <c r="F3903" s="3" t="s">
        <v>421</v>
      </c>
      <c r="G3903" s="3" t="s">
        <v>10371</v>
      </c>
      <c r="H3903" s="2" t="s">
        <v>21</v>
      </c>
      <c r="I3903" s="2" t="s">
        <v>10379</v>
      </c>
      <c r="J3903" s="3" t="str">
        <f>HYPERLINK("https://www.boe.es/gazeta/dias/1812/04/18/pdfs/GRE-1812-49.pdf#page=2","Abrir facsímil")</f>
        <v>Abrir facsímil</v>
      </c>
      <c r="K3903" s="3" t="s">
        <v>23</v>
      </c>
    </row>
    <row r="3904" spans="1:11" ht="42" customHeight="1">
      <c r="A3904" s="2" t="s">
        <v>10380</v>
      </c>
      <c r="B3904" s="2" t="s">
        <v>10380</v>
      </c>
      <c r="C3904" s="2" t="s">
        <v>17</v>
      </c>
      <c r="D3904" s="2" t="s">
        <v>18</v>
      </c>
      <c r="E3904" s="4">
        <v>-31947</v>
      </c>
      <c r="F3904" s="3" t="s">
        <v>10381</v>
      </c>
      <c r="G3904" s="3" t="s">
        <v>10382</v>
      </c>
      <c r="H3904" s="2" t="s">
        <v>21</v>
      </c>
      <c r="I3904" s="2" t="s">
        <v>10383</v>
      </c>
      <c r="J3904" s="3" t="str">
        <f>HYPERLINK("https://www.boe.es/gazeta/dias/1812/07/12/pdfs/GRE-F-1812-87E.pdf#page=1","Abrir facsímil")</f>
        <v>Abrir facsímil</v>
      </c>
      <c r="K3904" s="3" t="s">
        <v>23</v>
      </c>
    </row>
    <row r="3905" spans="1:11" ht="42" customHeight="1">
      <c r="A3905" s="2" t="s">
        <v>10384</v>
      </c>
      <c r="B3905" s="2" t="s">
        <v>10385</v>
      </c>
      <c r="C3905" s="2" t="s">
        <v>17</v>
      </c>
      <c r="D3905" s="2" t="s">
        <v>27</v>
      </c>
      <c r="E3905" s="4">
        <v>-32013</v>
      </c>
      <c r="F3905" s="3" t="s">
        <v>849</v>
      </c>
      <c r="G3905" s="3" t="s">
        <v>20</v>
      </c>
      <c r="H3905" s="2" t="s">
        <v>21</v>
      </c>
      <c r="I3905" s="2" t="s">
        <v>10386</v>
      </c>
      <c r="J3905" s="3" t="str">
        <f>HYPERLINK("https://www.boe.es/gazeta/dias/1812/05/07/pdfs/GRE-1812-57.pdf#page=1","Abrir facsímil")</f>
        <v>Abrir facsímil</v>
      </c>
      <c r="K3905" s="3" t="s">
        <v>23</v>
      </c>
    </row>
    <row r="3906" spans="1:11" ht="42" customHeight="1">
      <c r="A3906" s="2" t="s">
        <v>10384</v>
      </c>
      <c r="B3906" s="2" t="s">
        <v>10385</v>
      </c>
      <c r="C3906" s="2" t="s">
        <v>17</v>
      </c>
      <c r="D3906" s="2" t="s">
        <v>27</v>
      </c>
      <c r="E3906" s="4">
        <v>-31943</v>
      </c>
      <c r="F3906" s="3" t="s">
        <v>2825</v>
      </c>
      <c r="G3906" s="3" t="s">
        <v>10387</v>
      </c>
      <c r="H3906" s="2" t="s">
        <v>21</v>
      </c>
      <c r="I3906" s="2" t="s">
        <v>10388</v>
      </c>
      <c r="J3906" s="3" t="str">
        <f>HYPERLINK("https://www.boe.es/gazeta/dias/1812/07/16/pdfs/GRE-1812-89.pdf#page=5","Abrir facsímil")</f>
        <v>Abrir facsímil</v>
      </c>
      <c r="K3906" s="3" t="s">
        <v>23</v>
      </c>
    </row>
    <row r="3907" spans="1:11" ht="42" customHeight="1">
      <c r="A3907" s="2" t="s">
        <v>10389</v>
      </c>
      <c r="B3907" s="2" t="s">
        <v>10390</v>
      </c>
      <c r="C3907" s="2" t="s">
        <v>17</v>
      </c>
      <c r="D3907" s="2" t="s">
        <v>18</v>
      </c>
      <c r="E3907" s="4">
        <v>-31780</v>
      </c>
      <c r="F3907" s="3" t="s">
        <v>3317</v>
      </c>
      <c r="G3907" s="3" t="s">
        <v>45</v>
      </c>
      <c r="H3907" s="2" t="s">
        <v>21</v>
      </c>
      <c r="I3907" s="2" t="s">
        <v>10391</v>
      </c>
      <c r="J3907" s="3" t="str">
        <f>HYPERLINK("https://www.boe.es/gazeta/dias/1812/12/26/pdfs/GRE-1812-170.pdf#page=3","Abrir facsímil")</f>
        <v>Abrir facsímil</v>
      </c>
      <c r="K3907" s="3" t="s">
        <v>23</v>
      </c>
    </row>
    <row r="3908" spans="1:11" ht="42" customHeight="1">
      <c r="A3908" s="2" t="s">
        <v>10392</v>
      </c>
      <c r="B3908" s="2" t="s">
        <v>10393</v>
      </c>
      <c r="C3908" s="2" t="s">
        <v>186</v>
      </c>
      <c r="D3908" s="2" t="s">
        <v>27</v>
      </c>
      <c r="E3908" s="4">
        <v>-32055</v>
      </c>
      <c r="F3908" s="3" t="s">
        <v>1271</v>
      </c>
      <c r="G3908" s="3" t="s">
        <v>130</v>
      </c>
      <c r="H3908" s="2" t="s">
        <v>21</v>
      </c>
      <c r="I3908" s="2" t="s">
        <v>10394</v>
      </c>
      <c r="J3908" s="3" t="str">
        <f>HYPERLINK("https://www.boe.es/gazeta/dias/1812/03/26/pdfs/GMD-1812-86.pdf#page=4","Abrir facsímil")</f>
        <v>Abrir facsímil</v>
      </c>
      <c r="K3908" s="3" t="s">
        <v>23</v>
      </c>
    </row>
    <row r="3909" spans="1:11" ht="42" customHeight="1">
      <c r="A3909" s="2" t="s">
        <v>10395</v>
      </c>
      <c r="B3909" s="2" t="s">
        <v>10396</v>
      </c>
      <c r="C3909" s="2" t="s">
        <v>26</v>
      </c>
      <c r="D3909" s="2" t="s">
        <v>27</v>
      </c>
      <c r="E3909" s="4">
        <v>-31939</v>
      </c>
      <c r="F3909" s="3" t="s">
        <v>408</v>
      </c>
      <c r="G3909" s="3" t="s">
        <v>20</v>
      </c>
      <c r="H3909" s="2" t="s">
        <v>21</v>
      </c>
      <c r="I3909" s="2" t="s">
        <v>10397</v>
      </c>
      <c r="J3909" s="3" t="str">
        <f>HYPERLINK("https://www.boe.es/gazeta/dias/1812/07/20/pdfs/GMD-1812-202.pdf#page=4","Abrir facsímil")</f>
        <v>Abrir facsímil</v>
      </c>
      <c r="K3909" s="3" t="s">
        <v>23</v>
      </c>
    </row>
    <row r="3910" spans="1:11" ht="42" customHeight="1">
      <c r="A3910" s="2" t="s">
        <v>10398</v>
      </c>
      <c r="B3910" s="2" t="s">
        <v>10399</v>
      </c>
      <c r="C3910" s="2" t="s">
        <v>115</v>
      </c>
      <c r="D3910" s="2" t="s">
        <v>27</v>
      </c>
      <c r="E3910" s="4">
        <v>-32019</v>
      </c>
      <c r="F3910" s="3" t="s">
        <v>476</v>
      </c>
      <c r="G3910" s="3" t="s">
        <v>404</v>
      </c>
      <c r="H3910" s="2" t="s">
        <v>21</v>
      </c>
      <c r="I3910" s="2" t="s">
        <v>10400</v>
      </c>
      <c r="J3910" s="3" t="str">
        <f>HYPERLINK("https://www.boe.es/gazeta/dias/1812/05/01/pdfs/GMD-1812-122.pdf#page=3","Abrir facsímil")</f>
        <v>Abrir facsímil</v>
      </c>
      <c r="K3910" s="3" t="s">
        <v>23</v>
      </c>
    </row>
    <row r="3911" spans="1:11" ht="42" customHeight="1">
      <c r="A3911" s="2" t="s">
        <v>10401</v>
      </c>
      <c r="B3911" s="2" t="s">
        <v>10402</v>
      </c>
      <c r="C3911" s="2" t="s">
        <v>17</v>
      </c>
      <c r="D3911" s="2" t="s">
        <v>27</v>
      </c>
      <c r="E3911" s="4">
        <v>-31812</v>
      </c>
      <c r="F3911" s="3" t="s">
        <v>1533</v>
      </c>
      <c r="G3911" s="3" t="s">
        <v>644</v>
      </c>
      <c r="H3911" s="2" t="s">
        <v>21</v>
      </c>
      <c r="I3911" s="2" t="s">
        <v>10403</v>
      </c>
      <c r="J3911" s="3" t="str">
        <f>HYPERLINK("https://www.boe.es/gazeta/dias/1812/11/24/pdfs/GMR-1812-37.pdf#page=4","Abrir facsímil")</f>
        <v>Abrir facsímil</v>
      </c>
      <c r="K3911" s="3" t="s">
        <v>23</v>
      </c>
    </row>
    <row r="3912" spans="1:11" ht="42" customHeight="1">
      <c r="A3912" s="2" t="s">
        <v>10404</v>
      </c>
      <c r="B3912" s="2" t="s">
        <v>10405</v>
      </c>
      <c r="C3912" s="2" t="s">
        <v>17</v>
      </c>
      <c r="D3912" s="2" t="s">
        <v>27</v>
      </c>
      <c r="E3912" s="4">
        <v>-32127</v>
      </c>
      <c r="F3912" s="3" t="s">
        <v>88</v>
      </c>
      <c r="G3912" s="3" t="s">
        <v>89</v>
      </c>
      <c r="H3912" s="2" t="s">
        <v>21</v>
      </c>
      <c r="I3912" s="2" t="s">
        <v>10406</v>
      </c>
      <c r="J3912" s="3" t="str">
        <f>HYPERLINK("https://www.boe.es/gazeta/dias/1812/01/14/pdfs/GEI-1812-6.pdf#page=8","Abrir facsímil")</f>
        <v>Abrir facsímil</v>
      </c>
      <c r="K3912" s="3" t="s">
        <v>23</v>
      </c>
    </row>
    <row r="3913" spans="1:11" ht="42" customHeight="1">
      <c r="A3913" s="2" t="s">
        <v>10407</v>
      </c>
      <c r="B3913" s="2" t="s">
        <v>10407</v>
      </c>
      <c r="C3913" s="2" t="s">
        <v>17</v>
      </c>
      <c r="D3913" s="2" t="s">
        <v>27</v>
      </c>
      <c r="E3913" s="4">
        <v>-32132</v>
      </c>
      <c r="F3913" s="3" t="s">
        <v>441</v>
      </c>
      <c r="G3913" s="3" t="s">
        <v>172</v>
      </c>
      <c r="H3913" s="2" t="s">
        <v>21</v>
      </c>
      <c r="I3913" s="2" t="s">
        <v>10408</v>
      </c>
      <c r="J3913" s="3" t="str">
        <f>HYPERLINK("https://www.boe.es/gazeta/dias/1812/01/09/pdfs/GMD-1812-9.pdf#page=2","Abrir facsímil")</f>
        <v>Abrir facsímil</v>
      </c>
      <c r="K3913" s="3" t="s">
        <v>23</v>
      </c>
    </row>
    <row r="3914" spans="1:11" ht="42" customHeight="1">
      <c r="A3914" s="2" t="s">
        <v>10409</v>
      </c>
      <c r="B3914" s="2" t="s">
        <v>10409</v>
      </c>
      <c r="C3914" s="2" t="s">
        <v>17</v>
      </c>
      <c r="D3914" s="2" t="s">
        <v>275</v>
      </c>
      <c r="E3914" s="4">
        <v>-31993</v>
      </c>
      <c r="F3914" s="3" t="s">
        <v>10410</v>
      </c>
      <c r="G3914" s="3" t="s">
        <v>237</v>
      </c>
      <c r="H3914" s="2" t="s">
        <v>21</v>
      </c>
      <c r="I3914" s="2" t="s">
        <v>10411</v>
      </c>
      <c r="J3914" s="3" t="str">
        <f>HYPERLINK("https://www.boe.es/gazeta/dias/1812/05/27/pdfs/GMD-1812-148.pdf#page=3","Abrir facsímil")</f>
        <v>Abrir facsímil</v>
      </c>
      <c r="K3914" s="3" t="s">
        <v>23</v>
      </c>
    </row>
    <row r="3915" spans="1:11" ht="42" customHeight="1">
      <c r="A3915" s="2" t="s">
        <v>10412</v>
      </c>
      <c r="B3915" s="2" t="s">
        <v>10412</v>
      </c>
      <c r="C3915" s="2" t="s">
        <v>17</v>
      </c>
      <c r="D3915" s="2" t="s">
        <v>27</v>
      </c>
      <c r="E3915" s="4">
        <v>-32022</v>
      </c>
      <c r="F3915" s="3" t="s">
        <v>1554</v>
      </c>
      <c r="G3915" s="3" t="s">
        <v>217</v>
      </c>
      <c r="H3915" s="2" t="s">
        <v>21</v>
      </c>
      <c r="I3915" s="2" t="s">
        <v>10413</v>
      </c>
      <c r="J3915" s="3" t="str">
        <f>HYPERLINK("https://www.boe.es/gazeta/dias/1812/04/28/pdfs/GMD-1812-119.pdf#page=1","Abrir facsímil")</f>
        <v>Abrir facsímil</v>
      </c>
      <c r="K3915" s="3" t="s">
        <v>23</v>
      </c>
    </row>
    <row r="3916" spans="1:11" ht="42" customHeight="1">
      <c r="A3916" s="2" t="s">
        <v>10414</v>
      </c>
      <c r="B3916" s="2" t="s">
        <v>10414</v>
      </c>
      <c r="C3916" s="2" t="s">
        <v>17</v>
      </c>
      <c r="D3916" s="2" t="s">
        <v>18</v>
      </c>
      <c r="E3916" s="4">
        <v>-32028</v>
      </c>
      <c r="F3916" s="3" t="s">
        <v>10415</v>
      </c>
      <c r="G3916" s="3" t="s">
        <v>10416</v>
      </c>
      <c r="H3916" s="2" t="s">
        <v>21</v>
      </c>
      <c r="I3916" s="2" t="s">
        <v>10417</v>
      </c>
      <c r="J3916" s="3" t="str">
        <f>HYPERLINK("https://www.boe.es/gazeta/dias/1812/04/22/pdfs/GMD-1812-113.pdf#page=1","Abrir facsímil")</f>
        <v>Abrir facsímil</v>
      </c>
      <c r="K3916" s="3" t="s">
        <v>23</v>
      </c>
    </row>
    <row r="3917" spans="1:11" ht="42" customHeight="1">
      <c r="A3917" s="2" t="s">
        <v>10414</v>
      </c>
      <c r="B3917" s="2" t="s">
        <v>10414</v>
      </c>
      <c r="C3917" s="2" t="s">
        <v>17</v>
      </c>
      <c r="D3917" s="2" t="s">
        <v>18</v>
      </c>
      <c r="E3917" s="4">
        <v>-31798</v>
      </c>
      <c r="F3917" s="3" t="s">
        <v>1849</v>
      </c>
      <c r="G3917" s="3" t="s">
        <v>237</v>
      </c>
      <c r="H3917" s="2" t="s">
        <v>21</v>
      </c>
      <c r="I3917" s="2" t="s">
        <v>10418</v>
      </c>
      <c r="J3917" s="3" t="str">
        <f>HYPERLINK("https://www.boe.es/gazeta/dias/1812/12/08/pdfs/GMD-1812-231.pdf#page=2","Abrir facsímil")</f>
        <v>Abrir facsímil</v>
      </c>
      <c r="K3917" s="3" t="s">
        <v>23</v>
      </c>
    </row>
    <row r="3918" spans="1:11" ht="42" customHeight="1">
      <c r="A3918" s="2" t="s">
        <v>10414</v>
      </c>
      <c r="B3918" s="2" t="s">
        <v>10414</v>
      </c>
      <c r="C3918" s="2" t="s">
        <v>17</v>
      </c>
      <c r="D3918" s="2" t="s">
        <v>27</v>
      </c>
      <c r="E3918" s="4">
        <v>-31795</v>
      </c>
      <c r="F3918" s="3" t="s">
        <v>2344</v>
      </c>
      <c r="G3918" s="3" t="s">
        <v>2280</v>
      </c>
      <c r="H3918" s="2" t="s">
        <v>21</v>
      </c>
      <c r="I3918" s="2" t="s">
        <v>10419</v>
      </c>
      <c r="J3918" s="3" t="str">
        <f>HYPERLINK("https://www.boe.es/gazeta/dias/1812/12/11/pdfs/GMD-1812-234.pdf#page=1","Abrir facsímil")</f>
        <v>Abrir facsímil</v>
      </c>
      <c r="K3918" s="3" t="s">
        <v>23</v>
      </c>
    </row>
    <row r="3919" spans="1:11" ht="42" customHeight="1">
      <c r="A3919" s="2" t="s">
        <v>10420</v>
      </c>
      <c r="B3919" s="2" t="s">
        <v>10420</v>
      </c>
      <c r="C3919" s="2" t="s">
        <v>17</v>
      </c>
      <c r="D3919" s="2" t="s">
        <v>27</v>
      </c>
      <c r="E3919" s="4">
        <v>-31797</v>
      </c>
      <c r="F3919" s="3" t="s">
        <v>738</v>
      </c>
      <c r="G3919" s="3" t="s">
        <v>217</v>
      </c>
      <c r="H3919" s="2" t="s">
        <v>21</v>
      </c>
      <c r="I3919" s="2" t="s">
        <v>10421</v>
      </c>
      <c r="J3919" s="3" t="str">
        <f>HYPERLINK("https://www.boe.es/gazeta/dias/1812/12/09/pdfs/GMD-1812-232.pdf#page=1","Abrir facsímil")</f>
        <v>Abrir facsímil</v>
      </c>
      <c r="K3919" s="3" t="s">
        <v>23</v>
      </c>
    </row>
    <row r="3920" spans="1:11" ht="42" customHeight="1">
      <c r="A3920" s="2" t="s">
        <v>10422</v>
      </c>
      <c r="B3920" s="2" t="s">
        <v>10422</v>
      </c>
      <c r="C3920" s="2" t="s">
        <v>17</v>
      </c>
      <c r="D3920" s="2" t="s">
        <v>27</v>
      </c>
      <c r="E3920" s="4">
        <v>-32023</v>
      </c>
      <c r="F3920" s="3" t="s">
        <v>1537</v>
      </c>
      <c r="G3920" s="3" t="s">
        <v>7184</v>
      </c>
      <c r="H3920" s="2" t="s">
        <v>21</v>
      </c>
      <c r="I3920" s="2" t="s">
        <v>10423</v>
      </c>
      <c r="J3920" s="3" t="str">
        <f>HYPERLINK("https://www.boe.es/gazeta/dias/1812/04/27/pdfs/GMD-1812-118.pdf#page=1","Abrir facsímil")</f>
        <v>Abrir facsímil</v>
      </c>
      <c r="K3920" s="3" t="s">
        <v>23</v>
      </c>
    </row>
    <row r="3921" spans="1:11" ht="42" customHeight="1">
      <c r="A3921" s="2" t="s">
        <v>10422</v>
      </c>
      <c r="B3921" s="2" t="s">
        <v>10422</v>
      </c>
      <c r="C3921" s="2" t="s">
        <v>17</v>
      </c>
      <c r="D3921" s="2" t="s">
        <v>194</v>
      </c>
      <c r="E3921" s="4">
        <v>-31917</v>
      </c>
      <c r="F3921" s="3" t="s">
        <v>946</v>
      </c>
      <c r="G3921" s="3" t="s">
        <v>404</v>
      </c>
      <c r="H3921" s="2" t="s">
        <v>21</v>
      </c>
      <c r="I3921" s="2" t="s">
        <v>10424</v>
      </c>
      <c r="J3921" s="3" t="str">
        <f>HYPERLINK("https://www.boe.es/gazeta/dias/1812/08/11/pdfs/GRE-1812-103.pdf#page=2","Abrir facsímil")</f>
        <v>Abrir facsímil</v>
      </c>
      <c r="K3921" s="3" t="s">
        <v>23</v>
      </c>
    </row>
    <row r="3922" spans="1:11" ht="42" customHeight="1">
      <c r="A3922" s="2" t="s">
        <v>10425</v>
      </c>
      <c r="B3922" s="2" t="s">
        <v>10425</v>
      </c>
      <c r="C3922" s="2" t="s">
        <v>115</v>
      </c>
      <c r="D3922" s="2" t="s">
        <v>27</v>
      </c>
      <c r="E3922" s="4">
        <v>-32019</v>
      </c>
      <c r="F3922" s="3" t="s">
        <v>476</v>
      </c>
      <c r="G3922" s="3" t="s">
        <v>404</v>
      </c>
      <c r="H3922" s="2" t="s">
        <v>21</v>
      </c>
      <c r="I3922" s="2" t="s">
        <v>10426</v>
      </c>
      <c r="J3922" s="3" t="str">
        <f>HYPERLINK("https://www.boe.es/gazeta/dias/1812/05/01/pdfs/GMD-1812-122.pdf#page=3","Abrir facsímil")</f>
        <v>Abrir facsímil</v>
      </c>
      <c r="K3922" s="3" t="s">
        <v>23</v>
      </c>
    </row>
    <row r="3923" spans="1:11" ht="42" customHeight="1">
      <c r="A3923" s="2" t="s">
        <v>10427</v>
      </c>
      <c r="B3923" s="2" t="s">
        <v>10427</v>
      </c>
      <c r="C3923" s="2" t="s">
        <v>115</v>
      </c>
      <c r="D3923" s="2" t="s">
        <v>27</v>
      </c>
      <c r="E3923" s="4">
        <v>-32095</v>
      </c>
      <c r="F3923" s="3" t="s">
        <v>181</v>
      </c>
      <c r="G3923" s="3" t="s">
        <v>182</v>
      </c>
      <c r="H3923" s="2" t="s">
        <v>21</v>
      </c>
      <c r="I3923" s="2" t="s">
        <v>10428</v>
      </c>
      <c r="J3923" s="3" t="str">
        <f>HYPERLINK("https://www.boe.es/gazeta/dias/1812/02/15/pdfs/GMD-1812-47.pdf#page=4","Abrir facsímil")</f>
        <v>Abrir facsímil</v>
      </c>
      <c r="K3923" s="3" t="s">
        <v>23</v>
      </c>
    </row>
    <row r="3924" spans="1:11" ht="42" customHeight="1">
      <c r="A3924" s="2" t="s">
        <v>10427</v>
      </c>
      <c r="B3924" s="2" t="s">
        <v>10427</v>
      </c>
      <c r="C3924" s="2" t="s">
        <v>115</v>
      </c>
      <c r="D3924" s="2" t="s">
        <v>27</v>
      </c>
      <c r="E3924" s="4">
        <v>-32094</v>
      </c>
      <c r="F3924" s="3" t="s">
        <v>181</v>
      </c>
      <c r="G3924" s="3" t="s">
        <v>182</v>
      </c>
      <c r="H3924" s="2" t="s">
        <v>21</v>
      </c>
      <c r="I3924" s="2" t="s">
        <v>10428</v>
      </c>
      <c r="J3924" s="3" t="str">
        <f>HYPERLINK("https://www.boe.es/gazeta/dias/1812/02/16/pdfs/GMD-1812-47.pdf#page=4","Abrir facsímil")</f>
        <v>Abrir facsímil</v>
      </c>
      <c r="K3924" s="3" t="s">
        <v>23</v>
      </c>
    </row>
    <row r="3925" spans="1:11" ht="42" customHeight="1">
      <c r="A3925" s="2" t="s">
        <v>10427</v>
      </c>
      <c r="B3925" s="2" t="s">
        <v>10427</v>
      </c>
      <c r="C3925" s="2" t="s">
        <v>26</v>
      </c>
      <c r="D3925" s="2" t="s">
        <v>27</v>
      </c>
      <c r="E3925" s="4">
        <v>-32074</v>
      </c>
      <c r="F3925" s="3" t="s">
        <v>816</v>
      </c>
      <c r="G3925" s="3" t="s">
        <v>777</v>
      </c>
      <c r="H3925" s="2" t="s">
        <v>21</v>
      </c>
      <c r="I3925" s="2" t="s">
        <v>10429</v>
      </c>
      <c r="J3925" s="3" t="str">
        <f>HYPERLINK("https://www.boe.es/gazeta/dias/1812/03/07/pdfs/GRE-1812-30.pdf#page=8","Abrir facsímil")</f>
        <v>Abrir facsímil</v>
      </c>
      <c r="K3925" s="3" t="s">
        <v>23</v>
      </c>
    </row>
    <row r="3926" spans="1:11" ht="42" customHeight="1">
      <c r="A3926" s="2" t="s">
        <v>10430</v>
      </c>
      <c r="B3926" s="2" t="s">
        <v>10430</v>
      </c>
      <c r="C3926" s="2" t="s">
        <v>26</v>
      </c>
      <c r="D3926" s="2" t="s">
        <v>194</v>
      </c>
      <c r="E3926" s="4">
        <v>-32020</v>
      </c>
      <c r="F3926" s="3" t="s">
        <v>1860</v>
      </c>
      <c r="G3926" s="3" t="s">
        <v>10431</v>
      </c>
      <c r="H3926" s="2" t="s">
        <v>21</v>
      </c>
      <c r="I3926" s="2" t="s">
        <v>10432</v>
      </c>
      <c r="J3926" s="3" t="str">
        <f>HYPERLINK("https://www.boe.es/gazeta/dias/1812/04/30/pdfs/GMD-1812-121.pdf#page=1","Abrir facsímil")</f>
        <v>Abrir facsímil</v>
      </c>
      <c r="K3926" s="3" t="s">
        <v>23</v>
      </c>
    </row>
    <row r="3927" spans="1:11" ht="42" customHeight="1">
      <c r="A3927" s="2" t="s">
        <v>10433</v>
      </c>
      <c r="B3927" s="2" t="s">
        <v>10433</v>
      </c>
      <c r="C3927" s="2" t="s">
        <v>17</v>
      </c>
      <c r="D3927" s="2" t="s">
        <v>27</v>
      </c>
      <c r="E3927" s="4">
        <v>-31973</v>
      </c>
      <c r="F3927" s="3" t="s">
        <v>1735</v>
      </c>
      <c r="G3927" s="3" t="s">
        <v>125</v>
      </c>
      <c r="H3927" s="2" t="s">
        <v>21</v>
      </c>
      <c r="I3927" s="2" t="s">
        <v>10434</v>
      </c>
      <c r="J3927" s="3" t="str">
        <f>HYPERLINK("https://www.boe.es/gazeta/dias/1812/06/16/pdfs/GRE-1812-74.pdf#page=4","Abrir facsímil")</f>
        <v>Abrir facsímil</v>
      </c>
      <c r="K3927" s="3" t="s">
        <v>23</v>
      </c>
    </row>
    <row r="3928" spans="1:11" ht="42" customHeight="1">
      <c r="A3928" s="2" t="s">
        <v>10433</v>
      </c>
      <c r="B3928" s="2" t="s">
        <v>10433</v>
      </c>
      <c r="C3928" s="2" t="s">
        <v>26</v>
      </c>
      <c r="D3928" s="2" t="s">
        <v>275</v>
      </c>
      <c r="E3928" s="4">
        <v>-31964</v>
      </c>
      <c r="F3928" s="3" t="s">
        <v>305</v>
      </c>
      <c r="G3928" s="3" t="s">
        <v>58</v>
      </c>
      <c r="H3928" s="2" t="s">
        <v>21</v>
      </c>
      <c r="I3928" s="2" t="s">
        <v>10435</v>
      </c>
      <c r="J3928" s="3" t="str">
        <f>HYPERLINK("https://www.boe.es/gazeta/dias/1812/06/25/pdfs/GMD-1812-177.pdf#page=2","Abrir facsímil")</f>
        <v>Abrir facsímil</v>
      </c>
      <c r="K3928" s="3" t="s">
        <v>23</v>
      </c>
    </row>
    <row r="3929" spans="1:11" ht="42" customHeight="1">
      <c r="A3929" s="2" t="s">
        <v>10436</v>
      </c>
      <c r="B3929" s="2" t="s">
        <v>10437</v>
      </c>
      <c r="C3929" s="2" t="s">
        <v>115</v>
      </c>
      <c r="D3929" s="2" t="s">
        <v>27</v>
      </c>
      <c r="E3929" s="4">
        <v>-32044</v>
      </c>
      <c r="F3929" s="3" t="s">
        <v>1031</v>
      </c>
      <c r="G3929" s="3" t="s">
        <v>1873</v>
      </c>
      <c r="H3929" s="2" t="s">
        <v>30</v>
      </c>
      <c r="I3929" s="2" t="s">
        <v>10438</v>
      </c>
      <c r="J3929" s="3" t="str">
        <f>HYPERLINK("https://www.boe.es/gazeta/dias/1812/04/06/pdfs/GMD-1812-97.pdf#page=4","Abrir facsímil")</f>
        <v>Abrir facsímil</v>
      </c>
      <c r="K3929" s="3" t="s">
        <v>32</v>
      </c>
    </row>
    <row r="3930" spans="1:11" ht="42" customHeight="1">
      <c r="A3930" s="2" t="s">
        <v>10439</v>
      </c>
      <c r="B3930" s="2" t="s">
        <v>10439</v>
      </c>
      <c r="C3930" s="2" t="s">
        <v>186</v>
      </c>
      <c r="D3930" s="2" t="s">
        <v>27</v>
      </c>
      <c r="E3930" s="4">
        <v>-32085</v>
      </c>
      <c r="F3930" s="3" t="s">
        <v>1877</v>
      </c>
      <c r="G3930" s="3" t="s">
        <v>4321</v>
      </c>
      <c r="H3930" s="2" t="s">
        <v>21</v>
      </c>
      <c r="I3930" s="2" t="s">
        <v>10440</v>
      </c>
      <c r="J3930" s="3" t="str">
        <f>HYPERLINK("https://www.boe.es/gazeta/dias/1812/02/25/pdfs/GMD-1812-56.pdf#page=3","Abrir facsímil")</f>
        <v>Abrir facsímil</v>
      </c>
      <c r="K3930" s="3" t="s">
        <v>23</v>
      </c>
    </row>
    <row r="3931" spans="1:11" ht="42" customHeight="1">
      <c r="A3931" s="2" t="s">
        <v>10441</v>
      </c>
      <c r="B3931" s="2" t="s">
        <v>10441</v>
      </c>
      <c r="C3931" s="2" t="s">
        <v>17</v>
      </c>
      <c r="D3931" s="2" t="s">
        <v>18</v>
      </c>
      <c r="E3931" s="4">
        <v>-31905</v>
      </c>
      <c r="F3931" s="3" t="s">
        <v>855</v>
      </c>
      <c r="G3931" s="3" t="s">
        <v>1826</v>
      </c>
      <c r="H3931" s="2" t="s">
        <v>21</v>
      </c>
      <c r="I3931" s="2" t="s">
        <v>10442</v>
      </c>
      <c r="J3931" s="3" t="str">
        <f>HYPERLINK("https://www.boe.es/gazeta/dias/1812/08/23/pdfs/GMR-1812-4.pdf#page=7","Abrir facsímil")</f>
        <v>Abrir facsímil</v>
      </c>
      <c r="K3931" s="3" t="s">
        <v>23</v>
      </c>
    </row>
    <row r="3932" spans="1:11" ht="42" customHeight="1">
      <c r="A3932" s="2" t="s">
        <v>10443</v>
      </c>
      <c r="B3932" s="2" t="s">
        <v>10443</v>
      </c>
      <c r="C3932" s="2" t="s">
        <v>17</v>
      </c>
      <c r="D3932" s="2" t="s">
        <v>18</v>
      </c>
      <c r="E3932" s="4">
        <v>-32025</v>
      </c>
      <c r="F3932" s="3" t="s">
        <v>2323</v>
      </c>
      <c r="G3932" s="3" t="s">
        <v>45</v>
      </c>
      <c r="H3932" s="2" t="s">
        <v>21</v>
      </c>
      <c r="I3932" s="2" t="s">
        <v>10444</v>
      </c>
      <c r="J3932" s="3" t="str">
        <f>HYPERLINK("https://www.boe.es/gazeta/dias/1812/04/25/pdfs/GRE-1812-52.pdf#page=6","Abrir facsímil")</f>
        <v>Abrir facsímil</v>
      </c>
      <c r="K3932" s="3" t="s">
        <v>23</v>
      </c>
    </row>
    <row r="3933" spans="1:11" ht="42" customHeight="1">
      <c r="A3933" s="2" t="s">
        <v>10443</v>
      </c>
      <c r="B3933" s="2" t="s">
        <v>10443</v>
      </c>
      <c r="C3933" s="2" t="s">
        <v>105</v>
      </c>
      <c r="D3933" s="2" t="s">
        <v>194</v>
      </c>
      <c r="E3933" s="4">
        <v>-31970</v>
      </c>
      <c r="F3933" s="3" t="s">
        <v>10445</v>
      </c>
      <c r="G3933" s="3" t="s">
        <v>2251</v>
      </c>
      <c r="H3933" s="2" t="s">
        <v>21</v>
      </c>
      <c r="I3933" s="2" t="s">
        <v>10446</v>
      </c>
      <c r="J3933" s="3" t="str">
        <f>HYPERLINK("https://www.boe.es/gazeta/dias/1812/06/19/pdfs/GMD-1812-171.pdf#page=1","Abrir facsímil")</f>
        <v>Abrir facsímil</v>
      </c>
      <c r="K3933" s="3" t="s">
        <v>23</v>
      </c>
    </row>
    <row r="3934" spans="1:11" ht="42" customHeight="1">
      <c r="A3934" s="2" t="s">
        <v>10443</v>
      </c>
      <c r="B3934" s="2" t="s">
        <v>10443</v>
      </c>
      <c r="C3934" s="2" t="s">
        <v>105</v>
      </c>
      <c r="D3934" s="2" t="s">
        <v>27</v>
      </c>
      <c r="E3934" s="4">
        <v>-31776</v>
      </c>
      <c r="F3934" s="3" t="s">
        <v>3296</v>
      </c>
      <c r="G3934" s="3" t="s">
        <v>196</v>
      </c>
      <c r="H3934" s="2" t="s">
        <v>21</v>
      </c>
      <c r="I3934" s="2" t="s">
        <v>10447</v>
      </c>
      <c r="J3934" s="3" t="str">
        <f>HYPERLINK("https://www.boe.es/gazeta/dias/1812/12/30/pdfs/GMD-1812-253.pdf#page=1","Abrir facsímil")</f>
        <v>Abrir facsímil</v>
      </c>
      <c r="K3934" s="3" t="s">
        <v>23</v>
      </c>
    </row>
    <row r="3935" spans="1:11" ht="42" customHeight="1">
      <c r="A3935" s="2" t="s">
        <v>10448</v>
      </c>
      <c r="B3935" s="2" t="s">
        <v>10449</v>
      </c>
      <c r="C3935" s="2" t="s">
        <v>26</v>
      </c>
      <c r="D3935" s="2" t="s">
        <v>27</v>
      </c>
      <c r="E3935" s="4">
        <v>-32015</v>
      </c>
      <c r="F3935" s="3" t="s">
        <v>77</v>
      </c>
      <c r="G3935" s="3" t="s">
        <v>78</v>
      </c>
      <c r="H3935" s="2" t="s">
        <v>21</v>
      </c>
      <c r="I3935" s="2" t="s">
        <v>10450</v>
      </c>
      <c r="J3935" s="3" t="str">
        <f>HYPERLINK("https://www.boe.es/gazeta/dias/1812/05/05/pdfs/GRE-1812-56.pdf#page=8","Abrir facsímil")</f>
        <v>Abrir facsímil</v>
      </c>
      <c r="K3935" s="3" t="s">
        <v>23</v>
      </c>
    </row>
    <row r="3936" spans="1:11" ht="42" customHeight="1">
      <c r="A3936" s="2" t="s">
        <v>10451</v>
      </c>
      <c r="B3936" s="2" t="s">
        <v>10452</v>
      </c>
      <c r="C3936" s="2" t="s">
        <v>26</v>
      </c>
      <c r="D3936" s="2" t="s">
        <v>27</v>
      </c>
      <c r="E3936" s="4">
        <v>-32137</v>
      </c>
      <c r="F3936" s="3" t="s">
        <v>355</v>
      </c>
      <c r="G3936" s="3" t="s">
        <v>117</v>
      </c>
      <c r="H3936" s="2" t="s">
        <v>21</v>
      </c>
      <c r="I3936" s="2" t="s">
        <v>10453</v>
      </c>
      <c r="J3936" s="3" t="str">
        <f>HYPERLINK("https://www.boe.es/gazeta/dias/1812/01/04/pdfs/GEI-1812-2.pdf#page=8","Abrir facsímil")</f>
        <v>Abrir facsímil</v>
      </c>
      <c r="K3936" s="3" t="s">
        <v>23</v>
      </c>
    </row>
    <row r="3937" spans="1:11" ht="42" customHeight="1">
      <c r="A3937" s="2" t="s">
        <v>10454</v>
      </c>
      <c r="B3937" s="2" t="s">
        <v>10455</v>
      </c>
      <c r="C3937" s="2" t="s">
        <v>26</v>
      </c>
      <c r="D3937" s="2" t="s">
        <v>27</v>
      </c>
      <c r="E3937" s="4">
        <v>-32090</v>
      </c>
      <c r="F3937" s="3" t="s">
        <v>142</v>
      </c>
      <c r="G3937" s="3" t="s">
        <v>29</v>
      </c>
      <c r="H3937" s="2" t="s">
        <v>21</v>
      </c>
      <c r="I3937" s="2" t="s">
        <v>10456</v>
      </c>
      <c r="J3937" s="3" t="str">
        <f>HYPERLINK("https://www.boe.es/gazeta/dias/1812/02/20/pdfs/GRE-1812-22.pdf#page=8","Abrir facsímil")</f>
        <v>Abrir facsímil</v>
      </c>
      <c r="K3937" s="3" t="s">
        <v>23</v>
      </c>
    </row>
    <row r="3938" spans="1:11" ht="42" customHeight="1">
      <c r="A3938" s="2" t="s">
        <v>10457</v>
      </c>
      <c r="B3938" s="2" t="s">
        <v>10457</v>
      </c>
      <c r="C3938" s="2" t="s">
        <v>17</v>
      </c>
      <c r="D3938" s="2" t="s">
        <v>18</v>
      </c>
      <c r="E3938" s="4">
        <v>-31861</v>
      </c>
      <c r="F3938" s="3" t="s">
        <v>1080</v>
      </c>
      <c r="G3938" s="3" t="s">
        <v>2313</v>
      </c>
      <c r="H3938" s="2" t="s">
        <v>21</v>
      </c>
      <c r="I3938" s="2" t="s">
        <v>10458</v>
      </c>
      <c r="J3938" s="3" t="str">
        <f>HYPERLINK("https://www.boe.es/gazeta/dias/1812/10/06/pdfs/GMR-1812-23.pdf#page=5","Abrir facsímil")</f>
        <v>Abrir facsímil</v>
      </c>
      <c r="K3938" s="3" t="s">
        <v>23</v>
      </c>
    </row>
    <row r="3939" spans="1:11" ht="42" customHeight="1">
      <c r="A3939" s="2" t="s">
        <v>10457</v>
      </c>
      <c r="B3939" s="2" t="s">
        <v>10457</v>
      </c>
      <c r="C3939" s="2" t="s">
        <v>17</v>
      </c>
      <c r="D3939" s="2" t="s">
        <v>18</v>
      </c>
      <c r="E3939" s="4">
        <v>-31861</v>
      </c>
      <c r="F3939" s="3" t="s">
        <v>1080</v>
      </c>
      <c r="G3939" s="3" t="s">
        <v>3975</v>
      </c>
      <c r="H3939" s="2" t="s">
        <v>21</v>
      </c>
      <c r="I3939" s="2" t="s">
        <v>10459</v>
      </c>
      <c r="J3939" s="3" t="str">
        <f>HYPERLINK("https://www.boe.es/gazeta/dias/1812/10/06/pdfs/GMR-1812-23.pdf#page=9","Abrir facsímil")</f>
        <v>Abrir facsímil</v>
      </c>
      <c r="K3939" s="3" t="s">
        <v>23</v>
      </c>
    </row>
    <row r="3940" spans="1:11" ht="42" customHeight="1">
      <c r="A3940" s="2" t="s">
        <v>10457</v>
      </c>
      <c r="B3940" s="2" t="s">
        <v>10457</v>
      </c>
      <c r="C3940" s="2" t="s">
        <v>17</v>
      </c>
      <c r="D3940" s="2" t="s">
        <v>27</v>
      </c>
      <c r="E3940" s="4">
        <v>-31800</v>
      </c>
      <c r="F3940" s="3" t="s">
        <v>593</v>
      </c>
      <c r="G3940" s="3" t="s">
        <v>594</v>
      </c>
      <c r="H3940" s="2" t="s">
        <v>21</v>
      </c>
      <c r="I3940" s="2" t="s">
        <v>10460</v>
      </c>
      <c r="J3940" s="3" t="str">
        <f>HYPERLINK("https://www.boe.es/gazeta/dias/1812/12/06/pdfs/GMD-1812-229.pdf#page=3","Abrir facsímil")</f>
        <v>Abrir facsímil</v>
      </c>
      <c r="K3940" s="3" t="s">
        <v>23</v>
      </c>
    </row>
    <row r="3941" spans="1:11" ht="42" customHeight="1">
      <c r="A3941" s="2" t="s">
        <v>10457</v>
      </c>
      <c r="B3941" s="2" t="s">
        <v>10457</v>
      </c>
      <c r="C3941" s="2" t="s">
        <v>17</v>
      </c>
      <c r="D3941" s="2" t="s">
        <v>18</v>
      </c>
      <c r="E3941" s="4">
        <v>-31798</v>
      </c>
      <c r="F3941" s="3" t="s">
        <v>1849</v>
      </c>
      <c r="G3941" s="3" t="s">
        <v>1850</v>
      </c>
      <c r="H3941" s="2" t="s">
        <v>21</v>
      </c>
      <c r="I3941" s="2" t="s">
        <v>10461</v>
      </c>
      <c r="J3941" s="3" t="str">
        <f>HYPERLINK("https://www.boe.es/gazeta/dias/1812/12/08/pdfs/GMD-1812-231.pdf#page=3","Abrir facsímil")</f>
        <v>Abrir facsímil</v>
      </c>
      <c r="K3941" s="3" t="s">
        <v>23</v>
      </c>
    </row>
    <row r="3942" spans="1:11" ht="42" customHeight="1">
      <c r="A3942" s="2" t="s">
        <v>10457</v>
      </c>
      <c r="B3942" s="2" t="s">
        <v>10457</v>
      </c>
      <c r="C3942" s="2" t="s">
        <v>17</v>
      </c>
      <c r="D3942" s="2" t="s">
        <v>27</v>
      </c>
      <c r="E3942" s="4">
        <v>-31782</v>
      </c>
      <c r="F3942" s="3" t="s">
        <v>4408</v>
      </c>
      <c r="G3942" s="3" t="s">
        <v>4409</v>
      </c>
      <c r="H3942" s="2" t="s">
        <v>21</v>
      </c>
      <c r="I3942" s="2" t="s">
        <v>10462</v>
      </c>
      <c r="J3942" s="3" t="str">
        <f>HYPERLINK("https://www.boe.es/gazeta/dias/1812/12/24/pdfs/GMD-1812-247.pdf#page=4","Abrir facsímil")</f>
        <v>Abrir facsímil</v>
      </c>
      <c r="K3942" s="3" t="s">
        <v>23</v>
      </c>
    </row>
    <row r="3943" spans="1:11" ht="42" customHeight="1">
      <c r="A3943" s="2" t="s">
        <v>10463</v>
      </c>
      <c r="B3943" s="2" t="s">
        <v>10463</v>
      </c>
      <c r="C3943" s="2" t="s">
        <v>17</v>
      </c>
      <c r="D3943" s="2" t="s">
        <v>27</v>
      </c>
      <c r="E3943" s="4">
        <v>-31793</v>
      </c>
      <c r="F3943" s="3" t="s">
        <v>2570</v>
      </c>
      <c r="G3943" s="3" t="s">
        <v>1953</v>
      </c>
      <c r="H3943" s="2" t="s">
        <v>21</v>
      </c>
      <c r="I3943" s="2" t="s">
        <v>10464</v>
      </c>
      <c r="J3943" s="3" t="str">
        <f>HYPERLINK("https://www.boe.es/gazeta/dias/1812/12/13/pdfs/GMD-1812-236.pdf#page=3","Abrir facsímil")</f>
        <v>Abrir facsímil</v>
      </c>
      <c r="K3943" s="3" t="s">
        <v>23</v>
      </c>
    </row>
    <row r="3944" spans="1:11" ht="42" customHeight="1">
      <c r="A3944" s="2" t="s">
        <v>10465</v>
      </c>
      <c r="B3944" s="2" t="s">
        <v>10465</v>
      </c>
      <c r="C3944" s="2" t="s">
        <v>17</v>
      </c>
      <c r="D3944" s="2" t="s">
        <v>275</v>
      </c>
      <c r="E3944" s="4">
        <v>-31940</v>
      </c>
      <c r="F3944" s="3" t="s">
        <v>187</v>
      </c>
      <c r="G3944" s="3" t="s">
        <v>45</v>
      </c>
      <c r="H3944" s="2" t="s">
        <v>21</v>
      </c>
      <c r="I3944" s="2" t="s">
        <v>10466</v>
      </c>
      <c r="J3944" s="3" t="str">
        <f>HYPERLINK("https://www.boe.es/gazeta/dias/1812/07/19/pdfs/GMD-1812-201.pdf#page=2","Abrir facsímil")</f>
        <v>Abrir facsímil</v>
      </c>
      <c r="K3944" s="3" t="s">
        <v>23</v>
      </c>
    </row>
    <row r="3945" spans="1:11" ht="42" customHeight="1">
      <c r="A3945" s="2" t="s">
        <v>10467</v>
      </c>
      <c r="B3945" s="2" t="s">
        <v>10468</v>
      </c>
      <c r="C3945" s="2" t="s">
        <v>26</v>
      </c>
      <c r="D3945" s="2" t="s">
        <v>27</v>
      </c>
      <c r="E3945" s="4">
        <v>-31868</v>
      </c>
      <c r="F3945" s="3" t="s">
        <v>711</v>
      </c>
      <c r="G3945" s="3" t="s">
        <v>8849</v>
      </c>
      <c r="H3945" s="2" t="s">
        <v>21</v>
      </c>
      <c r="I3945" s="2" t="s">
        <v>10469</v>
      </c>
      <c r="J3945" s="3" t="str">
        <f>HYPERLINK("https://www.boe.es/gazeta/dias/1812/09/29/pdfs/GRE-1812-132.pdf#page=5","Abrir facsímil")</f>
        <v>Abrir facsímil</v>
      </c>
      <c r="K3945" s="3" t="s">
        <v>23</v>
      </c>
    </row>
    <row r="3946" spans="1:11" ht="42" customHeight="1">
      <c r="A3946" s="2" t="s">
        <v>10470</v>
      </c>
      <c r="B3946" s="2" t="s">
        <v>10471</v>
      </c>
      <c r="C3946" s="2" t="s">
        <v>17</v>
      </c>
      <c r="D3946" s="2" t="s">
        <v>27</v>
      </c>
      <c r="E3946" s="4">
        <v>-31796</v>
      </c>
      <c r="F3946" s="3" t="s">
        <v>741</v>
      </c>
      <c r="G3946" s="3" t="s">
        <v>7510</v>
      </c>
      <c r="H3946" s="2" t="s">
        <v>21</v>
      </c>
      <c r="I3946" s="2" t="s">
        <v>10472</v>
      </c>
      <c r="J3946" s="3" t="str">
        <f>HYPERLINK("https://www.boe.es/gazeta/dias/1812/12/10/pdfs/GRE-1812-163.pdf#page=7","Abrir facsímil")</f>
        <v>Abrir facsímil</v>
      </c>
      <c r="K3946" s="3" t="s">
        <v>23</v>
      </c>
    </row>
    <row r="3947" spans="1:11" ht="42" customHeight="1">
      <c r="A3947" s="2" t="s">
        <v>10473</v>
      </c>
      <c r="B3947" s="2" t="s">
        <v>10474</v>
      </c>
      <c r="C3947" s="2" t="s">
        <v>49</v>
      </c>
      <c r="D3947" s="2" t="s">
        <v>27</v>
      </c>
      <c r="E3947" s="4">
        <v>-31826</v>
      </c>
      <c r="F3947" s="3" t="s">
        <v>7488</v>
      </c>
      <c r="G3947" s="3" t="s">
        <v>8941</v>
      </c>
      <c r="H3947" s="2" t="s">
        <v>21</v>
      </c>
      <c r="I3947" s="2" t="s">
        <v>10475</v>
      </c>
      <c r="J3947" s="3" t="str">
        <f>HYPERLINK("https://www.boe.es/gazeta/dias/1812/11/10/pdfs/GRE-1812-150.pdf#page=7","Abrir facsímil")</f>
        <v>Abrir facsímil</v>
      </c>
      <c r="K3947" s="3" t="s">
        <v>23</v>
      </c>
    </row>
    <row r="3948" spans="1:11" ht="42" customHeight="1">
      <c r="A3948" s="2" t="s">
        <v>10476</v>
      </c>
      <c r="B3948" s="2" t="s">
        <v>10477</v>
      </c>
      <c r="C3948" s="2" t="s">
        <v>26</v>
      </c>
      <c r="D3948" s="2" t="s">
        <v>27</v>
      </c>
      <c r="E3948" s="4">
        <v>-31938</v>
      </c>
      <c r="F3948" s="3" t="s">
        <v>324</v>
      </c>
      <c r="G3948" s="3" t="s">
        <v>497</v>
      </c>
      <c r="H3948" s="2" t="s">
        <v>21</v>
      </c>
      <c r="I3948" s="2" t="s">
        <v>10478</v>
      </c>
      <c r="J3948" s="3" t="str">
        <f>HYPERLINK("https://www.boe.es/gazeta/dias/1812/07/21/pdfs/GMD-1812-203.pdf#page=3","Abrir facsímil")</f>
        <v>Abrir facsímil</v>
      </c>
      <c r="K3948" s="3" t="s">
        <v>23</v>
      </c>
    </row>
    <row r="3949" spans="1:11" ht="42" customHeight="1">
      <c r="A3949" s="2" t="s">
        <v>10479</v>
      </c>
      <c r="B3949" s="2" t="s">
        <v>10480</v>
      </c>
      <c r="C3949" s="2" t="s">
        <v>26</v>
      </c>
      <c r="D3949" s="2" t="s">
        <v>27</v>
      </c>
      <c r="E3949" s="4">
        <v>-31857</v>
      </c>
      <c r="F3949" s="3" t="s">
        <v>1000</v>
      </c>
      <c r="G3949" s="3" t="s">
        <v>1001</v>
      </c>
      <c r="H3949" s="2" t="s">
        <v>21</v>
      </c>
      <c r="I3949" s="2" t="s">
        <v>10481</v>
      </c>
      <c r="J3949" s="3" t="str">
        <f>HYPERLINK("https://www.boe.es/gazeta/dias/1812/10/10/pdfs/GRE-1812-137.pdf#page=7","Abrir facsímil")</f>
        <v>Abrir facsímil</v>
      </c>
      <c r="K3949" s="3" t="s">
        <v>23</v>
      </c>
    </row>
    <row r="3950" spans="1:11" ht="42" customHeight="1">
      <c r="A3950" s="2" t="s">
        <v>10482</v>
      </c>
      <c r="B3950" s="2" t="s">
        <v>10483</v>
      </c>
      <c r="C3950" s="2" t="s">
        <v>26</v>
      </c>
      <c r="D3950" s="2" t="s">
        <v>27</v>
      </c>
      <c r="E3950" s="4">
        <v>-31976</v>
      </c>
      <c r="F3950" s="3" t="s">
        <v>54</v>
      </c>
      <c r="G3950" s="3" t="s">
        <v>55</v>
      </c>
      <c r="H3950" s="2" t="s">
        <v>21</v>
      </c>
      <c r="I3950" s="2" t="s">
        <v>10484</v>
      </c>
      <c r="J3950" s="3" t="str">
        <f>HYPERLINK("https://www.boe.es/gazeta/dias/1812/06/13/pdfs/GRE-1812-73.pdf#page=6","Abrir facsímil")</f>
        <v>Abrir facsímil</v>
      </c>
      <c r="K3950" s="3" t="s">
        <v>23</v>
      </c>
    </row>
    <row r="3951" spans="1:11" ht="42" customHeight="1">
      <c r="A3951" s="2" t="s">
        <v>10485</v>
      </c>
      <c r="B3951" s="2" t="s">
        <v>10485</v>
      </c>
      <c r="C3951" s="2" t="s">
        <v>26</v>
      </c>
      <c r="D3951" s="2" t="s">
        <v>27</v>
      </c>
      <c r="E3951" s="4">
        <v>-32121</v>
      </c>
      <c r="F3951" s="3" t="s">
        <v>1237</v>
      </c>
      <c r="G3951" s="3" t="s">
        <v>2313</v>
      </c>
      <c r="H3951" s="2" t="s">
        <v>21</v>
      </c>
      <c r="I3951" s="2" t="s">
        <v>10486</v>
      </c>
      <c r="J3951" s="3" t="str">
        <f>HYPERLINK("https://www.boe.es/gazeta/dias/1812/01/20/pdfs/GMD-1812-20.pdf#page=2","Abrir facsímil")</f>
        <v>Abrir facsímil</v>
      </c>
      <c r="K3951" s="3" t="s">
        <v>23</v>
      </c>
    </row>
    <row r="3952" spans="1:11" ht="42" customHeight="1">
      <c r="A3952" s="2" t="s">
        <v>10487</v>
      </c>
      <c r="B3952" s="2" t="s">
        <v>10488</v>
      </c>
      <c r="C3952" s="2" t="s">
        <v>26</v>
      </c>
      <c r="D3952" s="2" t="s">
        <v>27</v>
      </c>
      <c r="E3952" s="4">
        <v>-31940</v>
      </c>
      <c r="F3952" s="3" t="s">
        <v>187</v>
      </c>
      <c r="G3952" s="3" t="s">
        <v>404</v>
      </c>
      <c r="H3952" s="2" t="s">
        <v>21</v>
      </c>
      <c r="I3952" s="2" t="s">
        <v>10489</v>
      </c>
      <c r="J3952" s="3" t="str">
        <f>HYPERLINK("https://www.boe.es/gazeta/dias/1812/07/19/pdfs/GMD-1812-201.pdf#page=3","Abrir facsímil")</f>
        <v>Abrir facsímil</v>
      </c>
      <c r="K3952" s="3" t="s">
        <v>23</v>
      </c>
    </row>
    <row r="3953" spans="1:11" ht="42" customHeight="1">
      <c r="A3953" s="2" t="s">
        <v>10490</v>
      </c>
      <c r="B3953" s="2" t="s">
        <v>10490</v>
      </c>
      <c r="C3953" s="2" t="s">
        <v>17</v>
      </c>
      <c r="D3953" s="2" t="s">
        <v>18</v>
      </c>
      <c r="E3953" s="4">
        <v>-31995</v>
      </c>
      <c r="F3953" s="3" t="s">
        <v>100</v>
      </c>
      <c r="G3953" s="3" t="s">
        <v>1842</v>
      </c>
      <c r="H3953" s="2" t="s">
        <v>21</v>
      </c>
      <c r="I3953" s="2" t="s">
        <v>10491</v>
      </c>
      <c r="J3953" s="3" t="str">
        <f>HYPERLINK("https://www.boe.es/gazeta/dias/1812/05/25/pdfs/GMD-1812-146.pdf#page=4","Abrir facsímil")</f>
        <v>Abrir facsímil</v>
      </c>
      <c r="K3953" s="3" t="s">
        <v>23</v>
      </c>
    </row>
    <row r="3954" spans="1:11" ht="42" customHeight="1">
      <c r="A3954" s="2" t="s">
        <v>10490</v>
      </c>
      <c r="B3954" s="2" t="s">
        <v>10490</v>
      </c>
      <c r="C3954" s="2" t="s">
        <v>17</v>
      </c>
      <c r="D3954" s="2" t="s">
        <v>27</v>
      </c>
      <c r="E3954" s="4">
        <v>-31871</v>
      </c>
      <c r="F3954" s="3" t="s">
        <v>5985</v>
      </c>
      <c r="G3954" s="3" t="s">
        <v>10492</v>
      </c>
      <c r="H3954" s="2" t="s">
        <v>21</v>
      </c>
      <c r="I3954" s="2" t="s">
        <v>10493</v>
      </c>
      <c r="J3954" s="3" t="str">
        <f>HYPERLINK("https://www.boe.es/gazeta/dias/1812/09/26/pdfs/GRE-1812-131.pdf#page=5","Abrir facsímil")</f>
        <v>Abrir facsímil</v>
      </c>
      <c r="K3954" s="3" t="s">
        <v>23</v>
      </c>
    </row>
    <row r="3955" spans="1:11" ht="42" customHeight="1">
      <c r="A3955" s="2" t="s">
        <v>10490</v>
      </c>
      <c r="B3955" s="2" t="s">
        <v>10490</v>
      </c>
      <c r="C3955" s="2" t="s">
        <v>17</v>
      </c>
      <c r="D3955" s="2" t="s">
        <v>27</v>
      </c>
      <c r="E3955" s="4">
        <v>-31861</v>
      </c>
      <c r="F3955" s="3" t="s">
        <v>1080</v>
      </c>
      <c r="G3955" s="3" t="s">
        <v>1907</v>
      </c>
      <c r="H3955" s="2" t="s">
        <v>21</v>
      </c>
      <c r="I3955" s="2" t="s">
        <v>10494</v>
      </c>
      <c r="J3955" s="3" t="str">
        <f>HYPERLINK("https://www.boe.es/gazeta/dias/1812/10/06/pdfs/GMR-1812-23.pdf#page=10","Abrir facsímil")</f>
        <v>Abrir facsímil</v>
      </c>
      <c r="K3955" s="3" t="s">
        <v>23</v>
      </c>
    </row>
    <row r="3956" spans="1:11" ht="42" customHeight="1">
      <c r="A3956" s="2" t="s">
        <v>10490</v>
      </c>
      <c r="B3956" s="2" t="s">
        <v>10490</v>
      </c>
      <c r="C3956" s="2" t="s">
        <v>115</v>
      </c>
      <c r="D3956" s="2" t="s">
        <v>27</v>
      </c>
      <c r="E3956" s="4">
        <v>-31793</v>
      </c>
      <c r="F3956" s="3" t="s">
        <v>2570</v>
      </c>
      <c r="G3956" s="3" t="s">
        <v>1953</v>
      </c>
      <c r="H3956" s="2" t="s">
        <v>21</v>
      </c>
      <c r="I3956" s="2" t="s">
        <v>10495</v>
      </c>
      <c r="J3956" s="3" t="str">
        <f>HYPERLINK("https://www.boe.es/gazeta/dias/1812/12/13/pdfs/GMD-1812-236.pdf#page=3","Abrir facsímil")</f>
        <v>Abrir facsímil</v>
      </c>
      <c r="K3956" s="3" t="s">
        <v>23</v>
      </c>
    </row>
    <row r="3957" spans="1:11" ht="42" customHeight="1">
      <c r="A3957" s="2" t="s">
        <v>10496</v>
      </c>
      <c r="B3957" s="2" t="s">
        <v>10496</v>
      </c>
      <c r="C3957" s="2" t="s">
        <v>17</v>
      </c>
      <c r="D3957" s="2" t="s">
        <v>27</v>
      </c>
      <c r="E3957" s="4">
        <v>-31777</v>
      </c>
      <c r="F3957" s="3" t="s">
        <v>960</v>
      </c>
      <c r="G3957" s="3" t="s">
        <v>172</v>
      </c>
      <c r="H3957" s="2" t="s">
        <v>21</v>
      </c>
      <c r="I3957" s="2" t="s">
        <v>10497</v>
      </c>
      <c r="J3957" s="3" t="str">
        <f>HYPERLINK("https://www.boe.es/gazeta/dias/1812/12/29/pdfs/GMD-1812-252.pdf#page=4","Abrir facsímil")</f>
        <v>Abrir facsímil</v>
      </c>
      <c r="K3957" s="3" t="s">
        <v>23</v>
      </c>
    </row>
    <row r="3958" spans="1:11" ht="42" customHeight="1">
      <c r="A3958" s="2" t="s">
        <v>10498</v>
      </c>
      <c r="B3958" s="2" t="s">
        <v>10498</v>
      </c>
      <c r="C3958" s="2" t="s">
        <v>17</v>
      </c>
      <c r="D3958" s="2" t="s">
        <v>18</v>
      </c>
      <c r="E3958" s="4">
        <v>-31830</v>
      </c>
      <c r="F3958" s="3" t="s">
        <v>1839</v>
      </c>
      <c r="G3958" s="3" t="s">
        <v>20</v>
      </c>
      <c r="H3958" s="2" t="s">
        <v>21</v>
      </c>
      <c r="I3958" s="2" t="s">
        <v>10499</v>
      </c>
      <c r="J3958" s="3" t="str">
        <f>HYPERLINK("https://www.boe.es/gazeta/dias/1812/11/06/pdfs/GMD-1812-226.pdf#page=1","Abrir facsímil")</f>
        <v>Abrir facsímil</v>
      </c>
      <c r="K3958" s="3" t="s">
        <v>23</v>
      </c>
    </row>
    <row r="3959" spans="1:11" ht="42" customHeight="1">
      <c r="A3959" s="2" t="s">
        <v>10500</v>
      </c>
      <c r="B3959" s="2" t="s">
        <v>10501</v>
      </c>
      <c r="C3959" s="2" t="s">
        <v>17</v>
      </c>
      <c r="D3959" s="2" t="s">
        <v>27</v>
      </c>
      <c r="E3959" s="4">
        <v>-32078</v>
      </c>
      <c r="F3959" s="3" t="s">
        <v>145</v>
      </c>
      <c r="G3959" s="3" t="s">
        <v>1081</v>
      </c>
      <c r="H3959" s="2" t="s">
        <v>21</v>
      </c>
      <c r="I3959" s="2" t="s">
        <v>10502</v>
      </c>
      <c r="J3959" s="3" t="str">
        <f>HYPERLINK("https://www.boe.es/gazeta/dias/1812/03/03/pdfs/GRE-1812-28.pdf#page=4","Abrir facsímil")</f>
        <v>Abrir facsímil</v>
      </c>
      <c r="K3959" s="3" t="s">
        <v>23</v>
      </c>
    </row>
    <row r="3960" spans="1:11" ht="42" customHeight="1">
      <c r="A3960" s="2" t="s">
        <v>10503</v>
      </c>
      <c r="B3960" s="2" t="s">
        <v>10503</v>
      </c>
      <c r="C3960" s="2" t="s">
        <v>17</v>
      </c>
      <c r="D3960" s="2" t="s">
        <v>27</v>
      </c>
      <c r="E3960" s="4">
        <v>-32066</v>
      </c>
      <c r="F3960" s="3" t="s">
        <v>291</v>
      </c>
      <c r="G3960" s="3" t="s">
        <v>1413</v>
      </c>
      <c r="H3960" s="2" t="s">
        <v>21</v>
      </c>
      <c r="I3960" s="2" t="s">
        <v>10504</v>
      </c>
      <c r="J3960" s="3" t="str">
        <f>HYPERLINK("https://www.boe.es/gazeta/dias/1812/03/15/pdfs/GMD-1812-75.pdf#page=3","Abrir facsímil")</f>
        <v>Abrir facsímil</v>
      </c>
      <c r="K3960" s="3" t="s">
        <v>23</v>
      </c>
    </row>
    <row r="3961" spans="1:11" ht="42" customHeight="1">
      <c r="A3961" s="2" t="s">
        <v>10505</v>
      </c>
      <c r="B3961" s="2" t="s">
        <v>10506</v>
      </c>
      <c r="C3961" s="2" t="s">
        <v>26</v>
      </c>
      <c r="D3961" s="2" t="s">
        <v>27</v>
      </c>
      <c r="E3961" s="4">
        <v>-32034</v>
      </c>
      <c r="F3961" s="3" t="s">
        <v>28</v>
      </c>
      <c r="G3961" s="3" t="s">
        <v>45</v>
      </c>
      <c r="H3961" s="2" t="s">
        <v>21</v>
      </c>
      <c r="I3961" s="2" t="s">
        <v>10507</v>
      </c>
      <c r="J3961" s="3" t="str">
        <f>HYPERLINK("https://www.boe.es/gazeta/dias/1812/04/16/pdfs/GMD-1812-107.pdf#page=5","Abrir facsímil")</f>
        <v>Abrir facsímil</v>
      </c>
      <c r="K3961" s="3" t="s">
        <v>23</v>
      </c>
    </row>
    <row r="3962" spans="1:11" ht="42" customHeight="1">
      <c r="A3962" s="2" t="s">
        <v>10508</v>
      </c>
      <c r="B3962" s="2" t="s">
        <v>10509</v>
      </c>
      <c r="C3962" s="2" t="s">
        <v>26</v>
      </c>
      <c r="D3962" s="2" t="s">
        <v>27</v>
      </c>
      <c r="E3962" s="4">
        <v>-31938</v>
      </c>
      <c r="F3962" s="3" t="s">
        <v>324</v>
      </c>
      <c r="G3962" s="3" t="s">
        <v>497</v>
      </c>
      <c r="H3962" s="2" t="s">
        <v>21</v>
      </c>
      <c r="I3962" s="2" t="s">
        <v>10510</v>
      </c>
      <c r="J3962" s="3" t="str">
        <f>HYPERLINK("https://www.boe.es/gazeta/dias/1812/07/21/pdfs/GMD-1812-203.pdf#page=3","Abrir facsímil")</f>
        <v>Abrir facsímil</v>
      </c>
      <c r="K3962" s="3" t="s">
        <v>23</v>
      </c>
    </row>
    <row r="3963" spans="1:11" ht="42" customHeight="1">
      <c r="A3963" s="2" t="s">
        <v>10511</v>
      </c>
      <c r="B3963" s="2" t="s">
        <v>10512</v>
      </c>
      <c r="C3963" s="2" t="s">
        <v>26</v>
      </c>
      <c r="D3963" s="2" t="s">
        <v>275</v>
      </c>
      <c r="E3963" s="4">
        <v>-31964</v>
      </c>
      <c r="F3963" s="3" t="s">
        <v>305</v>
      </c>
      <c r="G3963" s="3" t="s">
        <v>58</v>
      </c>
      <c r="H3963" s="2" t="s">
        <v>21</v>
      </c>
      <c r="I3963" s="2" t="s">
        <v>10513</v>
      </c>
      <c r="J3963" s="3" t="str">
        <f>HYPERLINK("https://www.boe.es/gazeta/dias/1812/06/25/pdfs/GMD-1812-177.pdf#page=2","Abrir facsímil")</f>
        <v>Abrir facsímil</v>
      </c>
      <c r="K3963" s="3" t="s">
        <v>23</v>
      </c>
    </row>
    <row r="3964" spans="1:11" ht="42" customHeight="1">
      <c r="A3964" s="2" t="s">
        <v>10514</v>
      </c>
      <c r="B3964" s="2" t="s">
        <v>10515</v>
      </c>
      <c r="C3964" s="2" t="s">
        <v>26</v>
      </c>
      <c r="D3964" s="2" t="s">
        <v>275</v>
      </c>
      <c r="E3964" s="4">
        <v>-31964</v>
      </c>
      <c r="F3964" s="3" t="s">
        <v>305</v>
      </c>
      <c r="G3964" s="3" t="s">
        <v>58</v>
      </c>
      <c r="H3964" s="2" t="s">
        <v>21</v>
      </c>
      <c r="I3964" s="2" t="s">
        <v>10516</v>
      </c>
      <c r="J3964" s="3" t="str">
        <f>HYPERLINK("https://www.boe.es/gazeta/dias/1812/06/25/pdfs/GMD-1812-177.pdf#page=2","Abrir facsímil")</f>
        <v>Abrir facsímil</v>
      </c>
      <c r="K3964" s="3" t="s">
        <v>23</v>
      </c>
    </row>
    <row r="3965" spans="1:11" ht="42" customHeight="1">
      <c r="A3965" s="2" t="s">
        <v>10517</v>
      </c>
      <c r="B3965" s="2" t="s">
        <v>10518</v>
      </c>
      <c r="C3965" s="2" t="s">
        <v>17</v>
      </c>
      <c r="D3965" s="2" t="s">
        <v>27</v>
      </c>
      <c r="E3965" s="4">
        <v>-32015</v>
      </c>
      <c r="F3965" s="3" t="s">
        <v>77</v>
      </c>
      <c r="G3965" s="3" t="s">
        <v>78</v>
      </c>
      <c r="H3965" s="2" t="s">
        <v>21</v>
      </c>
      <c r="I3965" s="2" t="s">
        <v>10519</v>
      </c>
      <c r="J3965" s="3" t="str">
        <f>HYPERLINK("https://www.boe.es/gazeta/dias/1812/05/05/pdfs/GRE-1812-56.pdf#page=8","Abrir facsímil")</f>
        <v>Abrir facsímil</v>
      </c>
      <c r="K3965" s="3" t="s">
        <v>23</v>
      </c>
    </row>
    <row r="3966" spans="1:11" ht="42" customHeight="1">
      <c r="A3966" s="2" t="s">
        <v>10520</v>
      </c>
      <c r="B3966" s="2" t="s">
        <v>10521</v>
      </c>
      <c r="C3966" s="2" t="s">
        <v>186</v>
      </c>
      <c r="D3966" s="2" t="s">
        <v>27</v>
      </c>
      <c r="E3966" s="4">
        <v>-32055</v>
      </c>
      <c r="F3966" s="3" t="s">
        <v>1271</v>
      </c>
      <c r="G3966" s="3" t="s">
        <v>130</v>
      </c>
      <c r="H3966" s="2" t="s">
        <v>21</v>
      </c>
      <c r="I3966" s="2" t="s">
        <v>10522</v>
      </c>
      <c r="J3966" s="3" t="str">
        <f>HYPERLINK("https://www.boe.es/gazeta/dias/1812/03/26/pdfs/GMD-1812-86.pdf#page=4","Abrir facsímil")</f>
        <v>Abrir facsímil</v>
      </c>
      <c r="K3966" s="3" t="s">
        <v>23</v>
      </c>
    </row>
    <row r="3967" spans="1:11" ht="42" customHeight="1">
      <c r="A3967" s="2" t="s">
        <v>10523</v>
      </c>
      <c r="B3967" s="2" t="s">
        <v>10524</v>
      </c>
      <c r="C3967" s="2" t="s">
        <v>26</v>
      </c>
      <c r="D3967" s="2" t="s">
        <v>27</v>
      </c>
      <c r="E3967" s="4">
        <v>-31938</v>
      </c>
      <c r="F3967" s="3" t="s">
        <v>370</v>
      </c>
      <c r="G3967" s="3" t="s">
        <v>371</v>
      </c>
      <c r="H3967" s="2" t="s">
        <v>21</v>
      </c>
      <c r="I3967" s="2" t="s">
        <v>10525</v>
      </c>
      <c r="J3967" s="3" t="str">
        <f>HYPERLINK("https://www.boe.es/gazeta/dias/1812/07/21/pdfs/GRE-1812-91.pdf#page=8","Abrir facsímil")</f>
        <v>Abrir facsímil</v>
      </c>
      <c r="K3967" s="3" t="s">
        <v>23</v>
      </c>
    </row>
    <row r="3968" spans="1:11" ht="42" customHeight="1">
      <c r="A3968" s="2" t="s">
        <v>10526</v>
      </c>
      <c r="B3968" s="2" t="s">
        <v>10527</v>
      </c>
      <c r="C3968" s="2" t="s">
        <v>26</v>
      </c>
      <c r="D3968" s="2" t="s">
        <v>27</v>
      </c>
      <c r="E3968" s="4">
        <v>-31994</v>
      </c>
      <c r="F3968" s="3" t="s">
        <v>207</v>
      </c>
      <c r="G3968" s="3" t="s">
        <v>1176</v>
      </c>
      <c r="H3968" s="2" t="s">
        <v>21</v>
      </c>
      <c r="I3968" s="2" t="s">
        <v>10528</v>
      </c>
      <c r="J3968" s="3" t="str">
        <f>HYPERLINK("https://www.boe.es/gazeta/dias/1812/05/26/pdfs/GRE-1812-65.pdf#page=8","Abrir facsímil")</f>
        <v>Abrir facsímil</v>
      </c>
      <c r="K3968" s="3" t="s">
        <v>23</v>
      </c>
    </row>
    <row r="3969" spans="1:11" ht="42" customHeight="1">
      <c r="A3969" s="2" t="s">
        <v>10526</v>
      </c>
      <c r="B3969" s="2" t="s">
        <v>10527</v>
      </c>
      <c r="C3969" s="2" t="s">
        <v>26</v>
      </c>
      <c r="D3969" s="2" t="s">
        <v>27</v>
      </c>
      <c r="E3969" s="4">
        <v>-31938</v>
      </c>
      <c r="F3969" s="3" t="s">
        <v>324</v>
      </c>
      <c r="G3969" s="3" t="s">
        <v>237</v>
      </c>
      <c r="H3969" s="2" t="s">
        <v>21</v>
      </c>
      <c r="I3969" s="2" t="s">
        <v>10529</v>
      </c>
      <c r="J3969" s="3" t="str">
        <f>HYPERLINK("https://www.boe.es/gazeta/dias/1812/07/21/pdfs/GMD-1812-203.pdf#page=2","Abrir facsímil")</f>
        <v>Abrir facsímil</v>
      </c>
      <c r="K3969" s="3" t="s">
        <v>23</v>
      </c>
    </row>
    <row r="3970" spans="1:11" ht="42" customHeight="1">
      <c r="A3970" s="2" t="s">
        <v>10530</v>
      </c>
      <c r="B3970" s="2" t="s">
        <v>10530</v>
      </c>
      <c r="C3970" s="2" t="s">
        <v>17</v>
      </c>
      <c r="D3970" s="2" t="s">
        <v>18</v>
      </c>
      <c r="E3970" s="4">
        <v>-32008</v>
      </c>
      <c r="F3970" s="3" t="s">
        <v>8878</v>
      </c>
      <c r="G3970" s="3" t="s">
        <v>317</v>
      </c>
      <c r="H3970" s="2" t="s">
        <v>21</v>
      </c>
      <c r="I3970" s="2" t="s">
        <v>10531</v>
      </c>
      <c r="J3970" s="3" t="str">
        <f>HYPERLINK("https://www.boe.es/gazeta/dias/1812/05/12/pdfs/GRE-1812-59.pdf#page=6","Abrir facsímil")</f>
        <v>Abrir facsímil</v>
      </c>
      <c r="K3970" s="3" t="s">
        <v>23</v>
      </c>
    </row>
    <row r="3971" spans="1:11" ht="42" customHeight="1">
      <c r="A3971" s="2" t="s">
        <v>10530</v>
      </c>
      <c r="B3971" s="2" t="s">
        <v>10530</v>
      </c>
      <c r="C3971" s="2" t="s">
        <v>17</v>
      </c>
      <c r="D3971" s="2" t="s">
        <v>27</v>
      </c>
      <c r="E3971" s="4">
        <v>-31962</v>
      </c>
      <c r="F3971" s="3" t="s">
        <v>153</v>
      </c>
      <c r="G3971" s="3" t="s">
        <v>3010</v>
      </c>
      <c r="H3971" s="2" t="s">
        <v>21</v>
      </c>
      <c r="I3971" s="2" t="s">
        <v>10532</v>
      </c>
      <c r="J3971" s="3" t="str">
        <f>HYPERLINK("https://www.boe.es/gazeta/dias/1812/06/27/pdfs/GRE-1812-79.pdf#page=4","Abrir facsímil")</f>
        <v>Abrir facsímil</v>
      </c>
      <c r="K3971" s="3" t="s">
        <v>23</v>
      </c>
    </row>
    <row r="3972" spans="1:11" ht="42" customHeight="1">
      <c r="A3972" s="2" t="s">
        <v>10530</v>
      </c>
      <c r="B3972" s="2" t="s">
        <v>10530</v>
      </c>
      <c r="C3972" s="2" t="s">
        <v>17</v>
      </c>
      <c r="D3972" s="2" t="s">
        <v>27</v>
      </c>
      <c r="E3972" s="4">
        <v>-31945</v>
      </c>
      <c r="F3972" s="3" t="s">
        <v>1485</v>
      </c>
      <c r="G3972" s="3" t="s">
        <v>2905</v>
      </c>
      <c r="H3972" s="2" t="s">
        <v>21</v>
      </c>
      <c r="I3972" s="2" t="s">
        <v>10533</v>
      </c>
      <c r="J3972" s="3" t="str">
        <f>HYPERLINK("https://www.boe.es/gazeta/dias/1812/07/14/pdfs/GRE-1812-88.pdf#page=2","Abrir facsímil")</f>
        <v>Abrir facsímil</v>
      </c>
      <c r="K3972" s="3" t="s">
        <v>23</v>
      </c>
    </row>
    <row r="3973" spans="1:11" ht="42" customHeight="1">
      <c r="A3973" s="2" t="s">
        <v>10534</v>
      </c>
      <c r="B3973" s="2" t="s">
        <v>10535</v>
      </c>
      <c r="C3973" s="2" t="s">
        <v>17</v>
      </c>
      <c r="D3973" s="2" t="s">
        <v>27</v>
      </c>
      <c r="E3973" s="4">
        <v>-31938</v>
      </c>
      <c r="F3973" s="3" t="s">
        <v>370</v>
      </c>
      <c r="G3973" s="3" t="s">
        <v>5298</v>
      </c>
      <c r="H3973" s="2" t="s">
        <v>21</v>
      </c>
      <c r="I3973" s="2" t="s">
        <v>10536</v>
      </c>
      <c r="J3973" s="3" t="str">
        <f>HYPERLINK("https://www.boe.es/gazeta/dias/1812/07/21/pdfs/GRE-1812-91.pdf#page=1","Abrir facsímil")</f>
        <v>Abrir facsímil</v>
      </c>
      <c r="K3973" s="3" t="s">
        <v>23</v>
      </c>
    </row>
    <row r="3974" spans="1:11" ht="42" customHeight="1">
      <c r="A3974" s="2" t="s">
        <v>10537</v>
      </c>
      <c r="B3974" s="2" t="s">
        <v>10538</v>
      </c>
      <c r="C3974" s="2" t="s">
        <v>26</v>
      </c>
      <c r="D3974" s="2" t="s">
        <v>27</v>
      </c>
      <c r="E3974" s="4">
        <v>-31940</v>
      </c>
      <c r="F3974" s="3" t="s">
        <v>187</v>
      </c>
      <c r="G3974" s="3" t="s">
        <v>404</v>
      </c>
      <c r="H3974" s="2" t="s">
        <v>21</v>
      </c>
      <c r="I3974" s="2" t="s">
        <v>10539</v>
      </c>
      <c r="J3974" s="3" t="str">
        <f>HYPERLINK("https://www.boe.es/gazeta/dias/1812/07/19/pdfs/GMD-1812-201.pdf#page=3","Abrir facsímil")</f>
        <v>Abrir facsímil</v>
      </c>
      <c r="K3974" s="3" t="s">
        <v>23</v>
      </c>
    </row>
    <row r="3975" spans="1:11" ht="42" customHeight="1">
      <c r="A3975" s="2" t="s">
        <v>10540</v>
      </c>
      <c r="B3975" s="2" t="s">
        <v>10540</v>
      </c>
      <c r="C3975" s="2" t="s">
        <v>17</v>
      </c>
      <c r="D3975" s="2" t="s">
        <v>18</v>
      </c>
      <c r="E3975" s="4">
        <v>-32063</v>
      </c>
      <c r="F3975" s="3" t="s">
        <v>384</v>
      </c>
      <c r="G3975" s="3" t="s">
        <v>125</v>
      </c>
      <c r="H3975" s="2" t="s">
        <v>21</v>
      </c>
      <c r="I3975" s="2" t="s">
        <v>10541</v>
      </c>
      <c r="J3975" s="3" t="str">
        <f>HYPERLINK("https://www.boe.es/gazeta/dias/1812/03/18/pdfs/GMD-1812-78.pdf#page=3","Abrir facsímil")</f>
        <v>Abrir facsímil</v>
      </c>
      <c r="K3975" s="3" t="s">
        <v>23</v>
      </c>
    </row>
    <row r="3976" spans="1:11" ht="42" customHeight="1">
      <c r="A3976" s="2" t="s">
        <v>10542</v>
      </c>
      <c r="B3976" s="2" t="s">
        <v>10543</v>
      </c>
      <c r="C3976" s="2" t="s">
        <v>26</v>
      </c>
      <c r="D3976" s="2" t="s">
        <v>27</v>
      </c>
      <c r="E3976" s="4">
        <v>-32015</v>
      </c>
      <c r="F3976" s="3" t="s">
        <v>77</v>
      </c>
      <c r="G3976" s="3" t="s">
        <v>78</v>
      </c>
      <c r="H3976" s="2" t="s">
        <v>21</v>
      </c>
      <c r="I3976" s="2" t="s">
        <v>10544</v>
      </c>
      <c r="J3976" s="3" t="str">
        <f>HYPERLINK("https://www.boe.es/gazeta/dias/1812/05/05/pdfs/GRE-1812-56.pdf#page=8","Abrir facsímil")</f>
        <v>Abrir facsímil</v>
      </c>
      <c r="K3976" s="3" t="s">
        <v>23</v>
      </c>
    </row>
    <row r="3977" spans="1:11" ht="42" customHeight="1">
      <c r="A3977" s="2" t="s">
        <v>10545</v>
      </c>
      <c r="B3977" s="2" t="s">
        <v>10545</v>
      </c>
      <c r="C3977" s="2" t="s">
        <v>115</v>
      </c>
      <c r="D3977" s="2" t="s">
        <v>194</v>
      </c>
      <c r="E3977" s="4">
        <v>-32095</v>
      </c>
      <c r="F3977" s="3" t="s">
        <v>1099</v>
      </c>
      <c r="G3977" s="3" t="s">
        <v>101</v>
      </c>
      <c r="H3977" s="2" t="s">
        <v>21</v>
      </c>
      <c r="I3977" s="2" t="s">
        <v>10546</v>
      </c>
      <c r="J3977" s="3" t="str">
        <f>HYPERLINK("https://www.boe.es/gazeta/dias/1812/02/15/pdfs/GMD-1812-46.pdf#page=1","Abrir facsímil")</f>
        <v>Abrir facsímil</v>
      </c>
      <c r="K3977" s="3" t="s">
        <v>23</v>
      </c>
    </row>
    <row r="3978" spans="1:11" ht="42" customHeight="1">
      <c r="A3978" s="2" t="s">
        <v>10547</v>
      </c>
      <c r="B3978" s="2" t="s">
        <v>10548</v>
      </c>
      <c r="C3978" s="2" t="s">
        <v>26</v>
      </c>
      <c r="D3978" s="2" t="s">
        <v>27</v>
      </c>
      <c r="E3978" s="4">
        <v>-32100</v>
      </c>
      <c r="F3978" s="3" t="s">
        <v>492</v>
      </c>
      <c r="G3978" s="3" t="s">
        <v>493</v>
      </c>
      <c r="H3978" s="2" t="s">
        <v>21</v>
      </c>
      <c r="I3978" s="2" t="s">
        <v>10549</v>
      </c>
      <c r="J3978" s="3" t="str">
        <f>HYPERLINK("https://www.boe.es/gazeta/dias/1812/02/10/pdfs/GRE-1812-31.pdf#page=8","Abrir facsímil")</f>
        <v>Abrir facsímil</v>
      </c>
      <c r="K3978" s="3" t="s">
        <v>23</v>
      </c>
    </row>
    <row r="3979" spans="1:11" ht="42" customHeight="1">
      <c r="A3979" s="2" t="s">
        <v>10547</v>
      </c>
      <c r="B3979" s="2" t="s">
        <v>10548</v>
      </c>
      <c r="C3979" s="2" t="s">
        <v>26</v>
      </c>
      <c r="D3979" s="2" t="s">
        <v>27</v>
      </c>
      <c r="E3979" s="4">
        <v>-32071</v>
      </c>
      <c r="F3979" s="3" t="s">
        <v>492</v>
      </c>
      <c r="G3979" s="3" t="s">
        <v>493</v>
      </c>
      <c r="H3979" s="2" t="s">
        <v>21</v>
      </c>
      <c r="I3979" s="2" t="s">
        <v>10549</v>
      </c>
      <c r="J3979" s="3" t="str">
        <f>HYPERLINK("https://www.boe.es/gazeta/dias/1812/03/10/pdfs/GRE-1812-31.pdf#page=8","Abrir facsímil")</f>
        <v>Abrir facsímil</v>
      </c>
      <c r="K3979" s="3" t="s">
        <v>23</v>
      </c>
    </row>
    <row r="3980" spans="1:11" ht="42" customHeight="1">
      <c r="A3980" s="2" t="s">
        <v>10550</v>
      </c>
      <c r="B3980" s="2" t="s">
        <v>10550</v>
      </c>
      <c r="C3980" s="2" t="s">
        <v>26</v>
      </c>
      <c r="D3980" s="2" t="s">
        <v>194</v>
      </c>
      <c r="E3980" s="4">
        <v>-32084</v>
      </c>
      <c r="F3980" s="3" t="s">
        <v>6994</v>
      </c>
      <c r="G3980" s="3" t="s">
        <v>485</v>
      </c>
      <c r="H3980" s="2" t="s">
        <v>21</v>
      </c>
      <c r="I3980" s="2" t="s">
        <v>10551</v>
      </c>
      <c r="J3980" s="3" t="str">
        <f>HYPERLINK("https://www.boe.es/gazeta/dias/1812/02/26/pdfs/GMD-1812-57.pdf#page=1","Abrir facsímil")</f>
        <v>Abrir facsímil</v>
      </c>
      <c r="K3980" s="3" t="s">
        <v>23</v>
      </c>
    </row>
    <row r="3981" spans="1:11" ht="42" customHeight="1">
      <c r="A3981" s="2" t="s">
        <v>10550</v>
      </c>
      <c r="B3981" s="2" t="s">
        <v>10550</v>
      </c>
      <c r="C3981" s="2" t="s">
        <v>17</v>
      </c>
      <c r="D3981" s="2" t="s">
        <v>18</v>
      </c>
      <c r="E3981" s="4">
        <v>-32063</v>
      </c>
      <c r="F3981" s="3" t="s">
        <v>384</v>
      </c>
      <c r="G3981" s="3" t="s">
        <v>20</v>
      </c>
      <c r="H3981" s="2" t="s">
        <v>21</v>
      </c>
      <c r="I3981" s="2" t="s">
        <v>10552</v>
      </c>
      <c r="J3981" s="3" t="str">
        <f>HYPERLINK("https://www.boe.es/gazeta/dias/1812/03/18/pdfs/GMD-1812-78.pdf#page=4","Abrir facsímil")</f>
        <v>Abrir facsímil</v>
      </c>
      <c r="K3981" s="3" t="s">
        <v>23</v>
      </c>
    </row>
    <row r="3982" spans="1:11" ht="42" customHeight="1">
      <c r="A3982" s="2" t="s">
        <v>10550</v>
      </c>
      <c r="B3982" s="2" t="s">
        <v>10550</v>
      </c>
      <c r="C3982" s="2" t="s">
        <v>26</v>
      </c>
      <c r="D3982" s="2" t="s">
        <v>27</v>
      </c>
      <c r="E3982" s="4">
        <v>-32052</v>
      </c>
      <c r="F3982" s="3" t="s">
        <v>2610</v>
      </c>
      <c r="G3982" s="3" t="s">
        <v>140</v>
      </c>
      <c r="H3982" s="2" t="s">
        <v>21</v>
      </c>
      <c r="I3982" s="2" t="s">
        <v>10553</v>
      </c>
      <c r="J3982" s="3" t="str">
        <f>HYPERLINK("https://www.boe.es/gazeta/dias/1812/03/29/pdfs/GMD-1812-89.pdf#page=2","Abrir facsímil")</f>
        <v>Abrir facsímil</v>
      </c>
      <c r="K3982" s="3" t="s">
        <v>23</v>
      </c>
    </row>
    <row r="3983" spans="1:11" ht="42" customHeight="1">
      <c r="A3983" s="2" t="s">
        <v>10550</v>
      </c>
      <c r="B3983" s="2" t="s">
        <v>10550</v>
      </c>
      <c r="C3983" s="2" t="s">
        <v>17</v>
      </c>
      <c r="D3983" s="2" t="s">
        <v>27</v>
      </c>
      <c r="E3983" s="4">
        <v>-32026</v>
      </c>
      <c r="F3983" s="3" t="s">
        <v>7845</v>
      </c>
      <c r="G3983" s="3" t="s">
        <v>514</v>
      </c>
      <c r="H3983" s="2" t="s">
        <v>21</v>
      </c>
      <c r="I3983" s="2" t="s">
        <v>10554</v>
      </c>
      <c r="J3983" s="3" t="str">
        <f>HYPERLINK("https://www.boe.es/gazeta/dias/1812/04/24/pdfs/GMD-1812-115.pdf#page=3","Abrir facsímil")</f>
        <v>Abrir facsímil</v>
      </c>
      <c r="K3983" s="3" t="s">
        <v>23</v>
      </c>
    </row>
    <row r="3984" spans="1:11" ht="42" customHeight="1">
      <c r="A3984" s="2" t="s">
        <v>10550</v>
      </c>
      <c r="B3984" s="2" t="s">
        <v>10550</v>
      </c>
      <c r="C3984" s="2" t="s">
        <v>17</v>
      </c>
      <c r="D3984" s="2" t="s">
        <v>18</v>
      </c>
      <c r="E3984" s="4">
        <v>-31969</v>
      </c>
      <c r="F3984" s="3" t="s">
        <v>5481</v>
      </c>
      <c r="G3984" s="3" t="s">
        <v>994</v>
      </c>
      <c r="H3984" s="2" t="s">
        <v>21</v>
      </c>
      <c r="I3984" s="2" t="s">
        <v>10555</v>
      </c>
      <c r="J3984" s="3" t="str">
        <f>HYPERLINK("https://www.boe.es/gazeta/dias/1812/06/20/pdfs/GMD-1812-172.pdf#page=2","Abrir facsímil")</f>
        <v>Abrir facsímil</v>
      </c>
      <c r="K3984" s="3" t="s">
        <v>23</v>
      </c>
    </row>
    <row r="3985" spans="1:11" ht="42" customHeight="1">
      <c r="A3985" s="2" t="s">
        <v>10556</v>
      </c>
      <c r="B3985" s="2" t="s">
        <v>10557</v>
      </c>
      <c r="C3985" s="2" t="s">
        <v>17</v>
      </c>
      <c r="D3985" s="2" t="s">
        <v>573</v>
      </c>
      <c r="E3985" s="4">
        <v>-31921</v>
      </c>
      <c r="F3985" s="3" t="s">
        <v>785</v>
      </c>
      <c r="G3985" s="3" t="s">
        <v>45</v>
      </c>
      <c r="H3985" s="2" t="s">
        <v>21</v>
      </c>
      <c r="I3985" s="2" t="s">
        <v>10558</v>
      </c>
      <c r="J3985" s="3" t="str">
        <f>HYPERLINK("https://www.boe.es/gazeta/dias/1812/08/07/pdfs/GRE-1812-101E.pdf#page=5","Abrir facsímil")</f>
        <v>Abrir facsímil</v>
      </c>
      <c r="K3985" s="3" t="s">
        <v>23</v>
      </c>
    </row>
    <row r="3986" spans="1:11" ht="42" customHeight="1">
      <c r="A3986" s="2" t="s">
        <v>10559</v>
      </c>
      <c r="B3986" s="2" t="s">
        <v>10560</v>
      </c>
      <c r="C3986" s="2" t="s">
        <v>105</v>
      </c>
      <c r="D3986" s="2" t="s">
        <v>27</v>
      </c>
      <c r="E3986" s="4">
        <v>-32035</v>
      </c>
      <c r="F3986" s="3" t="s">
        <v>2646</v>
      </c>
      <c r="G3986" s="3" t="s">
        <v>130</v>
      </c>
      <c r="H3986" s="2" t="s">
        <v>21</v>
      </c>
      <c r="I3986" s="2" t="s">
        <v>10561</v>
      </c>
      <c r="J3986" s="3" t="str">
        <f>HYPERLINK("https://www.boe.es/gazeta/dias/1812/04/15/pdfs/GMD-1812-106.pdf#page=4","Abrir facsímil")</f>
        <v>Abrir facsímil</v>
      </c>
      <c r="K3986" s="3" t="s">
        <v>23</v>
      </c>
    </row>
    <row r="3987" spans="1:11" ht="42" customHeight="1">
      <c r="A3987" s="2" t="s">
        <v>10562</v>
      </c>
      <c r="B3987" s="2" t="s">
        <v>10563</v>
      </c>
      <c r="C3987" s="2" t="s">
        <v>105</v>
      </c>
      <c r="D3987" s="2" t="s">
        <v>27</v>
      </c>
      <c r="E3987" s="4">
        <v>-31816</v>
      </c>
      <c r="F3987" s="3" t="s">
        <v>270</v>
      </c>
      <c r="G3987" s="3" t="s">
        <v>271</v>
      </c>
      <c r="H3987" s="2" t="s">
        <v>21</v>
      </c>
      <c r="I3987" s="2" t="s">
        <v>10564</v>
      </c>
      <c r="J3987" s="3" t="str">
        <f>HYPERLINK("https://www.boe.es/gazeta/dias/1812/11/20/pdfs/GMR-1812-36.pdf#page=6","Abrir facsímil")</f>
        <v>Abrir facsímil</v>
      </c>
      <c r="K3987" s="3" t="s">
        <v>23</v>
      </c>
    </row>
    <row r="3988" spans="1:11" ht="42" customHeight="1">
      <c r="A3988" s="2" t="s">
        <v>10565</v>
      </c>
      <c r="B3988" s="2" t="s">
        <v>10566</v>
      </c>
      <c r="C3988" s="2" t="s">
        <v>26</v>
      </c>
      <c r="D3988" s="2" t="s">
        <v>27</v>
      </c>
      <c r="E3988" s="4">
        <v>-31955</v>
      </c>
      <c r="F3988" s="3" t="s">
        <v>789</v>
      </c>
      <c r="G3988" s="3" t="s">
        <v>237</v>
      </c>
      <c r="H3988" s="2" t="s">
        <v>21</v>
      </c>
      <c r="I3988" s="2" t="s">
        <v>10567</v>
      </c>
      <c r="J3988" s="3" t="str">
        <f>HYPERLINK("https://www.boe.es/gazeta/dias/1812/07/04/pdfs/GRE-1812-82.pdf#page=8","Abrir facsímil")</f>
        <v>Abrir facsímil</v>
      </c>
      <c r="K3988" s="3" t="s">
        <v>23</v>
      </c>
    </row>
    <row r="3989" spans="1:11" ht="42" customHeight="1">
      <c r="A3989" s="2" t="s">
        <v>10568</v>
      </c>
      <c r="B3989" s="2" t="s">
        <v>10569</v>
      </c>
      <c r="C3989" s="2" t="s">
        <v>26</v>
      </c>
      <c r="D3989" s="2" t="s">
        <v>27</v>
      </c>
      <c r="E3989" s="4">
        <v>-32066</v>
      </c>
      <c r="F3989" s="3" t="s">
        <v>291</v>
      </c>
      <c r="G3989" s="3" t="s">
        <v>125</v>
      </c>
      <c r="H3989" s="2" t="s">
        <v>21</v>
      </c>
      <c r="I3989" s="2" t="s">
        <v>10570</v>
      </c>
      <c r="J3989" s="3" t="str">
        <f>HYPERLINK("https://www.boe.es/gazeta/dias/1812/03/15/pdfs/GMD-1812-75.pdf#page=4","Abrir facsímil")</f>
        <v>Abrir facsímil</v>
      </c>
      <c r="K3989" s="3" t="s">
        <v>23</v>
      </c>
    </row>
    <row r="3990" spans="1:11" ht="42" customHeight="1">
      <c r="A3990" s="2" t="s">
        <v>10571</v>
      </c>
      <c r="B3990" s="2" t="s">
        <v>10572</v>
      </c>
      <c r="C3990" s="2" t="s">
        <v>26</v>
      </c>
      <c r="D3990" s="2" t="s">
        <v>27</v>
      </c>
      <c r="E3990" s="4">
        <v>-31935</v>
      </c>
      <c r="F3990" s="3" t="s">
        <v>2678</v>
      </c>
      <c r="G3990" s="3" t="s">
        <v>514</v>
      </c>
      <c r="H3990" s="2" t="s">
        <v>21</v>
      </c>
      <c r="I3990" s="2" t="s">
        <v>10573</v>
      </c>
      <c r="J3990" s="3" t="str">
        <f>HYPERLINK("https://www.boe.es/gazeta/dias/1812/07/24/pdfs/GMD-1812-206.pdf#page=4","Abrir facsímil")</f>
        <v>Abrir facsímil</v>
      </c>
      <c r="K3990" s="3" t="s">
        <v>23</v>
      </c>
    </row>
    <row r="3991" spans="1:11" ht="42" customHeight="1">
      <c r="A3991" s="2" t="s">
        <v>10574</v>
      </c>
      <c r="B3991" s="2" t="s">
        <v>10575</v>
      </c>
      <c r="C3991" s="2" t="s">
        <v>26</v>
      </c>
      <c r="D3991" s="2" t="s">
        <v>27</v>
      </c>
      <c r="E3991" s="4">
        <v>-32140</v>
      </c>
      <c r="F3991" s="3" t="s">
        <v>822</v>
      </c>
      <c r="G3991" s="3" t="s">
        <v>106</v>
      </c>
      <c r="H3991" s="2" t="s">
        <v>21</v>
      </c>
      <c r="I3991" s="2" t="s">
        <v>10576</v>
      </c>
      <c r="J3991" s="3" t="str">
        <f>HYPERLINK("https://www.boe.es/gazeta/dias/1812/01/01/pdfs/GMD-1812-1.pdf#page=4","Abrir facsímil")</f>
        <v>Abrir facsímil</v>
      </c>
      <c r="K3991" s="3" t="s">
        <v>23</v>
      </c>
    </row>
    <row r="3992" spans="1:11" ht="42" customHeight="1">
      <c r="A3992" s="2" t="s">
        <v>10577</v>
      </c>
      <c r="B3992" s="2" t="s">
        <v>10578</v>
      </c>
      <c r="C3992" s="2" t="s">
        <v>26</v>
      </c>
      <c r="D3992" s="2" t="s">
        <v>27</v>
      </c>
      <c r="E3992" s="4">
        <v>-31981</v>
      </c>
      <c r="F3992" s="3" t="s">
        <v>5059</v>
      </c>
      <c r="G3992" s="3" t="s">
        <v>514</v>
      </c>
      <c r="H3992" s="2" t="s">
        <v>21</v>
      </c>
      <c r="I3992" s="2" t="s">
        <v>10579</v>
      </c>
      <c r="J3992" s="3" t="str">
        <f>HYPERLINK("https://www.boe.es/gazeta/dias/1812/06/08/pdfs/GMD-1812-160.pdf#page=4","Abrir facsímil")</f>
        <v>Abrir facsímil</v>
      </c>
      <c r="K3992" s="3" t="s">
        <v>23</v>
      </c>
    </row>
    <row r="3993" spans="1:11" ht="42" customHeight="1">
      <c r="A3993" s="2" t="s">
        <v>10580</v>
      </c>
      <c r="B3993" s="2" t="s">
        <v>10581</v>
      </c>
      <c r="C3993" s="2" t="s">
        <v>67</v>
      </c>
      <c r="D3993" s="2" t="s">
        <v>27</v>
      </c>
      <c r="E3993" s="4">
        <v>-32115</v>
      </c>
      <c r="F3993" s="3" t="s">
        <v>747</v>
      </c>
      <c r="G3993" s="3" t="s">
        <v>20</v>
      </c>
      <c r="H3993" s="2" t="s">
        <v>21</v>
      </c>
      <c r="I3993" s="2" t="s">
        <v>10582</v>
      </c>
      <c r="J3993" s="3" t="str">
        <f>HYPERLINK("https://www.boe.es/gazeta/dias/1812/01/26/pdfs/GMD-1812-26.pdf#page=4","Abrir facsímil")</f>
        <v>Abrir facsímil</v>
      </c>
      <c r="K3993" s="3" t="s">
        <v>23</v>
      </c>
    </row>
    <row r="3994" spans="1:11" ht="42" customHeight="1">
      <c r="A3994" s="2" t="s">
        <v>10580</v>
      </c>
      <c r="B3994" s="2" t="s">
        <v>10581</v>
      </c>
      <c r="C3994" s="2" t="s">
        <v>26</v>
      </c>
      <c r="D3994" s="2" t="s">
        <v>27</v>
      </c>
      <c r="E3994" s="4">
        <v>-32114</v>
      </c>
      <c r="F3994" s="3" t="s">
        <v>480</v>
      </c>
      <c r="G3994" s="3" t="s">
        <v>481</v>
      </c>
      <c r="H3994" s="2" t="s">
        <v>21</v>
      </c>
      <c r="I3994" s="2" t="s">
        <v>10583</v>
      </c>
      <c r="J3994" s="3" t="str">
        <f>HYPERLINK("https://www.boe.es/gazeta/dias/1812/01/27/pdfs/GMD-1812-27.pdf#page=4","Abrir facsímil")</f>
        <v>Abrir facsímil</v>
      </c>
      <c r="K3994" s="3" t="s">
        <v>23</v>
      </c>
    </row>
    <row r="3995" spans="1:11" ht="42" customHeight="1">
      <c r="A3995" s="2" t="s">
        <v>10580</v>
      </c>
      <c r="B3995" s="2" t="s">
        <v>10581</v>
      </c>
      <c r="C3995" s="2" t="s">
        <v>26</v>
      </c>
      <c r="D3995" s="2" t="s">
        <v>27</v>
      </c>
      <c r="E3995" s="4">
        <v>-31988</v>
      </c>
      <c r="F3995" s="3" t="s">
        <v>1094</v>
      </c>
      <c r="G3995" s="3" t="s">
        <v>514</v>
      </c>
      <c r="H3995" s="2" t="s">
        <v>21</v>
      </c>
      <c r="I3995" s="2" t="s">
        <v>10584</v>
      </c>
      <c r="J3995" s="3" t="str">
        <f>HYPERLINK("https://www.boe.es/gazeta/dias/1812/06/01/pdfs/GMD-1812-153.pdf#page=4","Abrir facsímil")</f>
        <v>Abrir facsímil</v>
      </c>
      <c r="K3995" s="3" t="s">
        <v>23</v>
      </c>
    </row>
    <row r="3996" spans="1:11" ht="42" customHeight="1">
      <c r="A3996" s="2" t="s">
        <v>10580</v>
      </c>
      <c r="B3996" s="2" t="s">
        <v>10581</v>
      </c>
      <c r="C3996" s="2" t="s">
        <v>26</v>
      </c>
      <c r="D3996" s="2" t="s">
        <v>27</v>
      </c>
      <c r="E3996" s="4">
        <v>-31985</v>
      </c>
      <c r="F3996" s="3" t="s">
        <v>2770</v>
      </c>
      <c r="G3996" s="3" t="s">
        <v>172</v>
      </c>
      <c r="H3996" s="2" t="s">
        <v>21</v>
      </c>
      <c r="I3996" s="2" t="s">
        <v>10585</v>
      </c>
      <c r="J3996" s="3" t="str">
        <f>HYPERLINK("https://www.boe.es/gazeta/dias/1812/06/04/pdfs/GMD-1812-156.pdf#page=4","Abrir facsímil")</f>
        <v>Abrir facsímil</v>
      </c>
      <c r="K3996" s="3" t="s">
        <v>23</v>
      </c>
    </row>
    <row r="3997" spans="1:11" ht="42" customHeight="1">
      <c r="A3997" s="2" t="s">
        <v>10586</v>
      </c>
      <c r="B3997" s="2" t="s">
        <v>10587</v>
      </c>
      <c r="C3997" s="2" t="s">
        <v>26</v>
      </c>
      <c r="D3997" s="2" t="s">
        <v>27</v>
      </c>
      <c r="E3997" s="4">
        <v>-31977</v>
      </c>
      <c r="F3997" s="3" t="s">
        <v>1566</v>
      </c>
      <c r="G3997" s="3" t="s">
        <v>4712</v>
      </c>
      <c r="H3997" s="2" t="s">
        <v>21</v>
      </c>
      <c r="I3997" s="2" t="s">
        <v>10588</v>
      </c>
      <c r="J3997" s="3" t="str">
        <f>HYPERLINK("https://www.boe.es/gazeta/dias/1812/06/12/pdfs/GMD-1812-164.pdf#page=4","Abrir facsímil")</f>
        <v>Abrir facsímil</v>
      </c>
      <c r="K3997" s="3" t="s">
        <v>23</v>
      </c>
    </row>
    <row r="3998" spans="1:11" ht="42" customHeight="1">
      <c r="A3998" s="2" t="s">
        <v>10580</v>
      </c>
      <c r="B3998" s="2" t="s">
        <v>10581</v>
      </c>
      <c r="C3998" s="2" t="s">
        <v>26</v>
      </c>
      <c r="D3998" s="2" t="s">
        <v>27</v>
      </c>
      <c r="E3998" s="4">
        <v>-31962</v>
      </c>
      <c r="F3998" s="3" t="s">
        <v>643</v>
      </c>
      <c r="G3998" s="3" t="s">
        <v>6986</v>
      </c>
      <c r="H3998" s="2" t="s">
        <v>21</v>
      </c>
      <c r="I3998" s="2" t="s">
        <v>10589</v>
      </c>
      <c r="J3998" s="3" t="str">
        <f>HYPERLINK("https://www.boe.es/gazeta/dias/1812/06/27/pdfs/GMD-1812-179.pdf#page=4","Abrir facsímil")</f>
        <v>Abrir facsímil</v>
      </c>
      <c r="K3998" s="3" t="s">
        <v>23</v>
      </c>
    </row>
    <row r="3999" spans="1:11" ht="42" customHeight="1">
      <c r="A3999" s="2" t="s">
        <v>10586</v>
      </c>
      <c r="B3999" s="2" t="s">
        <v>10587</v>
      </c>
      <c r="C3999" s="2" t="s">
        <v>26</v>
      </c>
      <c r="D3999" s="2" t="s">
        <v>27</v>
      </c>
      <c r="E3999" s="4">
        <v>-31948</v>
      </c>
      <c r="F3999" s="3" t="s">
        <v>6870</v>
      </c>
      <c r="G3999" s="3" t="s">
        <v>172</v>
      </c>
      <c r="H3999" s="2" t="s">
        <v>21</v>
      </c>
      <c r="I3999" s="2" t="s">
        <v>10590</v>
      </c>
      <c r="J3999" s="3" t="str">
        <f>HYPERLINK("https://www.boe.es/gazeta/dias/1812/07/11/pdfs/GMD-1812-193.pdf#page=4","Abrir facsímil")</f>
        <v>Abrir facsímil</v>
      </c>
      <c r="K3999" s="3" t="s">
        <v>23</v>
      </c>
    </row>
    <row r="4000" spans="1:11" ht="42" customHeight="1">
      <c r="A4000" s="2" t="s">
        <v>10591</v>
      </c>
      <c r="B4000" s="2" t="s">
        <v>10592</v>
      </c>
      <c r="C4000" s="2" t="s">
        <v>26</v>
      </c>
      <c r="D4000" s="2" t="s">
        <v>27</v>
      </c>
      <c r="E4000" s="4">
        <v>-32083</v>
      </c>
      <c r="F4000" s="3" t="s">
        <v>1496</v>
      </c>
      <c r="G4000" s="3" t="s">
        <v>237</v>
      </c>
      <c r="H4000" s="2" t="s">
        <v>21</v>
      </c>
      <c r="I4000" s="2" t="s">
        <v>10593</v>
      </c>
      <c r="J4000" s="3" t="str">
        <f>HYPERLINK("https://www.boe.es/gazeta/dias/1812/02/27/pdfs/GRE-1812-26.pdf#page=3","Abrir facsímil")</f>
        <v>Abrir facsímil</v>
      </c>
      <c r="K4000" s="3" t="s">
        <v>23</v>
      </c>
    </row>
    <row r="4001" spans="1:11" ht="42" customHeight="1">
      <c r="A4001" s="2" t="s">
        <v>10594</v>
      </c>
      <c r="B4001" s="2" t="s">
        <v>10595</v>
      </c>
      <c r="C4001" s="2" t="s">
        <v>26</v>
      </c>
      <c r="D4001" s="2" t="s">
        <v>27</v>
      </c>
      <c r="E4001" s="4">
        <v>-32060</v>
      </c>
      <c r="F4001" s="3" t="s">
        <v>399</v>
      </c>
      <c r="G4001" s="3" t="s">
        <v>136</v>
      </c>
      <c r="H4001" s="2" t="s">
        <v>21</v>
      </c>
      <c r="I4001" s="2" t="s">
        <v>10596</v>
      </c>
      <c r="J4001" s="3" t="str">
        <f>HYPERLINK("https://www.boe.es/gazeta/dias/1812/03/21/pdfs/GMD-1812-81.pdf#page=4","Abrir facsímil")</f>
        <v>Abrir facsímil</v>
      </c>
      <c r="K4001" s="3" t="s">
        <v>23</v>
      </c>
    </row>
    <row r="4002" spans="1:11" ht="42" customHeight="1">
      <c r="A4002" s="2" t="s">
        <v>10597</v>
      </c>
      <c r="B4002" s="2" t="s">
        <v>10598</v>
      </c>
      <c r="C4002" s="2" t="s">
        <v>26</v>
      </c>
      <c r="D4002" s="2" t="s">
        <v>27</v>
      </c>
      <c r="E4002" s="4">
        <v>-31805</v>
      </c>
      <c r="F4002" s="3" t="s">
        <v>895</v>
      </c>
      <c r="G4002" s="3" t="s">
        <v>896</v>
      </c>
      <c r="H4002" s="2" t="s">
        <v>21</v>
      </c>
      <c r="I4002" s="2" t="s">
        <v>10599</v>
      </c>
      <c r="J4002" s="3" t="str">
        <f>HYPERLINK("https://www.boe.es/gazeta/dias/1812/12/01/pdfs/GMR-1812-39.pdf#page=15","Abrir facsímil")</f>
        <v>Abrir facsímil</v>
      </c>
      <c r="K4002" s="3" t="s">
        <v>23</v>
      </c>
    </row>
    <row r="4003" spans="1:11" ht="42" customHeight="1">
      <c r="A4003" s="2" t="s">
        <v>10600</v>
      </c>
      <c r="B4003" s="2" t="s">
        <v>10601</v>
      </c>
      <c r="C4003" s="2" t="s">
        <v>26</v>
      </c>
      <c r="D4003" s="2" t="s">
        <v>27</v>
      </c>
      <c r="E4003" s="4">
        <v>-32121</v>
      </c>
      <c r="F4003" s="3" t="s">
        <v>1237</v>
      </c>
      <c r="G4003" s="3" t="s">
        <v>404</v>
      </c>
      <c r="H4003" s="2" t="s">
        <v>21</v>
      </c>
      <c r="I4003" s="2" t="s">
        <v>10602</v>
      </c>
      <c r="J4003" s="3" t="str">
        <f>HYPERLINK("https://www.boe.es/gazeta/dias/1812/01/20/pdfs/GMD-1812-20.pdf#page=4","Abrir facsímil")</f>
        <v>Abrir facsímil</v>
      </c>
      <c r="K4003" s="3" t="s">
        <v>23</v>
      </c>
    </row>
    <row r="4004" spans="1:11" ht="42" customHeight="1">
      <c r="A4004" s="2" t="s">
        <v>10600</v>
      </c>
      <c r="B4004" s="2" t="s">
        <v>10601</v>
      </c>
      <c r="C4004" s="2" t="s">
        <v>26</v>
      </c>
      <c r="D4004" s="2" t="s">
        <v>27</v>
      </c>
      <c r="E4004" s="4">
        <v>-31988</v>
      </c>
      <c r="F4004" s="3" t="s">
        <v>1094</v>
      </c>
      <c r="G4004" s="3" t="s">
        <v>514</v>
      </c>
      <c r="H4004" s="2" t="s">
        <v>21</v>
      </c>
      <c r="I4004" s="2" t="s">
        <v>10603</v>
      </c>
      <c r="J4004" s="3" t="str">
        <f>HYPERLINK("https://www.boe.es/gazeta/dias/1812/06/01/pdfs/GMD-1812-153.pdf#page=4","Abrir facsímil")</f>
        <v>Abrir facsímil</v>
      </c>
      <c r="K4004" s="3" t="s">
        <v>23</v>
      </c>
    </row>
    <row r="4005" spans="1:11" ht="42" customHeight="1">
      <c r="A4005" s="2" t="s">
        <v>10600</v>
      </c>
      <c r="B4005" s="2" t="s">
        <v>10601</v>
      </c>
      <c r="C4005" s="2" t="s">
        <v>26</v>
      </c>
      <c r="D4005" s="2" t="s">
        <v>27</v>
      </c>
      <c r="E4005" s="4">
        <v>-31965</v>
      </c>
      <c r="F4005" s="3" t="s">
        <v>1180</v>
      </c>
      <c r="G4005" s="3" t="s">
        <v>58</v>
      </c>
      <c r="H4005" s="2" t="s">
        <v>21</v>
      </c>
      <c r="I4005" s="2" t="s">
        <v>10604</v>
      </c>
      <c r="J4005" s="3" t="str">
        <f>HYPERLINK("https://www.boe.es/gazeta/dias/1812/06/24/pdfs/GMD-1812-176.pdf#page=4","Abrir facsímil")</f>
        <v>Abrir facsímil</v>
      </c>
      <c r="K4005" s="3" t="s">
        <v>23</v>
      </c>
    </row>
    <row r="4006" spans="1:11" ht="42" customHeight="1">
      <c r="A4006" s="2" t="s">
        <v>10605</v>
      </c>
      <c r="B4006" s="2" t="s">
        <v>10606</v>
      </c>
      <c r="C4006" s="2" t="s">
        <v>26</v>
      </c>
      <c r="D4006" s="2" t="s">
        <v>27</v>
      </c>
      <c r="E4006" s="4">
        <v>-32050</v>
      </c>
      <c r="F4006" s="3" t="s">
        <v>864</v>
      </c>
      <c r="G4006" s="3" t="s">
        <v>29</v>
      </c>
      <c r="H4006" s="2" t="s">
        <v>21</v>
      </c>
      <c r="I4006" s="2" t="s">
        <v>10607</v>
      </c>
      <c r="J4006" s="3" t="str">
        <f>HYPERLINK("https://www.boe.es/gazeta/dias/1812/03/31/pdfs/GRE-1812-40.pdf#page=8","Abrir facsímil")</f>
        <v>Abrir facsímil</v>
      </c>
      <c r="K4006" s="3" t="s">
        <v>23</v>
      </c>
    </row>
    <row r="4007" spans="1:11" ht="42" customHeight="1">
      <c r="A4007" s="2" t="s">
        <v>10608</v>
      </c>
      <c r="B4007" s="2" t="s">
        <v>10609</v>
      </c>
      <c r="C4007" s="2" t="s">
        <v>26</v>
      </c>
      <c r="D4007" s="2" t="s">
        <v>27</v>
      </c>
      <c r="E4007" s="4">
        <v>-32034</v>
      </c>
      <c r="F4007" s="3" t="s">
        <v>28</v>
      </c>
      <c r="G4007" s="3" t="s">
        <v>45</v>
      </c>
      <c r="H4007" s="2" t="s">
        <v>21</v>
      </c>
      <c r="I4007" s="2" t="s">
        <v>10610</v>
      </c>
      <c r="J4007" s="3" t="str">
        <f>HYPERLINK("https://www.boe.es/gazeta/dias/1812/04/16/pdfs/GMD-1812-107.pdf#page=5","Abrir facsímil")</f>
        <v>Abrir facsímil</v>
      </c>
      <c r="K4007" s="3" t="s">
        <v>23</v>
      </c>
    </row>
    <row r="4008" spans="1:11" ht="42" customHeight="1">
      <c r="A4008" s="2" t="s">
        <v>10611</v>
      </c>
      <c r="B4008" s="2" t="s">
        <v>10612</v>
      </c>
      <c r="C4008" s="2" t="s">
        <v>26</v>
      </c>
      <c r="D4008" s="2" t="s">
        <v>27</v>
      </c>
      <c r="E4008" s="4">
        <v>-31955</v>
      </c>
      <c r="F4008" s="3" t="s">
        <v>789</v>
      </c>
      <c r="G4008" s="3" t="s">
        <v>237</v>
      </c>
      <c r="H4008" s="2" t="s">
        <v>21</v>
      </c>
      <c r="I4008" s="2" t="s">
        <v>10613</v>
      </c>
      <c r="J4008" s="3" t="str">
        <f>HYPERLINK("https://www.boe.es/gazeta/dias/1812/07/04/pdfs/GRE-1812-82.pdf#page=8","Abrir facsímil")</f>
        <v>Abrir facsímil</v>
      </c>
      <c r="K4008" s="3" t="s">
        <v>23</v>
      </c>
    </row>
    <row r="4009" spans="1:11" ht="42" customHeight="1">
      <c r="A4009" s="2" t="s">
        <v>10614</v>
      </c>
      <c r="B4009" s="2" t="s">
        <v>10615</v>
      </c>
      <c r="C4009" s="2" t="s">
        <v>67</v>
      </c>
      <c r="D4009" s="2" t="s">
        <v>27</v>
      </c>
      <c r="E4009" s="4">
        <v>-31798</v>
      </c>
      <c r="F4009" s="3" t="s">
        <v>2194</v>
      </c>
      <c r="G4009" s="3" t="s">
        <v>159</v>
      </c>
      <c r="H4009" s="2" t="s">
        <v>21</v>
      </c>
      <c r="I4009" s="2" t="s">
        <v>10616</v>
      </c>
      <c r="J4009" s="3" t="str">
        <f>HYPERLINK("https://www.boe.es/gazeta/dias/1812/12/08/pdfs/GRE-1812-162.pdf#page=7","Abrir facsímil")</f>
        <v>Abrir facsímil</v>
      </c>
      <c r="K4009" s="3" t="s">
        <v>23</v>
      </c>
    </row>
    <row r="4010" spans="1:11" ht="42" customHeight="1">
      <c r="A4010" s="2" t="s">
        <v>10617</v>
      </c>
      <c r="B4010" s="2" t="s">
        <v>10618</v>
      </c>
      <c r="C4010" s="2" t="s">
        <v>26</v>
      </c>
      <c r="D4010" s="2" t="s">
        <v>27</v>
      </c>
      <c r="E4010" s="4">
        <v>-32139</v>
      </c>
      <c r="F4010" s="3" t="s">
        <v>518</v>
      </c>
      <c r="G4010" s="3" t="s">
        <v>125</v>
      </c>
      <c r="H4010" s="2" t="s">
        <v>21</v>
      </c>
      <c r="I4010" s="2" t="s">
        <v>10619</v>
      </c>
      <c r="J4010" s="3" t="str">
        <f>HYPERLINK("https://www.boe.es/gazeta/dias/1812/01/02/pdfs/GEI-1812-1.pdf#page=8","Abrir facsímil")</f>
        <v>Abrir facsímil</v>
      </c>
      <c r="K4010" s="3" t="s">
        <v>23</v>
      </c>
    </row>
    <row r="4011" spans="1:11" ht="42" customHeight="1">
      <c r="A4011" s="2" t="s">
        <v>10620</v>
      </c>
      <c r="B4011" s="2" t="s">
        <v>10621</v>
      </c>
      <c r="C4011" s="2" t="s">
        <v>49</v>
      </c>
      <c r="D4011" s="2" t="s">
        <v>27</v>
      </c>
      <c r="E4011" s="4">
        <v>-32075</v>
      </c>
      <c r="F4011" s="3" t="s">
        <v>301</v>
      </c>
      <c r="G4011" s="3" t="s">
        <v>20</v>
      </c>
      <c r="H4011" s="2" t="s">
        <v>21</v>
      </c>
      <c r="I4011" s="2" t="s">
        <v>10622</v>
      </c>
      <c r="J4011" s="3" t="str">
        <f>HYPERLINK("https://www.boe.es/gazeta/dias/1812/03/06/pdfs/GMD-1812-66.pdf#page=4","Abrir facsímil")</f>
        <v>Abrir facsímil</v>
      </c>
      <c r="K4011" s="3" t="s">
        <v>23</v>
      </c>
    </row>
    <row r="4012" spans="1:11" ht="42" customHeight="1">
      <c r="A4012" s="2" t="s">
        <v>10623</v>
      </c>
      <c r="B4012" s="2" t="s">
        <v>10624</v>
      </c>
      <c r="C4012" s="2" t="s">
        <v>26</v>
      </c>
      <c r="D4012" s="2" t="s">
        <v>27</v>
      </c>
      <c r="E4012" s="4">
        <v>-32121</v>
      </c>
      <c r="F4012" s="3" t="s">
        <v>1237</v>
      </c>
      <c r="G4012" s="3" t="s">
        <v>404</v>
      </c>
      <c r="H4012" s="2" t="s">
        <v>21</v>
      </c>
      <c r="I4012" s="2" t="s">
        <v>10625</v>
      </c>
      <c r="J4012" s="3" t="str">
        <f>HYPERLINK("https://www.boe.es/gazeta/dias/1812/01/20/pdfs/GMD-1812-20.pdf#page=4","Abrir facsímil")</f>
        <v>Abrir facsímil</v>
      </c>
      <c r="K4012" s="3" t="s">
        <v>23</v>
      </c>
    </row>
    <row r="4013" spans="1:11" ht="42" customHeight="1">
      <c r="A4013" s="2" t="s">
        <v>10623</v>
      </c>
      <c r="B4013" s="2" t="s">
        <v>10624</v>
      </c>
      <c r="C4013" s="2" t="s">
        <v>17</v>
      </c>
      <c r="D4013" s="2" t="s">
        <v>27</v>
      </c>
      <c r="E4013" s="4">
        <v>-31951</v>
      </c>
      <c r="F4013" s="3" t="s">
        <v>1603</v>
      </c>
      <c r="G4013" s="3" t="s">
        <v>214</v>
      </c>
      <c r="H4013" s="2" t="s">
        <v>21</v>
      </c>
      <c r="I4013" s="2" t="s">
        <v>10626</v>
      </c>
      <c r="J4013" s="3" t="str">
        <f>HYPERLINK("https://www.boe.es/gazeta/dias/1812/07/08/pdfs/GMD-1812-190.pdf#page=4","Abrir facsímil")</f>
        <v>Abrir facsímil</v>
      </c>
      <c r="K4013" s="3" t="s">
        <v>23</v>
      </c>
    </row>
    <row r="4014" spans="1:11" ht="42" customHeight="1">
      <c r="A4014" s="2" t="s">
        <v>10623</v>
      </c>
      <c r="B4014" s="2" t="s">
        <v>10624</v>
      </c>
      <c r="C4014" s="2" t="s">
        <v>26</v>
      </c>
      <c r="D4014" s="2" t="s">
        <v>27</v>
      </c>
      <c r="E4014" s="4">
        <v>-31859</v>
      </c>
      <c r="F4014" s="3" t="s">
        <v>158</v>
      </c>
      <c r="G4014" s="3" t="s">
        <v>674</v>
      </c>
      <c r="H4014" s="2" t="s">
        <v>21</v>
      </c>
      <c r="I4014" s="2" t="s">
        <v>10627</v>
      </c>
      <c r="J4014" s="3" t="str">
        <f>HYPERLINK("https://www.boe.es/gazeta/dias/1812/10/08/pdfs/GMR-1812-24.pdf#page=10","Abrir facsímil")</f>
        <v>Abrir facsímil</v>
      </c>
      <c r="K4014" s="3" t="s">
        <v>23</v>
      </c>
    </row>
    <row r="4015" spans="1:11" ht="42" customHeight="1">
      <c r="A4015" s="2" t="s">
        <v>10623</v>
      </c>
      <c r="B4015" s="2" t="s">
        <v>10624</v>
      </c>
      <c r="C4015" s="2" t="s">
        <v>67</v>
      </c>
      <c r="D4015" s="2" t="s">
        <v>27</v>
      </c>
      <c r="E4015" s="4">
        <v>-31812</v>
      </c>
      <c r="F4015" s="3" t="s">
        <v>1533</v>
      </c>
      <c r="G4015" s="3" t="s">
        <v>3939</v>
      </c>
      <c r="H4015" s="2" t="s">
        <v>21</v>
      </c>
      <c r="I4015" s="2" t="s">
        <v>10628</v>
      </c>
      <c r="J4015" s="3" t="str">
        <f>HYPERLINK("https://www.boe.es/gazeta/dias/1812/11/24/pdfs/GMR-1812-37.pdf#page=6","Abrir facsímil")</f>
        <v>Abrir facsímil</v>
      </c>
      <c r="K4015" s="3" t="s">
        <v>23</v>
      </c>
    </row>
    <row r="4016" spans="1:11" ht="42" customHeight="1">
      <c r="A4016" s="2" t="s">
        <v>10629</v>
      </c>
      <c r="B4016" s="2" t="s">
        <v>10630</v>
      </c>
      <c r="C4016" s="2" t="s">
        <v>26</v>
      </c>
      <c r="D4016" s="2" t="s">
        <v>27</v>
      </c>
      <c r="E4016" s="4">
        <v>-32034</v>
      </c>
      <c r="F4016" s="3" t="s">
        <v>28</v>
      </c>
      <c r="G4016" s="3" t="s">
        <v>130</v>
      </c>
      <c r="H4016" s="2" t="s">
        <v>21</v>
      </c>
      <c r="I4016" s="2" t="s">
        <v>10631</v>
      </c>
      <c r="J4016" s="3" t="str">
        <f>HYPERLINK("https://www.boe.es/gazeta/dias/1812/04/16/pdfs/GMD-1812-107.pdf#page=4","Abrir facsímil")</f>
        <v>Abrir facsímil</v>
      </c>
      <c r="K4016" s="3" t="s">
        <v>23</v>
      </c>
    </row>
    <row r="4017" spans="1:11" ht="42" customHeight="1">
      <c r="A4017" s="2" t="s">
        <v>10632</v>
      </c>
      <c r="B4017" s="2" t="s">
        <v>10633</v>
      </c>
      <c r="C4017" s="2" t="s">
        <v>26</v>
      </c>
      <c r="D4017" s="2" t="s">
        <v>27</v>
      </c>
      <c r="E4017" s="4">
        <v>-32001</v>
      </c>
      <c r="F4017" s="3" t="s">
        <v>1938</v>
      </c>
      <c r="G4017" s="3" t="s">
        <v>1939</v>
      </c>
      <c r="H4017" s="2" t="s">
        <v>21</v>
      </c>
      <c r="I4017" s="2" t="s">
        <v>10634</v>
      </c>
      <c r="J4017" s="3" t="str">
        <f>HYPERLINK("https://www.boe.es/gazeta/dias/1812/05/19/pdfs/GRE-1812-62.pdf#page=7","Abrir facsímil")</f>
        <v>Abrir facsímil</v>
      </c>
      <c r="K4017" s="3" t="s">
        <v>23</v>
      </c>
    </row>
    <row r="4018" spans="1:11" ht="42" customHeight="1">
      <c r="A4018" s="2" t="s">
        <v>10635</v>
      </c>
      <c r="B4018" s="2" t="s">
        <v>10636</v>
      </c>
      <c r="C4018" s="2" t="s">
        <v>26</v>
      </c>
      <c r="D4018" s="2" t="s">
        <v>27</v>
      </c>
      <c r="E4018" s="4">
        <v>-31964</v>
      </c>
      <c r="F4018" s="3" t="s">
        <v>305</v>
      </c>
      <c r="G4018" s="3" t="s">
        <v>58</v>
      </c>
      <c r="H4018" s="2" t="s">
        <v>21</v>
      </c>
      <c r="I4018" s="2" t="s">
        <v>10637</v>
      </c>
      <c r="J4018" s="3" t="str">
        <f>HYPERLINK("https://www.boe.es/gazeta/dias/1812/06/25/pdfs/GMD-1812-177.pdf#page=2","Abrir facsímil")</f>
        <v>Abrir facsímil</v>
      </c>
      <c r="K4018" s="3" t="s">
        <v>23</v>
      </c>
    </row>
    <row r="4019" spans="1:11" ht="42" customHeight="1">
      <c r="A4019" s="2" t="s">
        <v>10638</v>
      </c>
      <c r="B4019" s="2" t="s">
        <v>10639</v>
      </c>
      <c r="C4019" s="2" t="s">
        <v>115</v>
      </c>
      <c r="D4019" s="2" t="s">
        <v>27</v>
      </c>
      <c r="E4019" s="4">
        <v>-32019</v>
      </c>
      <c r="F4019" s="3" t="s">
        <v>476</v>
      </c>
      <c r="G4019" s="3" t="s">
        <v>404</v>
      </c>
      <c r="H4019" s="2" t="s">
        <v>21</v>
      </c>
      <c r="I4019" s="2" t="s">
        <v>10640</v>
      </c>
      <c r="J4019" s="3" t="str">
        <f>HYPERLINK("https://www.boe.es/gazeta/dias/1812/05/01/pdfs/GMD-1812-122.pdf#page=3","Abrir facsímil")</f>
        <v>Abrir facsímil</v>
      </c>
      <c r="K4019" s="3" t="s">
        <v>23</v>
      </c>
    </row>
    <row r="4020" spans="1:11" ht="42" customHeight="1">
      <c r="A4020" s="2" t="s">
        <v>10641</v>
      </c>
      <c r="B4020" s="2" t="s">
        <v>10641</v>
      </c>
      <c r="C4020" s="2" t="s">
        <v>17</v>
      </c>
      <c r="D4020" s="2" t="s">
        <v>27</v>
      </c>
      <c r="E4020" s="4">
        <v>-32062</v>
      </c>
      <c r="F4020" s="3" t="s">
        <v>2168</v>
      </c>
      <c r="G4020" s="3" t="s">
        <v>2169</v>
      </c>
      <c r="H4020" s="2" t="s">
        <v>21</v>
      </c>
      <c r="I4020" s="2" t="s">
        <v>10642</v>
      </c>
      <c r="J4020" s="3" t="str">
        <f>HYPERLINK("https://www.boe.es/gazeta/dias/1812/03/19/pdfs/GRE-1812-35.pdf#page=4","Abrir facsímil")</f>
        <v>Abrir facsímil</v>
      </c>
      <c r="K4020" s="3" t="s">
        <v>23</v>
      </c>
    </row>
    <row r="4021" spans="1:11" ht="42" customHeight="1">
      <c r="A4021" s="2" t="s">
        <v>10641</v>
      </c>
      <c r="B4021" s="2" t="s">
        <v>10641</v>
      </c>
      <c r="C4021" s="2" t="s">
        <v>17</v>
      </c>
      <c r="D4021" s="2" t="s">
        <v>27</v>
      </c>
      <c r="E4021" s="4">
        <v>-31908</v>
      </c>
      <c r="F4021" s="3" t="s">
        <v>835</v>
      </c>
      <c r="G4021" s="3" t="s">
        <v>5298</v>
      </c>
      <c r="H4021" s="2" t="s">
        <v>21</v>
      </c>
      <c r="I4021" s="2" t="s">
        <v>10643</v>
      </c>
      <c r="J4021" s="3" t="str">
        <f>HYPERLINK("https://www.boe.es/gazeta/dias/1812/08/20/pdfs/GRE-1812-107.pdf#page=5","Abrir facsímil")</f>
        <v>Abrir facsímil</v>
      </c>
      <c r="K4021" s="3" t="s">
        <v>23</v>
      </c>
    </row>
    <row r="4022" spans="1:11" ht="42" customHeight="1">
      <c r="A4022" s="2" t="s">
        <v>10644</v>
      </c>
      <c r="B4022" s="2" t="s">
        <v>10644</v>
      </c>
      <c r="C4022" s="2" t="s">
        <v>17</v>
      </c>
      <c r="D4022" s="2" t="s">
        <v>27</v>
      </c>
      <c r="E4022" s="4">
        <v>-31794</v>
      </c>
      <c r="F4022" s="3" t="s">
        <v>254</v>
      </c>
      <c r="G4022" s="3" t="s">
        <v>255</v>
      </c>
      <c r="H4022" s="2" t="s">
        <v>21</v>
      </c>
      <c r="I4022" s="2" t="s">
        <v>10645</v>
      </c>
      <c r="J4022" s="3" t="str">
        <f>HYPERLINK("https://www.boe.es/gazeta/dias/1812/12/12/pdfs/GMD-1812-235.pdf#page=1","Abrir facsímil")</f>
        <v>Abrir facsímil</v>
      </c>
      <c r="K4022" s="3" t="s">
        <v>23</v>
      </c>
    </row>
    <row r="4023" spans="1:11" ht="42" customHeight="1">
      <c r="A4023" s="2" t="s">
        <v>10646</v>
      </c>
      <c r="B4023" s="2" t="s">
        <v>10646</v>
      </c>
      <c r="C4023" s="2" t="s">
        <v>17</v>
      </c>
      <c r="D4023" s="2" t="s">
        <v>18</v>
      </c>
      <c r="E4023" s="4">
        <v>-31782</v>
      </c>
      <c r="F4023" s="3" t="s">
        <v>4408</v>
      </c>
      <c r="G4023" s="3" t="s">
        <v>514</v>
      </c>
      <c r="H4023" s="2" t="s">
        <v>21</v>
      </c>
      <c r="I4023" s="2" t="s">
        <v>10647</v>
      </c>
      <c r="J4023" s="3" t="str">
        <f>HYPERLINK("https://www.boe.es/gazeta/dias/1812/12/24/pdfs/GMD-1812-247.pdf#page=3","Abrir facsímil")</f>
        <v>Abrir facsímil</v>
      </c>
      <c r="K4023" s="3" t="s">
        <v>23</v>
      </c>
    </row>
    <row r="4024" spans="1:11" ht="42" customHeight="1">
      <c r="A4024" s="2" t="s">
        <v>10648</v>
      </c>
      <c r="B4024" s="2" t="s">
        <v>10649</v>
      </c>
      <c r="C4024" s="2" t="s">
        <v>26</v>
      </c>
      <c r="D4024" s="2" t="s">
        <v>27</v>
      </c>
      <c r="E4024" s="4">
        <v>-31838</v>
      </c>
      <c r="F4024" s="3" t="s">
        <v>1452</v>
      </c>
      <c r="G4024" s="3" t="s">
        <v>29</v>
      </c>
      <c r="H4024" s="2" t="s">
        <v>21</v>
      </c>
      <c r="I4024" s="2" t="s">
        <v>10650</v>
      </c>
      <c r="J4024" s="3" t="str">
        <f>HYPERLINK("https://www.boe.es/gazeta/dias/1812/10/29/pdfs/GMR-1812-33.pdf#page=8","Abrir facsímil")</f>
        <v>Abrir facsímil</v>
      </c>
      <c r="K4024" s="3" t="s">
        <v>23</v>
      </c>
    </row>
    <row r="4025" spans="1:11" ht="42" customHeight="1">
      <c r="A4025" s="2" t="s">
        <v>10651</v>
      </c>
      <c r="B4025" s="2" t="s">
        <v>10652</v>
      </c>
      <c r="C4025" s="2" t="s">
        <v>26</v>
      </c>
      <c r="D4025" s="2" t="s">
        <v>27</v>
      </c>
      <c r="E4025" s="4">
        <v>-31936</v>
      </c>
      <c r="F4025" s="3" t="s">
        <v>614</v>
      </c>
      <c r="G4025" s="3" t="s">
        <v>615</v>
      </c>
      <c r="H4025" s="2" t="s">
        <v>21</v>
      </c>
      <c r="I4025" s="2" t="s">
        <v>10653</v>
      </c>
      <c r="J4025" s="3" t="str">
        <f>HYPERLINK("https://www.boe.es/gazeta/dias/1812/07/23/pdfs/GRE-1812-92.pdf#page=8","Abrir facsímil")</f>
        <v>Abrir facsímil</v>
      </c>
      <c r="K4025" s="3" t="s">
        <v>23</v>
      </c>
    </row>
    <row r="4026" spans="1:11" ht="42" customHeight="1">
      <c r="A4026" s="2" t="s">
        <v>10654</v>
      </c>
      <c r="B4026" s="2" t="s">
        <v>10655</v>
      </c>
      <c r="C4026" s="2" t="s">
        <v>26</v>
      </c>
      <c r="D4026" s="2" t="s">
        <v>27</v>
      </c>
      <c r="E4026" s="4">
        <v>-32137</v>
      </c>
      <c r="F4026" s="3" t="s">
        <v>355</v>
      </c>
      <c r="G4026" s="3" t="s">
        <v>117</v>
      </c>
      <c r="H4026" s="2" t="s">
        <v>21</v>
      </c>
      <c r="I4026" s="2" t="s">
        <v>10656</v>
      </c>
      <c r="J4026" s="3" t="str">
        <f>HYPERLINK("https://www.boe.es/gazeta/dias/1812/01/04/pdfs/GEI-1812-2.pdf#page=8","Abrir facsímil")</f>
        <v>Abrir facsímil</v>
      </c>
      <c r="K4026" s="3" t="s">
        <v>23</v>
      </c>
    </row>
    <row r="4027" spans="1:11" ht="42" customHeight="1">
      <c r="A4027" s="2" t="s">
        <v>10657</v>
      </c>
      <c r="B4027" s="2" t="s">
        <v>10658</v>
      </c>
      <c r="C4027" s="2" t="s">
        <v>26</v>
      </c>
      <c r="D4027" s="2" t="s">
        <v>194</v>
      </c>
      <c r="E4027" s="4">
        <v>-31939</v>
      </c>
      <c r="F4027" s="3" t="s">
        <v>408</v>
      </c>
      <c r="G4027" s="3" t="s">
        <v>409</v>
      </c>
      <c r="H4027" s="2" t="s">
        <v>30</v>
      </c>
      <c r="I4027" s="2" t="s">
        <v>10659</v>
      </c>
      <c r="J4027" s="3" t="str">
        <f>HYPERLINK("https://www.boe.es/gazeta/dias/1812/07/20/pdfs/GMD-1812-202.pdf#page=3","Abrir facsímil")</f>
        <v>Abrir facsímil</v>
      </c>
      <c r="K4027" s="3" t="s">
        <v>32</v>
      </c>
    </row>
    <row r="4028" spans="1:11" ht="42" customHeight="1">
      <c r="A4028" s="2" t="s">
        <v>10660</v>
      </c>
      <c r="B4028" s="2" t="s">
        <v>10661</v>
      </c>
      <c r="C4028" s="2" t="s">
        <v>17</v>
      </c>
      <c r="D4028" s="2" t="s">
        <v>27</v>
      </c>
      <c r="E4028" s="4">
        <v>-31988</v>
      </c>
      <c r="F4028" s="3" t="s">
        <v>1094</v>
      </c>
      <c r="G4028" s="3" t="s">
        <v>1095</v>
      </c>
      <c r="H4028" s="2" t="s">
        <v>30</v>
      </c>
      <c r="I4028" s="2" t="s">
        <v>10662</v>
      </c>
      <c r="J4028" s="3" t="str">
        <f>HYPERLINK("https://www.boe.es/gazeta/dias/1812/06/01/pdfs/GMD-1812-153.pdf#page=2","Abrir facsímil")</f>
        <v>Abrir facsímil</v>
      </c>
      <c r="K4028" s="3" t="s">
        <v>32</v>
      </c>
    </row>
    <row r="4029" spans="1:11" ht="42" customHeight="1">
      <c r="A4029" s="2" t="s">
        <v>10663</v>
      </c>
      <c r="B4029" s="2" t="s">
        <v>10663</v>
      </c>
      <c r="C4029" s="2" t="s">
        <v>17</v>
      </c>
      <c r="D4029" s="2" t="s">
        <v>275</v>
      </c>
      <c r="E4029" s="4">
        <v>-32075</v>
      </c>
      <c r="F4029" s="3" t="s">
        <v>301</v>
      </c>
      <c r="G4029" s="3" t="s">
        <v>2664</v>
      </c>
      <c r="H4029" s="2" t="s">
        <v>21</v>
      </c>
      <c r="I4029" s="2" t="s">
        <v>10664</v>
      </c>
      <c r="J4029" s="3" t="str">
        <f>HYPERLINK("https://www.boe.es/gazeta/dias/1812/03/06/pdfs/GMD-1812-66.pdf#page=3","Abrir facsímil")</f>
        <v>Abrir facsímil</v>
      </c>
      <c r="K4029" s="3" t="s">
        <v>23</v>
      </c>
    </row>
    <row r="4030" spans="1:11" ht="42" customHeight="1">
      <c r="A4030" s="2" t="s">
        <v>10665</v>
      </c>
      <c r="B4030" s="2" t="s">
        <v>10666</v>
      </c>
      <c r="C4030" s="2" t="s">
        <v>105</v>
      </c>
      <c r="D4030" s="2" t="s">
        <v>27</v>
      </c>
      <c r="E4030" s="4">
        <v>-32076</v>
      </c>
      <c r="F4030" s="3" t="s">
        <v>1610</v>
      </c>
      <c r="G4030" s="3" t="s">
        <v>36</v>
      </c>
      <c r="H4030" s="2" t="s">
        <v>21</v>
      </c>
      <c r="I4030" s="2" t="s">
        <v>10667</v>
      </c>
      <c r="J4030" s="3" t="str">
        <f>HYPERLINK("https://www.boe.es/gazeta/dias/1812/03/05/pdfs/GMD-1812-65.pdf#page=3","Abrir facsímil")</f>
        <v>Abrir facsímil</v>
      </c>
      <c r="K4030" s="3" t="s">
        <v>23</v>
      </c>
    </row>
    <row r="4031" spans="1:11" ht="42" customHeight="1">
      <c r="A4031" s="2" t="s">
        <v>10668</v>
      </c>
      <c r="B4031" s="2" t="s">
        <v>10669</v>
      </c>
      <c r="C4031" s="2" t="s">
        <v>26</v>
      </c>
      <c r="D4031" s="2" t="s">
        <v>275</v>
      </c>
      <c r="E4031" s="4">
        <v>-32036</v>
      </c>
      <c r="F4031" s="3" t="s">
        <v>781</v>
      </c>
      <c r="G4031" s="3" t="s">
        <v>782</v>
      </c>
      <c r="H4031" s="2" t="s">
        <v>21</v>
      </c>
      <c r="I4031" s="2" t="s">
        <v>10670</v>
      </c>
      <c r="J4031" s="3" t="str">
        <f>HYPERLINK("https://www.boe.es/gazeta/dias/1812/04/14/pdfs/GRE-1812-47.pdf#page=8","Abrir facsímil")</f>
        <v>Abrir facsímil</v>
      </c>
      <c r="K4031" s="3" t="s">
        <v>23</v>
      </c>
    </row>
    <row r="4032" spans="1:11" ht="42" customHeight="1">
      <c r="A4032" s="2" t="s">
        <v>10671</v>
      </c>
      <c r="B4032" s="2" t="s">
        <v>10672</v>
      </c>
      <c r="C4032" s="2" t="s">
        <v>49</v>
      </c>
      <c r="D4032" s="2" t="s">
        <v>27</v>
      </c>
      <c r="E4032" s="4">
        <v>-32039</v>
      </c>
      <c r="F4032" s="3" t="s">
        <v>557</v>
      </c>
      <c r="G4032" s="3" t="s">
        <v>20</v>
      </c>
      <c r="H4032" s="2" t="s">
        <v>21</v>
      </c>
      <c r="I4032" s="2" t="s">
        <v>10673</v>
      </c>
      <c r="J4032" s="3" t="str">
        <f>HYPERLINK("https://www.boe.es/gazeta/dias/1812/04/11/pdfs/GMD-1812-102.pdf#page=4","Abrir facsímil")</f>
        <v>Abrir facsímil</v>
      </c>
      <c r="K4032" s="3" t="s">
        <v>23</v>
      </c>
    </row>
    <row r="4033" spans="1:11" ht="42" customHeight="1">
      <c r="A4033" s="2" t="s">
        <v>10674</v>
      </c>
      <c r="B4033" s="2" t="s">
        <v>10674</v>
      </c>
      <c r="C4033" s="2" t="s">
        <v>17</v>
      </c>
      <c r="D4033" s="2" t="s">
        <v>18</v>
      </c>
      <c r="E4033" s="4">
        <v>-31995</v>
      </c>
      <c r="F4033" s="3" t="s">
        <v>100</v>
      </c>
      <c r="G4033" s="3" t="s">
        <v>1842</v>
      </c>
      <c r="H4033" s="2" t="s">
        <v>21</v>
      </c>
      <c r="I4033" s="2" t="s">
        <v>10675</v>
      </c>
      <c r="J4033" s="3" t="str">
        <f>HYPERLINK("https://www.boe.es/gazeta/dias/1812/05/25/pdfs/GMD-1812-146.pdf#page=4","Abrir facsímil")</f>
        <v>Abrir facsímil</v>
      </c>
      <c r="K4033" s="3" t="s">
        <v>23</v>
      </c>
    </row>
    <row r="4034" spans="1:11" ht="42" customHeight="1">
      <c r="A4034" s="2" t="s">
        <v>10676</v>
      </c>
      <c r="B4034" s="2" t="s">
        <v>10676</v>
      </c>
      <c r="C4034" s="2" t="s">
        <v>17</v>
      </c>
      <c r="D4034" s="2" t="s">
        <v>27</v>
      </c>
      <c r="E4034" s="4">
        <v>-32040</v>
      </c>
      <c r="F4034" s="3" t="s">
        <v>682</v>
      </c>
      <c r="G4034" s="3" t="s">
        <v>45</v>
      </c>
      <c r="H4034" s="2" t="s">
        <v>21</v>
      </c>
      <c r="I4034" s="2" t="s">
        <v>10677</v>
      </c>
      <c r="J4034" s="3" t="str">
        <f>HYPERLINK("https://www.boe.es/gazeta/dias/1812/04/10/pdfs/GMD-1812-101.pdf#page=2","Abrir facsímil")</f>
        <v>Abrir facsímil</v>
      </c>
      <c r="K4034" s="3" t="s">
        <v>23</v>
      </c>
    </row>
    <row r="4035" spans="1:11" ht="42" customHeight="1">
      <c r="A4035" s="2" t="s">
        <v>10678</v>
      </c>
      <c r="B4035" s="2" t="s">
        <v>10678</v>
      </c>
      <c r="C4035" s="2" t="s">
        <v>17</v>
      </c>
      <c r="D4035" s="2" t="s">
        <v>27</v>
      </c>
      <c r="E4035" s="4">
        <v>-31808</v>
      </c>
      <c r="F4035" s="3" t="s">
        <v>416</v>
      </c>
      <c r="G4035" s="3" t="s">
        <v>130</v>
      </c>
      <c r="H4035" s="2" t="s">
        <v>21</v>
      </c>
      <c r="I4035" s="2" t="s">
        <v>10679</v>
      </c>
      <c r="J4035" s="3" t="str">
        <f>HYPERLINK("https://www.boe.es/gazeta/dias/1812/11/28/pdfs/GRE-1812-158.pdf#page=4","Abrir facsímil")</f>
        <v>Abrir facsímil</v>
      </c>
      <c r="K4035" s="3" t="s">
        <v>23</v>
      </c>
    </row>
    <row r="4036" spans="1:11" ht="42" customHeight="1">
      <c r="A4036" s="2" t="s">
        <v>10678</v>
      </c>
      <c r="B4036" s="2" t="s">
        <v>10678</v>
      </c>
      <c r="C4036" s="2" t="s">
        <v>17</v>
      </c>
      <c r="D4036" s="2" t="s">
        <v>27</v>
      </c>
      <c r="E4036" s="4">
        <v>-31805</v>
      </c>
      <c r="F4036" s="3" t="s">
        <v>4346</v>
      </c>
      <c r="G4036" s="3" t="s">
        <v>10680</v>
      </c>
      <c r="H4036" s="2" t="s">
        <v>21</v>
      </c>
      <c r="I4036" s="2" t="s">
        <v>10681</v>
      </c>
      <c r="J4036" s="3" t="str">
        <f>HYPERLINK("https://www.boe.es/gazeta/dias/1812/12/01/pdfs/GRE-1812-159.pdf#page=3","Abrir facsímil")</f>
        <v>Abrir facsímil</v>
      </c>
      <c r="K4036" s="3" t="s">
        <v>23</v>
      </c>
    </row>
    <row r="4037" spans="1:11" ht="42" customHeight="1">
      <c r="A4037" s="2" t="s">
        <v>10682</v>
      </c>
      <c r="B4037" s="2" t="s">
        <v>10682</v>
      </c>
      <c r="C4037" s="2" t="s">
        <v>17</v>
      </c>
      <c r="D4037" s="2" t="s">
        <v>27</v>
      </c>
      <c r="E4037" s="4">
        <v>-32064</v>
      </c>
      <c r="F4037" s="3" t="s">
        <v>403</v>
      </c>
      <c r="G4037" s="3" t="s">
        <v>1432</v>
      </c>
      <c r="H4037" s="2" t="s">
        <v>21</v>
      </c>
      <c r="I4037" s="2" t="s">
        <v>10683</v>
      </c>
      <c r="J4037" s="3" t="str">
        <f>HYPERLINK("https://www.boe.es/gazeta/dias/1812/03/17/pdfs/GMD-1812-77.pdf#page=2","Abrir facsímil")</f>
        <v>Abrir facsímil</v>
      </c>
      <c r="K4037" s="3" t="s">
        <v>23</v>
      </c>
    </row>
    <row r="4038" spans="1:11" ht="42" customHeight="1">
      <c r="A4038" s="2" t="s">
        <v>10682</v>
      </c>
      <c r="B4038" s="2" t="s">
        <v>10682</v>
      </c>
      <c r="C4038" s="2" t="s">
        <v>17</v>
      </c>
      <c r="D4038" s="2" t="s">
        <v>27</v>
      </c>
      <c r="E4038" s="4">
        <v>-31803</v>
      </c>
      <c r="F4038" s="3" t="s">
        <v>221</v>
      </c>
      <c r="G4038" s="3" t="s">
        <v>4030</v>
      </c>
      <c r="H4038" s="2" t="s">
        <v>21</v>
      </c>
      <c r="I4038" s="2" t="s">
        <v>10684</v>
      </c>
      <c r="J4038" s="3" t="str">
        <f>HYPERLINK("https://www.boe.es/gazeta/dias/1812/12/03/pdfs/GRE-1812-160.pdf#page=1","Abrir facsímil")</f>
        <v>Abrir facsímil</v>
      </c>
      <c r="K4038" s="3" t="s">
        <v>23</v>
      </c>
    </row>
    <row r="4039" spans="1:11" ht="42" customHeight="1">
      <c r="A4039" s="2" t="s">
        <v>10685</v>
      </c>
      <c r="B4039" s="2" t="s">
        <v>10685</v>
      </c>
      <c r="C4039" s="2" t="s">
        <v>26</v>
      </c>
      <c r="D4039" s="2" t="s">
        <v>27</v>
      </c>
      <c r="E4039" s="4">
        <v>-32047</v>
      </c>
      <c r="F4039" s="3" t="s">
        <v>9070</v>
      </c>
      <c r="G4039" s="3" t="s">
        <v>706</v>
      </c>
      <c r="H4039" s="2" t="s">
        <v>21</v>
      </c>
      <c r="I4039" s="2" t="s">
        <v>10686</v>
      </c>
      <c r="J4039" s="3" t="str">
        <f>HYPERLINK("https://www.boe.es/gazeta/dias/1812/04/03/pdfs/GMD-1812-94.pdf#page=2","Abrir facsímil")</f>
        <v>Abrir facsímil</v>
      </c>
      <c r="K4039" s="3" t="s">
        <v>23</v>
      </c>
    </row>
    <row r="4040" spans="1:11" ht="42" customHeight="1">
      <c r="A4040" s="2" t="s">
        <v>10687</v>
      </c>
      <c r="B4040" s="2" t="s">
        <v>10687</v>
      </c>
      <c r="C4040" s="2" t="s">
        <v>17</v>
      </c>
      <c r="D4040" s="2" t="s">
        <v>18</v>
      </c>
      <c r="E4040" s="4">
        <v>-31794</v>
      </c>
      <c r="F4040" s="3" t="s">
        <v>3308</v>
      </c>
      <c r="G4040" s="3" t="s">
        <v>9191</v>
      </c>
      <c r="H4040" s="2" t="s">
        <v>21</v>
      </c>
      <c r="I4040" s="2" t="s">
        <v>10688</v>
      </c>
      <c r="J4040" s="3" t="str">
        <f>HYPERLINK("https://www.boe.es/gazeta/dias/1812/12/12/pdfs/GRE-1812-164.pdf#page=1","Abrir facsímil")</f>
        <v>Abrir facsímil</v>
      </c>
      <c r="K4040" s="3" t="s">
        <v>23</v>
      </c>
    </row>
    <row r="4041" spans="1:11" ht="42" customHeight="1">
      <c r="A4041" s="2" t="s">
        <v>10689</v>
      </c>
      <c r="B4041" s="2" t="s">
        <v>10689</v>
      </c>
      <c r="C4041" s="2" t="s">
        <v>17</v>
      </c>
      <c r="D4041" s="2" t="s">
        <v>18</v>
      </c>
      <c r="E4041" s="4">
        <v>-32036</v>
      </c>
      <c r="F4041" s="3" t="s">
        <v>781</v>
      </c>
      <c r="G4041" s="3" t="s">
        <v>2895</v>
      </c>
      <c r="H4041" s="2" t="s">
        <v>21</v>
      </c>
      <c r="I4041" s="2" t="s">
        <v>10690</v>
      </c>
      <c r="J4041" s="3" t="str">
        <f>HYPERLINK("https://www.boe.es/gazeta/dias/1812/04/14/pdfs/GRE-1812-47.pdf#page=4","Abrir facsímil")</f>
        <v>Abrir facsímil</v>
      </c>
      <c r="K4041" s="3" t="s">
        <v>23</v>
      </c>
    </row>
    <row r="4042" spans="1:11" ht="42" customHeight="1">
      <c r="A4042" s="2" t="s">
        <v>10689</v>
      </c>
      <c r="B4042" s="2" t="s">
        <v>10689</v>
      </c>
      <c r="C4042" s="2" t="s">
        <v>17</v>
      </c>
      <c r="D4042" s="2" t="s">
        <v>18</v>
      </c>
      <c r="E4042" s="4">
        <v>-31969</v>
      </c>
      <c r="F4042" s="3" t="s">
        <v>83</v>
      </c>
      <c r="G4042" s="3" t="s">
        <v>5087</v>
      </c>
      <c r="H4042" s="2" t="s">
        <v>21</v>
      </c>
      <c r="I4042" s="2" t="s">
        <v>10691</v>
      </c>
      <c r="J4042" s="3" t="str">
        <f>HYPERLINK("https://www.boe.es/gazeta/dias/1812/06/20/pdfs/GRE-1812-76.pdf#page=3","Abrir facsímil")</f>
        <v>Abrir facsímil</v>
      </c>
      <c r="K4042" s="3" t="s">
        <v>23</v>
      </c>
    </row>
    <row r="4043" spans="1:11" ht="42" customHeight="1">
      <c r="A4043" s="2" t="s">
        <v>10689</v>
      </c>
      <c r="B4043" s="2" t="s">
        <v>10689</v>
      </c>
      <c r="C4043" s="2" t="s">
        <v>17</v>
      </c>
      <c r="D4043" s="2" t="s">
        <v>27</v>
      </c>
      <c r="E4043" s="4">
        <v>-31875</v>
      </c>
      <c r="F4043" s="3" t="s">
        <v>708</v>
      </c>
      <c r="G4043" s="3" t="s">
        <v>136</v>
      </c>
      <c r="H4043" s="2" t="s">
        <v>21</v>
      </c>
      <c r="I4043" s="2" t="s">
        <v>10692</v>
      </c>
      <c r="J4043" s="3" t="str">
        <f>HYPERLINK("https://www.boe.es/gazeta/dias/1812/09/22/pdfs/GMR-1812-17.pdf#page=2","Abrir facsímil")</f>
        <v>Abrir facsímil</v>
      </c>
      <c r="K4043" s="3" t="s">
        <v>23</v>
      </c>
    </row>
    <row r="4044" spans="1:11" ht="42" customHeight="1">
      <c r="A4044" s="2" t="s">
        <v>10689</v>
      </c>
      <c r="B4044" s="2" t="s">
        <v>10689</v>
      </c>
      <c r="C4044" s="2" t="s">
        <v>17</v>
      </c>
      <c r="D4044" s="2" t="s">
        <v>27</v>
      </c>
      <c r="E4044" s="4">
        <v>-31794</v>
      </c>
      <c r="F4044" s="3" t="s">
        <v>3308</v>
      </c>
      <c r="G4044" s="3" t="s">
        <v>3309</v>
      </c>
      <c r="H4044" s="2" t="s">
        <v>21</v>
      </c>
      <c r="I4044" s="2" t="s">
        <v>10693</v>
      </c>
      <c r="J4044" s="3" t="str">
        <f>HYPERLINK("https://www.boe.es/gazeta/dias/1812/12/12/pdfs/GRE-1812-164.pdf#page=2","Abrir facsímil")</f>
        <v>Abrir facsímil</v>
      </c>
      <c r="K4044" s="3" t="s">
        <v>23</v>
      </c>
    </row>
    <row r="4045" spans="1:11" ht="42" customHeight="1">
      <c r="A4045" s="2" t="s">
        <v>10689</v>
      </c>
      <c r="B4045" s="2" t="s">
        <v>10689</v>
      </c>
      <c r="C4045" s="2" t="s">
        <v>17</v>
      </c>
      <c r="D4045" s="2" t="s">
        <v>18</v>
      </c>
      <c r="E4045" s="4">
        <v>-31794</v>
      </c>
      <c r="F4045" s="3" t="s">
        <v>3308</v>
      </c>
      <c r="G4045" s="3" t="s">
        <v>801</v>
      </c>
      <c r="H4045" s="2" t="s">
        <v>21</v>
      </c>
      <c r="I4045" s="2" t="s">
        <v>10694</v>
      </c>
      <c r="J4045" s="3" t="str">
        <f>HYPERLINK("https://www.boe.es/gazeta/dias/1812/12/12/pdfs/GRE-1812-164.pdf#page=3","Abrir facsímil")</f>
        <v>Abrir facsímil</v>
      </c>
      <c r="K4045" s="3" t="s">
        <v>23</v>
      </c>
    </row>
    <row r="4046" spans="1:11" ht="42" customHeight="1">
      <c r="A4046" s="2" t="s">
        <v>10695</v>
      </c>
      <c r="B4046" s="2" t="s">
        <v>10696</v>
      </c>
      <c r="C4046" s="2" t="s">
        <v>26</v>
      </c>
      <c r="D4046" s="2" t="s">
        <v>27</v>
      </c>
      <c r="E4046" s="4">
        <v>-31857</v>
      </c>
      <c r="F4046" s="3" t="s">
        <v>1000</v>
      </c>
      <c r="G4046" s="3" t="s">
        <v>1001</v>
      </c>
      <c r="H4046" s="2" t="s">
        <v>21</v>
      </c>
      <c r="I4046" s="2" t="s">
        <v>10697</v>
      </c>
      <c r="J4046" s="3" t="str">
        <f>HYPERLINK("https://www.boe.es/gazeta/dias/1812/10/10/pdfs/GRE-1812-137.pdf#page=7","Abrir facsímil")</f>
        <v>Abrir facsímil</v>
      </c>
      <c r="K4046" s="3" t="s">
        <v>23</v>
      </c>
    </row>
    <row r="4047" spans="1:11" ht="42" customHeight="1">
      <c r="A4047" s="2" t="s">
        <v>10698</v>
      </c>
      <c r="B4047" s="2" t="s">
        <v>10698</v>
      </c>
      <c r="C4047" s="2" t="s">
        <v>17</v>
      </c>
      <c r="D4047" s="2" t="s">
        <v>18</v>
      </c>
      <c r="E4047" s="4">
        <v>-32109</v>
      </c>
      <c r="F4047" s="3" t="s">
        <v>62</v>
      </c>
      <c r="G4047" s="3" t="s">
        <v>2624</v>
      </c>
      <c r="H4047" s="2" t="s">
        <v>21</v>
      </c>
      <c r="I4047" s="2" t="s">
        <v>10699</v>
      </c>
      <c r="J4047" s="3" t="str">
        <f>HYPERLINK("https://www.boe.es/gazeta/dias/1812/02/01/pdfs/GRE-1812-14.pdf#page=7","Abrir facsímil")</f>
        <v>Abrir facsímil</v>
      </c>
      <c r="K4047" s="3" t="s">
        <v>23</v>
      </c>
    </row>
    <row r="4048" spans="1:11" ht="42" customHeight="1">
      <c r="A4048" s="2" t="s">
        <v>10700</v>
      </c>
      <c r="B4048" s="2" t="s">
        <v>10700</v>
      </c>
      <c r="C4048" s="2" t="s">
        <v>17</v>
      </c>
      <c r="D4048" s="2" t="s">
        <v>27</v>
      </c>
      <c r="E4048" s="4">
        <v>-32025</v>
      </c>
      <c r="F4048" s="3" t="s">
        <v>2323</v>
      </c>
      <c r="G4048" s="3" t="s">
        <v>45</v>
      </c>
      <c r="H4048" s="2" t="s">
        <v>21</v>
      </c>
      <c r="I4048" s="2" t="s">
        <v>10701</v>
      </c>
      <c r="J4048" s="3" t="str">
        <f>HYPERLINK("https://www.boe.es/gazeta/dias/1812/04/25/pdfs/GRE-1812-52.pdf#page=6","Abrir facsímil")</f>
        <v>Abrir facsímil</v>
      </c>
      <c r="K4048" s="3" t="s">
        <v>23</v>
      </c>
    </row>
    <row r="4049" spans="1:11" ht="42" customHeight="1">
      <c r="A4049" s="2" t="s">
        <v>10702</v>
      </c>
      <c r="B4049" s="2" t="s">
        <v>10702</v>
      </c>
      <c r="C4049" s="2" t="s">
        <v>17</v>
      </c>
      <c r="D4049" s="2" t="s">
        <v>18</v>
      </c>
      <c r="E4049" s="4">
        <v>-31840</v>
      </c>
      <c r="F4049" s="3" t="s">
        <v>7112</v>
      </c>
      <c r="G4049" s="3" t="s">
        <v>2605</v>
      </c>
      <c r="H4049" s="2" t="s">
        <v>21</v>
      </c>
      <c r="I4049" s="2" t="s">
        <v>10703</v>
      </c>
      <c r="J4049" s="3" t="str">
        <f>HYPERLINK("https://www.boe.es/gazeta/dias/1812/10/27/pdfs/GRE-1812-144.pdf#page=2","Abrir facsímil")</f>
        <v>Abrir facsímil</v>
      </c>
      <c r="K4049" s="3" t="s">
        <v>23</v>
      </c>
    </row>
    <row r="4050" spans="1:11" ht="42" customHeight="1">
      <c r="A4050" s="2" t="s">
        <v>10704</v>
      </c>
      <c r="B4050" s="2" t="s">
        <v>10704</v>
      </c>
      <c r="C4050" s="2" t="s">
        <v>17</v>
      </c>
      <c r="D4050" s="2" t="s">
        <v>27</v>
      </c>
      <c r="E4050" s="4">
        <v>-32032</v>
      </c>
      <c r="F4050" s="3" t="s">
        <v>421</v>
      </c>
      <c r="G4050" s="3" t="s">
        <v>10371</v>
      </c>
      <c r="H4050" s="2" t="s">
        <v>21</v>
      </c>
      <c r="I4050" s="2" t="s">
        <v>10705</v>
      </c>
      <c r="J4050" s="3" t="str">
        <f>HYPERLINK("https://www.boe.es/gazeta/dias/1812/04/18/pdfs/GRE-1812-49.pdf#page=2","Abrir facsímil")</f>
        <v>Abrir facsímil</v>
      </c>
      <c r="K4050" s="3" t="s">
        <v>23</v>
      </c>
    </row>
    <row r="4051" spans="1:11" ht="42" customHeight="1">
      <c r="A4051" s="2" t="s">
        <v>10706</v>
      </c>
      <c r="B4051" s="2" t="s">
        <v>10706</v>
      </c>
      <c r="C4051" s="2" t="s">
        <v>17</v>
      </c>
      <c r="D4051" s="2" t="s">
        <v>27</v>
      </c>
      <c r="E4051" s="4">
        <v>-32118</v>
      </c>
      <c r="F4051" s="3" t="s">
        <v>10707</v>
      </c>
      <c r="G4051" s="3" t="s">
        <v>6059</v>
      </c>
      <c r="H4051" s="2" t="s">
        <v>21</v>
      </c>
      <c r="I4051" s="2" t="s">
        <v>10708</v>
      </c>
      <c r="J4051" s="3" t="str">
        <f>HYPERLINK("https://www.boe.es/gazeta/dias/1812/01/23/pdfs/GMD-1812-23.pdf#page=1","Abrir facsímil")</f>
        <v>Abrir facsímil</v>
      </c>
      <c r="K4051" s="3" t="s">
        <v>23</v>
      </c>
    </row>
    <row r="4052" spans="1:11" ht="42" customHeight="1">
      <c r="A4052" s="2" t="s">
        <v>10706</v>
      </c>
      <c r="B4052" s="2" t="s">
        <v>10706</v>
      </c>
      <c r="C4052" s="2" t="s">
        <v>26</v>
      </c>
      <c r="D4052" s="2" t="s">
        <v>27</v>
      </c>
      <c r="E4052" s="4">
        <v>-32118</v>
      </c>
      <c r="F4052" s="3" t="s">
        <v>10707</v>
      </c>
      <c r="G4052" s="3" t="s">
        <v>2708</v>
      </c>
      <c r="H4052" s="2" t="s">
        <v>21</v>
      </c>
      <c r="I4052" s="2" t="s">
        <v>10709</v>
      </c>
      <c r="J4052" s="3" t="str">
        <f>HYPERLINK("https://www.boe.es/gazeta/dias/1812/01/23/pdfs/GMD-1812-23.pdf#page=2","Abrir facsímil")</f>
        <v>Abrir facsímil</v>
      </c>
      <c r="K4052" s="3" t="s">
        <v>23</v>
      </c>
    </row>
    <row r="4053" spans="1:11" ht="42" customHeight="1">
      <c r="A4053" s="2" t="s">
        <v>10710</v>
      </c>
      <c r="B4053" s="2" t="s">
        <v>10710</v>
      </c>
      <c r="C4053" s="2" t="s">
        <v>17</v>
      </c>
      <c r="D4053" s="2" t="s">
        <v>18</v>
      </c>
      <c r="E4053" s="4">
        <v>-31995</v>
      </c>
      <c r="F4053" s="3" t="s">
        <v>100</v>
      </c>
      <c r="G4053" s="3" t="s">
        <v>1842</v>
      </c>
      <c r="H4053" s="2" t="s">
        <v>21</v>
      </c>
      <c r="I4053" s="2" t="s">
        <v>10711</v>
      </c>
      <c r="J4053" s="3" t="str">
        <f>HYPERLINK("https://www.boe.es/gazeta/dias/1812/05/25/pdfs/GMD-1812-146.pdf#page=4","Abrir facsímil")</f>
        <v>Abrir facsímil</v>
      </c>
      <c r="K4053" s="3" t="s">
        <v>23</v>
      </c>
    </row>
    <row r="4054" spans="1:11" ht="42" customHeight="1">
      <c r="A4054" s="2" t="s">
        <v>10712</v>
      </c>
      <c r="B4054" s="2" t="s">
        <v>10712</v>
      </c>
      <c r="C4054" s="2" t="s">
        <v>17</v>
      </c>
      <c r="D4054" s="2" t="s">
        <v>27</v>
      </c>
      <c r="E4054" s="4">
        <v>-31801</v>
      </c>
      <c r="F4054" s="3" t="s">
        <v>1914</v>
      </c>
      <c r="G4054" s="3" t="s">
        <v>1915</v>
      </c>
      <c r="H4054" s="2" t="s">
        <v>21</v>
      </c>
      <c r="I4054" s="2" t="s">
        <v>10713</v>
      </c>
      <c r="J4054" s="3" t="str">
        <f>HYPERLINK("https://www.boe.es/gazeta/dias/1812/12/05/pdfs/GRE-1812-161.pdf#page=3","Abrir facsímil")</f>
        <v>Abrir facsímil</v>
      </c>
      <c r="K4054" s="3" t="s">
        <v>23</v>
      </c>
    </row>
    <row r="4055" spans="1:11" ht="42" customHeight="1">
      <c r="A4055" s="2" t="s">
        <v>10714</v>
      </c>
      <c r="B4055" s="2" t="s">
        <v>10714</v>
      </c>
      <c r="C4055" s="2" t="s">
        <v>67</v>
      </c>
      <c r="D4055" s="2" t="s">
        <v>27</v>
      </c>
      <c r="E4055" s="4">
        <v>-32108</v>
      </c>
      <c r="F4055" s="3" t="s">
        <v>1143</v>
      </c>
      <c r="G4055" s="3" t="s">
        <v>125</v>
      </c>
      <c r="H4055" s="2" t="s">
        <v>21</v>
      </c>
      <c r="I4055" s="2" t="s">
        <v>10715</v>
      </c>
      <c r="J4055" s="3" t="str">
        <f>HYPERLINK("https://www.boe.es/gazeta/dias/1812/02/02/pdfs/GMD-1812-33.pdf#page=2","Abrir facsímil")</f>
        <v>Abrir facsímil</v>
      </c>
      <c r="K4055" s="3" t="s">
        <v>23</v>
      </c>
    </row>
    <row r="4056" spans="1:11" ht="42" customHeight="1">
      <c r="A4056" s="2" t="s">
        <v>10716</v>
      </c>
      <c r="B4056" s="2" t="s">
        <v>10716</v>
      </c>
      <c r="C4056" s="2" t="s">
        <v>17</v>
      </c>
      <c r="D4056" s="2" t="s">
        <v>18</v>
      </c>
      <c r="E4056" s="4">
        <v>-32092</v>
      </c>
      <c r="F4056" s="3" t="s">
        <v>1621</v>
      </c>
      <c r="G4056" s="3" t="s">
        <v>10717</v>
      </c>
      <c r="H4056" s="2" t="s">
        <v>21</v>
      </c>
      <c r="I4056" s="2" t="s">
        <v>10718</v>
      </c>
      <c r="J4056" s="3" t="str">
        <f>HYPERLINK("https://www.boe.es/gazeta/dias/1812/02/18/pdfs/GRE-1812-21.pdf#page=2","Abrir facsímil")</f>
        <v>Abrir facsímil</v>
      </c>
      <c r="K4056" s="3" t="s">
        <v>23</v>
      </c>
    </row>
    <row r="4057" spans="1:11" ht="42" customHeight="1">
      <c r="A4057" s="2" t="s">
        <v>10719</v>
      </c>
      <c r="B4057" s="2" t="s">
        <v>10719</v>
      </c>
      <c r="C4057" s="2" t="s">
        <v>26</v>
      </c>
      <c r="D4057" s="2" t="s">
        <v>27</v>
      </c>
      <c r="E4057" s="4">
        <v>-31946</v>
      </c>
      <c r="F4057" s="3" t="s">
        <v>9017</v>
      </c>
      <c r="G4057" s="3" t="s">
        <v>4175</v>
      </c>
      <c r="H4057" s="2" t="s">
        <v>21</v>
      </c>
      <c r="I4057" s="2" t="s">
        <v>10720</v>
      </c>
      <c r="J4057" s="3" t="str">
        <f>HYPERLINK("https://www.boe.es/gazeta/dias/1812/07/13/pdfs/GMD-1812-195.pdf#page=1","Abrir facsímil")</f>
        <v>Abrir facsímil</v>
      </c>
      <c r="K4057" s="3" t="s">
        <v>23</v>
      </c>
    </row>
    <row r="4058" spans="1:11" ht="42" customHeight="1">
      <c r="A4058" s="2" t="s">
        <v>10721</v>
      </c>
      <c r="B4058" s="2" t="s">
        <v>10721</v>
      </c>
      <c r="C4058" s="2" t="s">
        <v>17</v>
      </c>
      <c r="D4058" s="2" t="s">
        <v>27</v>
      </c>
      <c r="E4058" s="4">
        <v>-32029</v>
      </c>
      <c r="F4058" s="3" t="s">
        <v>3605</v>
      </c>
      <c r="G4058" s="3" t="s">
        <v>10722</v>
      </c>
      <c r="H4058" s="2" t="s">
        <v>21</v>
      </c>
      <c r="I4058" s="2" t="s">
        <v>10723</v>
      </c>
      <c r="J4058" s="3" t="str">
        <f>HYPERLINK("https://www.boe.es/gazeta/dias/1812/04/21/pdfs/GMD-1812-112.pdf#page=1","Abrir facsímil")</f>
        <v>Abrir facsímil</v>
      </c>
      <c r="K4058" s="3" t="s">
        <v>23</v>
      </c>
    </row>
    <row r="4059" spans="1:11" ht="42" customHeight="1">
      <c r="A4059" s="2" t="s">
        <v>10724</v>
      </c>
      <c r="B4059" s="2" t="s">
        <v>10724</v>
      </c>
      <c r="C4059" s="2" t="s">
        <v>26</v>
      </c>
      <c r="D4059" s="2" t="s">
        <v>194</v>
      </c>
      <c r="E4059" s="4">
        <v>-32118</v>
      </c>
      <c r="F4059" s="3" t="s">
        <v>10707</v>
      </c>
      <c r="G4059" s="3" t="s">
        <v>2708</v>
      </c>
      <c r="H4059" s="2" t="s">
        <v>21</v>
      </c>
      <c r="I4059" s="2" t="s">
        <v>10725</v>
      </c>
      <c r="J4059" s="3" t="str">
        <f>HYPERLINK("https://www.boe.es/gazeta/dias/1812/01/23/pdfs/GMD-1812-23.pdf#page=2","Abrir facsímil")</f>
        <v>Abrir facsímil</v>
      </c>
      <c r="K4059" s="3" t="s">
        <v>23</v>
      </c>
    </row>
    <row r="4060" spans="1:11" ht="42" customHeight="1">
      <c r="A4060" s="2" t="s">
        <v>10724</v>
      </c>
      <c r="B4060" s="2" t="s">
        <v>10724</v>
      </c>
      <c r="C4060" s="2" t="s">
        <v>17</v>
      </c>
      <c r="D4060" s="2" t="s">
        <v>194</v>
      </c>
      <c r="E4060" s="4">
        <v>-32019</v>
      </c>
      <c r="F4060" s="3" t="s">
        <v>476</v>
      </c>
      <c r="G4060" s="3" t="s">
        <v>10726</v>
      </c>
      <c r="H4060" s="2" t="s">
        <v>21</v>
      </c>
      <c r="I4060" s="2" t="s">
        <v>10727</v>
      </c>
      <c r="J4060" s="3" t="str">
        <f>HYPERLINK("https://www.boe.es/gazeta/dias/1812/05/01/pdfs/GMD-1812-122.pdf#page=1","Abrir facsímil")</f>
        <v>Abrir facsímil</v>
      </c>
      <c r="K4060" s="3" t="s">
        <v>23</v>
      </c>
    </row>
    <row r="4061" spans="1:11" ht="42" customHeight="1">
      <c r="A4061" s="2" t="s">
        <v>10728</v>
      </c>
      <c r="B4061" s="2" t="s">
        <v>10728</v>
      </c>
      <c r="C4061" s="2" t="s">
        <v>17</v>
      </c>
      <c r="D4061" s="2" t="s">
        <v>18</v>
      </c>
      <c r="E4061" s="4">
        <v>-32048</v>
      </c>
      <c r="F4061" s="3" t="s">
        <v>3938</v>
      </c>
      <c r="G4061" s="3" t="s">
        <v>36</v>
      </c>
      <c r="H4061" s="2" t="s">
        <v>21</v>
      </c>
      <c r="I4061" s="2" t="s">
        <v>10729</v>
      </c>
      <c r="J4061" s="3" t="str">
        <f>HYPERLINK("https://www.boe.es/gazeta/dias/1812/04/02/pdfs/GMD-1812-93.pdf#page=3","Abrir facsímil")</f>
        <v>Abrir facsímil</v>
      </c>
      <c r="K4061" s="3" t="s">
        <v>23</v>
      </c>
    </row>
    <row r="4062" spans="1:11" ht="42" customHeight="1">
      <c r="A4062" s="2" t="s">
        <v>10730</v>
      </c>
      <c r="B4062" s="2" t="s">
        <v>10730</v>
      </c>
      <c r="C4062" s="2" t="s">
        <v>17</v>
      </c>
      <c r="D4062" s="2" t="s">
        <v>18</v>
      </c>
      <c r="E4062" s="4">
        <v>-31921</v>
      </c>
      <c r="F4062" s="3" t="s">
        <v>785</v>
      </c>
      <c r="G4062" s="3" t="s">
        <v>1128</v>
      </c>
      <c r="H4062" s="2" t="s">
        <v>21</v>
      </c>
      <c r="I4062" s="2" t="s">
        <v>10731</v>
      </c>
      <c r="J4062" s="3" t="str">
        <f>HYPERLINK("https://www.boe.es/gazeta/dias/1812/08/07/pdfs/GRE-1812-101E.pdf#page=7","Abrir facsímil")</f>
        <v>Abrir facsímil</v>
      </c>
      <c r="K4062" s="3" t="s">
        <v>23</v>
      </c>
    </row>
    <row r="4063" spans="1:11" ht="42" customHeight="1">
      <c r="A4063" s="2" t="s">
        <v>10732</v>
      </c>
      <c r="B4063" s="2" t="s">
        <v>10732</v>
      </c>
      <c r="C4063" s="2" t="s">
        <v>17</v>
      </c>
      <c r="D4063" s="2" t="s">
        <v>573</v>
      </c>
      <c r="E4063" s="4">
        <v>-31898</v>
      </c>
      <c r="F4063" s="3" t="s">
        <v>1952</v>
      </c>
      <c r="G4063" s="3" t="s">
        <v>1953</v>
      </c>
      <c r="H4063" s="2" t="s">
        <v>21</v>
      </c>
      <c r="I4063" s="2" t="s">
        <v>10733</v>
      </c>
      <c r="J4063" s="3" t="str">
        <f>HYPERLINK("https://www.boe.es/gazeta/dias/1812/08/30/pdfs/GRE-1812-116E.pdf#page=5","Abrir facsímil")</f>
        <v>Abrir facsímil</v>
      </c>
      <c r="K4063" s="3" t="s">
        <v>23</v>
      </c>
    </row>
    <row r="4064" spans="1:11" ht="42" customHeight="1">
      <c r="A4064" s="2" t="s">
        <v>10734</v>
      </c>
      <c r="B4064" s="2" t="s">
        <v>10734</v>
      </c>
      <c r="C4064" s="2" t="s">
        <v>17</v>
      </c>
      <c r="D4064" s="2" t="s">
        <v>18</v>
      </c>
      <c r="E4064" s="4">
        <v>-32006</v>
      </c>
      <c r="F4064" s="3" t="s">
        <v>1153</v>
      </c>
      <c r="G4064" s="3" t="s">
        <v>5912</v>
      </c>
      <c r="H4064" s="2" t="s">
        <v>21</v>
      </c>
      <c r="I4064" s="2" t="s">
        <v>10735</v>
      </c>
      <c r="J4064" s="3" t="str">
        <f>HYPERLINK("https://www.boe.es/gazeta/dias/1812/05/14/pdfs/GMD-1812-135.pdf#page=1","Abrir facsímil")</f>
        <v>Abrir facsímil</v>
      </c>
      <c r="K4064" s="3" t="s">
        <v>23</v>
      </c>
    </row>
    <row r="4065" spans="1:11" ht="42" customHeight="1">
      <c r="A4065" s="2" t="s">
        <v>10736</v>
      </c>
      <c r="B4065" s="2" t="s">
        <v>10737</v>
      </c>
      <c r="C4065" s="2" t="s">
        <v>17</v>
      </c>
      <c r="D4065" s="2" t="s">
        <v>18</v>
      </c>
      <c r="E4065" s="4">
        <v>-32118</v>
      </c>
      <c r="F4065" s="3" t="s">
        <v>964</v>
      </c>
      <c r="G4065" s="3" t="s">
        <v>196</v>
      </c>
      <c r="H4065" s="2" t="s">
        <v>21</v>
      </c>
      <c r="I4065" s="2" t="s">
        <v>10738</v>
      </c>
      <c r="J4065" s="3" t="str">
        <f>HYPERLINK("https://www.boe.es/gazeta/dias/1812/01/23/pdfs/GEI-H-1812-10.pdf#page=1","Abrir facsímil")</f>
        <v>Abrir facsímil</v>
      </c>
      <c r="K4065" s="3" t="s">
        <v>23</v>
      </c>
    </row>
    <row r="4066" spans="1:11" ht="42" customHeight="1">
      <c r="A4066" s="2" t="s">
        <v>10739</v>
      </c>
      <c r="B4066" s="2" t="s">
        <v>10740</v>
      </c>
      <c r="C4066" s="2" t="s">
        <v>26</v>
      </c>
      <c r="D4066" s="2" t="s">
        <v>27</v>
      </c>
      <c r="E4066" s="4">
        <v>-32065</v>
      </c>
      <c r="F4066" s="3" t="s">
        <v>259</v>
      </c>
      <c r="G4066" s="3" t="s">
        <v>20</v>
      </c>
      <c r="H4066" s="2" t="s">
        <v>21</v>
      </c>
      <c r="I4066" s="2" t="s">
        <v>10741</v>
      </c>
      <c r="J4066" s="3" t="str">
        <f>HYPERLINK("https://www.boe.es/gazeta/dias/1812/03/16/pdfs/GMD-1812-76.pdf#page=4","Abrir facsímil")</f>
        <v>Abrir facsímil</v>
      </c>
      <c r="K4066" s="3" t="s">
        <v>23</v>
      </c>
    </row>
    <row r="4067" spans="1:11" ht="42" customHeight="1">
      <c r="A4067" s="2" t="s">
        <v>10742</v>
      </c>
      <c r="B4067" s="2" t="s">
        <v>10742</v>
      </c>
      <c r="C4067" s="2" t="s">
        <v>17</v>
      </c>
      <c r="D4067" s="2" t="s">
        <v>18</v>
      </c>
      <c r="E4067" s="4">
        <v>-31838</v>
      </c>
      <c r="F4067" s="3" t="s">
        <v>1960</v>
      </c>
      <c r="G4067" s="3" t="s">
        <v>1961</v>
      </c>
      <c r="H4067" s="2" t="s">
        <v>21</v>
      </c>
      <c r="I4067" s="2" t="s">
        <v>10743</v>
      </c>
      <c r="J4067" s="3" t="str">
        <f>HYPERLINK("https://www.boe.es/gazeta/dias/1812/10/29/pdfs/GRE-1812-145.pdf#page=2","Abrir facsímil")</f>
        <v>Abrir facsímil</v>
      </c>
      <c r="K4067" s="3" t="s">
        <v>23</v>
      </c>
    </row>
    <row r="4068" spans="1:11" ht="42" customHeight="1">
      <c r="A4068" s="2" t="s">
        <v>10744</v>
      </c>
      <c r="B4068" s="2" t="s">
        <v>10744</v>
      </c>
      <c r="C4068" s="2" t="s">
        <v>17</v>
      </c>
      <c r="D4068" s="2" t="s">
        <v>27</v>
      </c>
      <c r="E4068" s="4">
        <v>-32095</v>
      </c>
      <c r="F4068" s="3" t="s">
        <v>1099</v>
      </c>
      <c r="G4068" s="3" t="s">
        <v>101</v>
      </c>
      <c r="H4068" s="2" t="s">
        <v>21</v>
      </c>
      <c r="I4068" s="2" t="s">
        <v>10745</v>
      </c>
      <c r="J4068" s="3" t="str">
        <f>HYPERLINK("https://www.boe.es/gazeta/dias/1812/02/15/pdfs/GMD-1812-46.pdf#page=1","Abrir facsímil")</f>
        <v>Abrir facsímil</v>
      </c>
      <c r="K4068" s="3" t="s">
        <v>23</v>
      </c>
    </row>
    <row r="4069" spans="1:11" ht="42" customHeight="1">
      <c r="A4069" s="2" t="s">
        <v>10746</v>
      </c>
      <c r="B4069" s="2" t="s">
        <v>10746</v>
      </c>
      <c r="C4069" s="2" t="s">
        <v>26</v>
      </c>
      <c r="D4069" s="2" t="s">
        <v>27</v>
      </c>
      <c r="E4069" s="4">
        <v>-32064</v>
      </c>
      <c r="F4069" s="3" t="s">
        <v>403</v>
      </c>
      <c r="G4069" s="3" t="s">
        <v>404</v>
      </c>
      <c r="H4069" s="2" t="s">
        <v>21</v>
      </c>
      <c r="I4069" s="2" t="s">
        <v>10747</v>
      </c>
      <c r="J4069" s="3" t="str">
        <f>HYPERLINK("https://www.boe.es/gazeta/dias/1812/03/17/pdfs/GMD-1812-77.pdf#page=4","Abrir facsímil")</f>
        <v>Abrir facsímil</v>
      </c>
      <c r="K4069" s="3" t="s">
        <v>23</v>
      </c>
    </row>
    <row r="4070" spans="1:11" ht="42" customHeight="1">
      <c r="A4070" s="2" t="s">
        <v>10748</v>
      </c>
      <c r="B4070" s="2" t="s">
        <v>10748</v>
      </c>
      <c r="C4070" s="2" t="s">
        <v>26</v>
      </c>
      <c r="D4070" s="2" t="s">
        <v>27</v>
      </c>
      <c r="E4070" s="4">
        <v>-32096</v>
      </c>
      <c r="F4070" s="3" t="s">
        <v>4149</v>
      </c>
      <c r="G4070" s="3" t="s">
        <v>214</v>
      </c>
      <c r="H4070" s="2" t="s">
        <v>21</v>
      </c>
      <c r="I4070" s="2" t="s">
        <v>10749</v>
      </c>
      <c r="J4070" s="3" t="str">
        <f>HYPERLINK("https://www.boe.es/gazeta/dias/1812/02/14/pdfs/GMD-1812-45.pdf#page=2","Abrir facsímil")</f>
        <v>Abrir facsímil</v>
      </c>
      <c r="K4070" s="3" t="s">
        <v>23</v>
      </c>
    </row>
    <row r="4071" spans="1:11" ht="42" customHeight="1">
      <c r="A4071" s="2" t="s">
        <v>10750</v>
      </c>
      <c r="B4071" s="2" t="s">
        <v>10750</v>
      </c>
      <c r="C4071" s="2" t="s">
        <v>17</v>
      </c>
      <c r="D4071" s="2" t="s">
        <v>18</v>
      </c>
      <c r="E4071" s="4">
        <v>-31777</v>
      </c>
      <c r="F4071" s="3" t="s">
        <v>1118</v>
      </c>
      <c r="G4071" s="3" t="s">
        <v>7302</v>
      </c>
      <c r="H4071" s="2" t="s">
        <v>21</v>
      </c>
      <c r="I4071" s="2" t="s">
        <v>10751</v>
      </c>
      <c r="J4071" s="3" t="str">
        <f>HYPERLINK("https://www.boe.es/gazeta/dias/1812/12/29/pdfs/GRE-1812-171.pdf#page=3","Abrir facsímil")</f>
        <v>Abrir facsímil</v>
      </c>
      <c r="K4071" s="3" t="s">
        <v>23</v>
      </c>
    </row>
    <row r="4072" spans="1:11" ht="42" customHeight="1">
      <c r="A4072" s="2" t="s">
        <v>10752</v>
      </c>
      <c r="B4072" s="2" t="s">
        <v>10753</v>
      </c>
      <c r="C4072" s="2" t="s">
        <v>17</v>
      </c>
      <c r="D4072" s="2" t="s">
        <v>18</v>
      </c>
      <c r="E4072" s="4">
        <v>-32081</v>
      </c>
      <c r="F4072" s="3" t="s">
        <v>989</v>
      </c>
      <c r="G4072" s="3" t="s">
        <v>683</v>
      </c>
      <c r="H4072" s="2" t="s">
        <v>21</v>
      </c>
      <c r="I4072" s="2" t="s">
        <v>10754</v>
      </c>
      <c r="J4072" s="3" t="str">
        <f>HYPERLINK("https://www.boe.es/gazeta/dias/1812/02/29/pdfs/GMD-1812-60.pdf#page=4","Abrir facsímil")</f>
        <v>Abrir facsímil</v>
      </c>
      <c r="K4072" s="3" t="s">
        <v>23</v>
      </c>
    </row>
    <row r="4073" spans="1:11" ht="42" customHeight="1">
      <c r="A4073" s="2" t="s">
        <v>10755</v>
      </c>
      <c r="B4073" s="2" t="s">
        <v>10756</v>
      </c>
      <c r="C4073" s="2" t="s">
        <v>67</v>
      </c>
      <c r="D4073" s="2" t="s">
        <v>27</v>
      </c>
      <c r="E4073" s="4">
        <v>-32130</v>
      </c>
      <c r="F4073" s="3" t="s">
        <v>927</v>
      </c>
      <c r="G4073" s="3" t="s">
        <v>130</v>
      </c>
      <c r="H4073" s="2" t="s">
        <v>21</v>
      </c>
      <c r="I4073" s="2" t="s">
        <v>10757</v>
      </c>
      <c r="J4073" s="3" t="str">
        <f>HYPERLINK("https://www.boe.es/gazeta/dias/1812/01/11/pdfs/GMD-1812-11.pdf#page=4","Abrir facsímil")</f>
        <v>Abrir facsímil</v>
      </c>
      <c r="K4073" s="3" t="s">
        <v>23</v>
      </c>
    </row>
    <row r="4074" spans="1:11" ht="42" customHeight="1">
      <c r="A4074" s="2" t="s">
        <v>10758</v>
      </c>
      <c r="B4074" s="2" t="s">
        <v>10759</v>
      </c>
      <c r="C4074" s="2" t="s">
        <v>26</v>
      </c>
      <c r="D4074" s="2" t="s">
        <v>27</v>
      </c>
      <c r="E4074" s="4">
        <v>-32075</v>
      </c>
      <c r="F4074" s="3" t="s">
        <v>301</v>
      </c>
      <c r="G4074" s="3" t="s">
        <v>20</v>
      </c>
      <c r="H4074" s="2" t="s">
        <v>21</v>
      </c>
      <c r="I4074" s="2" t="s">
        <v>10760</v>
      </c>
      <c r="J4074" s="3" t="str">
        <f>HYPERLINK("https://www.boe.es/gazeta/dias/1812/03/06/pdfs/GMD-1812-66.pdf#page=4","Abrir facsímil")</f>
        <v>Abrir facsímil</v>
      </c>
      <c r="K4074" s="3" t="s">
        <v>23</v>
      </c>
    </row>
    <row r="4075" spans="1:11" ht="42" customHeight="1">
      <c r="A4075" s="2" t="s">
        <v>10761</v>
      </c>
      <c r="B4075" s="2" t="s">
        <v>10762</v>
      </c>
      <c r="C4075" s="2" t="s">
        <v>17</v>
      </c>
      <c r="D4075" s="2" t="s">
        <v>275</v>
      </c>
      <c r="E4075" s="4">
        <v>-31955</v>
      </c>
      <c r="F4075" s="3" t="s">
        <v>135</v>
      </c>
      <c r="G4075" s="3" t="s">
        <v>58</v>
      </c>
      <c r="H4075" s="2" t="s">
        <v>21</v>
      </c>
      <c r="I4075" s="2" t="s">
        <v>10763</v>
      </c>
      <c r="J4075" s="3" t="str">
        <f>HYPERLINK("https://www.boe.es/gazeta/dias/1812/07/04/pdfs/GRE-F-1812-82.pdf#page=6","Abrir facsímil")</f>
        <v>Abrir facsímil</v>
      </c>
      <c r="K4075" s="3" t="s">
        <v>23</v>
      </c>
    </row>
    <row r="4076" spans="1:11" ht="42" customHeight="1">
      <c r="A4076" s="2" t="s">
        <v>10764</v>
      </c>
      <c r="B4076" s="2" t="s">
        <v>10764</v>
      </c>
      <c r="C4076" s="2" t="s">
        <v>67</v>
      </c>
      <c r="D4076" s="2" t="s">
        <v>27</v>
      </c>
      <c r="E4076" s="4">
        <v>-32022</v>
      </c>
      <c r="F4076" s="3" t="s">
        <v>1554</v>
      </c>
      <c r="G4076" s="3" t="s">
        <v>217</v>
      </c>
      <c r="H4076" s="2" t="s">
        <v>21</v>
      </c>
      <c r="I4076" s="2" t="s">
        <v>10765</v>
      </c>
      <c r="J4076" s="3" t="str">
        <f>HYPERLINK("https://www.boe.es/gazeta/dias/1812/04/28/pdfs/GMD-1812-119.pdf#page=1","Abrir facsímil")</f>
        <v>Abrir facsímil</v>
      </c>
      <c r="K4076" s="3" t="s">
        <v>23</v>
      </c>
    </row>
    <row r="4077" spans="1:11" ht="42" customHeight="1">
      <c r="A4077" s="2" t="s">
        <v>10766</v>
      </c>
      <c r="B4077" s="2" t="s">
        <v>10766</v>
      </c>
      <c r="C4077" s="2" t="s">
        <v>82</v>
      </c>
      <c r="D4077" s="2" t="s">
        <v>27</v>
      </c>
      <c r="E4077" s="4">
        <v>-31831</v>
      </c>
      <c r="F4077" s="3" t="s">
        <v>1963</v>
      </c>
      <c r="G4077" s="3" t="s">
        <v>10767</v>
      </c>
      <c r="H4077" s="2" t="s">
        <v>21</v>
      </c>
      <c r="I4077" s="2" t="s">
        <v>10768</v>
      </c>
      <c r="J4077" s="3" t="str">
        <f>HYPERLINK("https://www.boe.es/gazeta/dias/1812/11/05/pdfs/GRE-1812-148.pdf#page=7","Abrir facsímil")</f>
        <v>Abrir facsímil</v>
      </c>
      <c r="K4077" s="3" t="s">
        <v>23</v>
      </c>
    </row>
    <row r="4078" spans="1:11" ht="42" customHeight="1">
      <c r="A4078" s="2" t="s">
        <v>10769</v>
      </c>
      <c r="B4078" s="2" t="s">
        <v>10770</v>
      </c>
      <c r="C4078" s="2" t="s">
        <v>67</v>
      </c>
      <c r="D4078" s="2" t="s">
        <v>27</v>
      </c>
      <c r="E4078" s="4">
        <v>-32072</v>
      </c>
      <c r="F4078" s="3" t="s">
        <v>8696</v>
      </c>
      <c r="G4078" s="3" t="s">
        <v>336</v>
      </c>
      <c r="H4078" s="2" t="s">
        <v>21</v>
      </c>
      <c r="I4078" s="2" t="s">
        <v>10771</v>
      </c>
      <c r="J4078" s="3" t="str">
        <f>HYPERLINK("https://www.boe.es/gazeta/dias/1812/03/09/pdfs/GMD-1812-69.pdf#page=4","Abrir facsímil")</f>
        <v>Abrir facsímil</v>
      </c>
      <c r="K4078" s="3" t="s">
        <v>23</v>
      </c>
    </row>
    <row r="4079" spans="1:11" ht="42" customHeight="1">
      <c r="A4079" s="2" t="s">
        <v>10772</v>
      </c>
      <c r="B4079" s="2" t="s">
        <v>10772</v>
      </c>
      <c r="C4079" s="2" t="s">
        <v>17</v>
      </c>
      <c r="D4079" s="2" t="s">
        <v>27</v>
      </c>
      <c r="E4079" s="4">
        <v>-31977</v>
      </c>
      <c r="F4079" s="3" t="s">
        <v>1566</v>
      </c>
      <c r="G4079" s="3" t="s">
        <v>1567</v>
      </c>
      <c r="H4079" s="2" t="s">
        <v>21</v>
      </c>
      <c r="I4079" s="2" t="s">
        <v>10773</v>
      </c>
      <c r="J4079" s="3" t="str">
        <f>HYPERLINK("https://www.boe.es/gazeta/dias/1812/06/12/pdfs/GMD-1812-164.pdf#page=1","Abrir facsímil")</f>
        <v>Abrir facsímil</v>
      </c>
      <c r="K4079" s="3" t="s">
        <v>23</v>
      </c>
    </row>
    <row r="4080" spans="1:11" ht="42" customHeight="1">
      <c r="A4080" s="2" t="s">
        <v>10772</v>
      </c>
      <c r="B4080" s="2" t="s">
        <v>10772</v>
      </c>
      <c r="C4080" s="2" t="s">
        <v>17</v>
      </c>
      <c r="D4080" s="2" t="s">
        <v>27</v>
      </c>
      <c r="E4080" s="4">
        <v>-31932</v>
      </c>
      <c r="F4080" s="3" t="s">
        <v>3710</v>
      </c>
      <c r="G4080" s="3" t="s">
        <v>739</v>
      </c>
      <c r="H4080" s="2" t="s">
        <v>21</v>
      </c>
      <c r="I4080" s="2" t="s">
        <v>10774</v>
      </c>
      <c r="J4080" s="3" t="str">
        <f>HYPERLINK("https://www.boe.es/gazeta/dias/1812/07/27/pdfs/GMD-1812-209.pdf#page=1","Abrir facsímil")</f>
        <v>Abrir facsímil</v>
      </c>
      <c r="K4080" s="3" t="s">
        <v>23</v>
      </c>
    </row>
    <row r="4081" spans="1:11" ht="42" customHeight="1">
      <c r="A4081" s="2" t="s">
        <v>10775</v>
      </c>
      <c r="B4081" s="2" t="s">
        <v>10776</v>
      </c>
      <c r="C4081" s="2" t="s">
        <v>26</v>
      </c>
      <c r="D4081" s="2" t="s">
        <v>27</v>
      </c>
      <c r="E4081" s="4">
        <v>-31857</v>
      </c>
      <c r="F4081" s="3" t="s">
        <v>1000</v>
      </c>
      <c r="G4081" s="3" t="s">
        <v>136</v>
      </c>
      <c r="H4081" s="2" t="s">
        <v>21</v>
      </c>
      <c r="I4081" s="2" t="s">
        <v>10777</v>
      </c>
      <c r="J4081" s="3" t="str">
        <f>HYPERLINK("https://www.boe.es/gazeta/dias/1812/10/10/pdfs/GRE-1812-137.pdf#page=8","Abrir facsímil")</f>
        <v>Abrir facsímil</v>
      </c>
      <c r="K4081" s="3" t="s">
        <v>23</v>
      </c>
    </row>
    <row r="4082" spans="1:11" ht="42" customHeight="1">
      <c r="A4082" s="2" t="s">
        <v>10778</v>
      </c>
      <c r="B4082" s="2" t="s">
        <v>10778</v>
      </c>
      <c r="C4082" s="2" t="s">
        <v>67</v>
      </c>
      <c r="D4082" s="2" t="s">
        <v>27</v>
      </c>
      <c r="E4082" s="4">
        <v>-31899</v>
      </c>
      <c r="F4082" s="3" t="s">
        <v>1396</v>
      </c>
      <c r="G4082" s="3" t="s">
        <v>10779</v>
      </c>
      <c r="H4082" s="2" t="s">
        <v>21</v>
      </c>
      <c r="I4082" s="2" t="s">
        <v>10780</v>
      </c>
      <c r="J4082" s="3" t="str">
        <f>HYPERLINK("https://www.boe.es/gazeta/dias/1812/08/29/pdfs/GMR-1812-7.pdf#page=3","Abrir facsímil")</f>
        <v>Abrir facsímil</v>
      </c>
      <c r="K4082" s="3" t="s">
        <v>23</v>
      </c>
    </row>
    <row r="4083" spans="1:11" ht="42" customHeight="1">
      <c r="A4083" s="2" t="s">
        <v>10781</v>
      </c>
      <c r="B4083" s="2" t="s">
        <v>10782</v>
      </c>
      <c r="C4083" s="2" t="s">
        <v>26</v>
      </c>
      <c r="D4083" s="2" t="s">
        <v>27</v>
      </c>
      <c r="E4083" s="4">
        <v>-32127</v>
      </c>
      <c r="F4083" s="3" t="s">
        <v>88</v>
      </c>
      <c r="G4083" s="3" t="s">
        <v>89</v>
      </c>
      <c r="H4083" s="2" t="s">
        <v>21</v>
      </c>
      <c r="I4083" s="2" t="s">
        <v>10783</v>
      </c>
      <c r="J4083" s="3" t="str">
        <f>HYPERLINK("https://www.boe.es/gazeta/dias/1812/01/14/pdfs/GEI-1812-6.pdf#page=8","Abrir facsímil")</f>
        <v>Abrir facsímil</v>
      </c>
      <c r="K4083" s="3" t="s">
        <v>23</v>
      </c>
    </row>
    <row r="4084" spans="1:11" ht="42" customHeight="1">
      <c r="A4084" s="2" t="s">
        <v>10784</v>
      </c>
      <c r="B4084" s="2" t="s">
        <v>10785</v>
      </c>
      <c r="C4084" s="2" t="s">
        <v>49</v>
      </c>
      <c r="D4084" s="2" t="s">
        <v>27</v>
      </c>
      <c r="E4084" s="4">
        <v>-32002</v>
      </c>
      <c r="F4084" s="3" t="s">
        <v>619</v>
      </c>
      <c r="G4084" s="3" t="s">
        <v>20</v>
      </c>
      <c r="H4084" s="2" t="s">
        <v>21</v>
      </c>
      <c r="I4084" s="2" t="s">
        <v>10786</v>
      </c>
      <c r="J4084" s="3" t="str">
        <f>HYPERLINK("https://www.boe.es/gazeta/dias/1812/05/18/pdfs/GMD-1812-139.pdf#page=3","Abrir facsímil")</f>
        <v>Abrir facsímil</v>
      </c>
      <c r="K4084" s="3" t="s">
        <v>23</v>
      </c>
    </row>
    <row r="4085" spans="1:11" ht="42" customHeight="1">
      <c r="A4085" s="2" t="s">
        <v>10787</v>
      </c>
      <c r="B4085" s="2" t="s">
        <v>10788</v>
      </c>
      <c r="C4085" s="2" t="s">
        <v>49</v>
      </c>
      <c r="D4085" s="2" t="s">
        <v>27</v>
      </c>
      <c r="E4085" s="4">
        <v>-32109</v>
      </c>
      <c r="F4085" s="3" t="s">
        <v>62</v>
      </c>
      <c r="G4085" s="3" t="s">
        <v>63</v>
      </c>
      <c r="H4085" s="2" t="s">
        <v>21</v>
      </c>
      <c r="I4085" s="2" t="s">
        <v>10789</v>
      </c>
      <c r="J4085" s="3" t="str">
        <f>HYPERLINK("https://www.boe.es/gazeta/dias/1812/02/01/pdfs/GRE-1812-14.pdf#page=10","Abrir facsímil")</f>
        <v>Abrir facsímil</v>
      </c>
      <c r="K4085" s="3" t="s">
        <v>23</v>
      </c>
    </row>
    <row r="4086" spans="1:11" ht="42" customHeight="1">
      <c r="A4086" s="2" t="s">
        <v>10790</v>
      </c>
      <c r="B4086" s="2" t="s">
        <v>10791</v>
      </c>
      <c r="C4086" s="2" t="s">
        <v>26</v>
      </c>
      <c r="D4086" s="2" t="s">
        <v>27</v>
      </c>
      <c r="E4086" s="4">
        <v>-31964</v>
      </c>
      <c r="F4086" s="3" t="s">
        <v>93</v>
      </c>
      <c r="G4086" s="3" t="s">
        <v>94</v>
      </c>
      <c r="H4086" s="2" t="s">
        <v>21</v>
      </c>
      <c r="I4086" s="2" t="s">
        <v>10792</v>
      </c>
      <c r="J4086" s="3" t="str">
        <f>HYPERLINK("https://www.boe.es/gazeta/dias/1812/06/25/pdfs/GRE-1812-78.pdf#page=4","Abrir facsímil")</f>
        <v>Abrir facsímil</v>
      </c>
      <c r="K4086" s="3" t="s">
        <v>23</v>
      </c>
    </row>
    <row r="4087" spans="1:11" ht="42" customHeight="1">
      <c r="A4087" s="2" t="s">
        <v>10793</v>
      </c>
      <c r="B4087" s="2" t="s">
        <v>10794</v>
      </c>
      <c r="C4087" s="2" t="s">
        <v>26</v>
      </c>
      <c r="D4087" s="2" t="s">
        <v>27</v>
      </c>
      <c r="E4087" s="4">
        <v>-32060</v>
      </c>
      <c r="F4087" s="3" t="s">
        <v>399</v>
      </c>
      <c r="G4087" s="3" t="s">
        <v>136</v>
      </c>
      <c r="H4087" s="2" t="s">
        <v>21</v>
      </c>
      <c r="I4087" s="2" t="s">
        <v>10795</v>
      </c>
      <c r="J4087" s="3" t="str">
        <f>HYPERLINK("https://www.boe.es/gazeta/dias/1812/03/21/pdfs/GMD-1812-81.pdf#page=4","Abrir facsímil")</f>
        <v>Abrir facsímil</v>
      </c>
      <c r="K4087" s="3" t="s">
        <v>23</v>
      </c>
    </row>
    <row r="4088" spans="1:11" ht="42" customHeight="1">
      <c r="A4088" s="2" t="s">
        <v>10796</v>
      </c>
      <c r="B4088" s="2" t="s">
        <v>10797</v>
      </c>
      <c r="C4088" s="2" t="s">
        <v>26</v>
      </c>
      <c r="D4088" s="2" t="s">
        <v>27</v>
      </c>
      <c r="E4088" s="4">
        <v>-32139</v>
      </c>
      <c r="F4088" s="3" t="s">
        <v>288</v>
      </c>
      <c r="G4088" s="3" t="s">
        <v>130</v>
      </c>
      <c r="H4088" s="2" t="s">
        <v>21</v>
      </c>
      <c r="I4088" s="2" t="s">
        <v>10798</v>
      </c>
      <c r="J4088" s="3" t="str">
        <f>HYPERLINK("https://www.boe.es/gazeta/dias/1812/01/02/pdfs/GMD-1812-2.pdf#page=4","Abrir facsímil")</f>
        <v>Abrir facsímil</v>
      </c>
      <c r="K4088" s="3" t="s">
        <v>23</v>
      </c>
    </row>
    <row r="4089" spans="1:11" ht="42" customHeight="1">
      <c r="A4089" s="2" t="s">
        <v>10799</v>
      </c>
      <c r="B4089" s="2" t="s">
        <v>10799</v>
      </c>
      <c r="C4089" s="2" t="s">
        <v>17</v>
      </c>
      <c r="D4089" s="2" t="s">
        <v>27</v>
      </c>
      <c r="E4089" s="4">
        <v>-32104</v>
      </c>
      <c r="F4089" s="3" t="s">
        <v>996</v>
      </c>
      <c r="G4089" s="3" t="s">
        <v>2044</v>
      </c>
      <c r="H4089" s="2" t="s">
        <v>21</v>
      </c>
      <c r="I4089" s="2" t="s">
        <v>10800</v>
      </c>
      <c r="J4089" s="3" t="str">
        <f>HYPERLINK("https://www.boe.es/gazeta/dias/1812/02/06/pdfs/GRE-1812-16.pdf#page=3","Abrir facsímil")</f>
        <v>Abrir facsímil</v>
      </c>
      <c r="K4089" s="3" t="s">
        <v>23</v>
      </c>
    </row>
    <row r="4090" spans="1:11" ht="42" customHeight="1">
      <c r="A4090" s="2" t="s">
        <v>10801</v>
      </c>
      <c r="B4090" s="2" t="s">
        <v>10802</v>
      </c>
      <c r="C4090" s="2" t="s">
        <v>115</v>
      </c>
      <c r="D4090" s="2" t="s">
        <v>27</v>
      </c>
      <c r="E4090" s="4">
        <v>-32019</v>
      </c>
      <c r="F4090" s="3" t="s">
        <v>476</v>
      </c>
      <c r="G4090" s="3" t="s">
        <v>404</v>
      </c>
      <c r="H4090" s="2" t="s">
        <v>21</v>
      </c>
      <c r="I4090" s="2" t="s">
        <v>10803</v>
      </c>
      <c r="J4090" s="3" t="str">
        <f>HYPERLINK("https://www.boe.es/gazeta/dias/1812/05/01/pdfs/GMD-1812-122.pdf#page=3","Abrir facsímil")</f>
        <v>Abrir facsímil</v>
      </c>
      <c r="K4090" s="3" t="s">
        <v>23</v>
      </c>
    </row>
    <row r="4091" spans="1:11" ht="42" customHeight="1">
      <c r="A4091" s="2" t="s">
        <v>10804</v>
      </c>
      <c r="B4091" s="2" t="s">
        <v>10805</v>
      </c>
      <c r="C4091" s="2" t="s">
        <v>17</v>
      </c>
      <c r="D4091" s="2" t="s">
        <v>18</v>
      </c>
      <c r="E4091" s="4">
        <v>-32104</v>
      </c>
      <c r="F4091" s="3" t="s">
        <v>996</v>
      </c>
      <c r="G4091" s="3" t="s">
        <v>2044</v>
      </c>
      <c r="H4091" s="2" t="s">
        <v>21</v>
      </c>
      <c r="I4091" s="2" t="s">
        <v>10806</v>
      </c>
      <c r="J4091" s="3" t="str">
        <f>HYPERLINK("https://www.boe.es/gazeta/dias/1812/02/06/pdfs/GRE-1812-16.pdf#page=3","Abrir facsímil")</f>
        <v>Abrir facsímil</v>
      </c>
      <c r="K4091" s="3" t="s">
        <v>23</v>
      </c>
    </row>
    <row r="4092" spans="1:11" ht="42" customHeight="1">
      <c r="A4092" s="2" t="s">
        <v>10804</v>
      </c>
      <c r="B4092" s="2" t="s">
        <v>10805</v>
      </c>
      <c r="C4092" s="2" t="s">
        <v>26</v>
      </c>
      <c r="D4092" s="2" t="s">
        <v>27</v>
      </c>
      <c r="E4092" s="4">
        <v>-32034</v>
      </c>
      <c r="F4092" s="3" t="s">
        <v>1008</v>
      </c>
      <c r="G4092" s="3" t="s">
        <v>1009</v>
      </c>
      <c r="H4092" s="2" t="s">
        <v>21</v>
      </c>
      <c r="I4092" s="2" t="s">
        <v>10807</v>
      </c>
      <c r="J4092" s="3" t="str">
        <f>HYPERLINK("https://www.boe.es/gazeta/dias/1812/04/16/pdfs/GRE-1812-48.pdf#page=8","Abrir facsímil")</f>
        <v>Abrir facsímil</v>
      </c>
      <c r="K4092" s="3" t="s">
        <v>23</v>
      </c>
    </row>
    <row r="4093" spans="1:11" ht="42" customHeight="1">
      <c r="A4093" s="2" t="s">
        <v>10808</v>
      </c>
      <c r="B4093" s="2" t="s">
        <v>10809</v>
      </c>
      <c r="C4093" s="2" t="s">
        <v>26</v>
      </c>
      <c r="D4093" s="2" t="s">
        <v>27</v>
      </c>
      <c r="E4093" s="4">
        <v>-31934</v>
      </c>
      <c r="F4093" s="3" t="s">
        <v>6490</v>
      </c>
      <c r="G4093" s="3" t="s">
        <v>233</v>
      </c>
      <c r="H4093" s="2" t="s">
        <v>21</v>
      </c>
      <c r="I4093" s="2" t="s">
        <v>10810</v>
      </c>
      <c r="J4093" s="3" t="str">
        <f>HYPERLINK("https://www.boe.es/gazeta/dias/1812/07/25/pdfs/GMD-1812-207.pdf#page=2","Abrir facsímil")</f>
        <v>Abrir facsímil</v>
      </c>
      <c r="K4093" s="3" t="s">
        <v>23</v>
      </c>
    </row>
    <row r="4094" spans="1:11" ht="42" customHeight="1">
      <c r="A4094" s="2" t="s">
        <v>10811</v>
      </c>
      <c r="B4094" s="2" t="s">
        <v>10812</v>
      </c>
      <c r="C4094" s="2" t="s">
        <v>26</v>
      </c>
      <c r="D4094" s="2" t="s">
        <v>27</v>
      </c>
      <c r="E4094" s="4">
        <v>-31976</v>
      </c>
      <c r="F4094" s="3" t="s">
        <v>54</v>
      </c>
      <c r="G4094" s="3" t="s">
        <v>55</v>
      </c>
      <c r="H4094" s="2" t="s">
        <v>21</v>
      </c>
      <c r="I4094" s="2" t="s">
        <v>10813</v>
      </c>
      <c r="J4094" s="3" t="str">
        <f>HYPERLINK("https://www.boe.es/gazeta/dias/1812/06/13/pdfs/GRE-1812-73.pdf#page=6","Abrir facsímil")</f>
        <v>Abrir facsímil</v>
      </c>
      <c r="K4094" s="3" t="s">
        <v>23</v>
      </c>
    </row>
    <row r="4095" spans="1:11" ht="42" customHeight="1">
      <c r="A4095" s="2" t="s">
        <v>10814</v>
      </c>
      <c r="B4095" s="2" t="s">
        <v>10815</v>
      </c>
      <c r="C4095" s="2" t="s">
        <v>26</v>
      </c>
      <c r="D4095" s="2" t="s">
        <v>27</v>
      </c>
      <c r="E4095" s="4">
        <v>-31859</v>
      </c>
      <c r="F4095" s="3" t="s">
        <v>158</v>
      </c>
      <c r="G4095" s="3" t="s">
        <v>159</v>
      </c>
      <c r="H4095" s="2" t="s">
        <v>21</v>
      </c>
      <c r="I4095" s="2" t="s">
        <v>10816</v>
      </c>
      <c r="J4095" s="3" t="str">
        <f>HYPERLINK("https://www.boe.es/gazeta/dias/1812/10/08/pdfs/GMR-1812-24.pdf#page=9","Abrir facsímil")</f>
        <v>Abrir facsímil</v>
      </c>
      <c r="K4095" s="3" t="s">
        <v>23</v>
      </c>
    </row>
    <row r="4096" spans="1:11" ht="42" customHeight="1">
      <c r="A4096" s="2" t="s">
        <v>10817</v>
      </c>
      <c r="B4096" s="2" t="s">
        <v>10818</v>
      </c>
      <c r="C4096" s="2" t="s">
        <v>67</v>
      </c>
      <c r="D4096" s="2" t="s">
        <v>27</v>
      </c>
      <c r="E4096" s="4">
        <v>-31963</v>
      </c>
      <c r="F4096" s="3" t="s">
        <v>171</v>
      </c>
      <c r="G4096" s="3" t="s">
        <v>172</v>
      </c>
      <c r="H4096" s="2" t="s">
        <v>21</v>
      </c>
      <c r="I4096" s="2" t="s">
        <v>10819</v>
      </c>
      <c r="J4096" s="3" t="str">
        <f>HYPERLINK("https://www.boe.es/gazeta/dias/1812/06/26/pdfs/GMD-1812-178.pdf#page=3","Abrir facsímil")</f>
        <v>Abrir facsímil</v>
      </c>
      <c r="K4096" s="3" t="s">
        <v>23</v>
      </c>
    </row>
    <row r="4097" spans="1:11" ht="42" customHeight="1">
      <c r="A4097" s="2" t="s">
        <v>10820</v>
      </c>
      <c r="B4097" s="2" t="s">
        <v>10821</v>
      </c>
      <c r="C4097" s="2" t="s">
        <v>26</v>
      </c>
      <c r="D4097" s="2" t="s">
        <v>194</v>
      </c>
      <c r="E4097" s="4">
        <v>-32072</v>
      </c>
      <c r="F4097" s="3" t="s">
        <v>8696</v>
      </c>
      <c r="G4097" s="3" t="s">
        <v>336</v>
      </c>
      <c r="H4097" s="2" t="s">
        <v>21</v>
      </c>
      <c r="I4097" s="2" t="s">
        <v>10822</v>
      </c>
      <c r="J4097" s="3" t="str">
        <f>HYPERLINK("https://www.boe.es/gazeta/dias/1812/03/09/pdfs/GMD-1812-69.pdf#page=4","Abrir facsímil")</f>
        <v>Abrir facsímil</v>
      </c>
      <c r="K4097" s="3" t="s">
        <v>23</v>
      </c>
    </row>
    <row r="4098" spans="1:11" ht="42" customHeight="1">
      <c r="A4098" s="2" t="s">
        <v>10823</v>
      </c>
      <c r="B4098" s="2" t="s">
        <v>10824</v>
      </c>
      <c r="C4098" s="2" t="s">
        <v>17</v>
      </c>
      <c r="D4098" s="2" t="s">
        <v>27</v>
      </c>
      <c r="E4098" s="4">
        <v>-32053</v>
      </c>
      <c r="F4098" s="3" t="s">
        <v>910</v>
      </c>
      <c r="G4098" s="3" t="s">
        <v>620</v>
      </c>
      <c r="H4098" s="2" t="s">
        <v>21</v>
      </c>
      <c r="I4098" s="2" t="s">
        <v>10825</v>
      </c>
      <c r="J4098" s="3" t="str">
        <f>HYPERLINK("https://www.boe.es/gazeta/dias/1812/03/28/pdfs/GRE-1812-39.pdf#page=3","Abrir facsímil")</f>
        <v>Abrir facsímil</v>
      </c>
      <c r="K4098" s="3" t="s">
        <v>23</v>
      </c>
    </row>
    <row r="4099" spans="1:11" ht="42" customHeight="1">
      <c r="A4099" s="2" t="s">
        <v>10826</v>
      </c>
      <c r="B4099" s="2" t="s">
        <v>10827</v>
      </c>
      <c r="C4099" s="2" t="s">
        <v>26</v>
      </c>
      <c r="D4099" s="2" t="s">
        <v>27</v>
      </c>
      <c r="E4099" s="4">
        <v>-32034</v>
      </c>
      <c r="F4099" s="3" t="s">
        <v>28</v>
      </c>
      <c r="G4099" s="3" t="s">
        <v>45</v>
      </c>
      <c r="H4099" s="2" t="s">
        <v>21</v>
      </c>
      <c r="I4099" s="2" t="s">
        <v>10828</v>
      </c>
      <c r="J4099" s="3" t="str">
        <f>HYPERLINK("https://www.boe.es/gazeta/dias/1812/04/16/pdfs/GMD-1812-107.pdf#page=5","Abrir facsímil")</f>
        <v>Abrir facsímil</v>
      </c>
      <c r="K4099" s="3" t="s">
        <v>23</v>
      </c>
    </row>
    <row r="4100" spans="1:11" ht="42" customHeight="1">
      <c r="A4100" s="2" t="s">
        <v>10826</v>
      </c>
      <c r="B4100" s="2" t="s">
        <v>10827</v>
      </c>
      <c r="C4100" s="2" t="s">
        <v>115</v>
      </c>
      <c r="D4100" s="2" t="s">
        <v>134</v>
      </c>
      <c r="E4100" s="4">
        <v>-31952</v>
      </c>
      <c r="F4100" s="3" t="s">
        <v>1541</v>
      </c>
      <c r="G4100" s="3" t="s">
        <v>1542</v>
      </c>
      <c r="H4100" s="2" t="s">
        <v>21</v>
      </c>
      <c r="I4100" s="2" t="s">
        <v>10829</v>
      </c>
      <c r="J4100" s="3" t="str">
        <f>HYPERLINK("https://www.boe.es/gazeta/dias/1812/07/07/pdfs/GRE-F-1812-83.pdf#page=3","Abrir facsímil")</f>
        <v>Abrir facsímil</v>
      </c>
      <c r="K4100" s="3" t="s">
        <v>23</v>
      </c>
    </row>
    <row r="4101" spans="1:11" ht="42" customHeight="1">
      <c r="A4101" s="2" t="s">
        <v>10830</v>
      </c>
      <c r="B4101" s="2" t="s">
        <v>10831</v>
      </c>
      <c r="C4101" s="2" t="s">
        <v>186</v>
      </c>
      <c r="D4101" s="2" t="s">
        <v>27</v>
      </c>
      <c r="E4101" s="4">
        <v>-31941</v>
      </c>
      <c r="F4101" s="3" t="s">
        <v>57</v>
      </c>
      <c r="G4101" s="3" t="s">
        <v>140</v>
      </c>
      <c r="H4101" s="2" t="s">
        <v>21</v>
      </c>
      <c r="I4101" s="2" t="s">
        <v>10832</v>
      </c>
      <c r="J4101" s="3" t="str">
        <f>HYPERLINK("https://www.boe.es/gazeta/dias/1812/07/18/pdfs/GMD-1812-200.pdf#page=2","Abrir facsímil")</f>
        <v>Abrir facsímil</v>
      </c>
      <c r="K4101" s="3" t="s">
        <v>23</v>
      </c>
    </row>
    <row r="4102" spans="1:11" ht="42" customHeight="1">
      <c r="A4102" s="2" t="s">
        <v>10833</v>
      </c>
      <c r="B4102" s="2" t="s">
        <v>10834</v>
      </c>
      <c r="C4102" s="2" t="s">
        <v>67</v>
      </c>
      <c r="D4102" s="2" t="s">
        <v>27</v>
      </c>
      <c r="E4102" s="4">
        <v>-31810</v>
      </c>
      <c r="F4102" s="3" t="s">
        <v>2305</v>
      </c>
      <c r="G4102" s="3" t="s">
        <v>6027</v>
      </c>
      <c r="H4102" s="2" t="s">
        <v>21</v>
      </c>
      <c r="I4102" s="2" t="s">
        <v>10835</v>
      </c>
      <c r="J4102" s="3" t="str">
        <f>HYPERLINK("https://www.boe.es/gazeta/dias/1812/11/26/pdfs/GRE-1812-157.pdf#page=4","Abrir facsímil")</f>
        <v>Abrir facsímil</v>
      </c>
      <c r="K4102" s="3" t="s">
        <v>23</v>
      </c>
    </row>
    <row r="4103" spans="1:11" ht="42" customHeight="1">
      <c r="A4103" s="2" t="s">
        <v>10836</v>
      </c>
      <c r="B4103" s="2" t="s">
        <v>10837</v>
      </c>
      <c r="C4103" s="2" t="s">
        <v>17</v>
      </c>
      <c r="D4103" s="2" t="s">
        <v>27</v>
      </c>
      <c r="E4103" s="4">
        <v>-32010</v>
      </c>
      <c r="F4103" s="3" t="s">
        <v>243</v>
      </c>
      <c r="G4103" s="3" t="s">
        <v>620</v>
      </c>
      <c r="H4103" s="2" t="s">
        <v>21</v>
      </c>
      <c r="I4103" s="2" t="s">
        <v>10838</v>
      </c>
      <c r="J4103" s="3" t="str">
        <f>HYPERLINK("https://www.boe.es/gazeta/dias/1812/05/10/pdfs/GMD-1812-131.pdf#page=2","Abrir facsímil")</f>
        <v>Abrir facsímil</v>
      </c>
      <c r="K4103" s="3" t="s">
        <v>23</v>
      </c>
    </row>
    <row r="4104" spans="1:11" ht="42" customHeight="1">
      <c r="A4104" s="2" t="s">
        <v>10839</v>
      </c>
      <c r="B4104" s="2" t="s">
        <v>10840</v>
      </c>
      <c r="C4104" s="2" t="s">
        <v>26</v>
      </c>
      <c r="D4104" s="2" t="s">
        <v>27</v>
      </c>
      <c r="E4104" s="4">
        <v>-32011</v>
      </c>
      <c r="F4104" s="3" t="s">
        <v>1233</v>
      </c>
      <c r="G4104" s="3" t="s">
        <v>8021</v>
      </c>
      <c r="H4104" s="2" t="s">
        <v>21</v>
      </c>
      <c r="I4104" s="2" t="s">
        <v>10841</v>
      </c>
      <c r="J4104" s="3" t="str">
        <f>HYPERLINK("https://www.boe.es/gazeta/dias/1812/05/09/pdfs/GRE-1812-58.pdf#page=2","Abrir facsímil")</f>
        <v>Abrir facsímil</v>
      </c>
      <c r="K4104" s="3" t="s">
        <v>23</v>
      </c>
    </row>
    <row r="4105" spans="1:11" ht="42" customHeight="1">
      <c r="A4105" s="2" t="s">
        <v>10842</v>
      </c>
      <c r="B4105" s="2" t="s">
        <v>10843</v>
      </c>
      <c r="C4105" s="2" t="s">
        <v>26</v>
      </c>
      <c r="D4105" s="2" t="s">
        <v>27</v>
      </c>
      <c r="E4105" s="4">
        <v>-31936</v>
      </c>
      <c r="F4105" s="3" t="s">
        <v>614</v>
      </c>
      <c r="G4105" s="3" t="s">
        <v>615</v>
      </c>
      <c r="H4105" s="2" t="s">
        <v>21</v>
      </c>
      <c r="I4105" s="2" t="s">
        <v>10844</v>
      </c>
      <c r="J4105" s="3" t="str">
        <f>HYPERLINK("https://www.boe.es/gazeta/dias/1812/07/23/pdfs/GRE-1812-92.pdf#page=8","Abrir facsímil")</f>
        <v>Abrir facsímil</v>
      </c>
      <c r="K4105" s="3" t="s">
        <v>23</v>
      </c>
    </row>
    <row r="4106" spans="1:11" ht="42" customHeight="1">
      <c r="A4106" s="2" t="s">
        <v>10845</v>
      </c>
      <c r="B4106" s="2" t="s">
        <v>10846</v>
      </c>
      <c r="C4106" s="2" t="s">
        <v>26</v>
      </c>
      <c r="D4106" s="2" t="s">
        <v>27</v>
      </c>
      <c r="E4106" s="4">
        <v>-31940</v>
      </c>
      <c r="F4106" s="3" t="s">
        <v>187</v>
      </c>
      <c r="G4106" s="3" t="s">
        <v>404</v>
      </c>
      <c r="H4106" s="2" t="s">
        <v>21</v>
      </c>
      <c r="I4106" s="2" t="s">
        <v>10847</v>
      </c>
      <c r="J4106" s="3" t="str">
        <f>HYPERLINK("https://www.boe.es/gazeta/dias/1812/07/19/pdfs/GMD-1812-201.pdf#page=4","Abrir facsímil")</f>
        <v>Abrir facsímil</v>
      </c>
      <c r="K4106" s="3" t="s">
        <v>23</v>
      </c>
    </row>
    <row r="4107" spans="1:11" ht="42" customHeight="1">
      <c r="A4107" s="2" t="s">
        <v>10848</v>
      </c>
      <c r="B4107" s="2" t="s">
        <v>10849</v>
      </c>
      <c r="C4107" s="2" t="s">
        <v>26</v>
      </c>
      <c r="D4107" s="2" t="s">
        <v>27</v>
      </c>
      <c r="E4107" s="4">
        <v>-32081</v>
      </c>
      <c r="F4107" s="3" t="s">
        <v>232</v>
      </c>
      <c r="G4107" s="3" t="s">
        <v>233</v>
      </c>
      <c r="H4107" s="2" t="s">
        <v>21</v>
      </c>
      <c r="I4107" s="2" t="s">
        <v>10850</v>
      </c>
      <c r="J4107" s="3" t="str">
        <f>HYPERLINK("https://www.boe.es/gazeta/dias/1812/02/29/pdfs/GRE-1812-27.pdf#page=8","Abrir facsímil")</f>
        <v>Abrir facsímil</v>
      </c>
      <c r="K4107" s="3" t="s">
        <v>23</v>
      </c>
    </row>
    <row r="4108" spans="1:11" ht="42" customHeight="1">
      <c r="A4108" s="2" t="s">
        <v>10848</v>
      </c>
      <c r="B4108" s="2" t="s">
        <v>10849</v>
      </c>
      <c r="C4108" s="2" t="s">
        <v>26</v>
      </c>
      <c r="D4108" s="2" t="s">
        <v>27</v>
      </c>
      <c r="E4108" s="4">
        <v>-31922</v>
      </c>
      <c r="F4108" s="3" t="s">
        <v>375</v>
      </c>
      <c r="G4108" s="3" t="s">
        <v>986</v>
      </c>
      <c r="H4108" s="2" t="s">
        <v>21</v>
      </c>
      <c r="I4108" s="2" t="s">
        <v>10851</v>
      </c>
      <c r="J4108" s="3" t="str">
        <f>HYPERLINK("https://www.boe.es/gazeta/dias/1812/08/06/pdfs/GRE-1812-100.pdf#page=8","Abrir facsímil")</f>
        <v>Abrir facsímil</v>
      </c>
      <c r="K4108" s="3" t="s">
        <v>23</v>
      </c>
    </row>
    <row r="4109" spans="1:11" ht="42" customHeight="1">
      <c r="A4109" s="2" t="s">
        <v>10852</v>
      </c>
      <c r="B4109" s="2" t="s">
        <v>10853</v>
      </c>
      <c r="C4109" s="2" t="s">
        <v>26</v>
      </c>
      <c r="D4109" s="2" t="s">
        <v>27</v>
      </c>
      <c r="E4109" s="4">
        <v>-32109</v>
      </c>
      <c r="F4109" s="3" t="s">
        <v>62</v>
      </c>
      <c r="G4109" s="3" t="s">
        <v>63</v>
      </c>
      <c r="H4109" s="2" t="s">
        <v>21</v>
      </c>
      <c r="I4109" s="2" t="s">
        <v>10854</v>
      </c>
      <c r="J4109" s="3" t="str">
        <f>HYPERLINK("https://www.boe.es/gazeta/dias/1812/02/01/pdfs/GRE-1812-14.pdf#page=10","Abrir facsímil")</f>
        <v>Abrir facsímil</v>
      </c>
      <c r="K4109" s="3" t="s">
        <v>23</v>
      </c>
    </row>
    <row r="4110" spans="1:11" ht="42" customHeight="1">
      <c r="A4110" s="2" t="s">
        <v>10855</v>
      </c>
      <c r="B4110" s="2" t="s">
        <v>10856</v>
      </c>
      <c r="C4110" s="2" t="s">
        <v>26</v>
      </c>
      <c r="D4110" s="2" t="s">
        <v>27</v>
      </c>
      <c r="E4110" s="4">
        <v>-31938</v>
      </c>
      <c r="F4110" s="3" t="s">
        <v>324</v>
      </c>
      <c r="G4110" s="3" t="s">
        <v>497</v>
      </c>
      <c r="H4110" s="2" t="s">
        <v>21</v>
      </c>
      <c r="I4110" s="2" t="s">
        <v>10857</v>
      </c>
      <c r="J4110" s="3" t="str">
        <f>HYPERLINK("https://www.boe.es/gazeta/dias/1812/07/21/pdfs/GMD-1812-203.pdf#page=3","Abrir facsímil")</f>
        <v>Abrir facsímil</v>
      </c>
      <c r="K4110" s="3" t="s">
        <v>23</v>
      </c>
    </row>
    <row r="4111" spans="1:11" ht="42" customHeight="1">
      <c r="A4111" s="2" t="s">
        <v>10858</v>
      </c>
      <c r="B4111" s="2" t="s">
        <v>10859</v>
      </c>
      <c r="C4111" s="2" t="s">
        <v>49</v>
      </c>
      <c r="D4111" s="2" t="s">
        <v>27</v>
      </c>
      <c r="E4111" s="4">
        <v>-31927</v>
      </c>
      <c r="F4111" s="3" t="s">
        <v>1160</v>
      </c>
      <c r="G4111" s="3" t="s">
        <v>20</v>
      </c>
      <c r="H4111" s="2" t="s">
        <v>21</v>
      </c>
      <c r="I4111" s="2" t="s">
        <v>10860</v>
      </c>
      <c r="J4111" s="3" t="str">
        <f>HYPERLINK("https://www.boe.es/gazeta/dias/1812/08/01/pdfs/GRE-1812-97.pdf#page=6","Abrir facsímil")</f>
        <v>Abrir facsímil</v>
      </c>
      <c r="K4111" s="3" t="s">
        <v>23</v>
      </c>
    </row>
    <row r="4112" spans="1:11" ht="42" customHeight="1">
      <c r="A4112" s="2" t="s">
        <v>10861</v>
      </c>
      <c r="B4112" s="2" t="s">
        <v>10862</v>
      </c>
      <c r="C4112" s="2" t="s">
        <v>82</v>
      </c>
      <c r="D4112" s="2" t="s">
        <v>27</v>
      </c>
      <c r="E4112" s="4">
        <v>-32127</v>
      </c>
      <c r="F4112" s="3" t="s">
        <v>88</v>
      </c>
      <c r="G4112" s="3" t="s">
        <v>89</v>
      </c>
      <c r="H4112" s="2" t="s">
        <v>21</v>
      </c>
      <c r="I4112" s="2" t="s">
        <v>10863</v>
      </c>
      <c r="J4112" s="3" t="str">
        <f>HYPERLINK("https://www.boe.es/gazeta/dias/1812/01/14/pdfs/GEI-1812-6.pdf#page=8","Abrir facsímil")</f>
        <v>Abrir facsímil</v>
      </c>
      <c r="K4112" s="3" t="s">
        <v>23</v>
      </c>
    </row>
    <row r="4113" spans="1:11" ht="42" customHeight="1">
      <c r="A4113" s="2" t="s">
        <v>10864</v>
      </c>
      <c r="B4113" s="2" t="s">
        <v>10865</v>
      </c>
      <c r="C4113" s="2" t="s">
        <v>26</v>
      </c>
      <c r="D4113" s="2" t="s">
        <v>27</v>
      </c>
      <c r="E4113" s="4">
        <v>-32074</v>
      </c>
      <c r="F4113" s="3" t="s">
        <v>7295</v>
      </c>
      <c r="G4113" s="3" t="s">
        <v>237</v>
      </c>
      <c r="H4113" s="2" t="s">
        <v>21</v>
      </c>
      <c r="I4113" s="2" t="s">
        <v>10866</v>
      </c>
      <c r="J4113" s="3" t="str">
        <f>HYPERLINK("https://www.boe.es/gazeta/dias/1812/03/07/pdfs/GMD-1812-67.pdf#page=2","Abrir facsímil")</f>
        <v>Abrir facsímil</v>
      </c>
      <c r="K4113" s="3" t="s">
        <v>23</v>
      </c>
    </row>
    <row r="4114" spans="1:11" ht="42" customHeight="1">
      <c r="A4114" s="2" t="s">
        <v>10867</v>
      </c>
      <c r="B4114" s="2" t="s">
        <v>10867</v>
      </c>
      <c r="C4114" s="2" t="s">
        <v>17</v>
      </c>
      <c r="D4114" s="2" t="s">
        <v>194</v>
      </c>
      <c r="E4114" s="4">
        <v>-32025</v>
      </c>
      <c r="F4114" s="3" t="s">
        <v>2323</v>
      </c>
      <c r="G4114" s="3" t="s">
        <v>10868</v>
      </c>
      <c r="H4114" s="2" t="s">
        <v>21</v>
      </c>
      <c r="I4114" s="2" t="s">
        <v>10869</v>
      </c>
      <c r="J4114" s="3" t="str">
        <f>HYPERLINK("https://www.boe.es/gazeta/dias/1812/04/25/pdfs/GRE-1812-52.pdf#page=1","Abrir facsímil")</f>
        <v>Abrir facsímil</v>
      </c>
      <c r="K4114" s="3" t="s">
        <v>23</v>
      </c>
    </row>
    <row r="4115" spans="1:11" ht="42" customHeight="1">
      <c r="A4115" s="2" t="s">
        <v>10867</v>
      </c>
      <c r="B4115" s="2" t="s">
        <v>10867</v>
      </c>
      <c r="C4115" s="2" t="s">
        <v>17</v>
      </c>
      <c r="D4115" s="2" t="s">
        <v>573</v>
      </c>
      <c r="E4115" s="4">
        <v>-31921</v>
      </c>
      <c r="F4115" s="3" t="s">
        <v>785</v>
      </c>
      <c r="G4115" s="3" t="s">
        <v>130</v>
      </c>
      <c r="H4115" s="2" t="s">
        <v>21</v>
      </c>
      <c r="I4115" s="2" t="s">
        <v>10870</v>
      </c>
      <c r="J4115" s="3" t="str">
        <f>HYPERLINK("https://www.boe.es/gazeta/dias/1812/08/07/pdfs/GRE-1812-101E.pdf#page=4","Abrir facsímil")</f>
        <v>Abrir facsímil</v>
      </c>
      <c r="K4115" s="3" t="s">
        <v>23</v>
      </c>
    </row>
    <row r="4116" spans="1:11" ht="42" customHeight="1">
      <c r="A4116" s="2" t="s">
        <v>10867</v>
      </c>
      <c r="B4116" s="2" t="s">
        <v>10867</v>
      </c>
      <c r="C4116" s="2" t="s">
        <v>17</v>
      </c>
      <c r="D4116" s="2" t="s">
        <v>573</v>
      </c>
      <c r="E4116" s="4">
        <v>-31921</v>
      </c>
      <c r="F4116" s="3" t="s">
        <v>785</v>
      </c>
      <c r="G4116" s="3" t="s">
        <v>45</v>
      </c>
      <c r="H4116" s="2" t="s">
        <v>21</v>
      </c>
      <c r="I4116" s="2" t="s">
        <v>10871</v>
      </c>
      <c r="J4116" s="3" t="str">
        <f>HYPERLINK("https://www.boe.es/gazeta/dias/1812/08/07/pdfs/GRE-1812-101E.pdf#page=5","Abrir facsímil")</f>
        <v>Abrir facsímil</v>
      </c>
      <c r="K4116" s="3" t="s">
        <v>23</v>
      </c>
    </row>
    <row r="4117" spans="1:11" ht="42" customHeight="1">
      <c r="A4117" s="2" t="s">
        <v>10867</v>
      </c>
      <c r="B4117" s="2" t="s">
        <v>10867</v>
      </c>
      <c r="C4117" s="2" t="s">
        <v>17</v>
      </c>
      <c r="D4117" s="2" t="s">
        <v>18</v>
      </c>
      <c r="E4117" s="4">
        <v>-31905</v>
      </c>
      <c r="F4117" s="3" t="s">
        <v>855</v>
      </c>
      <c r="G4117" s="3" t="s">
        <v>1650</v>
      </c>
      <c r="H4117" s="2" t="s">
        <v>21</v>
      </c>
      <c r="I4117" s="2" t="s">
        <v>10872</v>
      </c>
      <c r="J4117" s="3" t="str">
        <f>HYPERLINK("https://www.boe.es/gazeta/dias/1812/08/23/pdfs/GMR-1812-4.pdf#page=5","Abrir facsímil")</f>
        <v>Abrir facsímil</v>
      </c>
      <c r="K4117" s="3" t="s">
        <v>23</v>
      </c>
    </row>
    <row r="4118" spans="1:11" ht="42" customHeight="1">
      <c r="A4118" s="2" t="s">
        <v>10867</v>
      </c>
      <c r="B4118" s="2" t="s">
        <v>10867</v>
      </c>
      <c r="C4118" s="2" t="s">
        <v>17</v>
      </c>
      <c r="D4118" s="2" t="s">
        <v>18</v>
      </c>
      <c r="E4118" s="4">
        <v>-31905</v>
      </c>
      <c r="F4118" s="3" t="s">
        <v>855</v>
      </c>
      <c r="G4118" s="3" t="s">
        <v>1826</v>
      </c>
      <c r="H4118" s="2" t="s">
        <v>21</v>
      </c>
      <c r="I4118" s="2" t="s">
        <v>10873</v>
      </c>
      <c r="J4118" s="3" t="str">
        <f>HYPERLINK("https://www.boe.es/gazeta/dias/1812/08/23/pdfs/GMR-1812-4.pdf#page=7","Abrir facsímil")</f>
        <v>Abrir facsímil</v>
      </c>
      <c r="K4118" s="3" t="s">
        <v>23</v>
      </c>
    </row>
    <row r="4119" spans="1:11" ht="42" customHeight="1">
      <c r="A4119" s="2" t="s">
        <v>10874</v>
      </c>
      <c r="B4119" s="2" t="s">
        <v>10875</v>
      </c>
      <c r="C4119" s="2" t="s">
        <v>17</v>
      </c>
      <c r="D4119" s="2" t="s">
        <v>27</v>
      </c>
      <c r="E4119" s="4">
        <v>-31917</v>
      </c>
      <c r="F4119" s="3" t="s">
        <v>946</v>
      </c>
      <c r="G4119" s="3" t="s">
        <v>947</v>
      </c>
      <c r="H4119" s="2" t="s">
        <v>21</v>
      </c>
      <c r="I4119" s="2" t="s">
        <v>10876</v>
      </c>
      <c r="J4119" s="3" t="str">
        <f>HYPERLINK("https://www.boe.es/gazeta/dias/1812/08/11/pdfs/GRE-1812-103.pdf#page=8","Abrir facsímil")</f>
        <v>Abrir facsímil</v>
      </c>
      <c r="K4119" s="3" t="s">
        <v>23</v>
      </c>
    </row>
    <row r="4120" spans="1:11" ht="42" customHeight="1">
      <c r="A4120" s="2" t="s">
        <v>10877</v>
      </c>
      <c r="B4120" s="2" t="s">
        <v>10878</v>
      </c>
      <c r="C4120" s="2" t="s">
        <v>26</v>
      </c>
      <c r="D4120" s="2" t="s">
        <v>27</v>
      </c>
      <c r="E4120" s="4">
        <v>-31938</v>
      </c>
      <c r="F4120" s="3" t="s">
        <v>324</v>
      </c>
      <c r="G4120" s="3" t="s">
        <v>404</v>
      </c>
      <c r="H4120" s="2" t="s">
        <v>21</v>
      </c>
      <c r="I4120" s="2" t="s">
        <v>10879</v>
      </c>
      <c r="J4120" s="3" t="str">
        <f>HYPERLINK("https://www.boe.es/gazeta/dias/1812/07/21/pdfs/GMD-1812-203.pdf#page=4","Abrir facsímil")</f>
        <v>Abrir facsímil</v>
      </c>
      <c r="K4120" s="3" t="s">
        <v>23</v>
      </c>
    </row>
    <row r="4121" spans="1:11" ht="42" customHeight="1">
      <c r="A4121" s="2" t="s">
        <v>10880</v>
      </c>
      <c r="B4121" s="2" t="s">
        <v>10880</v>
      </c>
      <c r="C4121" s="2" t="s">
        <v>17</v>
      </c>
      <c r="D4121" s="2" t="s">
        <v>18</v>
      </c>
      <c r="E4121" s="4">
        <v>-31921</v>
      </c>
      <c r="F4121" s="3" t="s">
        <v>785</v>
      </c>
      <c r="G4121" s="3" t="s">
        <v>1128</v>
      </c>
      <c r="H4121" s="2" t="s">
        <v>21</v>
      </c>
      <c r="I4121" s="2" t="s">
        <v>10881</v>
      </c>
      <c r="J4121" s="3" t="str">
        <f>HYPERLINK("https://www.boe.es/gazeta/dias/1812/08/07/pdfs/GRE-1812-101E.pdf#page=7","Abrir facsímil")</f>
        <v>Abrir facsímil</v>
      </c>
      <c r="K4121" s="3" t="s">
        <v>23</v>
      </c>
    </row>
    <row r="4122" spans="1:11" ht="42" customHeight="1">
      <c r="A4122" s="2" t="s">
        <v>10882</v>
      </c>
      <c r="B4122" s="2" t="s">
        <v>10883</v>
      </c>
      <c r="C4122" s="2" t="s">
        <v>26</v>
      </c>
      <c r="D4122" s="2" t="s">
        <v>27</v>
      </c>
      <c r="E4122" s="4">
        <v>-32034</v>
      </c>
      <c r="F4122" s="3" t="s">
        <v>28</v>
      </c>
      <c r="G4122" s="3" t="s">
        <v>317</v>
      </c>
      <c r="H4122" s="2" t="s">
        <v>21</v>
      </c>
      <c r="I4122" s="2" t="s">
        <v>10884</v>
      </c>
      <c r="J4122" s="3" t="str">
        <f>HYPERLINK("https://www.boe.es/gazeta/dias/1812/04/16/pdfs/GMD-1812-107.pdf#page=6","Abrir facsímil")</f>
        <v>Abrir facsímil</v>
      </c>
      <c r="K4122" s="3" t="s">
        <v>23</v>
      </c>
    </row>
    <row r="4123" spans="1:11" ht="42" customHeight="1">
      <c r="A4123" s="2" t="s">
        <v>10885</v>
      </c>
      <c r="B4123" s="2" t="s">
        <v>10885</v>
      </c>
      <c r="C4123" s="2" t="s">
        <v>115</v>
      </c>
      <c r="D4123" s="2" t="s">
        <v>27</v>
      </c>
      <c r="E4123" s="4">
        <v>-31789</v>
      </c>
      <c r="F4123" s="3" t="s">
        <v>873</v>
      </c>
      <c r="G4123" s="3" t="s">
        <v>1883</v>
      </c>
      <c r="H4123" s="2" t="s">
        <v>21</v>
      </c>
      <c r="I4123" s="2" t="s">
        <v>10886</v>
      </c>
      <c r="J4123" s="3" t="str">
        <f>HYPERLINK("https://www.boe.es/gazeta/dias/1812/12/17/pdfs/GMD-1812-240.pdf#page=2","Abrir facsímil")</f>
        <v>Abrir facsímil</v>
      </c>
      <c r="K4123" s="3" t="s">
        <v>23</v>
      </c>
    </row>
    <row r="4124" spans="1:11" ht="42" customHeight="1">
      <c r="A4124" s="2" t="s">
        <v>10887</v>
      </c>
      <c r="B4124" s="2" t="s">
        <v>10888</v>
      </c>
      <c r="C4124" s="2" t="s">
        <v>26</v>
      </c>
      <c r="D4124" s="2" t="s">
        <v>27</v>
      </c>
      <c r="E4124" s="4">
        <v>-31913</v>
      </c>
      <c r="F4124" s="3" t="s">
        <v>450</v>
      </c>
      <c r="G4124" s="3" t="s">
        <v>451</v>
      </c>
      <c r="H4124" s="2" t="s">
        <v>21</v>
      </c>
      <c r="I4124" s="2" t="s">
        <v>10889</v>
      </c>
      <c r="J4124" s="3" t="str">
        <f>HYPERLINK("https://www.boe.es/gazeta/dias/1812/08/15/pdfs/GRE-1812-105.pdf#page=8","Abrir facsímil")</f>
        <v>Abrir facsímil</v>
      </c>
      <c r="K4124" s="3" t="s">
        <v>23</v>
      </c>
    </row>
    <row r="4125" spans="1:11" ht="42" customHeight="1">
      <c r="A4125" s="2" t="s">
        <v>10890</v>
      </c>
      <c r="B4125" s="2" t="s">
        <v>10890</v>
      </c>
      <c r="C4125" s="2" t="s">
        <v>67</v>
      </c>
      <c r="D4125" s="2" t="s">
        <v>194</v>
      </c>
      <c r="E4125" s="4">
        <v>-32102</v>
      </c>
      <c r="F4125" s="3" t="s">
        <v>1783</v>
      </c>
      <c r="G4125" s="3" t="s">
        <v>10891</v>
      </c>
      <c r="H4125" s="2" t="s">
        <v>21</v>
      </c>
      <c r="I4125" s="2" t="s">
        <v>10892</v>
      </c>
      <c r="J4125" s="3" t="str">
        <f>HYPERLINK("https://www.boe.es/gazeta/dias/1812/02/08/pdfs/GRE-1812-17.pdf#page=1","Abrir facsímil")</f>
        <v>Abrir facsímil</v>
      </c>
      <c r="K4125" s="3" t="s">
        <v>23</v>
      </c>
    </row>
    <row r="4126" spans="1:11" ht="42" customHeight="1">
      <c r="A4126" s="2" t="s">
        <v>10893</v>
      </c>
      <c r="B4126" s="2" t="s">
        <v>10894</v>
      </c>
      <c r="C4126" s="2" t="s">
        <v>26</v>
      </c>
      <c r="D4126" s="2" t="s">
        <v>27</v>
      </c>
      <c r="E4126" s="4">
        <v>-32074</v>
      </c>
      <c r="F4126" s="3" t="s">
        <v>816</v>
      </c>
      <c r="G4126" s="3" t="s">
        <v>777</v>
      </c>
      <c r="H4126" s="2" t="s">
        <v>21</v>
      </c>
      <c r="I4126" s="2" t="s">
        <v>10895</v>
      </c>
      <c r="J4126" s="3" t="str">
        <f>HYPERLINK("https://www.boe.es/gazeta/dias/1812/03/07/pdfs/GRE-1812-30.pdf#page=8","Abrir facsímil")</f>
        <v>Abrir facsímil</v>
      </c>
      <c r="K4126" s="3" t="s">
        <v>23</v>
      </c>
    </row>
    <row r="4127" spans="1:11" ht="42" customHeight="1">
      <c r="A4127" s="2" t="s">
        <v>10896</v>
      </c>
      <c r="B4127" s="2" t="s">
        <v>10897</v>
      </c>
      <c r="C4127" s="2" t="s">
        <v>17</v>
      </c>
      <c r="D4127" s="2" t="s">
        <v>18</v>
      </c>
      <c r="E4127" s="4">
        <v>-32116</v>
      </c>
      <c r="F4127" s="3" t="s">
        <v>964</v>
      </c>
      <c r="G4127" s="3" t="s">
        <v>10898</v>
      </c>
      <c r="H4127" s="2" t="s">
        <v>21</v>
      </c>
      <c r="I4127" s="2" t="s">
        <v>10899</v>
      </c>
      <c r="J4127" s="3" t="str">
        <f>HYPERLINK("https://www.boe.es/gazeta/dias/1812/01/25/pdfs/GEI-H-1812-11.pdf#page=3","Abrir facsímil")</f>
        <v>Abrir facsímil</v>
      </c>
      <c r="K4127" s="3" t="s">
        <v>23</v>
      </c>
    </row>
    <row r="4128" spans="1:11" ht="42" customHeight="1">
      <c r="A4128" s="2" t="s">
        <v>10900</v>
      </c>
      <c r="B4128" s="2" t="s">
        <v>10901</v>
      </c>
      <c r="C4128" s="2" t="s">
        <v>26</v>
      </c>
      <c r="D4128" s="2" t="s">
        <v>27</v>
      </c>
      <c r="E4128" s="4">
        <v>-31833</v>
      </c>
      <c r="F4128" s="3" t="s">
        <v>267</v>
      </c>
      <c r="G4128" s="3" t="s">
        <v>268</v>
      </c>
      <c r="H4128" s="2" t="s">
        <v>21</v>
      </c>
      <c r="I4128" s="2" t="s">
        <v>10902</v>
      </c>
      <c r="J4128" s="3" t="str">
        <f>HYPERLINK("https://www.boe.es/gazeta/dias/1812/11/03/pdfs/GRE-1812-147.pdf#page=8","Abrir facsímil")</f>
        <v>Abrir facsímil</v>
      </c>
      <c r="K4128" s="3" t="s">
        <v>23</v>
      </c>
    </row>
    <row r="4129" spans="1:11" ht="42" customHeight="1">
      <c r="A4129" s="2" t="s">
        <v>10900</v>
      </c>
      <c r="B4129" s="2" t="s">
        <v>10901</v>
      </c>
      <c r="C4129" s="2" t="s">
        <v>26</v>
      </c>
      <c r="D4129" s="2" t="s">
        <v>27</v>
      </c>
      <c r="E4129" s="4">
        <v>-31816</v>
      </c>
      <c r="F4129" s="3" t="s">
        <v>270</v>
      </c>
      <c r="G4129" s="3" t="s">
        <v>271</v>
      </c>
      <c r="H4129" s="2" t="s">
        <v>21</v>
      </c>
      <c r="I4129" s="2" t="s">
        <v>10903</v>
      </c>
      <c r="J4129" s="3" t="str">
        <f>HYPERLINK("https://www.boe.es/gazeta/dias/1812/11/20/pdfs/GMR-1812-36.pdf#page=6","Abrir facsímil")</f>
        <v>Abrir facsímil</v>
      </c>
      <c r="K4129" s="3" t="s">
        <v>23</v>
      </c>
    </row>
    <row r="4130" spans="1:11" ht="42" customHeight="1">
      <c r="A4130" s="2" t="s">
        <v>10904</v>
      </c>
      <c r="B4130" s="2" t="s">
        <v>10905</v>
      </c>
      <c r="C4130" s="2" t="s">
        <v>26</v>
      </c>
      <c r="D4130" s="2" t="s">
        <v>134</v>
      </c>
      <c r="E4130" s="4">
        <v>-31983</v>
      </c>
      <c r="F4130" s="3" t="s">
        <v>1437</v>
      </c>
      <c r="G4130" s="3" t="s">
        <v>1438</v>
      </c>
      <c r="H4130" s="2" t="s">
        <v>21</v>
      </c>
      <c r="I4130" s="2" t="s">
        <v>10906</v>
      </c>
      <c r="J4130" s="3" t="str">
        <f>HYPERLINK("https://www.boe.es/gazeta/dias/1812/06/06/pdfs/GRE-F-1812-70.pdf#page=4","Abrir facsímil")</f>
        <v>Abrir facsímil</v>
      </c>
      <c r="K4130" s="3" t="s">
        <v>23</v>
      </c>
    </row>
    <row r="4131" spans="1:11" ht="42" customHeight="1">
      <c r="A4131" s="2" t="s">
        <v>10907</v>
      </c>
      <c r="B4131" s="2" t="s">
        <v>10908</v>
      </c>
      <c r="C4131" s="2" t="s">
        <v>26</v>
      </c>
      <c r="D4131" s="2" t="s">
        <v>27</v>
      </c>
      <c r="E4131" s="4">
        <v>-31952</v>
      </c>
      <c r="F4131" s="3" t="s">
        <v>210</v>
      </c>
      <c r="G4131" s="3" t="s">
        <v>438</v>
      </c>
      <c r="H4131" s="2" t="s">
        <v>21</v>
      </c>
      <c r="I4131" s="2" t="s">
        <v>10909</v>
      </c>
      <c r="J4131" s="3" t="str">
        <f>HYPERLINK("https://www.boe.es/gazeta/dias/1812/07/07/pdfs/GRE-1812-83.pdf#page=5","Abrir facsímil")</f>
        <v>Abrir facsímil</v>
      </c>
      <c r="K4131" s="3" t="s">
        <v>23</v>
      </c>
    </row>
    <row r="4132" spans="1:11" ht="42" customHeight="1">
      <c r="A4132" s="2" t="s">
        <v>10910</v>
      </c>
      <c r="B4132" s="2" t="s">
        <v>10911</v>
      </c>
      <c r="C4132" s="2" t="s">
        <v>26</v>
      </c>
      <c r="D4132" s="2" t="s">
        <v>27</v>
      </c>
      <c r="E4132" s="4">
        <v>-31939</v>
      </c>
      <c r="F4132" s="3" t="s">
        <v>408</v>
      </c>
      <c r="G4132" s="3" t="s">
        <v>20</v>
      </c>
      <c r="H4132" s="2" t="s">
        <v>21</v>
      </c>
      <c r="I4132" s="2" t="s">
        <v>10912</v>
      </c>
      <c r="J4132" s="3" t="str">
        <f>HYPERLINK("https://www.boe.es/gazeta/dias/1812/07/20/pdfs/GMD-1812-202.pdf#page=4","Abrir facsímil")</f>
        <v>Abrir facsímil</v>
      </c>
      <c r="K4132" s="3" t="s">
        <v>23</v>
      </c>
    </row>
    <row r="4133" spans="1:11" ht="42" customHeight="1">
      <c r="A4133" s="2" t="s">
        <v>10913</v>
      </c>
      <c r="B4133" s="2" t="s">
        <v>10914</v>
      </c>
      <c r="C4133" s="2" t="s">
        <v>105</v>
      </c>
      <c r="D4133" s="2" t="s">
        <v>27</v>
      </c>
      <c r="E4133" s="4">
        <v>-31939</v>
      </c>
      <c r="F4133" s="3" t="s">
        <v>408</v>
      </c>
      <c r="G4133" s="3" t="s">
        <v>20</v>
      </c>
      <c r="H4133" s="2" t="s">
        <v>21</v>
      </c>
      <c r="I4133" s="2" t="s">
        <v>10915</v>
      </c>
      <c r="J4133" s="3" t="str">
        <f>HYPERLINK("https://www.boe.es/gazeta/dias/1812/07/20/pdfs/GMD-1812-202.pdf#page=4","Abrir facsímil")</f>
        <v>Abrir facsímil</v>
      </c>
      <c r="K4133" s="3" t="s">
        <v>23</v>
      </c>
    </row>
    <row r="4134" spans="1:11" ht="42" customHeight="1">
      <c r="A4134" s="2" t="s">
        <v>10916</v>
      </c>
      <c r="B4134" s="2" t="s">
        <v>10917</v>
      </c>
      <c r="C4134" s="2" t="s">
        <v>26</v>
      </c>
      <c r="D4134" s="2" t="s">
        <v>27</v>
      </c>
      <c r="E4134" s="4">
        <v>-32088</v>
      </c>
      <c r="F4134" s="3" t="s">
        <v>250</v>
      </c>
      <c r="G4134" s="3" t="s">
        <v>5228</v>
      </c>
      <c r="H4134" s="2" t="s">
        <v>21</v>
      </c>
      <c r="I4134" s="2" t="s">
        <v>10918</v>
      </c>
      <c r="J4134" s="3" t="str">
        <f>HYPERLINK("https://www.boe.es/gazeta/dias/1812/02/22/pdfs/GRE-1812-23.pdf#page=4","Abrir facsímil")</f>
        <v>Abrir facsímil</v>
      </c>
      <c r="K4134" s="3" t="s">
        <v>23</v>
      </c>
    </row>
    <row r="4135" spans="1:11" ht="42" customHeight="1">
      <c r="A4135" s="2" t="s">
        <v>10919</v>
      </c>
      <c r="B4135" s="2" t="s">
        <v>10919</v>
      </c>
      <c r="C4135" s="2" t="s">
        <v>17</v>
      </c>
      <c r="D4135" s="2" t="s">
        <v>18</v>
      </c>
      <c r="E4135" s="4">
        <v>-31801</v>
      </c>
      <c r="F4135" s="3" t="s">
        <v>632</v>
      </c>
      <c r="G4135" s="3" t="s">
        <v>214</v>
      </c>
      <c r="H4135" s="2" t="s">
        <v>21</v>
      </c>
      <c r="I4135" s="2" t="s">
        <v>10920</v>
      </c>
      <c r="J4135" s="3" t="str">
        <f>HYPERLINK("https://www.boe.es/gazeta/dias/1812/12/05/pdfs/GMD-1812-228.pdf#page=3","Abrir facsímil")</f>
        <v>Abrir facsímil</v>
      </c>
      <c r="K4135" s="3" t="s">
        <v>23</v>
      </c>
    </row>
    <row r="4136" spans="1:11" ht="42" customHeight="1">
      <c r="A4136" s="2" t="s">
        <v>10921</v>
      </c>
      <c r="B4136" s="2" t="s">
        <v>10921</v>
      </c>
      <c r="C4136" s="2" t="s">
        <v>17</v>
      </c>
      <c r="D4136" s="2" t="s">
        <v>18</v>
      </c>
      <c r="E4136" s="4">
        <v>-32116</v>
      </c>
      <c r="F4136" s="3" t="s">
        <v>993</v>
      </c>
      <c r="G4136" s="3" t="s">
        <v>2650</v>
      </c>
      <c r="H4136" s="2" t="s">
        <v>21</v>
      </c>
      <c r="I4136" s="2" t="s">
        <v>10922</v>
      </c>
      <c r="J4136" s="3" t="str">
        <f>HYPERLINK("https://www.boe.es/gazeta/dias/1812/01/25/pdfs/GEI-1812-11.pdf#page=2","Abrir facsímil")</f>
        <v>Abrir facsímil</v>
      </c>
      <c r="K4136" s="3" t="s">
        <v>23</v>
      </c>
    </row>
    <row r="4137" spans="1:11" ht="42" customHeight="1">
      <c r="A4137" s="2" t="s">
        <v>10921</v>
      </c>
      <c r="B4137" s="2" t="s">
        <v>10921</v>
      </c>
      <c r="C4137" s="2" t="s">
        <v>17</v>
      </c>
      <c r="D4137" s="2" t="s">
        <v>18</v>
      </c>
      <c r="E4137" s="4">
        <v>-31899</v>
      </c>
      <c r="F4137" s="3" t="s">
        <v>8917</v>
      </c>
      <c r="G4137" s="3" t="s">
        <v>117</v>
      </c>
      <c r="H4137" s="2" t="s">
        <v>21</v>
      </c>
      <c r="I4137" s="2" t="s">
        <v>10923</v>
      </c>
      <c r="J4137" s="3" t="str">
        <f>HYPERLINK("https://www.boe.es/gazeta/dias/1812/08/29/pdfs/GRE-1812-114.pdf#page=3","Abrir facsímil")</f>
        <v>Abrir facsímil</v>
      </c>
      <c r="K4137" s="3" t="s">
        <v>23</v>
      </c>
    </row>
    <row r="4138" spans="1:11" ht="42" customHeight="1">
      <c r="A4138" s="2" t="s">
        <v>10924</v>
      </c>
      <c r="B4138" s="2" t="s">
        <v>10924</v>
      </c>
      <c r="C4138" s="2" t="s">
        <v>17</v>
      </c>
      <c r="D4138" s="2" t="s">
        <v>18</v>
      </c>
      <c r="E4138" s="4">
        <v>-32139</v>
      </c>
      <c r="F4138" s="3" t="s">
        <v>518</v>
      </c>
      <c r="G4138" s="3" t="s">
        <v>20</v>
      </c>
      <c r="H4138" s="2" t="s">
        <v>21</v>
      </c>
      <c r="I4138" s="2" t="s">
        <v>10925</v>
      </c>
      <c r="J4138" s="3" t="str">
        <f>HYPERLINK("https://www.boe.es/gazeta/dias/1812/01/02/pdfs/GEI-1812-1.pdf#page=4","Abrir facsímil")</f>
        <v>Abrir facsímil</v>
      </c>
      <c r="K4138" s="3" t="s">
        <v>23</v>
      </c>
    </row>
    <row r="4139" spans="1:11" ht="42" customHeight="1">
      <c r="A4139" s="2" t="s">
        <v>10924</v>
      </c>
      <c r="B4139" s="2" t="s">
        <v>10924</v>
      </c>
      <c r="C4139" s="2" t="s">
        <v>17</v>
      </c>
      <c r="D4139" s="2" t="s">
        <v>18</v>
      </c>
      <c r="E4139" s="4">
        <v>-32050</v>
      </c>
      <c r="F4139" s="3" t="s">
        <v>864</v>
      </c>
      <c r="G4139" s="3" t="s">
        <v>8753</v>
      </c>
      <c r="H4139" s="2" t="s">
        <v>21</v>
      </c>
      <c r="I4139" s="2" t="s">
        <v>10926</v>
      </c>
      <c r="J4139" s="3" t="str">
        <f>HYPERLINK("https://www.boe.es/gazeta/dias/1812/03/31/pdfs/GRE-1812-40.pdf#page=7","Abrir facsímil")</f>
        <v>Abrir facsímil</v>
      </c>
      <c r="K4139" s="3" t="s">
        <v>23</v>
      </c>
    </row>
    <row r="4140" spans="1:11" ht="42" customHeight="1">
      <c r="A4140" s="2" t="s">
        <v>10927</v>
      </c>
      <c r="B4140" s="2" t="s">
        <v>10928</v>
      </c>
      <c r="C4140" s="2" t="s">
        <v>17</v>
      </c>
      <c r="D4140" s="2" t="s">
        <v>27</v>
      </c>
      <c r="E4140" s="4">
        <v>-31808</v>
      </c>
      <c r="F4140" s="3" t="s">
        <v>416</v>
      </c>
      <c r="G4140" s="3" t="s">
        <v>237</v>
      </c>
      <c r="H4140" s="2" t="s">
        <v>21</v>
      </c>
      <c r="I4140" s="2" t="s">
        <v>10929</v>
      </c>
      <c r="J4140" s="3" t="str">
        <f>HYPERLINK("https://www.boe.es/gazeta/dias/1812/11/28/pdfs/GRE-1812-158.pdf#page=3","Abrir facsímil")</f>
        <v>Abrir facsímil</v>
      </c>
      <c r="K4140" s="3" t="s">
        <v>23</v>
      </c>
    </row>
    <row r="4141" spans="1:11" ht="42" customHeight="1">
      <c r="A4141" s="2" t="s">
        <v>10930</v>
      </c>
      <c r="B4141" s="2" t="s">
        <v>10930</v>
      </c>
      <c r="C4141" s="2" t="s">
        <v>17</v>
      </c>
      <c r="D4141" s="2" t="s">
        <v>18</v>
      </c>
      <c r="E4141" s="4">
        <v>-32132</v>
      </c>
      <c r="F4141" s="3" t="s">
        <v>484</v>
      </c>
      <c r="G4141" s="3" t="s">
        <v>2895</v>
      </c>
      <c r="H4141" s="2" t="s">
        <v>21</v>
      </c>
      <c r="I4141" s="2" t="s">
        <v>10931</v>
      </c>
      <c r="J4141" s="3" t="str">
        <f>HYPERLINK("https://www.boe.es/gazeta/dias/1812/01/09/pdfs/GEI-1812-4.pdf#page=7","Abrir facsímil")</f>
        <v>Abrir facsímil</v>
      </c>
      <c r="K4141" s="3" t="s">
        <v>23</v>
      </c>
    </row>
    <row r="4142" spans="1:11" ht="42" customHeight="1">
      <c r="A4142" s="2" t="s">
        <v>10930</v>
      </c>
      <c r="B4142" s="2" t="s">
        <v>10930</v>
      </c>
      <c r="C4142" s="2" t="s">
        <v>17</v>
      </c>
      <c r="D4142" s="2" t="s">
        <v>18</v>
      </c>
      <c r="E4142" s="4">
        <v>-32123</v>
      </c>
      <c r="F4142" s="3" t="s">
        <v>3501</v>
      </c>
      <c r="G4142" s="3" t="s">
        <v>965</v>
      </c>
      <c r="H4142" s="2" t="s">
        <v>21</v>
      </c>
      <c r="I4142" s="2" t="s">
        <v>10932</v>
      </c>
      <c r="J4142" s="3" t="str">
        <f>HYPERLINK("https://www.boe.es/gazeta/dias/1812/01/18/pdfs/GEI-1812-8.pdf#page=8","Abrir facsímil")</f>
        <v>Abrir facsímil</v>
      </c>
      <c r="K4142" s="3" t="s">
        <v>23</v>
      </c>
    </row>
    <row r="4143" spans="1:11" ht="42" customHeight="1">
      <c r="A4143" s="2" t="s">
        <v>10930</v>
      </c>
      <c r="B4143" s="2" t="s">
        <v>10930</v>
      </c>
      <c r="C4143" s="2" t="s">
        <v>17</v>
      </c>
      <c r="D4143" s="2" t="s">
        <v>275</v>
      </c>
      <c r="E4143" s="4">
        <v>-32109</v>
      </c>
      <c r="F4143" s="3" t="s">
        <v>62</v>
      </c>
      <c r="G4143" s="3" t="s">
        <v>1650</v>
      </c>
      <c r="H4143" s="2" t="s">
        <v>21</v>
      </c>
      <c r="I4143" s="2" t="s">
        <v>10933</v>
      </c>
      <c r="J4143" s="3" t="str">
        <f>HYPERLINK("https://www.boe.es/gazeta/dias/1812/02/01/pdfs/GRE-1812-14.pdf#page=4","Abrir facsímil")</f>
        <v>Abrir facsímil</v>
      </c>
      <c r="K4143" s="3" t="s">
        <v>23</v>
      </c>
    </row>
    <row r="4144" spans="1:11" ht="42" customHeight="1">
      <c r="A4144" s="2" t="s">
        <v>10930</v>
      </c>
      <c r="B4144" s="2" t="s">
        <v>10930</v>
      </c>
      <c r="C4144" s="2" t="s">
        <v>17</v>
      </c>
      <c r="D4144" s="2" t="s">
        <v>18</v>
      </c>
      <c r="E4144" s="4">
        <v>-32092</v>
      </c>
      <c r="F4144" s="3" t="s">
        <v>1621</v>
      </c>
      <c r="G4144" s="3" t="s">
        <v>1622</v>
      </c>
      <c r="H4144" s="2" t="s">
        <v>21</v>
      </c>
      <c r="I4144" s="2" t="s">
        <v>10934</v>
      </c>
      <c r="J4144" s="3" t="str">
        <f>HYPERLINK("https://www.boe.es/gazeta/dias/1812/02/18/pdfs/GRE-1812-21.pdf#page=4","Abrir facsímil")</f>
        <v>Abrir facsímil</v>
      </c>
      <c r="K4144" s="3" t="s">
        <v>23</v>
      </c>
    </row>
    <row r="4145" spans="1:11" ht="42" customHeight="1">
      <c r="A4145" s="2" t="s">
        <v>10930</v>
      </c>
      <c r="B4145" s="2" t="s">
        <v>10930</v>
      </c>
      <c r="C4145" s="2" t="s">
        <v>17</v>
      </c>
      <c r="D4145" s="2" t="s">
        <v>27</v>
      </c>
      <c r="E4145" s="4">
        <v>-32092</v>
      </c>
      <c r="F4145" s="3" t="s">
        <v>1621</v>
      </c>
      <c r="G4145" s="3" t="s">
        <v>10935</v>
      </c>
      <c r="H4145" s="2" t="s">
        <v>21</v>
      </c>
      <c r="I4145" s="2" t="s">
        <v>10936</v>
      </c>
      <c r="J4145" s="3" t="str">
        <f>HYPERLINK("https://www.boe.es/gazeta/dias/1812/02/18/pdfs/GRE-1812-21.pdf#page=8","Abrir facsímil")</f>
        <v>Abrir facsímil</v>
      </c>
      <c r="K4145" s="3" t="s">
        <v>23</v>
      </c>
    </row>
    <row r="4146" spans="1:11" ht="42" customHeight="1">
      <c r="A4146" s="2" t="s">
        <v>10930</v>
      </c>
      <c r="B4146" s="2" t="s">
        <v>10930</v>
      </c>
      <c r="C4146" s="2" t="s">
        <v>17</v>
      </c>
      <c r="D4146" s="2" t="s">
        <v>27</v>
      </c>
      <c r="E4146" s="4">
        <v>-32046</v>
      </c>
      <c r="F4146" s="3" t="s">
        <v>1013</v>
      </c>
      <c r="G4146" s="3" t="s">
        <v>125</v>
      </c>
      <c r="H4146" s="2" t="s">
        <v>21</v>
      </c>
      <c r="I4146" s="2" t="s">
        <v>10937</v>
      </c>
      <c r="J4146" s="3" t="str">
        <f>HYPERLINK("https://www.boe.es/gazeta/dias/1812/04/04/pdfs/GRE-1812-42.pdf#page=8","Abrir facsímil")</f>
        <v>Abrir facsímil</v>
      </c>
      <c r="K4146" s="3" t="s">
        <v>23</v>
      </c>
    </row>
    <row r="4147" spans="1:11" ht="42" customHeight="1">
      <c r="A4147" s="2" t="s">
        <v>10930</v>
      </c>
      <c r="B4147" s="2" t="s">
        <v>10930</v>
      </c>
      <c r="C4147" s="2" t="s">
        <v>17</v>
      </c>
      <c r="D4147" s="2" t="s">
        <v>27</v>
      </c>
      <c r="E4147" s="4">
        <v>-32020</v>
      </c>
      <c r="F4147" s="3" t="s">
        <v>2818</v>
      </c>
      <c r="G4147" s="3" t="s">
        <v>8873</v>
      </c>
      <c r="H4147" s="2" t="s">
        <v>21</v>
      </c>
      <c r="I4147" s="2" t="s">
        <v>10938</v>
      </c>
      <c r="J4147" s="3" t="str">
        <f>HYPERLINK("https://www.boe.es/gazeta/dias/1812/04/30/pdfs/GRE-1812-54.pdf#page=5","Abrir facsímil")</f>
        <v>Abrir facsímil</v>
      </c>
      <c r="K4147" s="3" t="s">
        <v>23</v>
      </c>
    </row>
    <row r="4148" spans="1:11" ht="42" customHeight="1">
      <c r="A4148" s="2" t="s">
        <v>10930</v>
      </c>
      <c r="B4148" s="2" t="s">
        <v>10930</v>
      </c>
      <c r="C4148" s="2" t="s">
        <v>17</v>
      </c>
      <c r="D4148" s="2" t="s">
        <v>27</v>
      </c>
      <c r="E4148" s="4">
        <v>-31969</v>
      </c>
      <c r="F4148" s="3" t="s">
        <v>83</v>
      </c>
      <c r="G4148" s="3" t="s">
        <v>6943</v>
      </c>
      <c r="H4148" s="2" t="s">
        <v>21</v>
      </c>
      <c r="I4148" s="2" t="s">
        <v>10939</v>
      </c>
      <c r="J4148" s="3" t="str">
        <f>HYPERLINK("https://www.boe.es/gazeta/dias/1812/06/20/pdfs/GRE-1812-76.pdf#page=2","Abrir facsímil")</f>
        <v>Abrir facsímil</v>
      </c>
      <c r="K4148" s="3" t="s">
        <v>23</v>
      </c>
    </row>
    <row r="4149" spans="1:11" ht="42" customHeight="1">
      <c r="A4149" s="2" t="s">
        <v>10930</v>
      </c>
      <c r="B4149" s="2" t="s">
        <v>10930</v>
      </c>
      <c r="C4149" s="2" t="s">
        <v>17</v>
      </c>
      <c r="D4149" s="2" t="s">
        <v>18</v>
      </c>
      <c r="E4149" s="4">
        <v>-31969</v>
      </c>
      <c r="F4149" s="3" t="s">
        <v>83</v>
      </c>
      <c r="G4149" s="3" t="s">
        <v>5087</v>
      </c>
      <c r="H4149" s="2" t="s">
        <v>21</v>
      </c>
      <c r="I4149" s="2" t="s">
        <v>10940</v>
      </c>
      <c r="J4149" s="3" t="str">
        <f>HYPERLINK("https://www.boe.es/gazeta/dias/1812/06/20/pdfs/GRE-1812-76.pdf#page=3","Abrir facsímil")</f>
        <v>Abrir facsímil</v>
      </c>
      <c r="K4149" s="3" t="s">
        <v>23</v>
      </c>
    </row>
    <row r="4150" spans="1:11" ht="42" customHeight="1">
      <c r="A4150" s="2" t="s">
        <v>10930</v>
      </c>
      <c r="B4150" s="2" t="s">
        <v>10930</v>
      </c>
      <c r="C4150" s="2" t="s">
        <v>17</v>
      </c>
      <c r="D4150" s="2" t="s">
        <v>27</v>
      </c>
      <c r="E4150" s="4">
        <v>-31969</v>
      </c>
      <c r="F4150" s="3" t="s">
        <v>83</v>
      </c>
      <c r="G4150" s="3" t="s">
        <v>10941</v>
      </c>
      <c r="H4150" s="2" t="s">
        <v>21</v>
      </c>
      <c r="I4150" s="2" t="s">
        <v>10942</v>
      </c>
      <c r="J4150" s="3" t="str">
        <f>HYPERLINK("https://www.boe.es/gazeta/dias/1812/06/20/pdfs/GRE-1812-76.pdf#page=6","Abrir facsímil")</f>
        <v>Abrir facsímil</v>
      </c>
      <c r="K4150" s="3" t="s">
        <v>23</v>
      </c>
    </row>
    <row r="4151" spans="1:11" ht="42" customHeight="1">
      <c r="A4151" s="2" t="s">
        <v>10930</v>
      </c>
      <c r="B4151" s="2" t="s">
        <v>10930</v>
      </c>
      <c r="C4151" s="2" t="s">
        <v>17</v>
      </c>
      <c r="D4151" s="2" t="s">
        <v>27</v>
      </c>
      <c r="E4151" s="4">
        <v>-31937</v>
      </c>
      <c r="F4151" s="3" t="s">
        <v>1198</v>
      </c>
      <c r="G4151" s="3" t="s">
        <v>237</v>
      </c>
      <c r="H4151" s="2" t="s">
        <v>21</v>
      </c>
      <c r="I4151" s="2" t="s">
        <v>10943</v>
      </c>
      <c r="J4151" s="3" t="str">
        <f>HYPERLINK("https://www.boe.es/gazeta/dias/1812/07/22/pdfs/GMD-1812-204.pdf#page=4","Abrir facsímil")</f>
        <v>Abrir facsímil</v>
      </c>
      <c r="K4151" s="3" t="s">
        <v>23</v>
      </c>
    </row>
    <row r="4152" spans="1:11" ht="42" customHeight="1">
      <c r="A4152" s="2" t="s">
        <v>10930</v>
      </c>
      <c r="B4152" s="2" t="s">
        <v>10930</v>
      </c>
      <c r="C4152" s="2" t="s">
        <v>17</v>
      </c>
      <c r="D4152" s="2" t="s">
        <v>18</v>
      </c>
      <c r="E4152" s="4">
        <v>-31922</v>
      </c>
      <c r="F4152" s="3" t="s">
        <v>375</v>
      </c>
      <c r="G4152" s="3" t="s">
        <v>136</v>
      </c>
      <c r="H4152" s="2" t="s">
        <v>21</v>
      </c>
      <c r="I4152" s="2" t="s">
        <v>10944</v>
      </c>
      <c r="J4152" s="3" t="str">
        <f>HYPERLINK("https://www.boe.es/gazeta/dias/1812/08/06/pdfs/GRE-1812-100.pdf#page=2","Abrir facsímil")</f>
        <v>Abrir facsímil</v>
      </c>
      <c r="K4152" s="3" t="s">
        <v>23</v>
      </c>
    </row>
    <row r="4153" spans="1:11" ht="42" customHeight="1">
      <c r="A4153" s="2" t="s">
        <v>10945</v>
      </c>
      <c r="B4153" s="2" t="s">
        <v>10945</v>
      </c>
      <c r="C4153" s="2" t="s">
        <v>17</v>
      </c>
      <c r="D4153" s="2" t="s">
        <v>18</v>
      </c>
      <c r="E4153" s="4">
        <v>-31920</v>
      </c>
      <c r="F4153" s="3" t="s">
        <v>8503</v>
      </c>
      <c r="G4153" s="3" t="s">
        <v>404</v>
      </c>
      <c r="H4153" s="2" t="s">
        <v>21</v>
      </c>
      <c r="I4153" s="2" t="s">
        <v>10946</v>
      </c>
      <c r="J4153" s="3" t="str">
        <f>HYPERLINK("https://www.boe.es/gazeta/dias/1812/08/08/pdfs/GRE-1812-102.pdf#page=6","Abrir facsímil")</f>
        <v>Abrir facsímil</v>
      </c>
      <c r="K4153" s="3" t="s">
        <v>23</v>
      </c>
    </row>
    <row r="4154" spans="1:11" ht="42" customHeight="1">
      <c r="A4154" s="2" t="s">
        <v>10930</v>
      </c>
      <c r="B4154" s="2" t="s">
        <v>10930</v>
      </c>
      <c r="C4154" s="2" t="s">
        <v>17</v>
      </c>
      <c r="D4154" s="2" t="s">
        <v>18</v>
      </c>
      <c r="E4154" s="4">
        <v>-31896</v>
      </c>
      <c r="F4154" s="3" t="s">
        <v>1808</v>
      </c>
      <c r="G4154" s="3" t="s">
        <v>214</v>
      </c>
      <c r="H4154" s="2" t="s">
        <v>21</v>
      </c>
      <c r="I4154" s="2" t="s">
        <v>10947</v>
      </c>
      <c r="J4154" s="3" t="str">
        <f>HYPERLINK("https://www.boe.es/gazeta/dias/1812/09/01/pdfs/GMR-1812-8.pdf#page=7","Abrir facsímil")</f>
        <v>Abrir facsímil</v>
      </c>
      <c r="K4154" s="3" t="s">
        <v>23</v>
      </c>
    </row>
    <row r="4155" spans="1:11" ht="42" customHeight="1">
      <c r="A4155" s="2" t="s">
        <v>10930</v>
      </c>
      <c r="B4155" s="2" t="s">
        <v>10930</v>
      </c>
      <c r="C4155" s="2" t="s">
        <v>17</v>
      </c>
      <c r="D4155" s="2" t="s">
        <v>18</v>
      </c>
      <c r="E4155" s="4">
        <v>-31880</v>
      </c>
      <c r="F4155" s="3" t="s">
        <v>705</v>
      </c>
      <c r="G4155" s="3" t="s">
        <v>8066</v>
      </c>
      <c r="H4155" s="2" t="s">
        <v>21</v>
      </c>
      <c r="I4155" s="2" t="s">
        <v>10948</v>
      </c>
      <c r="J4155" s="3" t="str">
        <f>HYPERLINK("https://www.boe.es/gazeta/dias/1812/09/17/pdfs/GMR-1812-15.pdf#page=5","Abrir facsímil")</f>
        <v>Abrir facsímil</v>
      </c>
      <c r="K4155" s="3" t="s">
        <v>23</v>
      </c>
    </row>
    <row r="4156" spans="1:11" ht="42" customHeight="1">
      <c r="A4156" s="2" t="s">
        <v>10930</v>
      </c>
      <c r="B4156" s="2" t="s">
        <v>10930</v>
      </c>
      <c r="C4156" s="2" t="s">
        <v>17</v>
      </c>
      <c r="D4156" s="2" t="s">
        <v>18</v>
      </c>
      <c r="E4156" s="4">
        <v>-31868</v>
      </c>
      <c r="F4156" s="3" t="s">
        <v>1833</v>
      </c>
      <c r="G4156" s="3" t="s">
        <v>20</v>
      </c>
      <c r="H4156" s="2" t="s">
        <v>21</v>
      </c>
      <c r="I4156" s="2" t="s">
        <v>10949</v>
      </c>
      <c r="J4156" s="3" t="str">
        <f>HYPERLINK("https://www.boe.es/gazeta/dias/1812/09/29/pdfs/GMR-1812-20.pdf#page=6","Abrir facsímil")</f>
        <v>Abrir facsímil</v>
      </c>
      <c r="K4156" s="3" t="s">
        <v>23</v>
      </c>
    </row>
    <row r="4157" spans="1:11" ht="42" customHeight="1">
      <c r="A4157" s="2" t="s">
        <v>10930</v>
      </c>
      <c r="B4157" s="2" t="s">
        <v>10930</v>
      </c>
      <c r="C4157" s="2" t="s">
        <v>17</v>
      </c>
      <c r="D4157" s="2" t="s">
        <v>27</v>
      </c>
      <c r="E4157" s="4">
        <v>-31850</v>
      </c>
      <c r="F4157" s="3" t="s">
        <v>2178</v>
      </c>
      <c r="G4157" s="3" t="s">
        <v>10950</v>
      </c>
      <c r="H4157" s="2" t="s">
        <v>21</v>
      </c>
      <c r="I4157" s="2" t="s">
        <v>10951</v>
      </c>
      <c r="J4157" s="3" t="str">
        <f>HYPERLINK("https://www.boe.es/gazeta/dias/1812/10/17/pdfs/GRE-1812-140.pdf#page=4","Abrir facsímil")</f>
        <v>Abrir facsímil</v>
      </c>
      <c r="K4157" s="3" t="s">
        <v>23</v>
      </c>
    </row>
    <row r="4158" spans="1:11" ht="42" customHeight="1">
      <c r="A4158" s="2" t="s">
        <v>10930</v>
      </c>
      <c r="B4158" s="2" t="s">
        <v>10930</v>
      </c>
      <c r="C4158" s="2" t="s">
        <v>17</v>
      </c>
      <c r="D4158" s="2" t="s">
        <v>27</v>
      </c>
      <c r="E4158" s="4">
        <v>-31847</v>
      </c>
      <c r="F4158" s="3" t="s">
        <v>219</v>
      </c>
      <c r="G4158" s="3" t="s">
        <v>1631</v>
      </c>
      <c r="H4158" s="2" t="s">
        <v>21</v>
      </c>
      <c r="I4158" s="2" t="s">
        <v>10952</v>
      </c>
      <c r="J4158" s="3" t="str">
        <f>HYPERLINK("https://www.boe.es/gazeta/dias/1812/10/20/pdfs/GRE-1812-141.pdf#page=8","Abrir facsímil")</f>
        <v>Abrir facsímil</v>
      </c>
      <c r="K4158" s="3" t="s">
        <v>23</v>
      </c>
    </row>
    <row r="4159" spans="1:11" ht="42" customHeight="1">
      <c r="A4159" s="2" t="s">
        <v>10930</v>
      </c>
      <c r="B4159" s="2" t="s">
        <v>10930</v>
      </c>
      <c r="C4159" s="2" t="s">
        <v>17</v>
      </c>
      <c r="D4159" s="2" t="s">
        <v>18</v>
      </c>
      <c r="E4159" s="4">
        <v>-31840</v>
      </c>
      <c r="F4159" s="3" t="s">
        <v>2181</v>
      </c>
      <c r="G4159" s="3" t="s">
        <v>1076</v>
      </c>
      <c r="H4159" s="2" t="s">
        <v>21</v>
      </c>
      <c r="I4159" s="2" t="s">
        <v>10953</v>
      </c>
      <c r="J4159" s="3" t="str">
        <f>HYPERLINK("https://www.boe.es/gazeta/dias/1812/10/27/pdfs/GMR-1812-32.pdf#page=11","Abrir facsímil")</f>
        <v>Abrir facsímil</v>
      </c>
      <c r="K4159" s="3" t="s">
        <v>23</v>
      </c>
    </row>
    <row r="4160" spans="1:11" ht="42" customHeight="1">
      <c r="A4160" s="2" t="s">
        <v>10930</v>
      </c>
      <c r="B4160" s="2" t="s">
        <v>10930</v>
      </c>
      <c r="C4160" s="2" t="s">
        <v>17</v>
      </c>
      <c r="D4160" s="2" t="s">
        <v>18</v>
      </c>
      <c r="E4160" s="4">
        <v>-31838</v>
      </c>
      <c r="F4160" s="3" t="s">
        <v>1452</v>
      </c>
      <c r="G4160" s="3" t="s">
        <v>237</v>
      </c>
      <c r="H4160" s="2" t="s">
        <v>21</v>
      </c>
      <c r="I4160" s="2" t="s">
        <v>10954</v>
      </c>
      <c r="J4160" s="3" t="str">
        <f>HYPERLINK("https://www.boe.es/gazeta/dias/1812/10/29/pdfs/GMR-1812-33.pdf#page=3","Abrir facsímil")</f>
        <v>Abrir facsímil</v>
      </c>
      <c r="K4160" s="3" t="s">
        <v>23</v>
      </c>
    </row>
    <row r="4161" spans="1:11" ht="42" customHeight="1">
      <c r="A4161" s="2" t="s">
        <v>10930</v>
      </c>
      <c r="B4161" s="2" t="s">
        <v>10930</v>
      </c>
      <c r="C4161" s="2" t="s">
        <v>17</v>
      </c>
      <c r="D4161" s="2" t="s">
        <v>27</v>
      </c>
      <c r="E4161" s="4">
        <v>-31838</v>
      </c>
      <c r="F4161" s="3" t="s">
        <v>1960</v>
      </c>
      <c r="G4161" s="3" t="s">
        <v>1961</v>
      </c>
      <c r="H4161" s="2" t="s">
        <v>21</v>
      </c>
      <c r="I4161" s="2" t="s">
        <v>10955</v>
      </c>
      <c r="J4161" s="3" t="str">
        <f>HYPERLINK("https://www.boe.es/gazeta/dias/1812/10/29/pdfs/GRE-1812-145.pdf#page=2","Abrir facsímil")</f>
        <v>Abrir facsímil</v>
      </c>
      <c r="K4161" s="3" t="s">
        <v>23</v>
      </c>
    </row>
    <row r="4162" spans="1:11" ht="42" customHeight="1">
      <c r="A4162" s="2" t="s">
        <v>10930</v>
      </c>
      <c r="B4162" s="2" t="s">
        <v>10930</v>
      </c>
      <c r="C4162" s="2" t="s">
        <v>17</v>
      </c>
      <c r="D4162" s="2" t="s">
        <v>18</v>
      </c>
      <c r="E4162" s="4">
        <v>-31805</v>
      </c>
      <c r="F4162" s="3" t="s">
        <v>4346</v>
      </c>
      <c r="G4162" s="3" t="s">
        <v>10680</v>
      </c>
      <c r="H4162" s="2" t="s">
        <v>21</v>
      </c>
      <c r="I4162" s="2" t="s">
        <v>10956</v>
      </c>
      <c r="J4162" s="3" t="str">
        <f>HYPERLINK("https://www.boe.es/gazeta/dias/1812/12/01/pdfs/GRE-1812-159.pdf#page=3","Abrir facsímil")</f>
        <v>Abrir facsímil</v>
      </c>
      <c r="K4162" s="3" t="s">
        <v>23</v>
      </c>
    </row>
    <row r="4163" spans="1:11" ht="42" customHeight="1">
      <c r="A4163" s="2" t="s">
        <v>10930</v>
      </c>
      <c r="B4163" s="2" t="s">
        <v>10930</v>
      </c>
      <c r="C4163" s="2" t="s">
        <v>17</v>
      </c>
      <c r="D4163" s="2" t="s">
        <v>27</v>
      </c>
      <c r="E4163" s="4">
        <v>-31794</v>
      </c>
      <c r="F4163" s="3" t="s">
        <v>3308</v>
      </c>
      <c r="G4163" s="3" t="s">
        <v>9191</v>
      </c>
      <c r="H4163" s="2" t="s">
        <v>21</v>
      </c>
      <c r="I4163" s="2" t="s">
        <v>10957</v>
      </c>
      <c r="J4163" s="3" t="str">
        <f>HYPERLINK("https://www.boe.es/gazeta/dias/1812/12/12/pdfs/GRE-1812-164.pdf#page=1","Abrir facsímil")</f>
        <v>Abrir facsímil</v>
      </c>
      <c r="K4163" s="3" t="s">
        <v>23</v>
      </c>
    </row>
    <row r="4164" spans="1:11" ht="42" customHeight="1">
      <c r="A4164" s="2" t="s">
        <v>10930</v>
      </c>
      <c r="B4164" s="2" t="s">
        <v>10930</v>
      </c>
      <c r="C4164" s="2" t="s">
        <v>17</v>
      </c>
      <c r="D4164" s="2" t="s">
        <v>27</v>
      </c>
      <c r="E4164" s="4">
        <v>-31784</v>
      </c>
      <c r="F4164" s="3" t="s">
        <v>1648</v>
      </c>
      <c r="G4164" s="3" t="s">
        <v>1650</v>
      </c>
      <c r="H4164" s="2" t="s">
        <v>21</v>
      </c>
      <c r="I4164" s="2" t="s">
        <v>10958</v>
      </c>
      <c r="J4164" s="3" t="str">
        <f>HYPERLINK("https://www.boe.es/gazeta/dias/1812/12/22/pdfs/GMD-1812-245.pdf#page=4","Abrir facsímil")</f>
        <v>Abrir facsímil</v>
      </c>
      <c r="K4164" s="3" t="s">
        <v>23</v>
      </c>
    </row>
    <row r="4165" spans="1:11" ht="42" customHeight="1">
      <c r="A4165" s="2" t="s">
        <v>10930</v>
      </c>
      <c r="B4165" s="2" t="s">
        <v>10930</v>
      </c>
      <c r="C4165" s="2" t="s">
        <v>17</v>
      </c>
      <c r="D4165" s="2" t="s">
        <v>27</v>
      </c>
      <c r="E4165" s="4">
        <v>-31778</v>
      </c>
      <c r="F4165" s="3" t="s">
        <v>1966</v>
      </c>
      <c r="G4165" s="3" t="s">
        <v>237</v>
      </c>
      <c r="H4165" s="2" t="s">
        <v>21</v>
      </c>
      <c r="I4165" s="2" t="s">
        <v>10959</v>
      </c>
      <c r="J4165" s="3" t="str">
        <f>HYPERLINK("https://www.boe.es/gazeta/dias/1812/12/28/pdfs/GMD-1812-251.pdf#page=2","Abrir facsímil")</f>
        <v>Abrir facsímil</v>
      </c>
      <c r="K4165" s="3" t="s">
        <v>23</v>
      </c>
    </row>
    <row r="4166" spans="1:11" ht="42" customHeight="1">
      <c r="A4166" s="2" t="s">
        <v>10960</v>
      </c>
      <c r="B4166" s="2" t="s">
        <v>10961</v>
      </c>
      <c r="C4166" s="2" t="s">
        <v>17</v>
      </c>
      <c r="D4166" s="2" t="s">
        <v>18</v>
      </c>
      <c r="E4166" s="4">
        <v>-31878</v>
      </c>
      <c r="F4166" s="3" t="s">
        <v>2891</v>
      </c>
      <c r="G4166" s="3" t="s">
        <v>4308</v>
      </c>
      <c r="H4166" s="2" t="s">
        <v>21</v>
      </c>
      <c r="I4166" s="2" t="s">
        <v>10962</v>
      </c>
      <c r="J4166" s="3" t="str">
        <f>HYPERLINK("https://www.boe.es/gazeta/dias/1812/09/19/pdfs/GRE-1812-127.pdf#page=8","Abrir facsímil")</f>
        <v>Abrir facsímil</v>
      </c>
      <c r="K4166" s="3" t="s">
        <v>23</v>
      </c>
    </row>
    <row r="4167" spans="1:11" ht="42" customHeight="1">
      <c r="A4167" s="2" t="s">
        <v>10963</v>
      </c>
      <c r="B4167" s="2" t="s">
        <v>10964</v>
      </c>
      <c r="C4167" s="2" t="s">
        <v>17</v>
      </c>
      <c r="D4167" s="2" t="s">
        <v>18</v>
      </c>
      <c r="E4167" s="4">
        <v>-31831</v>
      </c>
      <c r="F4167" s="3" t="s">
        <v>1963</v>
      </c>
      <c r="G4167" s="3" t="s">
        <v>1964</v>
      </c>
      <c r="H4167" s="2" t="s">
        <v>21</v>
      </c>
      <c r="I4167" s="2" t="s">
        <v>10965</v>
      </c>
      <c r="J4167" s="3" t="str">
        <f>HYPERLINK("https://www.boe.es/gazeta/dias/1812/11/05/pdfs/GRE-1812-148.pdf#page=4","Abrir facsímil")</f>
        <v>Abrir facsímil</v>
      </c>
      <c r="K4167" s="3" t="s">
        <v>23</v>
      </c>
    </row>
    <row r="4168" spans="1:11" ht="42" customHeight="1">
      <c r="A4168" s="2" t="s">
        <v>10966</v>
      </c>
      <c r="B4168" s="2" t="s">
        <v>10967</v>
      </c>
      <c r="C4168" s="2" t="s">
        <v>17</v>
      </c>
      <c r="D4168" s="2" t="s">
        <v>27</v>
      </c>
      <c r="E4168" s="4">
        <v>-32036</v>
      </c>
      <c r="F4168" s="3" t="s">
        <v>781</v>
      </c>
      <c r="G4168" s="3" t="s">
        <v>2895</v>
      </c>
      <c r="H4168" s="2" t="s">
        <v>21</v>
      </c>
      <c r="I4168" s="2" t="s">
        <v>10968</v>
      </c>
      <c r="J4168" s="3" t="str">
        <f>HYPERLINK("https://www.boe.es/gazeta/dias/1812/04/14/pdfs/GRE-1812-47.pdf#page=4","Abrir facsímil")</f>
        <v>Abrir facsímil</v>
      </c>
      <c r="K4168" s="3" t="s">
        <v>23</v>
      </c>
    </row>
    <row r="4169" spans="1:11" ht="42" customHeight="1">
      <c r="A4169" s="2" t="s">
        <v>10969</v>
      </c>
      <c r="B4169" s="2" t="s">
        <v>10970</v>
      </c>
      <c r="C4169" s="2" t="s">
        <v>17</v>
      </c>
      <c r="D4169" s="2" t="s">
        <v>27</v>
      </c>
      <c r="E4169" s="4">
        <v>-31784</v>
      </c>
      <c r="F4169" s="3" t="s">
        <v>1648</v>
      </c>
      <c r="G4169" s="3" t="s">
        <v>45</v>
      </c>
      <c r="H4169" s="2" t="s">
        <v>21</v>
      </c>
      <c r="I4169" s="2" t="s">
        <v>10971</v>
      </c>
      <c r="J4169" s="3" t="str">
        <f>HYPERLINK("https://www.boe.es/gazeta/dias/1812/12/22/pdfs/GMD-1812-245.pdf#page=3","Abrir facsímil")</f>
        <v>Abrir facsímil</v>
      </c>
      <c r="K4169" s="3" t="s">
        <v>23</v>
      </c>
    </row>
    <row r="4170" spans="1:11" ht="42" customHeight="1">
      <c r="A4170" s="2" t="s">
        <v>10972</v>
      </c>
      <c r="B4170" s="2" t="s">
        <v>10972</v>
      </c>
      <c r="C4170" s="2" t="s">
        <v>17</v>
      </c>
      <c r="D4170" s="2" t="s">
        <v>18</v>
      </c>
      <c r="E4170" s="4">
        <v>-31976</v>
      </c>
      <c r="F4170" s="3" t="s">
        <v>2250</v>
      </c>
      <c r="G4170" s="3" t="s">
        <v>2831</v>
      </c>
      <c r="H4170" s="2" t="s">
        <v>21</v>
      </c>
      <c r="I4170" s="2" t="s">
        <v>10973</v>
      </c>
      <c r="J4170" s="3" t="str">
        <f>HYPERLINK("https://www.boe.es/gazeta/dias/1812/06/13/pdfs/GMD-1812-165.pdf#page=1","Abrir facsímil")</f>
        <v>Abrir facsímil</v>
      </c>
      <c r="K4170" s="3" t="s">
        <v>23</v>
      </c>
    </row>
    <row r="4171" spans="1:11" ht="42" customHeight="1">
      <c r="A4171" s="2" t="s">
        <v>10974</v>
      </c>
      <c r="B4171" s="2" t="s">
        <v>10974</v>
      </c>
      <c r="C4171" s="2" t="s">
        <v>17</v>
      </c>
      <c r="D4171" s="2" t="s">
        <v>27</v>
      </c>
      <c r="E4171" s="4">
        <v>-32137</v>
      </c>
      <c r="F4171" s="3" t="s">
        <v>355</v>
      </c>
      <c r="G4171" s="3" t="s">
        <v>620</v>
      </c>
      <c r="H4171" s="2" t="s">
        <v>21</v>
      </c>
      <c r="I4171" s="2" t="s">
        <v>10975</v>
      </c>
      <c r="J4171" s="3" t="str">
        <f>HYPERLINK("https://www.boe.es/gazeta/dias/1812/01/04/pdfs/GEI-1812-2.pdf#page=3","Abrir facsímil")</f>
        <v>Abrir facsímil</v>
      </c>
      <c r="K4171" s="3" t="s">
        <v>23</v>
      </c>
    </row>
    <row r="4172" spans="1:11" ht="42" customHeight="1">
      <c r="A4172" s="2" t="s">
        <v>10976</v>
      </c>
      <c r="B4172" s="2" t="s">
        <v>10976</v>
      </c>
      <c r="C4172" s="2" t="s">
        <v>17</v>
      </c>
      <c r="D4172" s="2" t="s">
        <v>275</v>
      </c>
      <c r="E4172" s="4">
        <v>-32106</v>
      </c>
      <c r="F4172" s="3" t="s">
        <v>166</v>
      </c>
      <c r="G4172" s="3" t="s">
        <v>125</v>
      </c>
      <c r="H4172" s="2" t="s">
        <v>21</v>
      </c>
      <c r="I4172" s="2" t="s">
        <v>10977</v>
      </c>
      <c r="J4172" s="3" t="str">
        <f>HYPERLINK("https://www.boe.es/gazeta/dias/1812/02/04/pdfs/GRE-1812-15.pdf#page=2","Abrir facsímil")</f>
        <v>Abrir facsímil</v>
      </c>
      <c r="K4172" s="3" t="s">
        <v>23</v>
      </c>
    </row>
    <row r="4173" spans="1:11" ht="42" customHeight="1">
      <c r="A4173" s="2" t="s">
        <v>10978</v>
      </c>
      <c r="B4173" s="2" t="s">
        <v>10978</v>
      </c>
      <c r="C4173" s="2" t="s">
        <v>17</v>
      </c>
      <c r="D4173" s="2" t="s">
        <v>27</v>
      </c>
      <c r="E4173" s="4">
        <v>-32118</v>
      </c>
      <c r="F4173" s="3" t="s">
        <v>1420</v>
      </c>
      <c r="G4173" s="3" t="s">
        <v>336</v>
      </c>
      <c r="H4173" s="2" t="s">
        <v>21</v>
      </c>
      <c r="I4173" s="2" t="s">
        <v>10979</v>
      </c>
      <c r="J4173" s="3" t="str">
        <f>HYPERLINK("https://www.boe.es/gazeta/dias/1812/01/23/pdfs/GEI-1812-10.pdf#page=1","Abrir facsímil")</f>
        <v>Abrir facsímil</v>
      </c>
      <c r="K4173" s="3" t="s">
        <v>23</v>
      </c>
    </row>
    <row r="4174" spans="1:11" ht="42" customHeight="1">
      <c r="A4174" s="2" t="s">
        <v>10980</v>
      </c>
      <c r="B4174" s="2" t="s">
        <v>10980</v>
      </c>
      <c r="C4174" s="2" t="s">
        <v>17</v>
      </c>
      <c r="D4174" s="2" t="s">
        <v>18</v>
      </c>
      <c r="E4174" s="4">
        <v>-31917</v>
      </c>
      <c r="F4174" s="3" t="s">
        <v>946</v>
      </c>
      <c r="G4174" s="3" t="s">
        <v>404</v>
      </c>
      <c r="H4174" s="2" t="s">
        <v>21</v>
      </c>
      <c r="I4174" s="2" t="s">
        <v>10981</v>
      </c>
      <c r="J4174" s="3" t="str">
        <f>HYPERLINK("https://www.boe.es/gazeta/dias/1812/08/11/pdfs/GRE-1812-103.pdf#page=2","Abrir facsímil")</f>
        <v>Abrir facsímil</v>
      </c>
      <c r="K4174" s="3" t="s">
        <v>23</v>
      </c>
    </row>
    <row r="4175" spans="1:11" ht="42" customHeight="1">
      <c r="A4175" s="2" t="s">
        <v>10982</v>
      </c>
      <c r="B4175" s="2" t="s">
        <v>10983</v>
      </c>
      <c r="C4175" s="2" t="s">
        <v>17</v>
      </c>
      <c r="D4175" s="2" t="s">
        <v>27</v>
      </c>
      <c r="E4175" s="4">
        <v>-31969</v>
      </c>
      <c r="F4175" s="3" t="s">
        <v>83</v>
      </c>
      <c r="G4175" s="3" t="s">
        <v>6943</v>
      </c>
      <c r="H4175" s="2" t="s">
        <v>21</v>
      </c>
      <c r="I4175" s="2" t="s">
        <v>10984</v>
      </c>
      <c r="J4175" s="3" t="str">
        <f>HYPERLINK("https://www.boe.es/gazeta/dias/1812/06/20/pdfs/GRE-1812-76.pdf#page=2","Abrir facsímil")</f>
        <v>Abrir facsímil</v>
      </c>
      <c r="K4175" s="3" t="s">
        <v>23</v>
      </c>
    </row>
    <row r="4176" spans="1:11" ht="42" customHeight="1">
      <c r="A4176" s="2" t="s">
        <v>10985</v>
      </c>
      <c r="B4176" s="2" t="s">
        <v>10985</v>
      </c>
      <c r="C4176" s="2" t="s">
        <v>17</v>
      </c>
      <c r="D4176" s="2" t="s">
        <v>573</v>
      </c>
      <c r="E4176" s="4">
        <v>-31921</v>
      </c>
      <c r="F4176" s="3" t="s">
        <v>785</v>
      </c>
      <c r="G4176" s="3" t="s">
        <v>1128</v>
      </c>
      <c r="H4176" s="2" t="s">
        <v>21</v>
      </c>
      <c r="I4176" s="2" t="s">
        <v>10986</v>
      </c>
      <c r="J4176" s="3" t="str">
        <f>HYPERLINK("https://www.boe.es/gazeta/dias/1812/08/07/pdfs/GRE-1812-101E.pdf#page=7","Abrir facsímil")</f>
        <v>Abrir facsímil</v>
      </c>
      <c r="K4176" s="3" t="s">
        <v>23</v>
      </c>
    </row>
    <row r="4177" spans="1:11" ht="42" customHeight="1">
      <c r="A4177" s="2" t="s">
        <v>10987</v>
      </c>
      <c r="B4177" s="2" t="s">
        <v>10987</v>
      </c>
      <c r="C4177" s="2" t="s">
        <v>26</v>
      </c>
      <c r="D4177" s="2" t="s">
        <v>27</v>
      </c>
      <c r="E4177" s="4">
        <v>-32062</v>
      </c>
      <c r="F4177" s="3" t="s">
        <v>280</v>
      </c>
      <c r="G4177" s="3" t="s">
        <v>20</v>
      </c>
      <c r="H4177" s="2" t="s">
        <v>21</v>
      </c>
      <c r="I4177" s="2" t="s">
        <v>10988</v>
      </c>
      <c r="J4177" s="3" t="str">
        <f>HYPERLINK("https://www.boe.es/gazeta/dias/1812/03/19/pdfs/GMD-1812-79.pdf#page=4","Abrir facsímil")</f>
        <v>Abrir facsímil</v>
      </c>
      <c r="K4177" s="3" t="s">
        <v>23</v>
      </c>
    </row>
    <row r="4178" spans="1:11" ht="42" customHeight="1">
      <c r="A4178" s="2" t="s">
        <v>10989</v>
      </c>
      <c r="B4178" s="2" t="s">
        <v>10989</v>
      </c>
      <c r="C4178" s="2" t="s">
        <v>17</v>
      </c>
      <c r="D4178" s="2" t="s">
        <v>18</v>
      </c>
      <c r="E4178" s="4">
        <v>-31969</v>
      </c>
      <c r="F4178" s="3" t="s">
        <v>83</v>
      </c>
      <c r="G4178" s="3" t="s">
        <v>1570</v>
      </c>
      <c r="H4178" s="2" t="s">
        <v>21</v>
      </c>
      <c r="I4178" s="2" t="s">
        <v>10990</v>
      </c>
      <c r="J4178" s="3" t="str">
        <f>HYPERLINK("https://www.boe.es/gazeta/dias/1812/06/20/pdfs/GRE-1812-76.pdf#page=4","Abrir facsímil")</f>
        <v>Abrir facsímil</v>
      </c>
      <c r="K4178" s="3" t="s">
        <v>23</v>
      </c>
    </row>
    <row r="4179" spans="1:11" ht="42" customHeight="1">
      <c r="A4179" s="2" t="s">
        <v>10991</v>
      </c>
      <c r="B4179" s="2" t="s">
        <v>10991</v>
      </c>
      <c r="C4179" s="2" t="s">
        <v>17</v>
      </c>
      <c r="D4179" s="2" t="s">
        <v>27</v>
      </c>
      <c r="E4179" s="4">
        <v>-32032</v>
      </c>
      <c r="F4179" s="3" t="s">
        <v>421</v>
      </c>
      <c r="G4179" s="3" t="s">
        <v>10371</v>
      </c>
      <c r="H4179" s="2" t="s">
        <v>21</v>
      </c>
      <c r="I4179" s="2" t="s">
        <v>10992</v>
      </c>
      <c r="J4179" s="3" t="str">
        <f>HYPERLINK("https://www.boe.es/gazeta/dias/1812/04/18/pdfs/GRE-1812-49.pdf#page=2","Abrir facsímil")</f>
        <v>Abrir facsímil</v>
      </c>
      <c r="K4179" s="3" t="s">
        <v>23</v>
      </c>
    </row>
    <row r="4180" spans="1:11" ht="42" customHeight="1">
      <c r="A4180" s="2" t="s">
        <v>10993</v>
      </c>
      <c r="B4180" s="2" t="s">
        <v>10993</v>
      </c>
      <c r="C4180" s="2" t="s">
        <v>17</v>
      </c>
      <c r="D4180" s="2" t="s">
        <v>27</v>
      </c>
      <c r="E4180" s="4">
        <v>-31882</v>
      </c>
      <c r="F4180" s="3" t="s">
        <v>1798</v>
      </c>
      <c r="G4180" s="3" t="s">
        <v>4457</v>
      </c>
      <c r="H4180" s="2" t="s">
        <v>21</v>
      </c>
      <c r="I4180" s="2" t="s">
        <v>10994</v>
      </c>
      <c r="J4180" s="3" t="str">
        <f>HYPERLINK("https://www.boe.es/gazeta/dias/1812/09/15/pdfs/GMR-1812-14.pdf#page=3","Abrir facsímil")</f>
        <v>Abrir facsímil</v>
      </c>
      <c r="K4180" s="3" t="s">
        <v>23</v>
      </c>
    </row>
    <row r="4181" spans="1:11" ht="42" customHeight="1">
      <c r="A4181" s="2" t="s">
        <v>10995</v>
      </c>
      <c r="B4181" s="2" t="s">
        <v>10996</v>
      </c>
      <c r="C4181" s="2" t="s">
        <v>26</v>
      </c>
      <c r="D4181" s="2" t="s">
        <v>27</v>
      </c>
      <c r="E4181" s="4">
        <v>-32127</v>
      </c>
      <c r="F4181" s="3" t="s">
        <v>88</v>
      </c>
      <c r="G4181" s="3" t="s">
        <v>89</v>
      </c>
      <c r="H4181" s="2" t="s">
        <v>21</v>
      </c>
      <c r="I4181" s="2" t="s">
        <v>10997</v>
      </c>
      <c r="J4181" s="3" t="str">
        <f>HYPERLINK("https://www.boe.es/gazeta/dias/1812/01/14/pdfs/GEI-1812-6.pdf#page=8","Abrir facsímil")</f>
        <v>Abrir facsímil</v>
      </c>
      <c r="K4181" s="3" t="s">
        <v>23</v>
      </c>
    </row>
    <row r="4182" spans="1:11" ht="42" customHeight="1">
      <c r="A4182" s="2" t="s">
        <v>10998</v>
      </c>
      <c r="B4182" s="2" t="s">
        <v>10998</v>
      </c>
      <c r="C4182" s="2" t="s">
        <v>17</v>
      </c>
      <c r="D4182" s="2" t="s">
        <v>573</v>
      </c>
      <c r="E4182" s="4">
        <v>-31921</v>
      </c>
      <c r="F4182" s="3" t="s">
        <v>785</v>
      </c>
      <c r="G4182" s="3" t="s">
        <v>45</v>
      </c>
      <c r="H4182" s="2" t="s">
        <v>21</v>
      </c>
      <c r="I4182" s="2" t="s">
        <v>10999</v>
      </c>
      <c r="J4182" s="3" t="str">
        <f>HYPERLINK("https://www.boe.es/gazeta/dias/1812/08/07/pdfs/GRE-1812-101E.pdf#page=5","Abrir facsímil")</f>
        <v>Abrir facsímil</v>
      </c>
      <c r="K4182" s="3" t="s">
        <v>23</v>
      </c>
    </row>
    <row r="4183" spans="1:11" ht="42" customHeight="1">
      <c r="A4183" s="2" t="s">
        <v>10998</v>
      </c>
      <c r="B4183" s="2" t="s">
        <v>10998</v>
      </c>
      <c r="C4183" s="2" t="s">
        <v>17</v>
      </c>
      <c r="D4183" s="2" t="s">
        <v>27</v>
      </c>
      <c r="E4183" s="4">
        <v>-31882</v>
      </c>
      <c r="F4183" s="3" t="s">
        <v>1798</v>
      </c>
      <c r="G4183" s="3" t="s">
        <v>237</v>
      </c>
      <c r="H4183" s="2" t="s">
        <v>21</v>
      </c>
      <c r="I4183" s="2" t="s">
        <v>11000</v>
      </c>
      <c r="J4183" s="3" t="str">
        <f>HYPERLINK("https://www.boe.es/gazeta/dias/1812/09/15/pdfs/GMR-1812-14.pdf#page=8","Abrir facsímil")</f>
        <v>Abrir facsímil</v>
      </c>
      <c r="K4183" s="3" t="s">
        <v>23</v>
      </c>
    </row>
    <row r="4184" spans="1:11" ht="42" customHeight="1">
      <c r="A4184" s="2" t="s">
        <v>11001</v>
      </c>
      <c r="B4184" s="2" t="s">
        <v>11001</v>
      </c>
      <c r="C4184" s="2" t="s">
        <v>26</v>
      </c>
      <c r="D4184" s="2" t="s">
        <v>27</v>
      </c>
      <c r="E4184" s="4">
        <v>-32128</v>
      </c>
      <c r="F4184" s="3" t="s">
        <v>1927</v>
      </c>
      <c r="G4184" s="3" t="s">
        <v>20</v>
      </c>
      <c r="H4184" s="2" t="s">
        <v>21</v>
      </c>
      <c r="I4184" s="2" t="s">
        <v>11002</v>
      </c>
      <c r="J4184" s="3" t="str">
        <f>HYPERLINK("https://www.boe.es/gazeta/dias/1812/01/13/pdfs/GMD-1812-13.pdf#page=1","Abrir facsímil")</f>
        <v>Abrir facsímil</v>
      </c>
      <c r="K4184" s="3" t="s">
        <v>23</v>
      </c>
    </row>
    <row r="4185" spans="1:11" ht="42" customHeight="1">
      <c r="A4185" s="2" t="s">
        <v>11003</v>
      </c>
      <c r="B4185" s="2" t="s">
        <v>11003</v>
      </c>
      <c r="C4185" s="2" t="s">
        <v>17</v>
      </c>
      <c r="D4185" s="2" t="s">
        <v>27</v>
      </c>
      <c r="E4185" s="4">
        <v>-31962</v>
      </c>
      <c r="F4185" s="3" t="s">
        <v>153</v>
      </c>
      <c r="G4185" s="3" t="s">
        <v>11004</v>
      </c>
      <c r="H4185" s="2" t="s">
        <v>21</v>
      </c>
      <c r="I4185" s="2" t="s">
        <v>11005</v>
      </c>
      <c r="J4185" s="3" t="str">
        <f>HYPERLINK("https://www.boe.es/gazeta/dias/1812/06/27/pdfs/GRE-1812-79.pdf#page=1","Abrir facsímil")</f>
        <v>Abrir facsímil</v>
      </c>
      <c r="K4185" s="3" t="s">
        <v>23</v>
      </c>
    </row>
    <row r="4186" spans="1:11" ht="42" customHeight="1">
      <c r="A4186" s="2" t="s">
        <v>11006</v>
      </c>
      <c r="B4186" s="2" t="s">
        <v>11006</v>
      </c>
      <c r="C4186" s="2" t="s">
        <v>17</v>
      </c>
      <c r="D4186" s="2" t="s">
        <v>18</v>
      </c>
      <c r="E4186" s="4">
        <v>-31777</v>
      </c>
      <c r="F4186" s="3" t="s">
        <v>1118</v>
      </c>
      <c r="G4186" s="3" t="s">
        <v>196</v>
      </c>
      <c r="H4186" s="2" t="s">
        <v>21</v>
      </c>
      <c r="I4186" s="2" t="s">
        <v>11007</v>
      </c>
      <c r="J4186" s="3" t="str">
        <f>HYPERLINK("https://www.boe.es/gazeta/dias/1812/12/29/pdfs/GRE-1812-171.pdf#page=1","Abrir facsímil")</f>
        <v>Abrir facsímil</v>
      </c>
      <c r="K4186" s="3" t="s">
        <v>23</v>
      </c>
    </row>
    <row r="4187" spans="1:11" ht="42" customHeight="1">
      <c r="A4187" s="2" t="s">
        <v>11006</v>
      </c>
      <c r="B4187" s="2" t="s">
        <v>11006</v>
      </c>
      <c r="C4187" s="2" t="s">
        <v>17</v>
      </c>
      <c r="D4187" s="2" t="s">
        <v>27</v>
      </c>
      <c r="E4187" s="4">
        <v>-31777</v>
      </c>
      <c r="F4187" s="3" t="s">
        <v>1118</v>
      </c>
      <c r="G4187" s="3" t="s">
        <v>11008</v>
      </c>
      <c r="H4187" s="2" t="s">
        <v>21</v>
      </c>
      <c r="I4187" s="2" t="s">
        <v>11009</v>
      </c>
      <c r="J4187" s="3" t="str">
        <f>HYPERLINK("https://www.boe.es/gazeta/dias/1812/12/29/pdfs/GRE-1812-171.pdf#page=2","Abrir facsímil")</f>
        <v>Abrir facsímil</v>
      </c>
      <c r="K4187" s="3" t="s">
        <v>23</v>
      </c>
    </row>
    <row r="4188" spans="1:11" ht="42" customHeight="1">
      <c r="A4188" s="2" t="s">
        <v>11006</v>
      </c>
      <c r="B4188" s="2" t="s">
        <v>11006</v>
      </c>
      <c r="C4188" s="2" t="s">
        <v>17</v>
      </c>
      <c r="D4188" s="2" t="s">
        <v>27</v>
      </c>
      <c r="E4188" s="4">
        <v>-31777</v>
      </c>
      <c r="F4188" s="3" t="s">
        <v>1118</v>
      </c>
      <c r="G4188" s="3" t="s">
        <v>7302</v>
      </c>
      <c r="H4188" s="2" t="s">
        <v>21</v>
      </c>
      <c r="I4188" s="2" t="s">
        <v>11010</v>
      </c>
      <c r="J4188" s="3" t="str">
        <f>HYPERLINK("https://www.boe.es/gazeta/dias/1812/12/29/pdfs/GRE-1812-171.pdf#page=3","Abrir facsímil")</f>
        <v>Abrir facsímil</v>
      </c>
      <c r="K4188" s="3" t="s">
        <v>23</v>
      </c>
    </row>
    <row r="4189" spans="1:11" ht="42" customHeight="1">
      <c r="A4189" s="2" t="s">
        <v>11011</v>
      </c>
      <c r="B4189" s="2" t="s">
        <v>11011</v>
      </c>
      <c r="C4189" s="2" t="s">
        <v>17</v>
      </c>
      <c r="D4189" s="2" t="s">
        <v>275</v>
      </c>
      <c r="E4189" s="4">
        <v>-31784</v>
      </c>
      <c r="F4189" s="3" t="s">
        <v>1648</v>
      </c>
      <c r="G4189" s="3" t="s">
        <v>45</v>
      </c>
      <c r="H4189" s="2" t="s">
        <v>21</v>
      </c>
      <c r="I4189" s="2" t="s">
        <v>11012</v>
      </c>
      <c r="J4189" s="3" t="str">
        <f>HYPERLINK("https://www.boe.es/gazeta/dias/1812/12/22/pdfs/GMD-1812-245.pdf#page=3","Abrir facsímil")</f>
        <v>Abrir facsímil</v>
      </c>
      <c r="K4189" s="3" t="s">
        <v>23</v>
      </c>
    </row>
    <row r="4190" spans="1:11" ht="42" customHeight="1">
      <c r="A4190" s="2" t="s">
        <v>11013</v>
      </c>
      <c r="B4190" s="2" t="s">
        <v>11014</v>
      </c>
      <c r="C4190" s="2" t="s">
        <v>26</v>
      </c>
      <c r="D4190" s="2" t="s">
        <v>134</v>
      </c>
      <c r="E4190" s="4">
        <v>-31955</v>
      </c>
      <c r="F4190" s="3" t="s">
        <v>135</v>
      </c>
      <c r="G4190" s="3" t="s">
        <v>58</v>
      </c>
      <c r="H4190" s="2" t="s">
        <v>21</v>
      </c>
      <c r="I4190" s="2" t="s">
        <v>11015</v>
      </c>
      <c r="J4190" s="3" t="str">
        <f>HYPERLINK("https://www.boe.es/gazeta/dias/1812/07/04/pdfs/GRE-F-1812-82.pdf#page=6","Abrir facsímil")</f>
        <v>Abrir facsímil</v>
      </c>
      <c r="K4190" s="3" t="s">
        <v>23</v>
      </c>
    </row>
    <row r="4191" spans="1:11" ht="42" customHeight="1">
      <c r="A4191" s="2" t="s">
        <v>11016</v>
      </c>
      <c r="B4191" s="2" t="s">
        <v>11017</v>
      </c>
      <c r="C4191" s="2" t="s">
        <v>17</v>
      </c>
      <c r="D4191" s="2" t="s">
        <v>27</v>
      </c>
      <c r="E4191" s="4">
        <v>-32055</v>
      </c>
      <c r="F4191" s="3" t="s">
        <v>459</v>
      </c>
      <c r="G4191" s="3" t="s">
        <v>20</v>
      </c>
      <c r="H4191" s="2" t="s">
        <v>21</v>
      </c>
      <c r="I4191" s="2" t="s">
        <v>11018</v>
      </c>
      <c r="J4191" s="3" t="str">
        <f>HYPERLINK("https://www.boe.es/gazeta/dias/1812/03/26/pdfs/GRE-1812-38.pdf#page=8","Abrir facsímil")</f>
        <v>Abrir facsímil</v>
      </c>
      <c r="K4191" s="3" t="s">
        <v>23</v>
      </c>
    </row>
    <row r="4192" spans="1:11" ht="42" customHeight="1">
      <c r="A4192" s="2" t="s">
        <v>11019</v>
      </c>
      <c r="B4192" s="2" t="s">
        <v>11020</v>
      </c>
      <c r="C4192" s="2" t="s">
        <v>26</v>
      </c>
      <c r="D4192" s="2" t="s">
        <v>27</v>
      </c>
      <c r="E4192" s="4">
        <v>-32060</v>
      </c>
      <c r="F4192" s="3" t="s">
        <v>399</v>
      </c>
      <c r="G4192" s="3" t="s">
        <v>136</v>
      </c>
      <c r="H4192" s="2" t="s">
        <v>21</v>
      </c>
      <c r="I4192" s="2" t="s">
        <v>11021</v>
      </c>
      <c r="J4192" s="3" t="str">
        <f>HYPERLINK("https://www.boe.es/gazeta/dias/1812/03/21/pdfs/GMD-1812-81.pdf#page=4","Abrir facsímil")</f>
        <v>Abrir facsímil</v>
      </c>
      <c r="K4192" s="3" t="s">
        <v>23</v>
      </c>
    </row>
    <row r="4193" spans="1:11" ht="42" customHeight="1">
      <c r="A4193" s="2" t="s">
        <v>11022</v>
      </c>
      <c r="B4193" s="2" t="s">
        <v>11023</v>
      </c>
      <c r="C4193" s="2" t="s">
        <v>105</v>
      </c>
      <c r="D4193" s="2" t="s">
        <v>275</v>
      </c>
      <c r="E4193" s="4">
        <v>-32095</v>
      </c>
      <c r="F4193" s="3" t="s">
        <v>1099</v>
      </c>
      <c r="G4193" s="3" t="s">
        <v>438</v>
      </c>
      <c r="H4193" s="2" t="s">
        <v>21</v>
      </c>
      <c r="I4193" s="2" t="s">
        <v>11024</v>
      </c>
      <c r="J4193" s="3" t="str">
        <f>HYPERLINK("https://www.boe.es/gazeta/dias/1812/02/15/pdfs/GMD-1812-46.pdf#page=4","Abrir facsímil")</f>
        <v>Abrir facsímil</v>
      </c>
      <c r="K4193" s="3" t="s">
        <v>23</v>
      </c>
    </row>
    <row r="4194" spans="1:11" ht="42" customHeight="1">
      <c r="A4194" s="2" t="s">
        <v>11025</v>
      </c>
      <c r="B4194" s="2" t="s">
        <v>11025</v>
      </c>
      <c r="C4194" s="2" t="s">
        <v>17</v>
      </c>
      <c r="D4194" s="2" t="s">
        <v>27</v>
      </c>
      <c r="E4194" s="4">
        <v>-32139</v>
      </c>
      <c r="F4194" s="3" t="s">
        <v>518</v>
      </c>
      <c r="G4194" s="3" t="s">
        <v>20</v>
      </c>
      <c r="H4194" s="2" t="s">
        <v>21</v>
      </c>
      <c r="I4194" s="2" t="s">
        <v>11026</v>
      </c>
      <c r="J4194" s="3" t="str">
        <f>HYPERLINK("https://www.boe.es/gazeta/dias/1812/01/02/pdfs/GEI-1812-1.pdf#page=4","Abrir facsímil")</f>
        <v>Abrir facsímil</v>
      </c>
      <c r="K4194" s="3" t="s">
        <v>23</v>
      </c>
    </row>
    <row r="4195" spans="1:11" ht="42" customHeight="1">
      <c r="A4195" s="2" t="s">
        <v>11027</v>
      </c>
      <c r="B4195" s="2" t="s">
        <v>11028</v>
      </c>
      <c r="C4195" s="2" t="s">
        <v>17</v>
      </c>
      <c r="D4195" s="2" t="s">
        <v>27</v>
      </c>
      <c r="E4195" s="4">
        <v>-31945</v>
      </c>
      <c r="F4195" s="3" t="s">
        <v>1485</v>
      </c>
      <c r="G4195" s="3" t="s">
        <v>2905</v>
      </c>
      <c r="H4195" s="2" t="s">
        <v>21</v>
      </c>
      <c r="I4195" s="2" t="s">
        <v>11029</v>
      </c>
      <c r="J4195" s="3" t="str">
        <f>HYPERLINK("https://www.boe.es/gazeta/dias/1812/07/14/pdfs/GRE-1812-88.pdf#page=2","Abrir facsímil")</f>
        <v>Abrir facsímil</v>
      </c>
      <c r="K4195" s="3" t="s">
        <v>23</v>
      </c>
    </row>
    <row r="4196" spans="1:11" ht="42" customHeight="1">
      <c r="A4196" s="2" t="s">
        <v>11030</v>
      </c>
      <c r="B4196" s="2" t="s">
        <v>11031</v>
      </c>
      <c r="C4196" s="2" t="s">
        <v>17</v>
      </c>
      <c r="D4196" s="2" t="s">
        <v>27</v>
      </c>
      <c r="E4196" s="4">
        <v>-31812</v>
      </c>
      <c r="F4196" s="3" t="s">
        <v>1533</v>
      </c>
      <c r="G4196" s="3" t="s">
        <v>644</v>
      </c>
      <c r="H4196" s="2" t="s">
        <v>21</v>
      </c>
      <c r="I4196" s="2" t="s">
        <v>11032</v>
      </c>
      <c r="J4196" s="3" t="str">
        <f>HYPERLINK("https://www.boe.es/gazeta/dias/1812/11/24/pdfs/GMR-1812-37.pdf#page=4","Abrir facsímil")</f>
        <v>Abrir facsímil</v>
      </c>
      <c r="K4196" s="3" t="s">
        <v>23</v>
      </c>
    </row>
    <row r="4197" spans="1:11" ht="42" customHeight="1">
      <c r="A4197" s="2" t="s">
        <v>11033</v>
      </c>
      <c r="B4197" s="2" t="s">
        <v>11034</v>
      </c>
      <c r="C4197" s="2" t="s">
        <v>26</v>
      </c>
      <c r="D4197" s="2" t="s">
        <v>27</v>
      </c>
      <c r="E4197" s="4">
        <v>-32018</v>
      </c>
      <c r="F4197" s="3" t="s">
        <v>365</v>
      </c>
      <c r="G4197" s="3" t="s">
        <v>366</v>
      </c>
      <c r="H4197" s="2" t="s">
        <v>21</v>
      </c>
      <c r="I4197" s="2" t="s">
        <v>11035</v>
      </c>
      <c r="J4197" s="3" t="str">
        <f>HYPERLINK("https://www.boe.es/gazeta/dias/1812/05/02/pdfs/GRE-1812-55.pdf#page=3","Abrir facsímil")</f>
        <v>Abrir facsímil</v>
      </c>
      <c r="K4197" s="3" t="s">
        <v>23</v>
      </c>
    </row>
    <row r="4198" spans="1:11" ht="42" customHeight="1">
      <c r="A4198" s="2" t="s">
        <v>11036</v>
      </c>
      <c r="B4198" s="2" t="s">
        <v>11036</v>
      </c>
      <c r="C4198" s="2" t="s">
        <v>17</v>
      </c>
      <c r="D4198" s="2" t="s">
        <v>18</v>
      </c>
      <c r="E4198" s="4">
        <v>-31833</v>
      </c>
      <c r="F4198" s="3" t="s">
        <v>267</v>
      </c>
      <c r="G4198" s="3" t="s">
        <v>4587</v>
      </c>
      <c r="H4198" s="2" t="s">
        <v>21</v>
      </c>
      <c r="I4198" s="2" t="s">
        <v>11037</v>
      </c>
      <c r="J4198" s="3" t="str">
        <f>HYPERLINK("https://www.boe.es/gazeta/dias/1812/11/03/pdfs/GRE-1812-147.pdf#page=2","Abrir facsímil")</f>
        <v>Abrir facsímil</v>
      </c>
      <c r="K4198" s="3" t="s">
        <v>23</v>
      </c>
    </row>
    <row r="4199" spans="1:11" ht="42" customHeight="1">
      <c r="A4199" s="2" t="s">
        <v>11038</v>
      </c>
      <c r="B4199" s="2" t="s">
        <v>11038</v>
      </c>
      <c r="C4199" s="2" t="s">
        <v>17</v>
      </c>
      <c r="D4199" s="2" t="s">
        <v>27</v>
      </c>
      <c r="E4199" s="4">
        <v>-31779</v>
      </c>
      <c r="F4199" s="3" t="s">
        <v>11039</v>
      </c>
      <c r="G4199" s="3" t="s">
        <v>20</v>
      </c>
      <c r="H4199" s="2" t="s">
        <v>21</v>
      </c>
      <c r="I4199" s="2" t="s">
        <v>11040</v>
      </c>
      <c r="J4199" s="3" t="str">
        <f>HYPERLINK("https://www.boe.es/gazeta/dias/1812/12/27/pdfs/GMD-1812-250.pdf#page=2","Abrir facsímil")</f>
        <v>Abrir facsímil</v>
      </c>
      <c r="K4199" s="3" t="s">
        <v>23</v>
      </c>
    </row>
    <row r="4200" spans="1:11" ht="42" customHeight="1">
      <c r="A4200" s="2" t="s">
        <v>11041</v>
      </c>
      <c r="B4200" s="2" t="s">
        <v>11041</v>
      </c>
      <c r="C4200" s="2" t="s">
        <v>17</v>
      </c>
      <c r="D4200" s="2" t="s">
        <v>27</v>
      </c>
      <c r="E4200" s="4">
        <v>-32113</v>
      </c>
      <c r="F4200" s="3" t="s">
        <v>121</v>
      </c>
      <c r="G4200" s="3" t="s">
        <v>11042</v>
      </c>
      <c r="H4200" s="2" t="s">
        <v>21</v>
      </c>
      <c r="I4200" s="2" t="s">
        <v>11043</v>
      </c>
      <c r="J4200" s="3" t="str">
        <f>HYPERLINK("https://www.boe.es/gazeta/dias/1812/01/28/pdfs/GRE-1812-12.pdf#page=1","Abrir facsímil")</f>
        <v>Abrir facsímil</v>
      </c>
      <c r="K4200" s="3" t="s">
        <v>23</v>
      </c>
    </row>
    <row r="4201" spans="1:11" ht="42" customHeight="1">
      <c r="A4201" s="2" t="s">
        <v>11044</v>
      </c>
      <c r="B4201" s="2" t="s">
        <v>11044</v>
      </c>
      <c r="C4201" s="2" t="s">
        <v>17</v>
      </c>
      <c r="D4201" s="2" t="s">
        <v>18</v>
      </c>
      <c r="E4201" s="4">
        <v>-31847</v>
      </c>
      <c r="F4201" s="3" t="s">
        <v>219</v>
      </c>
      <c r="G4201" s="3" t="s">
        <v>2260</v>
      </c>
      <c r="H4201" s="2" t="s">
        <v>21</v>
      </c>
      <c r="I4201" s="2" t="s">
        <v>11045</v>
      </c>
      <c r="J4201" s="3" t="str">
        <f>HYPERLINK("https://www.boe.es/gazeta/dias/1812/10/20/pdfs/GRE-1812-141.pdf#page=4","Abrir facsímil")</f>
        <v>Abrir facsímil</v>
      </c>
      <c r="K4201" s="3" t="s">
        <v>23</v>
      </c>
    </row>
    <row r="4202" spans="1:11" ht="42" customHeight="1">
      <c r="A4202" s="2" t="s">
        <v>11044</v>
      </c>
      <c r="B4202" s="2" t="s">
        <v>11044</v>
      </c>
      <c r="C4202" s="2" t="s">
        <v>17</v>
      </c>
      <c r="D4202" s="2" t="s">
        <v>27</v>
      </c>
      <c r="E4202" s="4">
        <v>-31833</v>
      </c>
      <c r="F4202" s="3" t="s">
        <v>267</v>
      </c>
      <c r="G4202" s="3" t="s">
        <v>4587</v>
      </c>
      <c r="H4202" s="2" t="s">
        <v>21</v>
      </c>
      <c r="I4202" s="2" t="s">
        <v>11046</v>
      </c>
      <c r="J4202" s="3" t="str">
        <f>HYPERLINK("https://www.boe.es/gazeta/dias/1812/11/03/pdfs/GRE-1812-147.pdf#page=2","Abrir facsímil")</f>
        <v>Abrir facsímil</v>
      </c>
      <c r="K4202" s="3" t="s">
        <v>23</v>
      </c>
    </row>
    <row r="4203" spans="1:11" ht="42" customHeight="1">
      <c r="A4203" s="2" t="s">
        <v>11044</v>
      </c>
      <c r="B4203" s="2" t="s">
        <v>11044</v>
      </c>
      <c r="C4203" s="2" t="s">
        <v>17</v>
      </c>
      <c r="D4203" s="2" t="s">
        <v>18</v>
      </c>
      <c r="E4203" s="4">
        <v>-31821</v>
      </c>
      <c r="F4203" s="3" t="s">
        <v>1979</v>
      </c>
      <c r="G4203" s="3" t="s">
        <v>3583</v>
      </c>
      <c r="H4203" s="2" t="s">
        <v>21</v>
      </c>
      <c r="I4203" s="2" t="s">
        <v>11047</v>
      </c>
      <c r="J4203" s="3" t="str">
        <f>HYPERLINK("https://www.boe.es/gazeta/dias/1812/11/15/pdfs/GMR-1812-34.pdf#page=2","Abrir facsímil")</f>
        <v>Abrir facsímil</v>
      </c>
      <c r="K4203" s="3" t="s">
        <v>23</v>
      </c>
    </row>
    <row r="4204" spans="1:11" ht="42" customHeight="1">
      <c r="A4204" s="2" t="s">
        <v>11044</v>
      </c>
      <c r="B4204" s="2" t="s">
        <v>11044</v>
      </c>
      <c r="C4204" s="2" t="s">
        <v>17</v>
      </c>
      <c r="D4204" s="2" t="s">
        <v>18</v>
      </c>
      <c r="E4204" s="4">
        <v>-31791</v>
      </c>
      <c r="F4204" s="3" t="s">
        <v>905</v>
      </c>
      <c r="G4204" s="3" t="s">
        <v>2989</v>
      </c>
      <c r="H4204" s="2" t="s">
        <v>21</v>
      </c>
      <c r="I4204" s="2" t="s">
        <v>11048</v>
      </c>
      <c r="J4204" s="3" t="str">
        <f>HYPERLINK("https://www.boe.es/gazeta/dias/1812/12/15/pdfs/GRE-1812-165.pdf#page=1","Abrir facsímil")</f>
        <v>Abrir facsímil</v>
      </c>
      <c r="K4204" s="3" t="s">
        <v>23</v>
      </c>
    </row>
    <row r="4205" spans="1:11" ht="42" customHeight="1">
      <c r="A4205" s="2" t="s">
        <v>11044</v>
      </c>
      <c r="B4205" s="2" t="s">
        <v>11044</v>
      </c>
      <c r="C4205" s="2" t="s">
        <v>17</v>
      </c>
      <c r="D4205" s="2" t="s">
        <v>18</v>
      </c>
      <c r="E4205" s="4">
        <v>-31791</v>
      </c>
      <c r="F4205" s="3" t="s">
        <v>905</v>
      </c>
      <c r="G4205" s="3" t="s">
        <v>514</v>
      </c>
      <c r="H4205" s="2" t="s">
        <v>21</v>
      </c>
      <c r="I4205" s="2" t="s">
        <v>11049</v>
      </c>
      <c r="J4205" s="3" t="str">
        <f>HYPERLINK("https://www.boe.es/gazeta/dias/1812/12/15/pdfs/GRE-1812-165.pdf#page=2","Abrir facsímil")</f>
        <v>Abrir facsímil</v>
      </c>
      <c r="K4205" s="3" t="s">
        <v>23</v>
      </c>
    </row>
    <row r="4206" spans="1:11" ht="42" customHeight="1">
      <c r="A4206" s="2" t="s">
        <v>11050</v>
      </c>
      <c r="B4206" s="2" t="s">
        <v>11050</v>
      </c>
      <c r="C4206" s="2" t="s">
        <v>17</v>
      </c>
      <c r="D4206" s="2" t="s">
        <v>18</v>
      </c>
      <c r="E4206" s="4">
        <v>-31785</v>
      </c>
      <c r="F4206" s="3" t="s">
        <v>6632</v>
      </c>
      <c r="G4206" s="3" t="s">
        <v>11051</v>
      </c>
      <c r="H4206" s="2" t="s">
        <v>21</v>
      </c>
      <c r="I4206" s="2" t="s">
        <v>11052</v>
      </c>
      <c r="J4206" s="3" t="str">
        <f>HYPERLINK("https://www.boe.es/gazeta/dias/1812/12/21/pdfs/GMD-1812-244.pdf#page=1","Abrir facsímil")</f>
        <v>Abrir facsímil</v>
      </c>
      <c r="K4206" s="3" t="s">
        <v>23</v>
      </c>
    </row>
    <row r="4207" spans="1:11" ht="42" customHeight="1">
      <c r="A4207" s="2" t="s">
        <v>11053</v>
      </c>
      <c r="B4207" s="2" t="s">
        <v>11053</v>
      </c>
      <c r="C4207" s="2" t="s">
        <v>17</v>
      </c>
      <c r="D4207" s="2" t="s">
        <v>573</v>
      </c>
      <c r="E4207" s="4">
        <v>-31921</v>
      </c>
      <c r="F4207" s="3" t="s">
        <v>785</v>
      </c>
      <c r="G4207" s="3" t="s">
        <v>1128</v>
      </c>
      <c r="H4207" s="2" t="s">
        <v>21</v>
      </c>
      <c r="I4207" s="2" t="s">
        <v>11054</v>
      </c>
      <c r="J4207" s="3" t="str">
        <f>HYPERLINK("https://www.boe.es/gazeta/dias/1812/08/07/pdfs/GRE-1812-101E.pdf#page=7","Abrir facsímil")</f>
        <v>Abrir facsímil</v>
      </c>
      <c r="K4207" s="3" t="s">
        <v>23</v>
      </c>
    </row>
    <row r="4208" spans="1:11" ht="42" customHeight="1">
      <c r="A4208" s="2" t="s">
        <v>11055</v>
      </c>
      <c r="B4208" s="2" t="s">
        <v>11056</v>
      </c>
      <c r="C4208" s="2" t="s">
        <v>26</v>
      </c>
      <c r="D4208" s="2" t="s">
        <v>27</v>
      </c>
      <c r="E4208" s="4">
        <v>-31938</v>
      </c>
      <c r="F4208" s="3" t="s">
        <v>370</v>
      </c>
      <c r="G4208" s="3" t="s">
        <v>371</v>
      </c>
      <c r="H4208" s="2" t="s">
        <v>21</v>
      </c>
      <c r="I4208" s="2" t="s">
        <v>11057</v>
      </c>
      <c r="J4208" s="3" t="str">
        <f>HYPERLINK("https://www.boe.es/gazeta/dias/1812/07/21/pdfs/GRE-1812-91.pdf#page=8","Abrir facsímil")</f>
        <v>Abrir facsímil</v>
      </c>
      <c r="K4208" s="3" t="s">
        <v>23</v>
      </c>
    </row>
    <row r="4209" spans="1:11" ht="42" customHeight="1">
      <c r="A4209" s="2" t="s">
        <v>11058</v>
      </c>
      <c r="B4209" s="2" t="s">
        <v>11059</v>
      </c>
      <c r="C4209" s="2" t="s">
        <v>26</v>
      </c>
      <c r="D4209" s="2" t="s">
        <v>27</v>
      </c>
      <c r="E4209" s="4">
        <v>-31850</v>
      </c>
      <c r="F4209" s="3" t="s">
        <v>719</v>
      </c>
      <c r="G4209" s="3" t="s">
        <v>237</v>
      </c>
      <c r="H4209" s="2" t="s">
        <v>21</v>
      </c>
      <c r="I4209" s="2" t="s">
        <v>11060</v>
      </c>
      <c r="J4209" s="3" t="str">
        <f>HYPERLINK("https://www.boe.es/gazeta/dias/1812/10/17/pdfs/GMR-1812-28.pdf#page=8","Abrir facsímil")</f>
        <v>Abrir facsímil</v>
      </c>
      <c r="K4209" s="3" t="s">
        <v>23</v>
      </c>
    </row>
    <row r="4210" spans="1:11" ht="42" customHeight="1">
      <c r="A4210" s="2" t="s">
        <v>11061</v>
      </c>
      <c r="B4210" s="2" t="s">
        <v>11062</v>
      </c>
      <c r="C4210" s="2" t="s">
        <v>17</v>
      </c>
      <c r="D4210" s="2" t="s">
        <v>27</v>
      </c>
      <c r="E4210" s="4">
        <v>-32127</v>
      </c>
      <c r="F4210" s="3" t="s">
        <v>88</v>
      </c>
      <c r="G4210" s="3" t="s">
        <v>89</v>
      </c>
      <c r="H4210" s="2" t="s">
        <v>21</v>
      </c>
      <c r="I4210" s="2" t="s">
        <v>11063</v>
      </c>
      <c r="J4210" s="3" t="str">
        <f>HYPERLINK("https://www.boe.es/gazeta/dias/1812/01/14/pdfs/GEI-1812-6.pdf#page=8","Abrir facsímil")</f>
        <v>Abrir facsímil</v>
      </c>
      <c r="K4210" s="3" t="s">
        <v>23</v>
      </c>
    </row>
    <row r="4211" spans="1:11" ht="42" customHeight="1">
      <c r="A4211" s="2" t="s">
        <v>11064</v>
      </c>
      <c r="B4211" s="2" t="s">
        <v>11065</v>
      </c>
      <c r="C4211" s="2" t="s">
        <v>26</v>
      </c>
      <c r="D4211" s="2" t="s">
        <v>27</v>
      </c>
      <c r="E4211" s="4">
        <v>-32127</v>
      </c>
      <c r="F4211" s="3" t="s">
        <v>88</v>
      </c>
      <c r="G4211" s="3" t="s">
        <v>89</v>
      </c>
      <c r="H4211" s="2" t="s">
        <v>21</v>
      </c>
      <c r="I4211" s="2" t="s">
        <v>11066</v>
      </c>
      <c r="J4211" s="3" t="str">
        <f>HYPERLINK("https://www.boe.es/gazeta/dias/1812/01/14/pdfs/GEI-1812-6.pdf#page=8","Abrir facsímil")</f>
        <v>Abrir facsímil</v>
      </c>
      <c r="K4211" s="3" t="s">
        <v>23</v>
      </c>
    </row>
    <row r="4212" spans="1:11" ht="42" customHeight="1">
      <c r="A4212" s="2" t="s">
        <v>11067</v>
      </c>
      <c r="B4212" s="2" t="s">
        <v>11068</v>
      </c>
      <c r="C4212" s="2" t="s">
        <v>26</v>
      </c>
      <c r="D4212" s="2" t="s">
        <v>27</v>
      </c>
      <c r="E4212" s="4">
        <v>-32067</v>
      </c>
      <c r="F4212" s="3" t="s">
        <v>199</v>
      </c>
      <c r="G4212" s="3" t="s">
        <v>237</v>
      </c>
      <c r="H4212" s="2" t="s">
        <v>21</v>
      </c>
      <c r="I4212" s="2" t="s">
        <v>11069</v>
      </c>
      <c r="J4212" s="3" t="str">
        <f>HYPERLINK("https://www.boe.es/gazeta/dias/1812/03/14/pdfs/GRE-1812-33.pdf#page=8","Abrir facsímil")</f>
        <v>Abrir facsímil</v>
      </c>
      <c r="K4212" s="3" t="s">
        <v>23</v>
      </c>
    </row>
    <row r="4213" spans="1:11" ht="42" customHeight="1">
      <c r="A4213" s="2" t="s">
        <v>11070</v>
      </c>
      <c r="B4213" s="2" t="s">
        <v>11071</v>
      </c>
      <c r="C4213" s="2" t="s">
        <v>17</v>
      </c>
      <c r="D4213" s="2" t="s">
        <v>27</v>
      </c>
      <c r="E4213" s="4">
        <v>-31915</v>
      </c>
      <c r="F4213" s="3" t="s">
        <v>1592</v>
      </c>
      <c r="G4213" s="3" t="s">
        <v>125</v>
      </c>
      <c r="H4213" s="2" t="s">
        <v>30</v>
      </c>
      <c r="I4213" s="2" t="s">
        <v>11072</v>
      </c>
      <c r="J4213" s="3" t="str">
        <f>HYPERLINK("https://www.boe.es/gazeta/dias/1812/08/13/pdfs/GRE-1812-104.pdf#page=6","Abrir facsímil")</f>
        <v>Abrir facsímil</v>
      </c>
      <c r="K4213" s="3" t="s">
        <v>32</v>
      </c>
    </row>
    <row r="4214" spans="1:11" ht="42" customHeight="1">
      <c r="A4214" s="2" t="s">
        <v>11073</v>
      </c>
      <c r="B4214" s="2" t="s">
        <v>11074</v>
      </c>
      <c r="C4214" s="2" t="s">
        <v>26</v>
      </c>
      <c r="D4214" s="2" t="s">
        <v>194</v>
      </c>
      <c r="E4214" s="4">
        <v>-31964</v>
      </c>
      <c r="F4214" s="3" t="s">
        <v>305</v>
      </c>
      <c r="G4214" s="3" t="s">
        <v>306</v>
      </c>
      <c r="H4214" s="2" t="s">
        <v>30</v>
      </c>
      <c r="I4214" s="2" t="s">
        <v>11075</v>
      </c>
      <c r="J4214" s="3" t="str">
        <f>HYPERLINK("https://www.boe.es/gazeta/dias/1812/06/25/pdfs/GMD-1812-177.pdf#page=3","Abrir facsímil")</f>
        <v>Abrir facsímil</v>
      </c>
      <c r="K4214" s="3" t="s">
        <v>32</v>
      </c>
    </row>
    <row r="4215" spans="1:11" ht="42" customHeight="1">
      <c r="A4215" s="2" t="s">
        <v>11076</v>
      </c>
      <c r="B4215" s="2" t="s">
        <v>11077</v>
      </c>
      <c r="C4215" s="2" t="s">
        <v>17</v>
      </c>
      <c r="D4215" s="2" t="s">
        <v>275</v>
      </c>
      <c r="E4215" s="4">
        <v>-31976</v>
      </c>
      <c r="F4215" s="3" t="s">
        <v>54</v>
      </c>
      <c r="G4215" s="3" t="s">
        <v>8745</v>
      </c>
      <c r="H4215" s="2" t="s">
        <v>30</v>
      </c>
      <c r="I4215" s="2" t="s">
        <v>11078</v>
      </c>
      <c r="J4215" s="3" t="str">
        <f>HYPERLINK("https://www.boe.es/gazeta/dias/1812/06/13/pdfs/GRE-1812-73.pdf#page=8","Abrir facsímil")</f>
        <v>Abrir facsímil</v>
      </c>
      <c r="K4215" s="3" t="s">
        <v>32</v>
      </c>
    </row>
    <row r="4216" spans="1:11" ht="42" customHeight="1">
      <c r="A4216" s="2" t="s">
        <v>11079</v>
      </c>
      <c r="B4216" s="2" t="s">
        <v>11080</v>
      </c>
      <c r="C4216" s="2" t="s">
        <v>26</v>
      </c>
      <c r="D4216" s="2" t="s">
        <v>27</v>
      </c>
      <c r="E4216" s="4">
        <v>-31956</v>
      </c>
      <c r="F4216" s="3" t="s">
        <v>19</v>
      </c>
      <c r="G4216" s="3" t="s">
        <v>11081</v>
      </c>
      <c r="H4216" s="2" t="s">
        <v>30</v>
      </c>
      <c r="I4216" s="2" t="s">
        <v>11082</v>
      </c>
      <c r="J4216" s="3" t="str">
        <f>HYPERLINK("https://www.boe.es/gazeta/dias/1812/07/03/pdfs/GMD-1812-185.pdf#page=4","Abrir facsímil")</f>
        <v>Abrir facsímil</v>
      </c>
      <c r="K4216" s="3" t="s">
        <v>32</v>
      </c>
    </row>
    <row r="4217" spans="1:11" ht="42" customHeight="1">
      <c r="A4217" s="2" t="s">
        <v>11083</v>
      </c>
      <c r="B4217" s="2" t="s">
        <v>11084</v>
      </c>
      <c r="C4217" s="2" t="s">
        <v>186</v>
      </c>
      <c r="D4217" s="2" t="s">
        <v>573</v>
      </c>
      <c r="E4217" s="4">
        <v>-31900</v>
      </c>
      <c r="F4217" s="3" t="s">
        <v>276</v>
      </c>
      <c r="G4217" s="3" t="s">
        <v>794</v>
      </c>
      <c r="H4217" s="2" t="s">
        <v>30</v>
      </c>
      <c r="I4217" s="2" t="s">
        <v>11085</v>
      </c>
      <c r="J4217" s="3" t="str">
        <f>HYPERLINK("https://www.boe.es/gazeta/dias/1812/08/28/pdfs/GRE-1812-113E.pdf#page=7","Abrir facsímil")</f>
        <v>Abrir facsímil</v>
      </c>
      <c r="K4217" s="3" t="s">
        <v>32</v>
      </c>
    </row>
    <row r="4218" spans="1:11" ht="42" customHeight="1">
      <c r="A4218" s="2" t="s">
        <v>11086</v>
      </c>
      <c r="B4218" s="2" t="s">
        <v>11087</v>
      </c>
      <c r="C4218" s="2" t="s">
        <v>26</v>
      </c>
      <c r="D4218" s="2" t="s">
        <v>27</v>
      </c>
      <c r="E4218" s="4">
        <v>-31980</v>
      </c>
      <c r="F4218" s="3" t="s">
        <v>40</v>
      </c>
      <c r="G4218" s="3" t="s">
        <v>41</v>
      </c>
      <c r="H4218" s="2" t="s">
        <v>30</v>
      </c>
      <c r="I4218" s="2" t="s">
        <v>11088</v>
      </c>
      <c r="J4218" s="3" t="str">
        <f>HYPERLINK("https://www.boe.es/gazeta/dias/1812/06/09/pdfs/GRE-1812-71.pdf#page=6","Abrir facsímil")</f>
        <v>Abrir facsímil</v>
      </c>
      <c r="K4218" s="3" t="s">
        <v>32</v>
      </c>
    </row>
    <row r="4219" spans="1:11" ht="42" customHeight="1">
      <c r="A4219" s="2" t="s">
        <v>11089</v>
      </c>
      <c r="B4219" s="2" t="s">
        <v>11090</v>
      </c>
      <c r="C4219" s="2" t="s">
        <v>105</v>
      </c>
      <c r="D4219" s="2" t="s">
        <v>27</v>
      </c>
      <c r="E4219" s="4">
        <v>-31922</v>
      </c>
      <c r="F4219" s="3" t="s">
        <v>622</v>
      </c>
      <c r="G4219" s="3" t="s">
        <v>404</v>
      </c>
      <c r="H4219" s="2" t="s">
        <v>30</v>
      </c>
      <c r="I4219" s="2" t="s">
        <v>11091</v>
      </c>
      <c r="J4219" s="3" t="str">
        <f>HYPERLINK("https://www.boe.es/gazeta/dias/1812/08/06/pdfs/GMD-1812-219.pdf#page=2","Abrir facsímil")</f>
        <v>Abrir facsímil</v>
      </c>
      <c r="K4219" s="3" t="s">
        <v>32</v>
      </c>
    </row>
    <row r="4220" spans="1:11" ht="42" customHeight="1">
      <c r="A4220" s="2" t="s">
        <v>11092</v>
      </c>
      <c r="B4220" s="2" t="s">
        <v>11093</v>
      </c>
      <c r="C4220" s="2" t="s">
        <v>26</v>
      </c>
      <c r="D4220" s="2" t="s">
        <v>275</v>
      </c>
      <c r="E4220" s="4">
        <v>-31964</v>
      </c>
      <c r="F4220" s="3" t="s">
        <v>305</v>
      </c>
      <c r="G4220" s="3" t="s">
        <v>58</v>
      </c>
      <c r="H4220" s="2" t="s">
        <v>30</v>
      </c>
      <c r="I4220" s="2" t="s">
        <v>11094</v>
      </c>
      <c r="J4220" s="3" t="str">
        <f>HYPERLINK("https://www.boe.es/gazeta/dias/1812/06/25/pdfs/GMD-1812-177.pdf#page=2","Abrir facsímil")</f>
        <v>Abrir facsímil</v>
      </c>
      <c r="K4220" s="3" t="s">
        <v>32</v>
      </c>
    </row>
    <row r="4221" spans="1:11" ht="42" customHeight="1">
      <c r="A4221" s="2" t="s">
        <v>11095</v>
      </c>
      <c r="B4221" s="2" t="s">
        <v>11096</v>
      </c>
      <c r="C4221" s="2" t="s">
        <v>26</v>
      </c>
      <c r="D4221" s="2" t="s">
        <v>27</v>
      </c>
      <c r="E4221" s="4">
        <v>-32127</v>
      </c>
      <c r="F4221" s="3" t="s">
        <v>3698</v>
      </c>
      <c r="G4221" s="3" t="s">
        <v>36</v>
      </c>
      <c r="H4221" s="2" t="s">
        <v>21</v>
      </c>
      <c r="I4221" s="2" t="s">
        <v>11097</v>
      </c>
      <c r="J4221" s="3" t="str">
        <f>HYPERLINK("https://www.boe.es/gazeta/dias/1812/01/14/pdfs/GMD-1812-14.pdf#page=3","Abrir facsímil")</f>
        <v>Abrir facsímil</v>
      </c>
      <c r="K4221" s="3" t="s">
        <v>23</v>
      </c>
    </row>
    <row r="4222" spans="1:11" ht="42" customHeight="1">
      <c r="A4222" s="2" t="s">
        <v>11098</v>
      </c>
      <c r="B4222" s="2" t="s">
        <v>11099</v>
      </c>
      <c r="C4222" s="2" t="s">
        <v>26</v>
      </c>
      <c r="D4222" s="2" t="s">
        <v>27</v>
      </c>
      <c r="E4222" s="4">
        <v>-32006</v>
      </c>
      <c r="F4222" s="3" t="s">
        <v>1153</v>
      </c>
      <c r="G4222" s="3" t="s">
        <v>1154</v>
      </c>
      <c r="H4222" s="2" t="s">
        <v>21</v>
      </c>
      <c r="I4222" s="2" t="s">
        <v>11100</v>
      </c>
      <c r="J4222" s="3" t="str">
        <f>HYPERLINK("https://www.boe.es/gazeta/dias/1812/05/14/pdfs/GMD-1812-135.pdf#page=3","Abrir facsímil")</f>
        <v>Abrir facsímil</v>
      </c>
      <c r="K4222" s="3" t="s">
        <v>23</v>
      </c>
    </row>
    <row r="4223" spans="1:11" ht="42" customHeight="1">
      <c r="A4223" s="2" t="s">
        <v>11101</v>
      </c>
      <c r="B4223" s="2" t="s">
        <v>11102</v>
      </c>
      <c r="C4223" s="2" t="s">
        <v>17</v>
      </c>
      <c r="D4223" s="2" t="s">
        <v>27</v>
      </c>
      <c r="E4223" s="4">
        <v>-31917</v>
      </c>
      <c r="F4223" s="3" t="s">
        <v>946</v>
      </c>
      <c r="G4223" s="3" t="s">
        <v>947</v>
      </c>
      <c r="H4223" s="2" t="s">
        <v>21</v>
      </c>
      <c r="I4223" s="2" t="s">
        <v>11103</v>
      </c>
      <c r="J4223" s="3" t="str">
        <f>HYPERLINK("https://www.boe.es/gazeta/dias/1812/08/11/pdfs/GRE-1812-103.pdf#page=8","Abrir facsímil")</f>
        <v>Abrir facsímil</v>
      </c>
      <c r="K4223" s="3" t="s">
        <v>23</v>
      </c>
    </row>
    <row r="4224" spans="1:11" ht="42" customHeight="1">
      <c r="A4224" s="2" t="s">
        <v>11104</v>
      </c>
      <c r="B4224" s="2" t="s">
        <v>11105</v>
      </c>
      <c r="C4224" s="2" t="s">
        <v>26</v>
      </c>
      <c r="D4224" s="2" t="s">
        <v>27</v>
      </c>
      <c r="E4224" s="4">
        <v>-31964</v>
      </c>
      <c r="F4224" s="3" t="s">
        <v>305</v>
      </c>
      <c r="G4224" s="3" t="s">
        <v>58</v>
      </c>
      <c r="H4224" s="2" t="s">
        <v>21</v>
      </c>
      <c r="I4224" s="2" t="s">
        <v>11106</v>
      </c>
      <c r="J4224" s="3" t="str">
        <f>HYPERLINK("https://www.boe.es/gazeta/dias/1812/06/25/pdfs/GMD-1812-177.pdf#page=2","Abrir facsímil")</f>
        <v>Abrir facsímil</v>
      </c>
      <c r="K4224" s="3" t="s">
        <v>23</v>
      </c>
    </row>
    <row r="4225" spans="1:11" ht="42" customHeight="1">
      <c r="A4225" s="2" t="s">
        <v>11107</v>
      </c>
      <c r="B4225" s="2" t="s">
        <v>11108</v>
      </c>
      <c r="C4225" s="2" t="s">
        <v>186</v>
      </c>
      <c r="D4225" s="2" t="s">
        <v>27</v>
      </c>
      <c r="E4225" s="4">
        <v>-32003</v>
      </c>
      <c r="F4225" s="3" t="s">
        <v>585</v>
      </c>
      <c r="G4225" s="3" t="s">
        <v>1805</v>
      </c>
      <c r="H4225" s="2" t="s">
        <v>21</v>
      </c>
      <c r="I4225" s="2" t="s">
        <v>11109</v>
      </c>
      <c r="J4225" s="3" t="str">
        <f>HYPERLINK("https://www.boe.es/gazeta/dias/1812/05/17/pdfs/GMD-1812-138.pdf#page=1","Abrir facsímil")</f>
        <v>Abrir facsímil</v>
      </c>
      <c r="K4225" s="3" t="s">
        <v>23</v>
      </c>
    </row>
    <row r="4226" spans="1:11" ht="42" customHeight="1">
      <c r="A4226" s="2" t="s">
        <v>11110</v>
      </c>
      <c r="B4226" s="2" t="s">
        <v>11111</v>
      </c>
      <c r="C4226" s="2" t="s">
        <v>67</v>
      </c>
      <c r="D4226" s="2" t="s">
        <v>27</v>
      </c>
      <c r="E4226" s="4">
        <v>-31942</v>
      </c>
      <c r="F4226" s="3" t="s">
        <v>3065</v>
      </c>
      <c r="G4226" s="3" t="s">
        <v>3066</v>
      </c>
      <c r="H4226" s="2" t="s">
        <v>21</v>
      </c>
      <c r="I4226" s="2" t="s">
        <v>11112</v>
      </c>
      <c r="J4226" s="3" t="str">
        <f>HYPERLINK("https://www.boe.es/gazeta/dias/1812/07/17/pdfs/GMD-1812-199.pdf#page=3","Abrir facsímil")</f>
        <v>Abrir facsímil</v>
      </c>
      <c r="K4226" s="3" t="s">
        <v>23</v>
      </c>
    </row>
    <row r="4227" spans="1:11" ht="42" customHeight="1">
      <c r="A4227" s="2" t="s">
        <v>11113</v>
      </c>
      <c r="B4227" s="2" t="s">
        <v>11114</v>
      </c>
      <c r="C4227" s="2" t="s">
        <v>26</v>
      </c>
      <c r="D4227" s="2" t="s">
        <v>27</v>
      </c>
      <c r="E4227" s="4">
        <v>-31922</v>
      </c>
      <c r="F4227" s="3" t="s">
        <v>622</v>
      </c>
      <c r="G4227" s="3" t="s">
        <v>623</v>
      </c>
      <c r="H4227" s="2" t="s">
        <v>21</v>
      </c>
      <c r="I4227" s="2" t="s">
        <v>11115</v>
      </c>
      <c r="J4227" s="3" t="str">
        <f>HYPERLINK("https://www.boe.es/gazeta/dias/1812/08/06/pdfs/GMD-1812-219.pdf#page=1","Abrir facsímil")</f>
        <v>Abrir facsímil</v>
      </c>
      <c r="K4227" s="3" t="s">
        <v>23</v>
      </c>
    </row>
    <row r="4228" spans="1:11" ht="42" customHeight="1">
      <c r="A4228" s="2" t="s">
        <v>11116</v>
      </c>
      <c r="B4228" s="2" t="s">
        <v>11117</v>
      </c>
      <c r="C4228" s="2" t="s">
        <v>105</v>
      </c>
      <c r="D4228" s="2" t="s">
        <v>27</v>
      </c>
      <c r="E4228" s="4">
        <v>-31980</v>
      </c>
      <c r="F4228" s="3" t="s">
        <v>40</v>
      </c>
      <c r="G4228" s="3" t="s">
        <v>41</v>
      </c>
      <c r="H4228" s="2" t="s">
        <v>21</v>
      </c>
      <c r="I4228" s="2" t="s">
        <v>11118</v>
      </c>
      <c r="J4228" s="3" t="str">
        <f>HYPERLINK("https://www.boe.es/gazeta/dias/1812/06/09/pdfs/GRE-1812-71.pdf#page=6","Abrir facsímil")</f>
        <v>Abrir facsímil</v>
      </c>
      <c r="K4228" s="3" t="s">
        <v>23</v>
      </c>
    </row>
    <row r="4229" spans="1:11" ht="42" customHeight="1">
      <c r="A4229" s="2" t="s">
        <v>11119</v>
      </c>
      <c r="B4229" s="2" t="s">
        <v>11120</v>
      </c>
      <c r="C4229" s="2" t="s">
        <v>26</v>
      </c>
      <c r="D4229" s="2" t="s">
        <v>27</v>
      </c>
      <c r="E4229" s="4">
        <v>-32034</v>
      </c>
      <c r="F4229" s="3" t="s">
        <v>28</v>
      </c>
      <c r="G4229" s="3" t="s">
        <v>130</v>
      </c>
      <c r="H4229" s="2" t="s">
        <v>21</v>
      </c>
      <c r="I4229" s="2" t="s">
        <v>11121</v>
      </c>
      <c r="J4229" s="3" t="str">
        <f>HYPERLINK("https://www.boe.es/gazeta/dias/1812/04/16/pdfs/GMD-1812-107.pdf#page=4","Abrir facsímil")</f>
        <v>Abrir facsímil</v>
      </c>
      <c r="K4229" s="3" t="s">
        <v>23</v>
      </c>
    </row>
    <row r="4230" spans="1:11" ht="42" customHeight="1">
      <c r="A4230" s="2" t="s">
        <v>11122</v>
      </c>
      <c r="B4230" s="2" t="s">
        <v>11123</v>
      </c>
      <c r="C4230" s="2" t="s">
        <v>26</v>
      </c>
      <c r="D4230" s="2" t="s">
        <v>27</v>
      </c>
      <c r="E4230" s="4">
        <v>-32100</v>
      </c>
      <c r="F4230" s="3" t="s">
        <v>492</v>
      </c>
      <c r="G4230" s="3" t="s">
        <v>493</v>
      </c>
      <c r="H4230" s="2" t="s">
        <v>21</v>
      </c>
      <c r="I4230" s="2" t="s">
        <v>11124</v>
      </c>
      <c r="J4230" s="3" t="str">
        <f>HYPERLINK("https://www.boe.es/gazeta/dias/1812/02/10/pdfs/GRE-1812-31.pdf#page=8","Abrir facsímil")</f>
        <v>Abrir facsímil</v>
      </c>
      <c r="K4230" s="3" t="s">
        <v>23</v>
      </c>
    </row>
    <row r="4231" spans="1:11" ht="42" customHeight="1">
      <c r="A4231" s="2" t="s">
        <v>11122</v>
      </c>
      <c r="B4231" s="2" t="s">
        <v>11123</v>
      </c>
      <c r="C4231" s="2" t="s">
        <v>26</v>
      </c>
      <c r="D4231" s="2" t="s">
        <v>27</v>
      </c>
      <c r="E4231" s="4">
        <v>-32071</v>
      </c>
      <c r="F4231" s="3" t="s">
        <v>492</v>
      </c>
      <c r="G4231" s="3" t="s">
        <v>493</v>
      </c>
      <c r="H4231" s="2" t="s">
        <v>21</v>
      </c>
      <c r="I4231" s="2" t="s">
        <v>11124</v>
      </c>
      <c r="J4231" s="3" t="str">
        <f>HYPERLINK("https://www.boe.es/gazeta/dias/1812/03/10/pdfs/GRE-1812-31.pdf#page=8","Abrir facsímil")</f>
        <v>Abrir facsímil</v>
      </c>
      <c r="K4231" s="3" t="s">
        <v>23</v>
      </c>
    </row>
    <row r="4232" spans="1:11" ht="42" customHeight="1">
      <c r="A4232" s="2" t="s">
        <v>11125</v>
      </c>
      <c r="B4232" s="2" t="s">
        <v>11126</v>
      </c>
      <c r="C4232" s="2" t="s">
        <v>26</v>
      </c>
      <c r="D4232" s="2" t="s">
        <v>27</v>
      </c>
      <c r="E4232" s="4">
        <v>-32100</v>
      </c>
      <c r="F4232" s="3" t="s">
        <v>492</v>
      </c>
      <c r="G4232" s="3" t="s">
        <v>493</v>
      </c>
      <c r="H4232" s="2" t="s">
        <v>21</v>
      </c>
      <c r="I4232" s="2" t="s">
        <v>11127</v>
      </c>
      <c r="J4232" s="3" t="str">
        <f>HYPERLINK("https://www.boe.es/gazeta/dias/1812/02/10/pdfs/GRE-1812-31.pdf#page=8","Abrir facsímil")</f>
        <v>Abrir facsímil</v>
      </c>
      <c r="K4232" s="3" t="s">
        <v>23</v>
      </c>
    </row>
    <row r="4233" spans="1:11" ht="42" customHeight="1">
      <c r="A4233" s="2" t="s">
        <v>11125</v>
      </c>
      <c r="B4233" s="2" t="s">
        <v>11126</v>
      </c>
      <c r="C4233" s="2" t="s">
        <v>26</v>
      </c>
      <c r="D4233" s="2" t="s">
        <v>27</v>
      </c>
      <c r="E4233" s="4">
        <v>-32071</v>
      </c>
      <c r="F4233" s="3" t="s">
        <v>492</v>
      </c>
      <c r="G4233" s="3" t="s">
        <v>493</v>
      </c>
      <c r="H4233" s="2" t="s">
        <v>21</v>
      </c>
      <c r="I4233" s="2" t="s">
        <v>11127</v>
      </c>
      <c r="J4233" s="3" t="str">
        <f>HYPERLINK("https://www.boe.es/gazeta/dias/1812/03/10/pdfs/GRE-1812-31.pdf#page=8","Abrir facsímil")</f>
        <v>Abrir facsímil</v>
      </c>
      <c r="K4233" s="3" t="s">
        <v>23</v>
      </c>
    </row>
    <row r="4234" spans="1:11" ht="42" customHeight="1">
      <c r="A4234" s="2" t="s">
        <v>11128</v>
      </c>
      <c r="B4234" s="2" t="s">
        <v>11129</v>
      </c>
      <c r="C4234" s="2" t="s">
        <v>26</v>
      </c>
      <c r="D4234" s="2" t="s">
        <v>27</v>
      </c>
      <c r="E4234" s="4">
        <v>-32100</v>
      </c>
      <c r="F4234" s="3" t="s">
        <v>492</v>
      </c>
      <c r="G4234" s="3" t="s">
        <v>493</v>
      </c>
      <c r="H4234" s="2" t="s">
        <v>21</v>
      </c>
      <c r="I4234" s="2" t="s">
        <v>11130</v>
      </c>
      <c r="J4234" s="3" t="str">
        <f>HYPERLINK("https://www.boe.es/gazeta/dias/1812/02/10/pdfs/GRE-1812-31.pdf#page=8","Abrir facsímil")</f>
        <v>Abrir facsímil</v>
      </c>
      <c r="K4234" s="3" t="s">
        <v>23</v>
      </c>
    </row>
    <row r="4235" spans="1:11" ht="42" customHeight="1">
      <c r="A4235" s="2" t="s">
        <v>11128</v>
      </c>
      <c r="B4235" s="2" t="s">
        <v>11129</v>
      </c>
      <c r="C4235" s="2" t="s">
        <v>26</v>
      </c>
      <c r="D4235" s="2" t="s">
        <v>27</v>
      </c>
      <c r="E4235" s="4">
        <v>-32071</v>
      </c>
      <c r="F4235" s="3" t="s">
        <v>492</v>
      </c>
      <c r="G4235" s="3" t="s">
        <v>493</v>
      </c>
      <c r="H4235" s="2" t="s">
        <v>21</v>
      </c>
      <c r="I4235" s="2" t="s">
        <v>11130</v>
      </c>
      <c r="J4235" s="3" t="str">
        <f>HYPERLINK("https://www.boe.es/gazeta/dias/1812/03/10/pdfs/GRE-1812-31.pdf#page=8","Abrir facsímil")</f>
        <v>Abrir facsímil</v>
      </c>
      <c r="K4235" s="3" t="s">
        <v>23</v>
      </c>
    </row>
    <row r="4236" spans="1:11" ht="42" customHeight="1">
      <c r="A4236" s="2" t="s">
        <v>11131</v>
      </c>
      <c r="B4236" s="2" t="s">
        <v>11132</v>
      </c>
      <c r="C4236" s="2" t="s">
        <v>26</v>
      </c>
      <c r="D4236" s="2" t="s">
        <v>27</v>
      </c>
      <c r="E4236" s="4">
        <v>-31976</v>
      </c>
      <c r="F4236" s="3" t="s">
        <v>54</v>
      </c>
      <c r="G4236" s="3" t="s">
        <v>55</v>
      </c>
      <c r="H4236" s="2" t="s">
        <v>21</v>
      </c>
      <c r="I4236" s="2" t="s">
        <v>11133</v>
      </c>
      <c r="J4236" s="3" t="str">
        <f>HYPERLINK("https://www.boe.es/gazeta/dias/1812/06/13/pdfs/GRE-1812-73.pdf#page=6","Abrir facsímil")</f>
        <v>Abrir facsímil</v>
      </c>
      <c r="K4236" s="3" t="s">
        <v>23</v>
      </c>
    </row>
    <row r="4237" spans="1:11" ht="42" customHeight="1">
      <c r="A4237" s="2" t="s">
        <v>11134</v>
      </c>
      <c r="B4237" s="2" t="s">
        <v>11135</v>
      </c>
      <c r="C4237" s="2" t="s">
        <v>17</v>
      </c>
      <c r="D4237" s="2" t="s">
        <v>134</v>
      </c>
      <c r="E4237" s="4">
        <v>-31955</v>
      </c>
      <c r="F4237" s="3" t="s">
        <v>135</v>
      </c>
      <c r="G4237" s="3" t="s">
        <v>58</v>
      </c>
      <c r="H4237" s="2" t="s">
        <v>21</v>
      </c>
      <c r="I4237" s="2" t="s">
        <v>11136</v>
      </c>
      <c r="J4237" s="3" t="str">
        <f>HYPERLINK("https://www.boe.es/gazeta/dias/1812/07/04/pdfs/GRE-F-1812-82.pdf#page=6","Abrir facsímil")</f>
        <v>Abrir facsímil</v>
      </c>
      <c r="K4237" s="3" t="s">
        <v>23</v>
      </c>
    </row>
    <row r="4238" spans="1:11" ht="42" customHeight="1">
      <c r="A4238" s="2" t="s">
        <v>11137</v>
      </c>
      <c r="B4238" s="2" t="s">
        <v>11138</v>
      </c>
      <c r="C4238" s="2" t="s">
        <v>26</v>
      </c>
      <c r="D4238" s="2" t="s">
        <v>27</v>
      </c>
      <c r="E4238" s="4">
        <v>-31980</v>
      </c>
      <c r="F4238" s="3" t="s">
        <v>40</v>
      </c>
      <c r="G4238" s="3" t="s">
        <v>41</v>
      </c>
      <c r="H4238" s="2" t="s">
        <v>21</v>
      </c>
      <c r="I4238" s="2" t="s">
        <v>11139</v>
      </c>
      <c r="J4238" s="3" t="str">
        <f>HYPERLINK("https://www.boe.es/gazeta/dias/1812/06/09/pdfs/GRE-1812-71.pdf#page=6","Abrir facsímil")</f>
        <v>Abrir facsímil</v>
      </c>
      <c r="K4238" s="3" t="s">
        <v>23</v>
      </c>
    </row>
    <row r="4239" spans="1:11" ht="42" customHeight="1">
      <c r="A4239" s="2" t="s">
        <v>11140</v>
      </c>
      <c r="B4239" s="2" t="s">
        <v>11140</v>
      </c>
      <c r="C4239" s="2" t="s">
        <v>17</v>
      </c>
      <c r="D4239" s="2" t="s">
        <v>18</v>
      </c>
      <c r="E4239" s="4">
        <v>-32120</v>
      </c>
      <c r="F4239" s="3" t="s">
        <v>3524</v>
      </c>
      <c r="G4239" s="3" t="s">
        <v>599</v>
      </c>
      <c r="H4239" s="2" t="s">
        <v>21</v>
      </c>
      <c r="I4239" s="2" t="s">
        <v>11141</v>
      </c>
      <c r="J4239" s="3" t="str">
        <f>HYPERLINK("https://www.boe.es/gazeta/dias/1812/01/21/pdfs/GEI-1812-9.pdf#page=6","Abrir facsímil")</f>
        <v>Abrir facsímil</v>
      </c>
      <c r="K4239" s="3" t="s">
        <v>23</v>
      </c>
    </row>
    <row r="4240" spans="1:11" ht="42" customHeight="1">
      <c r="A4240" s="2" t="s">
        <v>11142</v>
      </c>
      <c r="B4240" s="2" t="s">
        <v>11142</v>
      </c>
      <c r="C4240" s="2" t="s">
        <v>17</v>
      </c>
      <c r="D4240" s="2" t="s">
        <v>27</v>
      </c>
      <c r="E4240" s="4">
        <v>-32063</v>
      </c>
      <c r="F4240" s="3" t="s">
        <v>384</v>
      </c>
      <c r="G4240" s="3" t="s">
        <v>125</v>
      </c>
      <c r="H4240" s="2" t="s">
        <v>21</v>
      </c>
      <c r="I4240" s="2" t="s">
        <v>11143</v>
      </c>
      <c r="J4240" s="3" t="str">
        <f>HYPERLINK("https://www.boe.es/gazeta/dias/1812/03/18/pdfs/GMD-1812-78.pdf#page=3","Abrir facsímil")</f>
        <v>Abrir facsímil</v>
      </c>
      <c r="K4240" s="3" t="s">
        <v>23</v>
      </c>
    </row>
    <row r="4241" spans="1:11" ht="42" customHeight="1">
      <c r="A4241" s="2" t="s">
        <v>11144</v>
      </c>
      <c r="B4241" s="2" t="s">
        <v>11145</v>
      </c>
      <c r="C4241" s="2" t="s">
        <v>26</v>
      </c>
      <c r="D4241" s="2" t="s">
        <v>27</v>
      </c>
      <c r="E4241" s="4">
        <v>-31969</v>
      </c>
      <c r="F4241" s="3" t="s">
        <v>83</v>
      </c>
      <c r="G4241" s="3" t="s">
        <v>84</v>
      </c>
      <c r="H4241" s="2" t="s">
        <v>21</v>
      </c>
      <c r="I4241" s="2" t="s">
        <v>11146</v>
      </c>
      <c r="J4241" s="3" t="str">
        <f>HYPERLINK("https://www.boe.es/gazeta/dias/1812/06/20/pdfs/GRE-1812-76.pdf#page=8","Abrir facsímil")</f>
        <v>Abrir facsímil</v>
      </c>
      <c r="K4241" s="3" t="s">
        <v>23</v>
      </c>
    </row>
    <row r="4242" spans="1:11" ht="42" customHeight="1">
      <c r="A4242" s="2" t="s">
        <v>11147</v>
      </c>
      <c r="B4242" s="2" t="s">
        <v>11148</v>
      </c>
      <c r="C4242" s="2" t="s">
        <v>17</v>
      </c>
      <c r="D4242" s="2" t="s">
        <v>18</v>
      </c>
      <c r="E4242" s="4">
        <v>-31966</v>
      </c>
      <c r="F4242" s="3" t="s">
        <v>387</v>
      </c>
      <c r="G4242" s="3" t="s">
        <v>388</v>
      </c>
      <c r="H4242" s="2" t="s">
        <v>21</v>
      </c>
      <c r="I4242" s="2" t="s">
        <v>11149</v>
      </c>
      <c r="J4242" s="3" t="str">
        <f>HYPERLINK("https://www.boe.es/gazeta/dias/1812/06/23/pdfs/GMD-1812-175.pdf#page=2","Abrir facsímil")</f>
        <v>Abrir facsímil</v>
      </c>
      <c r="K4242" s="3" t="s">
        <v>23</v>
      </c>
    </row>
    <row r="4243" spans="1:11" ht="42" customHeight="1">
      <c r="A4243" s="2" t="s">
        <v>11150</v>
      </c>
      <c r="B4243" s="2" t="s">
        <v>11151</v>
      </c>
      <c r="C4243" s="2" t="s">
        <v>26</v>
      </c>
      <c r="D4243" s="2" t="s">
        <v>27</v>
      </c>
      <c r="E4243" s="4">
        <v>-31948</v>
      </c>
      <c r="F4243" s="3" t="s">
        <v>431</v>
      </c>
      <c r="G4243" s="3" t="s">
        <v>432</v>
      </c>
      <c r="H4243" s="2" t="s">
        <v>21</v>
      </c>
      <c r="I4243" s="2" t="s">
        <v>11152</v>
      </c>
      <c r="J4243" s="3" t="str">
        <f>HYPERLINK("https://www.boe.es/gazeta/dias/1812/07/11/pdfs/GRE-1812-86.pdf#page=5","Abrir facsímil")</f>
        <v>Abrir facsímil</v>
      </c>
      <c r="K4243" s="3" t="s">
        <v>23</v>
      </c>
    </row>
    <row r="4244" spans="1:11" ht="42" customHeight="1">
      <c r="A4244" s="2" t="s">
        <v>11153</v>
      </c>
      <c r="B4244" s="2" t="s">
        <v>11153</v>
      </c>
      <c r="C4244" s="2" t="s">
        <v>17</v>
      </c>
      <c r="D4244" s="2" t="s">
        <v>18</v>
      </c>
      <c r="E4244" s="4">
        <v>-32096</v>
      </c>
      <c r="F4244" s="3" t="s">
        <v>4149</v>
      </c>
      <c r="G4244" s="3" t="s">
        <v>214</v>
      </c>
      <c r="H4244" s="2" t="s">
        <v>21</v>
      </c>
      <c r="I4244" s="2" t="s">
        <v>11154</v>
      </c>
      <c r="J4244" s="3" t="str">
        <f>HYPERLINK("https://www.boe.es/gazeta/dias/1812/02/14/pdfs/GMD-1812-45.pdf#page=4","Abrir facsímil")</f>
        <v>Abrir facsímil</v>
      </c>
      <c r="K4244" s="3" t="s">
        <v>23</v>
      </c>
    </row>
    <row r="4245" spans="1:11" ht="42" customHeight="1">
      <c r="A4245" s="2" t="s">
        <v>11153</v>
      </c>
      <c r="B4245" s="2" t="s">
        <v>11153</v>
      </c>
      <c r="C4245" s="2" t="s">
        <v>17</v>
      </c>
      <c r="D4245" s="2" t="s">
        <v>275</v>
      </c>
      <c r="E4245" s="4">
        <v>-32063</v>
      </c>
      <c r="F4245" s="3" t="s">
        <v>384</v>
      </c>
      <c r="G4245" s="3" t="s">
        <v>20</v>
      </c>
      <c r="H4245" s="2" t="s">
        <v>21</v>
      </c>
      <c r="I4245" s="2" t="s">
        <v>11155</v>
      </c>
      <c r="J4245" s="3" t="str">
        <f>HYPERLINK("https://www.boe.es/gazeta/dias/1812/03/18/pdfs/GMD-1812-78.pdf#page=4","Abrir facsímil")</f>
        <v>Abrir facsímil</v>
      </c>
      <c r="K4245" s="3" t="s">
        <v>23</v>
      </c>
    </row>
    <row r="4246" spans="1:11" ht="42" customHeight="1">
      <c r="A4246" s="2" t="s">
        <v>11153</v>
      </c>
      <c r="B4246" s="2" t="s">
        <v>11153</v>
      </c>
      <c r="C4246" s="2" t="s">
        <v>17</v>
      </c>
      <c r="D4246" s="2" t="s">
        <v>275</v>
      </c>
      <c r="E4246" s="4">
        <v>-32004</v>
      </c>
      <c r="F4246" s="3" t="s">
        <v>148</v>
      </c>
      <c r="G4246" s="3" t="s">
        <v>11156</v>
      </c>
      <c r="H4246" s="2" t="s">
        <v>21</v>
      </c>
      <c r="I4246" s="2" t="s">
        <v>11157</v>
      </c>
      <c r="J4246" s="3" t="str">
        <f>HYPERLINK("https://www.boe.es/gazeta/dias/1812/05/16/pdfs/GRE-1812-61.pdf#page=8","Abrir facsímil")</f>
        <v>Abrir facsímil</v>
      </c>
      <c r="K4246" s="3" t="s">
        <v>23</v>
      </c>
    </row>
    <row r="4247" spans="1:11" ht="42" customHeight="1">
      <c r="A4247" s="2" t="s">
        <v>11153</v>
      </c>
      <c r="B4247" s="2" t="s">
        <v>11153</v>
      </c>
      <c r="C4247" s="2" t="s">
        <v>26</v>
      </c>
      <c r="D4247" s="2" t="s">
        <v>27</v>
      </c>
      <c r="E4247" s="4">
        <v>-31962</v>
      </c>
      <c r="F4247" s="3" t="s">
        <v>153</v>
      </c>
      <c r="G4247" s="3" t="s">
        <v>154</v>
      </c>
      <c r="H4247" s="2" t="s">
        <v>21</v>
      </c>
      <c r="I4247" s="2" t="s">
        <v>11158</v>
      </c>
      <c r="J4247" s="3" t="str">
        <f>HYPERLINK("https://www.boe.es/gazeta/dias/1812/06/27/pdfs/GRE-1812-79.pdf#page=8","Abrir facsímil")</f>
        <v>Abrir facsímil</v>
      </c>
      <c r="K4247" s="3" t="s">
        <v>23</v>
      </c>
    </row>
    <row r="4248" spans="1:11" ht="42" customHeight="1">
      <c r="A4248" s="2" t="s">
        <v>11153</v>
      </c>
      <c r="B4248" s="2" t="s">
        <v>11153</v>
      </c>
      <c r="C4248" s="2" t="s">
        <v>67</v>
      </c>
      <c r="D4248" s="2" t="s">
        <v>27</v>
      </c>
      <c r="E4248" s="4">
        <v>-31850</v>
      </c>
      <c r="F4248" s="3" t="s">
        <v>719</v>
      </c>
      <c r="G4248" s="3" t="s">
        <v>217</v>
      </c>
      <c r="H4248" s="2" t="s">
        <v>21</v>
      </c>
      <c r="I4248" s="2" t="s">
        <v>11159</v>
      </c>
      <c r="J4248" s="3" t="str">
        <f>HYPERLINK("https://www.boe.es/gazeta/dias/1812/10/17/pdfs/GMR-1812-28.pdf#page=5","Abrir facsímil")</f>
        <v>Abrir facsímil</v>
      </c>
      <c r="K4248" s="3" t="s">
        <v>23</v>
      </c>
    </row>
    <row r="4249" spans="1:11" ht="42" customHeight="1">
      <c r="A4249" s="2" t="s">
        <v>11160</v>
      </c>
      <c r="B4249" s="2" t="s">
        <v>11161</v>
      </c>
      <c r="C4249" s="2" t="s">
        <v>67</v>
      </c>
      <c r="D4249" s="2" t="s">
        <v>27</v>
      </c>
      <c r="E4249" s="4">
        <v>-31868</v>
      </c>
      <c r="F4249" s="3" t="s">
        <v>1833</v>
      </c>
      <c r="G4249" s="3" t="s">
        <v>136</v>
      </c>
      <c r="H4249" s="2" t="s">
        <v>21</v>
      </c>
      <c r="I4249" s="2" t="s">
        <v>11162</v>
      </c>
      <c r="J4249" s="3" t="str">
        <f>HYPERLINK("https://www.boe.es/gazeta/dias/1812/09/29/pdfs/GMR-1812-20.pdf#page=11","Abrir facsímil")</f>
        <v>Abrir facsímil</v>
      </c>
      <c r="K4249" s="3" t="s">
        <v>23</v>
      </c>
    </row>
    <row r="4250" spans="1:11" ht="42" customHeight="1">
      <c r="A4250" s="2" t="s">
        <v>11163</v>
      </c>
      <c r="B4250" s="2" t="s">
        <v>11164</v>
      </c>
      <c r="C4250" s="2" t="s">
        <v>17</v>
      </c>
      <c r="D4250" s="2" t="s">
        <v>275</v>
      </c>
      <c r="E4250" s="4">
        <v>-31906</v>
      </c>
      <c r="F4250" s="3" t="s">
        <v>1815</v>
      </c>
      <c r="G4250" s="3" t="s">
        <v>233</v>
      </c>
      <c r="H4250" s="2" t="s">
        <v>21</v>
      </c>
      <c r="I4250" s="2" t="s">
        <v>11165</v>
      </c>
      <c r="J4250" s="3" t="str">
        <f>HYPERLINK("https://www.boe.es/gazeta/dias/1812/08/22/pdfs/GMR-1812-3.pdf#page=8","Abrir facsímil")</f>
        <v>Abrir facsímil</v>
      </c>
      <c r="K4250" s="3" t="s">
        <v>23</v>
      </c>
    </row>
    <row r="4251" spans="1:11" ht="42" customHeight="1">
      <c r="A4251" s="2" t="s">
        <v>11166</v>
      </c>
      <c r="B4251" s="2" t="s">
        <v>11167</v>
      </c>
      <c r="C4251" s="2" t="s">
        <v>26</v>
      </c>
      <c r="D4251" s="2" t="s">
        <v>27</v>
      </c>
      <c r="E4251" s="4">
        <v>-32109</v>
      </c>
      <c r="F4251" s="3" t="s">
        <v>62</v>
      </c>
      <c r="G4251" s="3" t="s">
        <v>106</v>
      </c>
      <c r="H4251" s="2" t="s">
        <v>21</v>
      </c>
      <c r="I4251" s="2" t="s">
        <v>11168</v>
      </c>
      <c r="J4251" s="3" t="str">
        <f>HYPERLINK("https://www.boe.es/gazeta/dias/1812/02/01/pdfs/GRE-1812-14.pdf#page=11","Abrir facsímil")</f>
        <v>Abrir facsímil</v>
      </c>
      <c r="K4251" s="3" t="s">
        <v>23</v>
      </c>
    </row>
    <row r="4252" spans="1:11" ht="42" customHeight="1">
      <c r="A4252" s="2" t="s">
        <v>11169</v>
      </c>
      <c r="B4252" s="2" t="s">
        <v>11170</v>
      </c>
      <c r="C4252" s="2" t="s">
        <v>17</v>
      </c>
      <c r="D4252" s="2" t="s">
        <v>27</v>
      </c>
      <c r="E4252" s="4">
        <v>-31857</v>
      </c>
      <c r="F4252" s="3" t="s">
        <v>1000</v>
      </c>
      <c r="G4252" s="3" t="s">
        <v>4086</v>
      </c>
      <c r="H4252" s="2" t="s">
        <v>21</v>
      </c>
      <c r="I4252" s="2" t="s">
        <v>11171</v>
      </c>
      <c r="J4252" s="3" t="str">
        <f>HYPERLINK("https://www.boe.es/gazeta/dias/1812/10/10/pdfs/GRE-1812-137.pdf#page=5","Abrir facsímil")</f>
        <v>Abrir facsímil</v>
      </c>
      <c r="K4252" s="3" t="s">
        <v>23</v>
      </c>
    </row>
    <row r="4253" spans="1:11" ht="42" customHeight="1">
      <c r="A4253" s="2" t="s">
        <v>11172</v>
      </c>
      <c r="B4253" s="2" t="s">
        <v>11173</v>
      </c>
      <c r="C4253" s="2" t="s">
        <v>17</v>
      </c>
      <c r="D4253" s="2" t="s">
        <v>27</v>
      </c>
      <c r="E4253" s="4">
        <v>-32039</v>
      </c>
      <c r="F4253" s="3" t="s">
        <v>557</v>
      </c>
      <c r="G4253" s="3" t="s">
        <v>20</v>
      </c>
      <c r="H4253" s="2" t="s">
        <v>21</v>
      </c>
      <c r="I4253" s="2" t="s">
        <v>11174</v>
      </c>
      <c r="J4253" s="3" t="str">
        <f>HYPERLINK("https://www.boe.es/gazeta/dias/1812/04/11/pdfs/GMD-1812-102.pdf#page=4","Abrir facsímil")</f>
        <v>Abrir facsímil</v>
      </c>
      <c r="K4253" s="3" t="s">
        <v>23</v>
      </c>
    </row>
    <row r="4254" spans="1:11" ht="42" customHeight="1">
      <c r="A4254" s="2" t="s">
        <v>11175</v>
      </c>
      <c r="B4254" s="2" t="s">
        <v>11176</v>
      </c>
      <c r="C4254" s="2" t="s">
        <v>26</v>
      </c>
      <c r="D4254" s="2" t="s">
        <v>27</v>
      </c>
      <c r="E4254" s="4">
        <v>-32034</v>
      </c>
      <c r="F4254" s="3" t="s">
        <v>28</v>
      </c>
      <c r="G4254" s="3" t="s">
        <v>130</v>
      </c>
      <c r="H4254" s="2" t="s">
        <v>21</v>
      </c>
      <c r="I4254" s="2" t="s">
        <v>11177</v>
      </c>
      <c r="J4254" s="3" t="str">
        <f>HYPERLINK("https://www.boe.es/gazeta/dias/1812/04/16/pdfs/GMD-1812-107.pdf#page=4","Abrir facsímil")</f>
        <v>Abrir facsímil</v>
      </c>
      <c r="K4254" s="3" t="s">
        <v>23</v>
      </c>
    </row>
    <row r="4255" spans="1:11" ht="42" customHeight="1">
      <c r="A4255" s="2" t="s">
        <v>11178</v>
      </c>
      <c r="B4255" s="2" t="s">
        <v>11178</v>
      </c>
      <c r="C4255" s="2" t="s">
        <v>17</v>
      </c>
      <c r="D4255" s="2" t="s">
        <v>573</v>
      </c>
      <c r="E4255" s="4">
        <v>-31921</v>
      </c>
      <c r="F4255" s="3" t="s">
        <v>785</v>
      </c>
      <c r="G4255" s="3" t="s">
        <v>45</v>
      </c>
      <c r="H4255" s="2" t="s">
        <v>21</v>
      </c>
      <c r="I4255" s="2" t="s">
        <v>11179</v>
      </c>
      <c r="J4255" s="3" t="str">
        <f>HYPERLINK("https://www.boe.es/gazeta/dias/1812/08/07/pdfs/GRE-1812-101E.pdf#page=2","Abrir facsímil")</f>
        <v>Abrir facsímil</v>
      </c>
      <c r="K4255" s="3" t="s">
        <v>23</v>
      </c>
    </row>
    <row r="4256" spans="1:11" ht="42" customHeight="1">
      <c r="A4256" s="2" t="s">
        <v>11180</v>
      </c>
      <c r="B4256" s="2" t="s">
        <v>11180</v>
      </c>
      <c r="C4256" s="2" t="s">
        <v>17</v>
      </c>
      <c r="D4256" s="2" t="s">
        <v>18</v>
      </c>
      <c r="E4256" s="4">
        <v>-31840</v>
      </c>
      <c r="F4256" s="3" t="s">
        <v>2181</v>
      </c>
      <c r="G4256" s="3" t="s">
        <v>1076</v>
      </c>
      <c r="H4256" s="2" t="s">
        <v>21</v>
      </c>
      <c r="I4256" s="2" t="s">
        <v>11181</v>
      </c>
      <c r="J4256" s="3" t="str">
        <f>HYPERLINK("https://www.boe.es/gazeta/dias/1812/10/27/pdfs/GMR-1812-32.pdf#page=11","Abrir facsímil")</f>
        <v>Abrir facsímil</v>
      </c>
      <c r="K4256" s="3" t="s">
        <v>23</v>
      </c>
    </row>
    <row r="4257" spans="1:11" ht="42" customHeight="1">
      <c r="A4257" s="2" t="s">
        <v>11182</v>
      </c>
      <c r="B4257" s="2" t="s">
        <v>11183</v>
      </c>
      <c r="C4257" s="2" t="s">
        <v>26</v>
      </c>
      <c r="D4257" s="2" t="s">
        <v>27</v>
      </c>
      <c r="E4257" s="4">
        <v>-32109</v>
      </c>
      <c r="F4257" s="3" t="s">
        <v>62</v>
      </c>
      <c r="G4257" s="3" t="s">
        <v>472</v>
      </c>
      <c r="H4257" s="2" t="s">
        <v>21</v>
      </c>
      <c r="I4257" s="2" t="s">
        <v>11184</v>
      </c>
      <c r="J4257" s="3" t="str">
        <f>HYPERLINK("https://www.boe.es/gazeta/dias/1812/02/01/pdfs/GRE-1812-14.pdf#page=12","Abrir facsímil")</f>
        <v>Abrir facsímil</v>
      </c>
      <c r="K4257" s="3" t="s">
        <v>23</v>
      </c>
    </row>
    <row r="4258" spans="1:11" ht="42" customHeight="1">
      <c r="A4258" s="2" t="s">
        <v>11185</v>
      </c>
      <c r="B4258" s="2" t="s">
        <v>11185</v>
      </c>
      <c r="C4258" s="2" t="s">
        <v>17</v>
      </c>
      <c r="D4258" s="2" t="s">
        <v>27</v>
      </c>
      <c r="E4258" s="4">
        <v>-31789</v>
      </c>
      <c r="F4258" s="3" t="s">
        <v>873</v>
      </c>
      <c r="G4258" s="3" t="s">
        <v>1883</v>
      </c>
      <c r="H4258" s="2" t="s">
        <v>21</v>
      </c>
      <c r="I4258" s="2" t="s">
        <v>11186</v>
      </c>
      <c r="J4258" s="3" t="str">
        <f>HYPERLINK("https://www.boe.es/gazeta/dias/1812/12/17/pdfs/GMD-1812-240.pdf#page=2","Abrir facsímil")</f>
        <v>Abrir facsímil</v>
      </c>
      <c r="K4258" s="3" t="s">
        <v>23</v>
      </c>
    </row>
    <row r="4259" spans="1:11" ht="42" customHeight="1">
      <c r="A4259" s="2" t="s">
        <v>11187</v>
      </c>
      <c r="B4259" s="2" t="s">
        <v>11187</v>
      </c>
      <c r="C4259" s="2" t="s">
        <v>17</v>
      </c>
      <c r="D4259" s="2" t="s">
        <v>18</v>
      </c>
      <c r="E4259" s="4">
        <v>-31819</v>
      </c>
      <c r="F4259" s="3" t="s">
        <v>1856</v>
      </c>
      <c r="G4259" s="3" t="s">
        <v>45</v>
      </c>
      <c r="H4259" s="2" t="s">
        <v>21</v>
      </c>
      <c r="I4259" s="2" t="s">
        <v>11188</v>
      </c>
      <c r="J4259" s="3" t="str">
        <f>HYPERLINK("https://www.boe.es/gazeta/dias/1812/11/17/pdfs/GMR-1812-35.pdf#page=1","Abrir facsímil")</f>
        <v>Abrir facsímil</v>
      </c>
      <c r="K4259" s="3" t="s">
        <v>23</v>
      </c>
    </row>
    <row r="4260" spans="1:11" ht="42" customHeight="1">
      <c r="A4260" s="2" t="s">
        <v>11189</v>
      </c>
      <c r="B4260" s="2" t="s">
        <v>11189</v>
      </c>
      <c r="C4260" s="2" t="s">
        <v>17</v>
      </c>
      <c r="D4260" s="2" t="s">
        <v>27</v>
      </c>
      <c r="E4260" s="4">
        <v>-31836</v>
      </c>
      <c r="F4260" s="3" t="s">
        <v>729</v>
      </c>
      <c r="G4260" s="3" t="s">
        <v>11190</v>
      </c>
      <c r="H4260" s="2" t="s">
        <v>21</v>
      </c>
      <c r="I4260" s="2" t="s">
        <v>11191</v>
      </c>
      <c r="J4260" s="3" t="str">
        <f>HYPERLINK("https://www.boe.es/gazeta/dias/1812/10/31/pdfs/GRE-1812-146.pdf#page=3","Abrir facsímil")</f>
        <v>Abrir facsímil</v>
      </c>
      <c r="K4260" s="3" t="s">
        <v>23</v>
      </c>
    </row>
    <row r="4261" spans="1:11" ht="42" customHeight="1">
      <c r="A4261" s="2" t="s">
        <v>11192</v>
      </c>
      <c r="B4261" s="2" t="s">
        <v>11193</v>
      </c>
      <c r="C4261" s="2" t="s">
        <v>26</v>
      </c>
      <c r="D4261" s="2" t="s">
        <v>27</v>
      </c>
      <c r="E4261" s="4">
        <v>-32074</v>
      </c>
      <c r="F4261" s="3" t="s">
        <v>816</v>
      </c>
      <c r="G4261" s="3" t="s">
        <v>777</v>
      </c>
      <c r="H4261" s="2" t="s">
        <v>21</v>
      </c>
      <c r="I4261" s="2" t="s">
        <v>11194</v>
      </c>
      <c r="J4261" s="3" t="str">
        <f>HYPERLINK("https://www.boe.es/gazeta/dias/1812/03/07/pdfs/GRE-1812-30.pdf#page=8","Abrir facsímil")</f>
        <v>Abrir facsímil</v>
      </c>
      <c r="K4261" s="3" t="s">
        <v>23</v>
      </c>
    </row>
    <row r="4262" spans="1:11" ht="42" customHeight="1">
      <c r="A4262" s="2" t="s">
        <v>11195</v>
      </c>
      <c r="B4262" s="2" t="s">
        <v>11196</v>
      </c>
      <c r="C4262" s="2" t="s">
        <v>186</v>
      </c>
      <c r="D4262" s="2" t="s">
        <v>275</v>
      </c>
      <c r="E4262" s="4">
        <v>-32095</v>
      </c>
      <c r="F4262" s="3" t="s">
        <v>284</v>
      </c>
      <c r="G4262" s="3" t="s">
        <v>29</v>
      </c>
      <c r="H4262" s="2" t="s">
        <v>21</v>
      </c>
      <c r="I4262" s="2" t="s">
        <v>11197</v>
      </c>
      <c r="J4262" s="3" t="str">
        <f>HYPERLINK("https://www.boe.es/gazeta/dias/1812/02/15/pdfs/GRE-1812-20.pdf#page=8","Abrir facsímil")</f>
        <v>Abrir facsímil</v>
      </c>
      <c r="K4262" s="3" t="s">
        <v>23</v>
      </c>
    </row>
    <row r="4263" spans="1:11" ht="42" customHeight="1">
      <c r="A4263" s="2" t="s">
        <v>11198</v>
      </c>
      <c r="B4263" s="2" t="s">
        <v>11199</v>
      </c>
      <c r="C4263" s="2" t="s">
        <v>17</v>
      </c>
      <c r="D4263" s="2" t="s">
        <v>18</v>
      </c>
      <c r="E4263" s="4">
        <v>-31921</v>
      </c>
      <c r="F4263" s="3" t="s">
        <v>785</v>
      </c>
      <c r="G4263" s="3" t="s">
        <v>853</v>
      </c>
      <c r="H4263" s="2" t="s">
        <v>30</v>
      </c>
      <c r="I4263" s="2" t="s">
        <v>11200</v>
      </c>
      <c r="J4263" s="3" t="str">
        <f>HYPERLINK("https://www.boe.es/gazeta/dias/1812/08/07/pdfs/GRE-1812-101E.pdf#page=3","Abrir facsímil")</f>
        <v>Abrir facsímil</v>
      </c>
      <c r="K4263" s="3" t="s">
        <v>32</v>
      </c>
    </row>
    <row r="4264" spans="1:11" ht="42" customHeight="1">
      <c r="A4264" s="2" t="s">
        <v>11201</v>
      </c>
      <c r="B4264" s="2" t="s">
        <v>11202</v>
      </c>
      <c r="C4264" s="2" t="s">
        <v>26</v>
      </c>
      <c r="D4264" s="2" t="s">
        <v>27</v>
      </c>
      <c r="E4264" s="4">
        <v>-32069</v>
      </c>
      <c r="F4264" s="3" t="s">
        <v>445</v>
      </c>
      <c r="G4264" s="3" t="s">
        <v>446</v>
      </c>
      <c r="H4264" s="2" t="s">
        <v>21</v>
      </c>
      <c r="I4264" s="2" t="s">
        <v>11203</v>
      </c>
      <c r="J4264" s="3" t="str">
        <f>HYPERLINK("https://www.boe.es/gazeta/dias/1812/03/12/pdfs/GRE-1812-32.pdf#page=8","Abrir facsímil")</f>
        <v>Abrir facsímil</v>
      </c>
      <c r="K4264" s="3" t="s">
        <v>23</v>
      </c>
    </row>
    <row r="4265" spans="1:11" ht="42" customHeight="1">
      <c r="A4265" s="2" t="s">
        <v>11204</v>
      </c>
      <c r="B4265" s="2" t="s">
        <v>11204</v>
      </c>
      <c r="C4265" s="2" t="s">
        <v>17</v>
      </c>
      <c r="D4265" s="2" t="s">
        <v>18</v>
      </c>
      <c r="E4265" s="4">
        <v>-31794</v>
      </c>
      <c r="F4265" s="3" t="s">
        <v>3308</v>
      </c>
      <c r="G4265" s="3" t="s">
        <v>3309</v>
      </c>
      <c r="H4265" s="2" t="s">
        <v>21</v>
      </c>
      <c r="I4265" s="2" t="s">
        <v>11205</v>
      </c>
      <c r="J4265" s="3" t="str">
        <f>HYPERLINK("https://www.boe.es/gazeta/dias/1812/12/12/pdfs/GRE-1812-164.pdf#page=2","Abrir facsímil")</f>
        <v>Abrir facsímil</v>
      </c>
      <c r="K4265" s="3" t="s">
        <v>23</v>
      </c>
    </row>
    <row r="4266" spans="1:11" ht="42" customHeight="1">
      <c r="A4266" s="2" t="s">
        <v>11206</v>
      </c>
      <c r="B4266" s="2" t="s">
        <v>11206</v>
      </c>
      <c r="C4266" s="2" t="s">
        <v>17</v>
      </c>
      <c r="D4266" s="2" t="s">
        <v>27</v>
      </c>
      <c r="E4266" s="4">
        <v>-31894</v>
      </c>
      <c r="F4266" s="3" t="s">
        <v>3953</v>
      </c>
      <c r="G4266" s="3" t="s">
        <v>1448</v>
      </c>
      <c r="H4266" s="2" t="s">
        <v>21</v>
      </c>
      <c r="I4266" s="2" t="s">
        <v>11207</v>
      </c>
      <c r="J4266" s="3" t="str">
        <f>HYPERLINK("https://www.boe.es/gazeta/dias/1812/09/03/pdfs/GMR-1812-9.pdf#page=1","Abrir facsímil")</f>
        <v>Abrir facsímil</v>
      </c>
      <c r="K4266" s="3" t="s">
        <v>23</v>
      </c>
    </row>
    <row r="4267" spans="1:11" ht="42" customHeight="1">
      <c r="A4267" s="2" t="s">
        <v>11208</v>
      </c>
      <c r="B4267" s="2" t="s">
        <v>11208</v>
      </c>
      <c r="C4267" s="2" t="s">
        <v>17</v>
      </c>
      <c r="D4267" s="2" t="s">
        <v>27</v>
      </c>
      <c r="E4267" s="4">
        <v>-32092</v>
      </c>
      <c r="F4267" s="3" t="s">
        <v>1621</v>
      </c>
      <c r="G4267" s="3" t="s">
        <v>10717</v>
      </c>
      <c r="H4267" s="2" t="s">
        <v>21</v>
      </c>
      <c r="I4267" s="2" t="s">
        <v>11209</v>
      </c>
      <c r="J4267" s="3" t="str">
        <f>HYPERLINK("https://www.boe.es/gazeta/dias/1812/02/18/pdfs/GRE-1812-21.pdf#page=2","Abrir facsímil")</f>
        <v>Abrir facsímil</v>
      </c>
      <c r="K4267" s="3" t="s">
        <v>23</v>
      </c>
    </row>
    <row r="4268" spans="1:11" ht="42" customHeight="1">
      <c r="A4268" s="2" t="s">
        <v>11210</v>
      </c>
      <c r="B4268" s="2" t="s">
        <v>11210</v>
      </c>
      <c r="C4268" s="2" t="s">
        <v>26</v>
      </c>
      <c r="D4268" s="2" t="s">
        <v>27</v>
      </c>
      <c r="E4268" s="4">
        <v>-32083</v>
      </c>
      <c r="F4268" s="3" t="s">
        <v>1906</v>
      </c>
      <c r="G4268" s="3" t="s">
        <v>125</v>
      </c>
      <c r="H4268" s="2" t="s">
        <v>21</v>
      </c>
      <c r="I4268" s="2" t="s">
        <v>11211</v>
      </c>
      <c r="J4268" s="3" t="str">
        <f>HYPERLINK("https://www.boe.es/gazeta/dias/1812/02/27/pdfs/GMD-1812-58.pdf#page=2","Abrir facsímil")</f>
        <v>Abrir facsímil</v>
      </c>
      <c r="K4268" s="3" t="s">
        <v>23</v>
      </c>
    </row>
    <row r="4269" spans="1:11" ht="42" customHeight="1">
      <c r="A4269" s="2" t="s">
        <v>11212</v>
      </c>
      <c r="B4269" s="2" t="s">
        <v>11212</v>
      </c>
      <c r="C4269" s="2" t="s">
        <v>26</v>
      </c>
      <c r="D4269" s="2" t="s">
        <v>27</v>
      </c>
      <c r="E4269" s="4">
        <v>-32109</v>
      </c>
      <c r="F4269" s="3" t="s">
        <v>62</v>
      </c>
      <c r="G4269" s="3" t="s">
        <v>63</v>
      </c>
      <c r="H4269" s="2" t="s">
        <v>21</v>
      </c>
      <c r="I4269" s="2" t="s">
        <v>11213</v>
      </c>
      <c r="J4269" s="3" t="str">
        <f>HYPERLINK("https://www.boe.es/gazeta/dias/1812/02/01/pdfs/GRE-1812-14.pdf#page=10","Abrir facsímil")</f>
        <v>Abrir facsímil</v>
      </c>
      <c r="K4269" s="3" t="s">
        <v>23</v>
      </c>
    </row>
    <row r="4270" spans="1:11" ht="42" customHeight="1">
      <c r="A4270" s="2" t="s">
        <v>11214</v>
      </c>
      <c r="B4270" s="2" t="s">
        <v>11215</v>
      </c>
      <c r="C4270" s="2" t="s">
        <v>26</v>
      </c>
      <c r="D4270" s="2" t="s">
        <v>27</v>
      </c>
      <c r="E4270" s="4">
        <v>-32127</v>
      </c>
      <c r="F4270" s="3" t="s">
        <v>88</v>
      </c>
      <c r="G4270" s="3" t="s">
        <v>89</v>
      </c>
      <c r="H4270" s="2" t="s">
        <v>21</v>
      </c>
      <c r="I4270" s="2" t="s">
        <v>11216</v>
      </c>
      <c r="J4270" s="3" t="str">
        <f>HYPERLINK("https://www.boe.es/gazeta/dias/1812/01/14/pdfs/GEI-1812-6.pdf#page=8","Abrir facsímil")</f>
        <v>Abrir facsímil</v>
      </c>
      <c r="K4270" s="3" t="s">
        <v>23</v>
      </c>
    </row>
    <row r="4271" spans="1:11" ht="42" customHeight="1">
      <c r="A4271" s="2" t="s">
        <v>11217</v>
      </c>
      <c r="B4271" s="2" t="s">
        <v>11217</v>
      </c>
      <c r="C4271" s="2" t="s">
        <v>17</v>
      </c>
      <c r="D4271" s="2" t="s">
        <v>27</v>
      </c>
      <c r="E4271" s="4">
        <v>-32029</v>
      </c>
      <c r="F4271" s="3" t="s">
        <v>176</v>
      </c>
      <c r="G4271" s="3" t="s">
        <v>1933</v>
      </c>
      <c r="H4271" s="2" t="s">
        <v>21</v>
      </c>
      <c r="I4271" s="2" t="s">
        <v>11218</v>
      </c>
      <c r="J4271" s="3" t="str">
        <f>HYPERLINK("https://www.boe.es/gazeta/dias/1812/04/21/pdfs/GRE-1812-50.pdf#page=5","Abrir facsímil")</f>
        <v>Abrir facsímil</v>
      </c>
      <c r="K4271" s="3" t="s">
        <v>23</v>
      </c>
    </row>
    <row r="4272" spans="1:11" ht="42" customHeight="1">
      <c r="A4272" s="2" t="s">
        <v>11219</v>
      </c>
      <c r="B4272" s="2" t="s">
        <v>11219</v>
      </c>
      <c r="C4272" s="2" t="s">
        <v>17</v>
      </c>
      <c r="D4272" s="2" t="s">
        <v>18</v>
      </c>
      <c r="E4272" s="4">
        <v>-32116</v>
      </c>
      <c r="F4272" s="3" t="s">
        <v>993</v>
      </c>
      <c r="G4272" s="3" t="s">
        <v>125</v>
      </c>
      <c r="H4272" s="2" t="s">
        <v>21</v>
      </c>
      <c r="I4272" s="2" t="s">
        <v>11220</v>
      </c>
      <c r="J4272" s="3" t="str">
        <f>HYPERLINK("https://www.boe.es/gazeta/dias/1812/01/25/pdfs/GEI-1812-11.pdf#page=1","Abrir facsímil")</f>
        <v>Abrir facsímil</v>
      </c>
      <c r="K4272" s="3" t="s">
        <v>23</v>
      </c>
    </row>
    <row r="4273" spans="1:11" ht="42" customHeight="1">
      <c r="A4273" s="2" t="s">
        <v>11221</v>
      </c>
      <c r="B4273" s="2" t="s">
        <v>11222</v>
      </c>
      <c r="C4273" s="2" t="s">
        <v>26</v>
      </c>
      <c r="D4273" s="2" t="s">
        <v>27</v>
      </c>
      <c r="E4273" s="4">
        <v>-32034</v>
      </c>
      <c r="F4273" s="3" t="s">
        <v>28</v>
      </c>
      <c r="G4273" s="3" t="s">
        <v>317</v>
      </c>
      <c r="H4273" s="2" t="s">
        <v>21</v>
      </c>
      <c r="I4273" s="2" t="s">
        <v>11223</v>
      </c>
      <c r="J4273" s="3" t="str">
        <f>HYPERLINK("https://www.boe.es/gazeta/dias/1812/04/16/pdfs/GMD-1812-107.pdf#page=6","Abrir facsímil")</f>
        <v>Abrir facsímil</v>
      </c>
      <c r="K4273" s="3" t="s">
        <v>23</v>
      </c>
    </row>
    <row r="4274" spans="1:11" ht="42" customHeight="1">
      <c r="A4274" s="2" t="s">
        <v>11224</v>
      </c>
      <c r="B4274" s="2" t="s">
        <v>11224</v>
      </c>
      <c r="C4274" s="2" t="s">
        <v>26</v>
      </c>
      <c r="D4274" s="2" t="s">
        <v>27</v>
      </c>
      <c r="E4274" s="4">
        <v>-31782</v>
      </c>
      <c r="F4274" s="3" t="s">
        <v>860</v>
      </c>
      <c r="G4274" s="3" t="s">
        <v>214</v>
      </c>
      <c r="H4274" s="2" t="s">
        <v>21</v>
      </c>
      <c r="I4274" s="2" t="s">
        <v>11225</v>
      </c>
      <c r="J4274" s="3" t="str">
        <f>HYPERLINK("https://www.boe.es/gazeta/dias/1812/12/24/pdfs/GRE-1812-169.pdf#page=3","Abrir facsímil")</f>
        <v>Abrir facsímil</v>
      </c>
      <c r="K4274" s="3" t="s">
        <v>23</v>
      </c>
    </row>
    <row r="4275" spans="1:11" ht="42" customHeight="1">
      <c r="A4275" s="2" t="s">
        <v>11226</v>
      </c>
      <c r="B4275" s="2" t="s">
        <v>11227</v>
      </c>
      <c r="C4275" s="2" t="s">
        <v>17</v>
      </c>
      <c r="D4275" s="2" t="s">
        <v>573</v>
      </c>
      <c r="E4275" s="4">
        <v>-31921</v>
      </c>
      <c r="F4275" s="3" t="s">
        <v>785</v>
      </c>
      <c r="G4275" s="3" t="s">
        <v>3256</v>
      </c>
      <c r="H4275" s="2" t="s">
        <v>21</v>
      </c>
      <c r="I4275" s="2" t="s">
        <v>11228</v>
      </c>
      <c r="J4275" s="3" t="str">
        <f>HYPERLINK("https://www.boe.es/gazeta/dias/1812/08/07/pdfs/GRE-1812-101E.pdf#page=8","Abrir facsímil")</f>
        <v>Abrir facsímil</v>
      </c>
      <c r="K4275" s="3" t="s">
        <v>23</v>
      </c>
    </row>
    <row r="4276" spans="1:11" ht="42" customHeight="1">
      <c r="A4276" s="2" t="s">
        <v>11229</v>
      </c>
      <c r="B4276" s="2" t="s">
        <v>11229</v>
      </c>
      <c r="C4276" s="2" t="s">
        <v>17</v>
      </c>
      <c r="D4276" s="2" t="s">
        <v>27</v>
      </c>
      <c r="E4276" s="4">
        <v>-31778</v>
      </c>
      <c r="F4276" s="3" t="s">
        <v>1966</v>
      </c>
      <c r="G4276" s="3" t="s">
        <v>237</v>
      </c>
      <c r="H4276" s="2" t="s">
        <v>21</v>
      </c>
      <c r="I4276" s="2" t="s">
        <v>11230</v>
      </c>
      <c r="J4276" s="3" t="str">
        <f>HYPERLINK("https://www.boe.es/gazeta/dias/1812/12/28/pdfs/GMD-1812-251.pdf#page=2","Abrir facsímil")</f>
        <v>Abrir facsímil</v>
      </c>
      <c r="K4276" s="3" t="s">
        <v>23</v>
      </c>
    </row>
    <row r="4277" spans="1:11" ht="42" customHeight="1">
      <c r="A4277" s="2" t="s">
        <v>11231</v>
      </c>
      <c r="B4277" s="2" t="s">
        <v>11231</v>
      </c>
      <c r="C4277" s="2" t="s">
        <v>17</v>
      </c>
      <c r="D4277" s="2" t="s">
        <v>27</v>
      </c>
      <c r="E4277" s="4">
        <v>-31838</v>
      </c>
      <c r="F4277" s="3" t="s">
        <v>1960</v>
      </c>
      <c r="G4277" s="3" t="s">
        <v>11232</v>
      </c>
      <c r="H4277" s="2" t="s">
        <v>21</v>
      </c>
      <c r="I4277" s="2" t="s">
        <v>11233</v>
      </c>
      <c r="J4277" s="3" t="str">
        <f>HYPERLINK("https://www.boe.es/gazeta/dias/1812/10/29/pdfs/GRE-1812-145.pdf#page=3","Abrir facsímil")</f>
        <v>Abrir facsímil</v>
      </c>
      <c r="K4277" s="3" t="s">
        <v>23</v>
      </c>
    </row>
    <row r="4278" spans="1:11" ht="42" customHeight="1">
      <c r="A4278" s="2" t="s">
        <v>11234</v>
      </c>
      <c r="B4278" s="2" t="s">
        <v>11235</v>
      </c>
      <c r="C4278" s="2" t="s">
        <v>26</v>
      </c>
      <c r="D4278" s="2" t="s">
        <v>27</v>
      </c>
      <c r="E4278" s="4">
        <v>-32140</v>
      </c>
      <c r="F4278" s="3" t="s">
        <v>822</v>
      </c>
      <c r="G4278" s="3" t="s">
        <v>45</v>
      </c>
      <c r="H4278" s="2" t="s">
        <v>21</v>
      </c>
      <c r="I4278" s="2" t="s">
        <v>11236</v>
      </c>
      <c r="J4278" s="3" t="str">
        <f>HYPERLINK("https://www.boe.es/gazeta/dias/1812/01/01/pdfs/GMD-1812-1.pdf#page=2","Abrir facsímil")</f>
        <v>Abrir facsímil</v>
      </c>
      <c r="K4278" s="3" t="s">
        <v>23</v>
      </c>
    </row>
    <row r="4279" spans="1:11" ht="42" customHeight="1">
      <c r="A4279" s="2" t="s">
        <v>11237</v>
      </c>
      <c r="B4279" s="2" t="s">
        <v>11237</v>
      </c>
      <c r="C4279" s="2" t="s">
        <v>67</v>
      </c>
      <c r="D4279" s="2" t="s">
        <v>27</v>
      </c>
      <c r="E4279" s="4">
        <v>-31790</v>
      </c>
      <c r="F4279" s="3" t="s">
        <v>11238</v>
      </c>
      <c r="G4279" s="3" t="s">
        <v>36</v>
      </c>
      <c r="H4279" s="2" t="s">
        <v>21</v>
      </c>
      <c r="I4279" s="2" t="s">
        <v>11239</v>
      </c>
      <c r="J4279" s="3" t="str">
        <f>HYPERLINK("https://www.boe.es/gazeta/dias/1812/12/16/pdfs/GMD-1812-239.pdf#page=3","Abrir facsímil")</f>
        <v>Abrir facsímil</v>
      </c>
      <c r="K4279" s="3" t="s">
        <v>23</v>
      </c>
    </row>
    <row r="4280" spans="1:11" ht="42" customHeight="1">
      <c r="A4280" s="2" t="s">
        <v>11240</v>
      </c>
      <c r="B4280" s="2" t="s">
        <v>11241</v>
      </c>
      <c r="C4280" s="2" t="s">
        <v>26</v>
      </c>
      <c r="D4280" s="2" t="s">
        <v>27</v>
      </c>
      <c r="E4280" s="4">
        <v>-32081</v>
      </c>
      <c r="F4280" s="3" t="s">
        <v>232</v>
      </c>
      <c r="G4280" s="3" t="s">
        <v>233</v>
      </c>
      <c r="H4280" s="2" t="s">
        <v>21</v>
      </c>
      <c r="I4280" s="2" t="s">
        <v>11242</v>
      </c>
      <c r="J4280" s="3" t="str">
        <f>HYPERLINK("https://www.boe.es/gazeta/dias/1812/02/29/pdfs/GRE-1812-27.pdf#page=8","Abrir facsímil")</f>
        <v>Abrir facsímil</v>
      </c>
      <c r="K4280" s="3" t="s">
        <v>23</v>
      </c>
    </row>
    <row r="4281" spans="1:11" ht="42" customHeight="1">
      <c r="A4281" s="2" t="s">
        <v>11243</v>
      </c>
      <c r="B4281" s="2" t="s">
        <v>11244</v>
      </c>
      <c r="C4281" s="2" t="s">
        <v>105</v>
      </c>
      <c r="D4281" s="2" t="s">
        <v>27</v>
      </c>
      <c r="E4281" s="4">
        <v>-32034</v>
      </c>
      <c r="F4281" s="3" t="s">
        <v>28</v>
      </c>
      <c r="G4281" s="3" t="s">
        <v>20</v>
      </c>
      <c r="H4281" s="2" t="s">
        <v>21</v>
      </c>
      <c r="I4281" s="2" t="s">
        <v>11245</v>
      </c>
      <c r="J4281" s="3" t="str">
        <f>HYPERLINK("https://www.boe.es/gazeta/dias/1812/04/16/pdfs/GMD-1812-107.pdf#page=3","Abrir facsímil")</f>
        <v>Abrir facsímil</v>
      </c>
      <c r="K4281" s="3" t="s">
        <v>23</v>
      </c>
    </row>
    <row r="4282" spans="1:11" ht="42" customHeight="1">
      <c r="A4282" s="2" t="s">
        <v>11246</v>
      </c>
      <c r="B4282" s="2" t="s">
        <v>11246</v>
      </c>
      <c r="C4282" s="2" t="s">
        <v>17</v>
      </c>
      <c r="D4282" s="2" t="s">
        <v>275</v>
      </c>
      <c r="E4282" s="4">
        <v>-31777</v>
      </c>
      <c r="F4282" s="3" t="s">
        <v>960</v>
      </c>
      <c r="G4282" s="3" t="s">
        <v>125</v>
      </c>
      <c r="H4282" s="2" t="s">
        <v>21</v>
      </c>
      <c r="I4282" s="2" t="s">
        <v>11247</v>
      </c>
      <c r="J4282" s="3" t="str">
        <f>HYPERLINK("https://www.boe.es/gazeta/dias/1812/12/29/pdfs/GMD-1812-252.pdf#page=2","Abrir facsímil")</f>
        <v>Abrir facsímil</v>
      </c>
      <c r="K4282" s="3" t="s">
        <v>23</v>
      </c>
    </row>
    <row r="4283" spans="1:11" ht="42" customHeight="1">
      <c r="A4283" s="2" t="s">
        <v>11248</v>
      </c>
      <c r="B4283" s="2" t="s">
        <v>11248</v>
      </c>
      <c r="C4283" s="2" t="s">
        <v>17</v>
      </c>
      <c r="D4283" s="2" t="s">
        <v>18</v>
      </c>
      <c r="E4283" s="4">
        <v>-31880</v>
      </c>
      <c r="F4283" s="3" t="s">
        <v>705</v>
      </c>
      <c r="G4283" s="3" t="s">
        <v>36</v>
      </c>
      <c r="H4283" s="2" t="s">
        <v>21</v>
      </c>
      <c r="I4283" s="2" t="s">
        <v>11249</v>
      </c>
      <c r="J4283" s="3" t="str">
        <f>HYPERLINK("https://www.boe.es/gazeta/dias/1812/09/17/pdfs/GMR-1812-15.pdf#page=3","Abrir facsímil")</f>
        <v>Abrir facsímil</v>
      </c>
      <c r="K4283" s="3" t="s">
        <v>23</v>
      </c>
    </row>
    <row r="4284" spans="1:11" ht="42" customHeight="1">
      <c r="A4284" s="2" t="s">
        <v>11250</v>
      </c>
      <c r="B4284" s="2" t="s">
        <v>11251</v>
      </c>
      <c r="C4284" s="2" t="s">
        <v>26</v>
      </c>
      <c r="D4284" s="2" t="s">
        <v>27</v>
      </c>
      <c r="E4284" s="4">
        <v>-32062</v>
      </c>
      <c r="F4284" s="3" t="s">
        <v>280</v>
      </c>
      <c r="G4284" s="3" t="s">
        <v>20</v>
      </c>
      <c r="H4284" s="2" t="s">
        <v>21</v>
      </c>
      <c r="I4284" s="2" t="s">
        <v>11252</v>
      </c>
      <c r="J4284" s="3" t="str">
        <f>HYPERLINK("https://www.boe.es/gazeta/dias/1812/03/19/pdfs/GMD-1812-79.pdf#page=4","Abrir facsímil")</f>
        <v>Abrir facsímil</v>
      </c>
      <c r="K4284" s="3" t="s">
        <v>23</v>
      </c>
    </row>
    <row r="4285" spans="1:11" ht="42" customHeight="1">
      <c r="A4285" s="2" t="s">
        <v>11253</v>
      </c>
      <c r="B4285" s="2" t="s">
        <v>11254</v>
      </c>
      <c r="C4285" s="2" t="s">
        <v>49</v>
      </c>
      <c r="D4285" s="2" t="s">
        <v>18</v>
      </c>
      <c r="E4285" s="4">
        <v>-31880</v>
      </c>
      <c r="F4285" s="3" t="s">
        <v>3148</v>
      </c>
      <c r="G4285" s="3" t="s">
        <v>3149</v>
      </c>
      <c r="H4285" s="2" t="s">
        <v>30</v>
      </c>
      <c r="I4285" s="2" t="s">
        <v>11255</v>
      </c>
      <c r="J4285" s="3" t="str">
        <f>HYPERLINK("https://www.boe.es/gazeta/dias/1812/09/17/pdfs/GRE-1812-126.pdf#page=8","Abrir facsímil")</f>
        <v>Abrir facsímil</v>
      </c>
      <c r="K4285" s="3" t="s">
        <v>32</v>
      </c>
    </row>
    <row r="4286" spans="1:11" ht="42" customHeight="1">
      <c r="A4286" s="2" t="s">
        <v>11256</v>
      </c>
      <c r="B4286" s="2" t="s">
        <v>11257</v>
      </c>
      <c r="C4286" s="2" t="s">
        <v>26</v>
      </c>
      <c r="D4286" s="2" t="s">
        <v>27</v>
      </c>
      <c r="E4286" s="4">
        <v>-32134</v>
      </c>
      <c r="F4286" s="3" t="s">
        <v>50</v>
      </c>
      <c r="G4286" s="3" t="s">
        <v>233</v>
      </c>
      <c r="H4286" s="2" t="s">
        <v>21</v>
      </c>
      <c r="I4286" s="2" t="s">
        <v>11258</v>
      </c>
      <c r="J4286" s="3" t="str">
        <f>HYPERLINK("https://www.boe.es/gazeta/dias/1812/01/07/pdfs/GEI-1812-3.pdf#page=8","Abrir facsímil")</f>
        <v>Abrir facsímil</v>
      </c>
      <c r="K4286" s="3" t="s">
        <v>23</v>
      </c>
    </row>
    <row r="4287" spans="1:11" ht="42" customHeight="1">
      <c r="A4287" s="2" t="s">
        <v>11259</v>
      </c>
      <c r="B4287" s="2" t="s">
        <v>11260</v>
      </c>
      <c r="C4287" s="2" t="s">
        <v>26</v>
      </c>
      <c r="D4287" s="2" t="s">
        <v>27</v>
      </c>
      <c r="E4287" s="4">
        <v>-32134</v>
      </c>
      <c r="F4287" s="3" t="s">
        <v>50</v>
      </c>
      <c r="G4287" s="3" t="s">
        <v>233</v>
      </c>
      <c r="H4287" s="2" t="s">
        <v>21</v>
      </c>
      <c r="I4287" s="2" t="s">
        <v>11261</v>
      </c>
      <c r="J4287" s="3" t="str">
        <f>HYPERLINK("https://www.boe.es/gazeta/dias/1812/01/07/pdfs/GEI-1812-3.pdf#page=8","Abrir facsímil")</f>
        <v>Abrir facsímil</v>
      </c>
      <c r="K4287" s="3" t="s">
        <v>23</v>
      </c>
    </row>
    <row r="4288" spans="1:11" ht="42" customHeight="1">
      <c r="A4288" s="2" t="s">
        <v>11262</v>
      </c>
      <c r="B4288" s="2" t="s">
        <v>11262</v>
      </c>
      <c r="C4288" s="2" t="s">
        <v>17</v>
      </c>
      <c r="D4288" s="2" t="s">
        <v>27</v>
      </c>
      <c r="E4288" s="4">
        <v>-31992</v>
      </c>
      <c r="F4288" s="3" t="s">
        <v>1292</v>
      </c>
      <c r="G4288" s="3" t="s">
        <v>5686</v>
      </c>
      <c r="H4288" s="2" t="s">
        <v>21</v>
      </c>
      <c r="I4288" s="2" t="s">
        <v>11263</v>
      </c>
      <c r="J4288" s="3" t="str">
        <f>HYPERLINK("https://www.boe.es/gazeta/dias/1812/05/28/pdfs/GRE-1812-66.pdf#page=2","Abrir facsímil")</f>
        <v>Abrir facsímil</v>
      </c>
      <c r="K4288" s="3" t="s">
        <v>23</v>
      </c>
    </row>
    <row r="4289" spans="1:11" ht="42" customHeight="1">
      <c r="A4289" s="2" t="s">
        <v>11264</v>
      </c>
      <c r="B4289" s="2" t="s">
        <v>11265</v>
      </c>
      <c r="C4289" s="2" t="s">
        <v>186</v>
      </c>
      <c r="D4289" s="2" t="s">
        <v>27</v>
      </c>
      <c r="E4289" s="4">
        <v>-31882</v>
      </c>
      <c r="F4289" s="3" t="s">
        <v>1798</v>
      </c>
      <c r="G4289" s="3" t="s">
        <v>11266</v>
      </c>
      <c r="H4289" s="2" t="s">
        <v>21</v>
      </c>
      <c r="I4289" s="2" t="s">
        <v>11267</v>
      </c>
      <c r="J4289" s="3" t="str">
        <f>HYPERLINK("https://www.boe.es/gazeta/dias/1812/09/15/pdfs/GMR-1812-14.pdf#page=11","Abrir facsímil")</f>
        <v>Abrir facsímil</v>
      </c>
      <c r="K4289" s="3" t="s">
        <v>23</v>
      </c>
    </row>
    <row r="4290" spans="1:11" ht="42" customHeight="1">
      <c r="A4290" s="2" t="s">
        <v>11268</v>
      </c>
      <c r="B4290" s="2" t="s">
        <v>11269</v>
      </c>
      <c r="C4290" s="2" t="s">
        <v>186</v>
      </c>
      <c r="D4290" s="2" t="s">
        <v>275</v>
      </c>
      <c r="E4290" s="4">
        <v>-32100</v>
      </c>
      <c r="F4290" s="3" t="s">
        <v>492</v>
      </c>
      <c r="G4290" s="3" t="s">
        <v>493</v>
      </c>
      <c r="H4290" s="2" t="s">
        <v>21</v>
      </c>
      <c r="I4290" s="2" t="s">
        <v>11270</v>
      </c>
      <c r="J4290" s="3" t="str">
        <f>HYPERLINK("https://www.boe.es/gazeta/dias/1812/02/10/pdfs/GRE-1812-31.pdf#page=8","Abrir facsímil")</f>
        <v>Abrir facsímil</v>
      </c>
      <c r="K4290" s="3" t="s">
        <v>23</v>
      </c>
    </row>
    <row r="4291" spans="1:11" ht="42" customHeight="1">
      <c r="A4291" s="2" t="s">
        <v>11268</v>
      </c>
      <c r="B4291" s="2" t="s">
        <v>11269</v>
      </c>
      <c r="C4291" s="2" t="s">
        <v>186</v>
      </c>
      <c r="D4291" s="2" t="s">
        <v>275</v>
      </c>
      <c r="E4291" s="4">
        <v>-32071</v>
      </c>
      <c r="F4291" s="3" t="s">
        <v>492</v>
      </c>
      <c r="G4291" s="3" t="s">
        <v>493</v>
      </c>
      <c r="H4291" s="2" t="s">
        <v>21</v>
      </c>
      <c r="I4291" s="2" t="s">
        <v>11270</v>
      </c>
      <c r="J4291" s="3" t="str">
        <f>HYPERLINK("https://www.boe.es/gazeta/dias/1812/03/10/pdfs/GRE-1812-31.pdf#page=8","Abrir facsímil")</f>
        <v>Abrir facsímil</v>
      </c>
      <c r="K4291" s="3" t="s">
        <v>23</v>
      </c>
    </row>
    <row r="4292" spans="1:11" ht="42" customHeight="1">
      <c r="A4292" s="2" t="s">
        <v>11271</v>
      </c>
      <c r="B4292" s="2" t="s">
        <v>11272</v>
      </c>
      <c r="C4292" s="2" t="s">
        <v>17</v>
      </c>
      <c r="D4292" s="2" t="s">
        <v>18</v>
      </c>
      <c r="E4292" s="4">
        <v>-31978</v>
      </c>
      <c r="F4292" s="3" t="s">
        <v>1790</v>
      </c>
      <c r="G4292" s="3" t="s">
        <v>896</v>
      </c>
      <c r="H4292" s="2" t="s">
        <v>21</v>
      </c>
      <c r="I4292" s="2" t="s">
        <v>11273</v>
      </c>
      <c r="J4292" s="3" t="str">
        <f>HYPERLINK("https://www.boe.es/gazeta/dias/1812/06/11/pdfs/GRE-1812-72.pdf#page=5","Abrir facsímil")</f>
        <v>Abrir facsímil</v>
      </c>
      <c r="K4292" s="3" t="s">
        <v>23</v>
      </c>
    </row>
    <row r="4293" spans="1:11" ht="42" customHeight="1">
      <c r="A4293" s="2" t="s">
        <v>11274</v>
      </c>
      <c r="B4293" s="2" t="s">
        <v>11275</v>
      </c>
      <c r="C4293" s="2" t="s">
        <v>105</v>
      </c>
      <c r="D4293" s="2" t="s">
        <v>27</v>
      </c>
      <c r="E4293" s="4">
        <v>-32132</v>
      </c>
      <c r="F4293" s="3" t="s">
        <v>484</v>
      </c>
      <c r="G4293" s="3" t="s">
        <v>485</v>
      </c>
      <c r="H4293" s="2" t="s">
        <v>21</v>
      </c>
      <c r="I4293" s="2" t="s">
        <v>11276</v>
      </c>
      <c r="J4293" s="3" t="str">
        <f>HYPERLINK("https://www.boe.es/gazeta/dias/1812/01/09/pdfs/GEI-1812-4.pdf#page=8","Abrir facsímil")</f>
        <v>Abrir facsímil</v>
      </c>
      <c r="K4293" s="3" t="s">
        <v>23</v>
      </c>
    </row>
    <row r="4294" spans="1:11" ht="42" customHeight="1">
      <c r="A4294" s="2" t="s">
        <v>11277</v>
      </c>
      <c r="B4294" s="2" t="s">
        <v>11278</v>
      </c>
      <c r="C4294" s="2" t="s">
        <v>17</v>
      </c>
      <c r="D4294" s="2" t="s">
        <v>18</v>
      </c>
      <c r="E4294" s="4">
        <v>-31857</v>
      </c>
      <c r="F4294" s="3" t="s">
        <v>1000</v>
      </c>
      <c r="G4294" s="3" t="s">
        <v>4086</v>
      </c>
      <c r="H4294" s="2" t="s">
        <v>21</v>
      </c>
      <c r="I4294" s="2" t="s">
        <v>11279</v>
      </c>
      <c r="J4294" s="3" t="str">
        <f>HYPERLINK("https://www.boe.es/gazeta/dias/1812/10/10/pdfs/GRE-1812-137.pdf#page=5","Abrir facsímil")</f>
        <v>Abrir facsímil</v>
      </c>
      <c r="K4294" s="3" t="s">
        <v>23</v>
      </c>
    </row>
    <row r="4295" spans="1:11" ht="42" customHeight="1">
      <c r="A4295" s="2" t="s">
        <v>11280</v>
      </c>
      <c r="B4295" s="2" t="s">
        <v>11281</v>
      </c>
      <c r="C4295" s="2" t="s">
        <v>105</v>
      </c>
      <c r="D4295" s="2" t="s">
        <v>27</v>
      </c>
      <c r="E4295" s="4">
        <v>-32044</v>
      </c>
      <c r="F4295" s="3" t="s">
        <v>1031</v>
      </c>
      <c r="G4295" s="3" t="s">
        <v>1873</v>
      </c>
      <c r="H4295" s="2" t="s">
        <v>21</v>
      </c>
      <c r="I4295" s="2" t="s">
        <v>11282</v>
      </c>
      <c r="J4295" s="3" t="str">
        <f>HYPERLINK("https://www.boe.es/gazeta/dias/1812/04/06/pdfs/GMD-1812-97.pdf#page=4","Abrir facsímil")</f>
        <v>Abrir facsímil</v>
      </c>
      <c r="K4295" s="3" t="s">
        <v>23</v>
      </c>
    </row>
    <row r="4296" spans="1:11" ht="42" customHeight="1">
      <c r="A4296" s="2" t="s">
        <v>11283</v>
      </c>
      <c r="B4296" s="2" t="s">
        <v>11284</v>
      </c>
      <c r="C4296" s="2" t="s">
        <v>186</v>
      </c>
      <c r="D4296" s="2" t="s">
        <v>27</v>
      </c>
      <c r="E4296" s="4">
        <v>-31945</v>
      </c>
      <c r="F4296" s="3" t="s">
        <v>1485</v>
      </c>
      <c r="G4296" s="3" t="s">
        <v>159</v>
      </c>
      <c r="H4296" s="2" t="s">
        <v>21</v>
      </c>
      <c r="I4296" s="2" t="s">
        <v>11285</v>
      </c>
      <c r="J4296" s="3" t="str">
        <f>HYPERLINK("https://www.boe.es/gazeta/dias/1812/07/14/pdfs/GRE-1812-88.pdf#page=5","Abrir facsímil")</f>
        <v>Abrir facsímil</v>
      </c>
      <c r="K4296" s="3" t="s">
        <v>23</v>
      </c>
    </row>
    <row r="4297" spans="1:11" ht="42" customHeight="1">
      <c r="A4297" s="2" t="s">
        <v>11286</v>
      </c>
      <c r="B4297" s="2" t="s">
        <v>11287</v>
      </c>
      <c r="C4297" s="2" t="s">
        <v>26</v>
      </c>
      <c r="D4297" s="2" t="s">
        <v>27</v>
      </c>
      <c r="E4297" s="4">
        <v>-32034</v>
      </c>
      <c r="F4297" s="3" t="s">
        <v>28</v>
      </c>
      <c r="G4297" s="3" t="s">
        <v>45</v>
      </c>
      <c r="H4297" s="2" t="s">
        <v>21</v>
      </c>
      <c r="I4297" s="2" t="s">
        <v>11288</v>
      </c>
      <c r="J4297" s="3" t="str">
        <f>HYPERLINK("https://www.boe.es/gazeta/dias/1812/04/16/pdfs/GMD-1812-107.pdf#page=5","Abrir facsímil")</f>
        <v>Abrir facsímil</v>
      </c>
      <c r="K4297" s="3" t="s">
        <v>23</v>
      </c>
    </row>
    <row r="4298" spans="1:11" ht="42" customHeight="1">
      <c r="A4298" s="2" t="s">
        <v>11289</v>
      </c>
      <c r="B4298" s="2" t="s">
        <v>11290</v>
      </c>
      <c r="C4298" s="2" t="s">
        <v>17</v>
      </c>
      <c r="D4298" s="2" t="s">
        <v>18</v>
      </c>
      <c r="E4298" s="4">
        <v>-31938</v>
      </c>
      <c r="F4298" s="3" t="s">
        <v>370</v>
      </c>
      <c r="G4298" s="3" t="s">
        <v>371</v>
      </c>
      <c r="H4298" s="2" t="s">
        <v>21</v>
      </c>
      <c r="I4298" s="2" t="s">
        <v>11291</v>
      </c>
      <c r="J4298" s="3" t="str">
        <f>HYPERLINK("https://www.boe.es/gazeta/dias/1812/07/21/pdfs/GRE-1812-91.pdf#page=8","Abrir facsímil")</f>
        <v>Abrir facsímil</v>
      </c>
      <c r="K4298" s="3" t="s">
        <v>23</v>
      </c>
    </row>
    <row r="4299" spans="1:11" ht="42" customHeight="1">
      <c r="A4299" s="2" t="s">
        <v>11292</v>
      </c>
      <c r="B4299" s="2" t="s">
        <v>11293</v>
      </c>
      <c r="C4299" s="2" t="s">
        <v>115</v>
      </c>
      <c r="D4299" s="2" t="s">
        <v>27</v>
      </c>
      <c r="E4299" s="4">
        <v>-32095</v>
      </c>
      <c r="F4299" s="3" t="s">
        <v>181</v>
      </c>
      <c r="G4299" s="3" t="s">
        <v>182</v>
      </c>
      <c r="H4299" s="2" t="s">
        <v>21</v>
      </c>
      <c r="I4299" s="2" t="s">
        <v>11294</v>
      </c>
      <c r="J4299" s="3" t="str">
        <f>HYPERLINK("https://www.boe.es/gazeta/dias/1812/02/15/pdfs/GMD-1812-47.pdf#page=4","Abrir facsímil")</f>
        <v>Abrir facsímil</v>
      </c>
      <c r="K4299" s="3" t="s">
        <v>23</v>
      </c>
    </row>
    <row r="4300" spans="1:11" ht="42" customHeight="1">
      <c r="A4300" s="2" t="s">
        <v>11292</v>
      </c>
      <c r="B4300" s="2" t="s">
        <v>11293</v>
      </c>
      <c r="C4300" s="2" t="s">
        <v>115</v>
      </c>
      <c r="D4300" s="2" t="s">
        <v>27</v>
      </c>
      <c r="E4300" s="4">
        <v>-32094</v>
      </c>
      <c r="F4300" s="3" t="s">
        <v>181</v>
      </c>
      <c r="G4300" s="3" t="s">
        <v>182</v>
      </c>
      <c r="H4300" s="2" t="s">
        <v>21</v>
      </c>
      <c r="I4300" s="2" t="s">
        <v>11294</v>
      </c>
      <c r="J4300" s="3" t="str">
        <f>HYPERLINK("https://www.boe.es/gazeta/dias/1812/02/16/pdfs/GMD-1812-47.pdf#page=4","Abrir facsímil")</f>
        <v>Abrir facsímil</v>
      </c>
      <c r="K4300" s="3" t="s">
        <v>23</v>
      </c>
    </row>
    <row r="4301" spans="1:11" ht="42" customHeight="1">
      <c r="A4301" s="2" t="s">
        <v>11295</v>
      </c>
      <c r="B4301" s="2" t="s">
        <v>11296</v>
      </c>
      <c r="C4301" s="2" t="s">
        <v>17</v>
      </c>
      <c r="D4301" s="2" t="s">
        <v>134</v>
      </c>
      <c r="E4301" s="4">
        <v>-31955</v>
      </c>
      <c r="F4301" s="3" t="s">
        <v>135</v>
      </c>
      <c r="G4301" s="3" t="s">
        <v>58</v>
      </c>
      <c r="H4301" s="2" t="s">
        <v>21</v>
      </c>
      <c r="I4301" s="2" t="s">
        <v>11297</v>
      </c>
      <c r="J4301" s="3" t="str">
        <f>HYPERLINK("https://www.boe.es/gazeta/dias/1812/07/04/pdfs/GRE-F-1812-82.pdf#page=6","Abrir facsímil")</f>
        <v>Abrir facsímil</v>
      </c>
      <c r="K4301" s="3" t="s">
        <v>23</v>
      </c>
    </row>
    <row r="4302" spans="1:11" ht="42" customHeight="1">
      <c r="A4302" s="2" t="s">
        <v>11298</v>
      </c>
      <c r="B4302" s="2" t="s">
        <v>11299</v>
      </c>
      <c r="C4302" s="2" t="s">
        <v>26</v>
      </c>
      <c r="D4302" s="2" t="s">
        <v>27</v>
      </c>
      <c r="E4302" s="4">
        <v>-31821</v>
      </c>
      <c r="F4302" s="3" t="s">
        <v>1979</v>
      </c>
      <c r="G4302" s="3" t="s">
        <v>317</v>
      </c>
      <c r="H4302" s="2" t="s">
        <v>21</v>
      </c>
      <c r="I4302" s="2" t="s">
        <v>11300</v>
      </c>
      <c r="J4302" s="3" t="str">
        <f>HYPERLINK("https://www.boe.es/gazeta/dias/1812/11/15/pdfs/GMR-1812-34.pdf#page=6","Abrir facsímil")</f>
        <v>Abrir facsímil</v>
      </c>
      <c r="K4302" s="3" t="s">
        <v>23</v>
      </c>
    </row>
    <row r="4303" spans="1:11" ht="42" customHeight="1">
      <c r="A4303" s="2" t="s">
        <v>11301</v>
      </c>
      <c r="B4303" s="2" t="s">
        <v>11301</v>
      </c>
      <c r="C4303" s="2" t="s">
        <v>17</v>
      </c>
      <c r="D4303" s="2" t="s">
        <v>18</v>
      </c>
      <c r="E4303" s="4">
        <v>-31826</v>
      </c>
      <c r="F4303" s="3" t="s">
        <v>7488</v>
      </c>
      <c r="G4303" s="3" t="s">
        <v>125</v>
      </c>
      <c r="H4303" s="2" t="s">
        <v>21</v>
      </c>
      <c r="I4303" s="2" t="s">
        <v>11302</v>
      </c>
      <c r="J4303" s="3" t="str">
        <f>HYPERLINK("https://www.boe.es/gazeta/dias/1812/11/10/pdfs/GRE-1812-150.pdf#page=6","Abrir facsímil")</f>
        <v>Abrir facsímil</v>
      </c>
      <c r="K4303" s="3" t="s">
        <v>23</v>
      </c>
    </row>
    <row r="4304" spans="1:11" ht="42" customHeight="1">
      <c r="A4304" s="2" t="s">
        <v>11303</v>
      </c>
      <c r="B4304" s="2" t="s">
        <v>11304</v>
      </c>
      <c r="C4304" s="2" t="s">
        <v>26</v>
      </c>
      <c r="D4304" s="2" t="s">
        <v>27</v>
      </c>
      <c r="E4304" s="4">
        <v>-31976</v>
      </c>
      <c r="F4304" s="3" t="s">
        <v>54</v>
      </c>
      <c r="G4304" s="3" t="s">
        <v>1335</v>
      </c>
      <c r="H4304" s="2" t="s">
        <v>21</v>
      </c>
      <c r="I4304" s="2" t="s">
        <v>11305</v>
      </c>
      <c r="J4304" s="3" t="str">
        <f>HYPERLINK("https://www.boe.es/gazeta/dias/1812/06/13/pdfs/GRE-1812-73.pdf#page=7","Abrir facsímil")</f>
        <v>Abrir facsímil</v>
      </c>
      <c r="K4304" s="3" t="s">
        <v>23</v>
      </c>
    </row>
    <row r="4305" spans="1:11" ht="42" customHeight="1">
      <c r="A4305" s="2" t="s">
        <v>11306</v>
      </c>
      <c r="B4305" s="2" t="s">
        <v>11307</v>
      </c>
      <c r="C4305" s="2" t="s">
        <v>82</v>
      </c>
      <c r="D4305" s="2" t="s">
        <v>27</v>
      </c>
      <c r="E4305" s="4">
        <v>-32085</v>
      </c>
      <c r="F4305" s="3" t="s">
        <v>3321</v>
      </c>
      <c r="G4305" s="3" t="s">
        <v>688</v>
      </c>
      <c r="H4305" s="2" t="s">
        <v>21</v>
      </c>
      <c r="I4305" s="2" t="s">
        <v>11308</v>
      </c>
      <c r="J4305" s="3" t="str">
        <f>HYPERLINK("https://www.boe.es/gazeta/dias/1812/02/25/pdfs/GRE-1812-25.pdf#page=4","Abrir facsímil")</f>
        <v>Abrir facsímil</v>
      </c>
      <c r="K4305" s="3" t="s">
        <v>23</v>
      </c>
    </row>
    <row r="4306" spans="1:11" ht="42" customHeight="1">
      <c r="A4306" s="2" t="s">
        <v>11309</v>
      </c>
      <c r="B4306" s="2" t="s">
        <v>11309</v>
      </c>
      <c r="C4306" s="2" t="s">
        <v>26</v>
      </c>
      <c r="D4306" s="2" t="s">
        <v>194</v>
      </c>
      <c r="E4306" s="4">
        <v>-32102</v>
      </c>
      <c r="F4306" s="3" t="s">
        <v>11310</v>
      </c>
      <c r="G4306" s="3" t="s">
        <v>45</v>
      </c>
      <c r="H4306" s="2" t="s">
        <v>21</v>
      </c>
      <c r="I4306" s="2" t="s">
        <v>11311</v>
      </c>
      <c r="J4306" s="3" t="str">
        <f>HYPERLINK("https://www.boe.es/gazeta/dias/1812/02/08/pdfs/GMD-1812-39.pdf#page=2","Abrir facsímil")</f>
        <v>Abrir facsímil</v>
      </c>
      <c r="K4306" s="3" t="s">
        <v>23</v>
      </c>
    </row>
    <row r="4307" spans="1:11" ht="42" customHeight="1">
      <c r="A4307" s="2" t="s">
        <v>11309</v>
      </c>
      <c r="B4307" s="2" t="s">
        <v>11309</v>
      </c>
      <c r="C4307" s="2" t="s">
        <v>26</v>
      </c>
      <c r="D4307" s="2" t="s">
        <v>27</v>
      </c>
      <c r="E4307" s="4">
        <v>-32044</v>
      </c>
      <c r="F4307" s="3" t="s">
        <v>1031</v>
      </c>
      <c r="G4307" s="3" t="s">
        <v>125</v>
      </c>
      <c r="H4307" s="2" t="s">
        <v>21</v>
      </c>
      <c r="I4307" s="2" t="s">
        <v>11312</v>
      </c>
      <c r="J4307" s="3" t="str">
        <f>HYPERLINK("https://www.boe.es/gazeta/dias/1812/04/06/pdfs/GMD-1812-97.pdf#page=2","Abrir facsímil")</f>
        <v>Abrir facsímil</v>
      </c>
      <c r="K4307" s="3" t="s">
        <v>23</v>
      </c>
    </row>
    <row r="4308" spans="1:11" ht="42" customHeight="1">
      <c r="A4308" s="2" t="s">
        <v>11309</v>
      </c>
      <c r="B4308" s="2" t="s">
        <v>11309</v>
      </c>
      <c r="C4308" s="2" t="s">
        <v>26</v>
      </c>
      <c r="D4308" s="2" t="s">
        <v>27</v>
      </c>
      <c r="E4308" s="4">
        <v>-31974</v>
      </c>
      <c r="F4308" s="3" t="s">
        <v>2986</v>
      </c>
      <c r="G4308" s="3" t="s">
        <v>58</v>
      </c>
      <c r="H4308" s="2" t="s">
        <v>21</v>
      </c>
      <c r="I4308" s="2" t="s">
        <v>11313</v>
      </c>
      <c r="J4308" s="3" t="str">
        <f>HYPERLINK("https://www.boe.es/gazeta/dias/1812/06/15/pdfs/GMD-1812-167.pdf#page=3","Abrir facsímil")</f>
        <v>Abrir facsímil</v>
      </c>
      <c r="K4308" s="3" t="s">
        <v>23</v>
      </c>
    </row>
    <row r="4309" spans="1:11" ht="42" customHeight="1">
      <c r="A4309" s="2" t="s">
        <v>11314</v>
      </c>
      <c r="B4309" s="2" t="s">
        <v>11315</v>
      </c>
      <c r="C4309" s="2" t="s">
        <v>26</v>
      </c>
      <c r="D4309" s="2" t="s">
        <v>27</v>
      </c>
      <c r="E4309" s="4">
        <v>-32034</v>
      </c>
      <c r="F4309" s="3" t="s">
        <v>28</v>
      </c>
      <c r="G4309" s="3" t="s">
        <v>45</v>
      </c>
      <c r="H4309" s="2" t="s">
        <v>30</v>
      </c>
      <c r="I4309" s="2" t="s">
        <v>11316</v>
      </c>
      <c r="J4309" s="3" t="str">
        <f>HYPERLINK("https://www.boe.es/gazeta/dias/1812/04/16/pdfs/GMD-1812-107.pdf#page=5","Abrir facsímil")</f>
        <v>Abrir facsímil</v>
      </c>
      <c r="K4309" s="3" t="s">
        <v>32</v>
      </c>
    </row>
    <row r="4310" spans="1:11" ht="42" customHeight="1">
      <c r="A4310" s="2" t="s">
        <v>11317</v>
      </c>
      <c r="B4310" s="2" t="s">
        <v>11318</v>
      </c>
      <c r="C4310" s="2" t="s">
        <v>105</v>
      </c>
      <c r="D4310" s="2" t="s">
        <v>27</v>
      </c>
      <c r="E4310" s="4">
        <v>-32016</v>
      </c>
      <c r="F4310" s="3" t="s">
        <v>11319</v>
      </c>
      <c r="G4310" s="3" t="s">
        <v>130</v>
      </c>
      <c r="H4310" s="2" t="s">
        <v>30</v>
      </c>
      <c r="I4310" s="2" t="s">
        <v>11320</v>
      </c>
      <c r="J4310" s="3" t="str">
        <f>HYPERLINK("https://www.boe.es/gazeta/dias/1812/05/04/pdfs/GMD-1812-125.pdf#page=4","Abrir facsímil")</f>
        <v>Abrir facsímil</v>
      </c>
      <c r="K4310" s="3" t="s">
        <v>32</v>
      </c>
    </row>
    <row r="4311" spans="1:11" ht="42" customHeight="1">
      <c r="A4311" s="2" t="s">
        <v>11321</v>
      </c>
      <c r="B4311" s="2" t="s">
        <v>11322</v>
      </c>
      <c r="C4311" s="2" t="s">
        <v>26</v>
      </c>
      <c r="D4311" s="2" t="s">
        <v>27</v>
      </c>
      <c r="E4311" s="4">
        <v>-32004</v>
      </c>
      <c r="F4311" s="3" t="s">
        <v>148</v>
      </c>
      <c r="G4311" s="3" t="s">
        <v>214</v>
      </c>
      <c r="H4311" s="2" t="s">
        <v>21</v>
      </c>
      <c r="I4311" s="2" t="s">
        <v>11323</v>
      </c>
      <c r="J4311" s="3" t="str">
        <f>HYPERLINK("https://www.boe.es/gazeta/dias/1812/05/16/pdfs/GRE-1812-61.pdf#page=5","Abrir facsímil")</f>
        <v>Abrir facsímil</v>
      </c>
      <c r="K4311" s="3" t="s">
        <v>23</v>
      </c>
    </row>
    <row r="4312" spans="1:11" ht="42" customHeight="1">
      <c r="A4312" s="2" t="s">
        <v>11324</v>
      </c>
      <c r="B4312" s="2" t="s">
        <v>11325</v>
      </c>
      <c r="C4312" s="2" t="s">
        <v>26</v>
      </c>
      <c r="D4312" s="2" t="s">
        <v>27</v>
      </c>
      <c r="E4312" s="4">
        <v>-31969</v>
      </c>
      <c r="F4312" s="3" t="s">
        <v>83</v>
      </c>
      <c r="G4312" s="3" t="s">
        <v>84</v>
      </c>
      <c r="H4312" s="2" t="s">
        <v>21</v>
      </c>
      <c r="I4312" s="2" t="s">
        <v>11326</v>
      </c>
      <c r="J4312" s="3" t="str">
        <f>HYPERLINK("https://www.boe.es/gazeta/dias/1812/06/20/pdfs/GRE-1812-76.pdf#page=8","Abrir facsímil")</f>
        <v>Abrir facsímil</v>
      </c>
      <c r="K4312" s="3" t="s">
        <v>23</v>
      </c>
    </row>
    <row r="4313" spans="1:11" ht="42" customHeight="1">
      <c r="A4313" s="2" t="s">
        <v>11327</v>
      </c>
      <c r="B4313" s="2" t="s">
        <v>11327</v>
      </c>
      <c r="C4313" s="2" t="s">
        <v>17</v>
      </c>
      <c r="D4313" s="2" t="s">
        <v>27</v>
      </c>
      <c r="E4313" s="4">
        <v>-31964</v>
      </c>
      <c r="F4313" s="3" t="s">
        <v>93</v>
      </c>
      <c r="G4313" s="3" t="s">
        <v>2548</v>
      </c>
      <c r="H4313" s="2" t="s">
        <v>21</v>
      </c>
      <c r="I4313" s="2" t="s">
        <v>11328</v>
      </c>
      <c r="J4313" s="3" t="str">
        <f>HYPERLINK("https://www.boe.es/gazeta/dias/1812/06/25/pdfs/GRE-1812-78.pdf#page=5","Abrir facsímil")</f>
        <v>Abrir facsímil</v>
      </c>
      <c r="K4313" s="3" t="s">
        <v>23</v>
      </c>
    </row>
    <row r="4314" spans="1:11" ht="42" customHeight="1">
      <c r="A4314" s="2" t="s">
        <v>11327</v>
      </c>
      <c r="B4314" s="2" t="s">
        <v>11327</v>
      </c>
      <c r="C4314" s="2" t="s">
        <v>17</v>
      </c>
      <c r="D4314" s="2" t="s">
        <v>18</v>
      </c>
      <c r="E4314" s="4">
        <v>-31922</v>
      </c>
      <c r="F4314" s="3" t="s">
        <v>622</v>
      </c>
      <c r="G4314" s="3" t="s">
        <v>623</v>
      </c>
      <c r="H4314" s="2" t="s">
        <v>21</v>
      </c>
      <c r="I4314" s="2" t="s">
        <v>11329</v>
      </c>
      <c r="J4314" s="3" t="str">
        <f>HYPERLINK("https://www.boe.es/gazeta/dias/1812/08/06/pdfs/GMD-1812-219.pdf#page=1","Abrir facsímil")</f>
        <v>Abrir facsímil</v>
      </c>
      <c r="K4314" s="3" t="s">
        <v>23</v>
      </c>
    </row>
    <row r="4315" spans="1:11" ht="42" customHeight="1">
      <c r="A4315" s="2" t="s">
        <v>11330</v>
      </c>
      <c r="B4315" s="2" t="s">
        <v>11331</v>
      </c>
      <c r="C4315" s="2" t="s">
        <v>26</v>
      </c>
      <c r="D4315" s="2" t="s">
        <v>27</v>
      </c>
      <c r="E4315" s="4">
        <v>-32086</v>
      </c>
      <c r="F4315" s="3" t="s">
        <v>2067</v>
      </c>
      <c r="G4315" s="3" t="s">
        <v>196</v>
      </c>
      <c r="H4315" s="2" t="s">
        <v>21</v>
      </c>
      <c r="I4315" s="2" t="s">
        <v>11332</v>
      </c>
      <c r="J4315" s="3" t="str">
        <f>HYPERLINK("https://www.boe.es/gazeta/dias/1812/02/24/pdfs/GMD-1812-55.pdf#page=1","Abrir facsímil")</f>
        <v>Abrir facsímil</v>
      </c>
      <c r="K4315" s="3" t="s">
        <v>23</v>
      </c>
    </row>
    <row r="4316" spans="1:11" ht="42" customHeight="1">
      <c r="A4316" s="2" t="s">
        <v>11333</v>
      </c>
      <c r="B4316" s="2" t="s">
        <v>11333</v>
      </c>
      <c r="C4316" s="2" t="s">
        <v>17</v>
      </c>
      <c r="D4316" s="2" t="s">
        <v>18</v>
      </c>
      <c r="E4316" s="4">
        <v>-32018</v>
      </c>
      <c r="F4316" s="3" t="s">
        <v>1287</v>
      </c>
      <c r="G4316" s="3" t="s">
        <v>1288</v>
      </c>
      <c r="H4316" s="2" t="s">
        <v>21</v>
      </c>
      <c r="I4316" s="2" t="s">
        <v>11334</v>
      </c>
      <c r="J4316" s="3" t="str">
        <f>HYPERLINK("https://www.boe.es/gazeta/dias/1812/05/02/pdfs/GMD-1812-123.pdf#page=2","Abrir facsímil")</f>
        <v>Abrir facsímil</v>
      </c>
      <c r="K4316" s="3" t="s">
        <v>23</v>
      </c>
    </row>
    <row r="4317" spans="1:11" ht="42" customHeight="1">
      <c r="A4317" s="2" t="s">
        <v>11335</v>
      </c>
      <c r="B4317" s="2" t="s">
        <v>11336</v>
      </c>
      <c r="C4317" s="2" t="s">
        <v>26</v>
      </c>
      <c r="D4317" s="2" t="s">
        <v>27</v>
      </c>
      <c r="E4317" s="4">
        <v>-32034</v>
      </c>
      <c r="F4317" s="3" t="s">
        <v>28</v>
      </c>
      <c r="G4317" s="3" t="s">
        <v>29</v>
      </c>
      <c r="H4317" s="2" t="s">
        <v>30</v>
      </c>
      <c r="I4317" s="2" t="s">
        <v>11337</v>
      </c>
      <c r="J4317" s="3" t="str">
        <f>HYPERLINK("https://www.boe.es/gazeta/dias/1812/04/16/pdfs/GMD-1812-107.pdf#page=8","Abrir facsímil")</f>
        <v>Abrir facsímil</v>
      </c>
      <c r="K4317" s="3" t="s">
        <v>32</v>
      </c>
    </row>
    <row r="4318" spans="1:11" ht="42" customHeight="1">
      <c r="A4318" s="2" t="s">
        <v>11338</v>
      </c>
      <c r="B4318" s="2" t="s">
        <v>11338</v>
      </c>
      <c r="C4318" s="2" t="s">
        <v>17</v>
      </c>
      <c r="D4318" s="2" t="s">
        <v>18</v>
      </c>
      <c r="E4318" s="4">
        <v>-32060</v>
      </c>
      <c r="F4318" s="3" t="s">
        <v>399</v>
      </c>
      <c r="G4318" s="3" t="s">
        <v>801</v>
      </c>
      <c r="H4318" s="2" t="s">
        <v>21</v>
      </c>
      <c r="I4318" s="2" t="s">
        <v>11339</v>
      </c>
      <c r="J4318" s="3" t="str">
        <f>HYPERLINK("https://www.boe.es/gazeta/dias/1812/03/21/pdfs/GMD-1812-81.pdf#page=3","Abrir facsímil")</f>
        <v>Abrir facsímil</v>
      </c>
      <c r="K4318" s="3" t="s">
        <v>23</v>
      </c>
    </row>
    <row r="4319" spans="1:11" ht="42" customHeight="1">
      <c r="A4319" s="2" t="s">
        <v>11340</v>
      </c>
      <c r="B4319" s="2" t="s">
        <v>11341</v>
      </c>
      <c r="C4319" s="2" t="s">
        <v>549</v>
      </c>
      <c r="D4319" s="2" t="s">
        <v>27</v>
      </c>
      <c r="E4319" s="4">
        <v>-31838</v>
      </c>
      <c r="F4319" s="3" t="s">
        <v>1960</v>
      </c>
      <c r="G4319" s="3" t="s">
        <v>196</v>
      </c>
      <c r="H4319" s="2" t="s">
        <v>21</v>
      </c>
      <c r="I4319" s="2" t="s">
        <v>11342</v>
      </c>
      <c r="J4319" s="3" t="str">
        <f>HYPERLINK("https://www.boe.es/gazeta/dias/1812/10/29/pdfs/GRE-1812-145.pdf#page=8","Abrir facsímil")</f>
        <v>Abrir facsímil</v>
      </c>
      <c r="K4319" s="3" t="s">
        <v>23</v>
      </c>
    </row>
    <row r="4320" spans="1:11" ht="42" customHeight="1">
      <c r="A4320" s="2" t="s">
        <v>11343</v>
      </c>
      <c r="B4320" s="2" t="s">
        <v>11344</v>
      </c>
      <c r="C4320" s="2" t="s">
        <v>26</v>
      </c>
      <c r="D4320" s="2" t="s">
        <v>134</v>
      </c>
      <c r="E4320" s="4">
        <v>-31983</v>
      </c>
      <c r="F4320" s="3" t="s">
        <v>1437</v>
      </c>
      <c r="G4320" s="3" t="s">
        <v>1438</v>
      </c>
      <c r="H4320" s="2" t="s">
        <v>21</v>
      </c>
      <c r="I4320" s="2" t="s">
        <v>11345</v>
      </c>
      <c r="J4320" s="3" t="str">
        <f>HYPERLINK("https://www.boe.es/gazeta/dias/1812/06/06/pdfs/GRE-F-1812-70.pdf#page=4","Abrir facsímil")</f>
        <v>Abrir facsímil</v>
      </c>
      <c r="K4320" s="3" t="s">
        <v>23</v>
      </c>
    </row>
    <row r="4321" spans="1:11" ht="42" customHeight="1">
      <c r="A4321" s="2" t="s">
        <v>11346</v>
      </c>
      <c r="B4321" s="2" t="s">
        <v>11347</v>
      </c>
      <c r="C4321" s="2" t="s">
        <v>26</v>
      </c>
      <c r="D4321" s="2" t="s">
        <v>27</v>
      </c>
      <c r="E4321" s="4">
        <v>-32015</v>
      </c>
      <c r="F4321" s="3" t="s">
        <v>77</v>
      </c>
      <c r="G4321" s="3" t="s">
        <v>78</v>
      </c>
      <c r="H4321" s="2" t="s">
        <v>21</v>
      </c>
      <c r="I4321" s="2" t="s">
        <v>11348</v>
      </c>
      <c r="J4321" s="3" t="str">
        <f>HYPERLINK("https://www.boe.es/gazeta/dias/1812/05/05/pdfs/GRE-1812-56.pdf#page=8","Abrir facsímil")</f>
        <v>Abrir facsímil</v>
      </c>
      <c r="K4321" s="3" t="s">
        <v>23</v>
      </c>
    </row>
    <row r="4322" spans="1:11" ht="42" customHeight="1">
      <c r="A4322" s="2" t="s">
        <v>11349</v>
      </c>
      <c r="B4322" s="2" t="s">
        <v>11350</v>
      </c>
      <c r="C4322" s="2" t="s">
        <v>17</v>
      </c>
      <c r="D4322" s="2" t="s">
        <v>27</v>
      </c>
      <c r="E4322" s="4">
        <v>-31824</v>
      </c>
      <c r="F4322" s="3" t="s">
        <v>3123</v>
      </c>
      <c r="G4322" s="3" t="s">
        <v>4531</v>
      </c>
      <c r="H4322" s="2" t="s">
        <v>30</v>
      </c>
      <c r="I4322" s="2" t="s">
        <v>11351</v>
      </c>
      <c r="J4322" s="3" t="str">
        <f>HYPERLINK("https://www.boe.es/gazeta/dias/1812/11/12/pdfs/GRE-1812-151.pdf#page=6","Abrir facsímil")</f>
        <v>Abrir facsímil</v>
      </c>
      <c r="K4322" s="3" t="s">
        <v>32</v>
      </c>
    </row>
    <row r="4323" spans="1:11" ht="42" customHeight="1">
      <c r="A4323" s="2" t="s">
        <v>11352</v>
      </c>
      <c r="B4323" s="2" t="s">
        <v>11352</v>
      </c>
      <c r="C4323" s="2" t="s">
        <v>17</v>
      </c>
      <c r="D4323" s="2" t="s">
        <v>27</v>
      </c>
      <c r="E4323" s="4">
        <v>-31798</v>
      </c>
      <c r="F4323" s="3" t="s">
        <v>2194</v>
      </c>
      <c r="G4323" s="3" t="s">
        <v>125</v>
      </c>
      <c r="H4323" s="2" t="s">
        <v>21</v>
      </c>
      <c r="I4323" s="2" t="s">
        <v>11353</v>
      </c>
      <c r="J4323" s="3" t="str">
        <f>HYPERLINK("https://www.boe.es/gazeta/dias/1812/12/08/pdfs/GRE-1812-162.pdf#page=1","Abrir facsímil")</f>
        <v>Abrir facsímil</v>
      </c>
      <c r="K4323" s="3" t="s">
        <v>23</v>
      </c>
    </row>
    <row r="4324" spans="1:11" ht="42" customHeight="1">
      <c r="A4324" s="2" t="s">
        <v>11354</v>
      </c>
      <c r="B4324" s="2" t="s">
        <v>11355</v>
      </c>
      <c r="C4324" s="2" t="s">
        <v>186</v>
      </c>
      <c r="D4324" s="2" t="s">
        <v>27</v>
      </c>
      <c r="E4324" s="4">
        <v>-31829</v>
      </c>
      <c r="F4324" s="3" t="s">
        <v>328</v>
      </c>
      <c r="G4324" s="3" t="s">
        <v>20</v>
      </c>
      <c r="H4324" s="2" t="s">
        <v>21</v>
      </c>
      <c r="I4324" s="2" t="s">
        <v>11356</v>
      </c>
      <c r="J4324" s="3" t="str">
        <f>HYPERLINK("https://www.boe.es/gazeta/dias/1812/11/07/pdfs/GMD-1812-227.pdf#page=4","Abrir facsímil")</f>
        <v>Abrir facsímil</v>
      </c>
      <c r="K4324" s="3" t="s">
        <v>23</v>
      </c>
    </row>
    <row r="4325" spans="1:11" ht="42" customHeight="1">
      <c r="A4325" s="2" t="s">
        <v>11357</v>
      </c>
      <c r="B4325" s="2" t="s">
        <v>11358</v>
      </c>
      <c r="C4325" s="2" t="s">
        <v>26</v>
      </c>
      <c r="D4325" s="2" t="s">
        <v>27</v>
      </c>
      <c r="E4325" s="4">
        <v>-32034</v>
      </c>
      <c r="F4325" s="3" t="s">
        <v>28</v>
      </c>
      <c r="G4325" s="3" t="s">
        <v>29</v>
      </c>
      <c r="H4325" s="2" t="s">
        <v>21</v>
      </c>
      <c r="I4325" s="2" t="s">
        <v>11359</v>
      </c>
      <c r="J4325" s="3" t="str">
        <f>HYPERLINK("https://www.boe.es/gazeta/dias/1812/04/16/pdfs/GMD-1812-107.pdf#page=8","Abrir facsímil")</f>
        <v>Abrir facsímil</v>
      </c>
      <c r="K4325" s="3" t="s">
        <v>23</v>
      </c>
    </row>
    <row r="4326" spans="1:11" ht="42" customHeight="1">
      <c r="A4326" s="2" t="s">
        <v>11360</v>
      </c>
      <c r="B4326" s="2" t="s">
        <v>11361</v>
      </c>
      <c r="C4326" s="2" t="s">
        <v>105</v>
      </c>
      <c r="D4326" s="2" t="s">
        <v>194</v>
      </c>
      <c r="E4326" s="4">
        <v>-31899</v>
      </c>
      <c r="F4326" s="3" t="s">
        <v>1396</v>
      </c>
      <c r="G4326" s="3" t="s">
        <v>739</v>
      </c>
      <c r="H4326" s="2" t="s">
        <v>21</v>
      </c>
      <c r="I4326" s="2" t="s">
        <v>11362</v>
      </c>
      <c r="J4326" s="3" t="str">
        <f>HYPERLINK("https://www.boe.es/gazeta/dias/1812/08/29/pdfs/GMR-1812-7.pdf#page=7","Abrir facsímil")</f>
        <v>Abrir facsímil</v>
      </c>
      <c r="K4326" s="3" t="s">
        <v>23</v>
      </c>
    </row>
    <row r="4327" spans="1:11" ht="42" customHeight="1">
      <c r="A4327" s="2" t="s">
        <v>11363</v>
      </c>
      <c r="B4327" s="2" t="s">
        <v>11363</v>
      </c>
      <c r="C4327" s="2" t="s">
        <v>17</v>
      </c>
      <c r="D4327" s="2" t="s">
        <v>18</v>
      </c>
      <c r="E4327" s="4">
        <v>-32043</v>
      </c>
      <c r="F4327" s="3" t="s">
        <v>4582</v>
      </c>
      <c r="G4327" s="3" t="s">
        <v>237</v>
      </c>
      <c r="H4327" s="2" t="s">
        <v>21</v>
      </c>
      <c r="I4327" s="2" t="s">
        <v>11364</v>
      </c>
      <c r="J4327" s="3" t="str">
        <f>HYPERLINK("https://www.boe.es/gazeta/dias/1812/04/07/pdfs/GRE-1812-43.pdf#page=8","Abrir facsímil")</f>
        <v>Abrir facsímil</v>
      </c>
      <c r="K4327" s="3" t="s">
        <v>23</v>
      </c>
    </row>
    <row r="4328" spans="1:11" ht="42" customHeight="1">
      <c r="A4328" s="2" t="s">
        <v>11365</v>
      </c>
      <c r="B4328" s="2" t="s">
        <v>11365</v>
      </c>
      <c r="C4328" s="2" t="s">
        <v>186</v>
      </c>
      <c r="D4328" s="2" t="s">
        <v>194</v>
      </c>
      <c r="E4328" s="4">
        <v>-32128</v>
      </c>
      <c r="F4328" s="3" t="s">
        <v>1927</v>
      </c>
      <c r="G4328" s="3" t="s">
        <v>514</v>
      </c>
      <c r="H4328" s="2" t="s">
        <v>21</v>
      </c>
      <c r="I4328" s="2" t="s">
        <v>11366</v>
      </c>
      <c r="J4328" s="3" t="str">
        <f>HYPERLINK("https://www.boe.es/gazeta/dias/1812/01/13/pdfs/GMD-1812-13.pdf#page=2","Abrir facsímil")</f>
        <v>Abrir facsímil</v>
      </c>
      <c r="K4328" s="3" t="s">
        <v>23</v>
      </c>
    </row>
    <row r="4329" spans="1:11" ht="42" customHeight="1">
      <c r="A4329" s="2" t="s">
        <v>11367</v>
      </c>
      <c r="B4329" s="2" t="s">
        <v>11368</v>
      </c>
      <c r="C4329" s="2" t="s">
        <v>26</v>
      </c>
      <c r="D4329" s="2" t="s">
        <v>27</v>
      </c>
      <c r="E4329" s="4">
        <v>-32100</v>
      </c>
      <c r="F4329" s="3" t="s">
        <v>492</v>
      </c>
      <c r="G4329" s="3" t="s">
        <v>493</v>
      </c>
      <c r="H4329" s="2" t="s">
        <v>21</v>
      </c>
      <c r="I4329" s="2" t="s">
        <v>11369</v>
      </c>
      <c r="J4329" s="3" t="str">
        <f>HYPERLINK("https://www.boe.es/gazeta/dias/1812/02/10/pdfs/GRE-1812-31.pdf#page=8","Abrir facsímil")</f>
        <v>Abrir facsímil</v>
      </c>
      <c r="K4329" s="3" t="s">
        <v>23</v>
      </c>
    </row>
    <row r="4330" spans="1:11" ht="42" customHeight="1">
      <c r="A4330" s="2" t="s">
        <v>11367</v>
      </c>
      <c r="B4330" s="2" t="s">
        <v>11368</v>
      </c>
      <c r="C4330" s="2" t="s">
        <v>26</v>
      </c>
      <c r="D4330" s="2" t="s">
        <v>27</v>
      </c>
      <c r="E4330" s="4">
        <v>-32071</v>
      </c>
      <c r="F4330" s="3" t="s">
        <v>492</v>
      </c>
      <c r="G4330" s="3" t="s">
        <v>493</v>
      </c>
      <c r="H4330" s="2" t="s">
        <v>21</v>
      </c>
      <c r="I4330" s="2" t="s">
        <v>11369</v>
      </c>
      <c r="J4330" s="3" t="str">
        <f>HYPERLINK("https://www.boe.es/gazeta/dias/1812/03/10/pdfs/GRE-1812-31.pdf#page=8","Abrir facsímil")</f>
        <v>Abrir facsímil</v>
      </c>
      <c r="K4330" s="3" t="s">
        <v>23</v>
      </c>
    </row>
    <row r="4331" spans="1:11" ht="42" customHeight="1">
      <c r="A4331" s="2" t="s">
        <v>11370</v>
      </c>
      <c r="B4331" s="2" t="s">
        <v>11371</v>
      </c>
      <c r="C4331" s="2" t="s">
        <v>17</v>
      </c>
      <c r="D4331" s="2" t="s">
        <v>18</v>
      </c>
      <c r="E4331" s="4">
        <v>-32067</v>
      </c>
      <c r="F4331" s="3" t="s">
        <v>199</v>
      </c>
      <c r="G4331" s="3" t="s">
        <v>11372</v>
      </c>
      <c r="H4331" s="2" t="s">
        <v>30</v>
      </c>
      <c r="I4331" s="2" t="s">
        <v>11373</v>
      </c>
      <c r="J4331" s="3" t="str">
        <f>HYPERLINK("https://www.boe.es/gazeta/dias/1812/03/14/pdfs/GRE-1812-33.pdf#page=1","Abrir facsímil")</f>
        <v>Abrir facsímil</v>
      </c>
      <c r="K4331" s="3" t="s">
        <v>32</v>
      </c>
    </row>
    <row r="4332" spans="1:11" ht="42" customHeight="1">
      <c r="A4332" s="2" t="s">
        <v>11374</v>
      </c>
      <c r="B4332" s="2" t="s">
        <v>11375</v>
      </c>
      <c r="C4332" s="2" t="s">
        <v>49</v>
      </c>
      <c r="D4332" s="2" t="s">
        <v>18</v>
      </c>
      <c r="E4332" s="4">
        <v>-31980</v>
      </c>
      <c r="F4332" s="3" t="s">
        <v>2667</v>
      </c>
      <c r="G4332" s="3" t="s">
        <v>58</v>
      </c>
      <c r="H4332" s="2" t="s">
        <v>21</v>
      </c>
      <c r="I4332" s="2" t="s">
        <v>11376</v>
      </c>
      <c r="J4332" s="3" t="str">
        <f>HYPERLINK("https://www.boe.es/gazeta/dias/1812/06/09/pdfs/GMD-1812-161.pdf#page=3","Abrir facsímil")</f>
        <v>Abrir facsímil</v>
      </c>
      <c r="K4332" s="3" t="s">
        <v>23</v>
      </c>
    </row>
    <row r="4333" spans="1:11" ht="42" customHeight="1">
      <c r="A4333" s="2" t="s">
        <v>11377</v>
      </c>
      <c r="B4333" s="2" t="s">
        <v>11378</v>
      </c>
      <c r="C4333" s="2" t="s">
        <v>26</v>
      </c>
      <c r="D4333" s="2" t="s">
        <v>275</v>
      </c>
      <c r="E4333" s="4">
        <v>-31964</v>
      </c>
      <c r="F4333" s="3" t="s">
        <v>305</v>
      </c>
      <c r="G4333" s="3" t="s">
        <v>58</v>
      </c>
      <c r="H4333" s="2" t="s">
        <v>21</v>
      </c>
      <c r="I4333" s="2" t="s">
        <v>11379</v>
      </c>
      <c r="J4333" s="3" t="str">
        <f>HYPERLINK("https://www.boe.es/gazeta/dias/1812/06/25/pdfs/GMD-1812-177.pdf#page=2","Abrir facsímil")</f>
        <v>Abrir facsímil</v>
      </c>
      <c r="K4333" s="3" t="s">
        <v>23</v>
      </c>
    </row>
    <row r="4334" spans="1:11" ht="42" customHeight="1">
      <c r="A4334" s="2" t="s">
        <v>11380</v>
      </c>
      <c r="B4334" s="2" t="s">
        <v>11381</v>
      </c>
      <c r="C4334" s="2" t="s">
        <v>26</v>
      </c>
      <c r="D4334" s="2" t="s">
        <v>27</v>
      </c>
      <c r="E4334" s="4">
        <v>-31838</v>
      </c>
      <c r="F4334" s="3" t="s">
        <v>1452</v>
      </c>
      <c r="G4334" s="3" t="s">
        <v>29</v>
      </c>
      <c r="H4334" s="2" t="s">
        <v>21</v>
      </c>
      <c r="I4334" s="2" t="s">
        <v>11382</v>
      </c>
      <c r="J4334" s="3" t="str">
        <f>HYPERLINK("https://www.boe.es/gazeta/dias/1812/10/29/pdfs/GMR-1812-33.pdf#page=8","Abrir facsímil")</f>
        <v>Abrir facsímil</v>
      </c>
      <c r="K4334" s="3" t="s">
        <v>23</v>
      </c>
    </row>
    <row r="4335" spans="1:11" ht="42" customHeight="1">
      <c r="A4335" s="2" t="s">
        <v>11383</v>
      </c>
      <c r="B4335" s="2" t="s">
        <v>11384</v>
      </c>
      <c r="C4335" s="2" t="s">
        <v>26</v>
      </c>
      <c r="D4335" s="2" t="s">
        <v>275</v>
      </c>
      <c r="E4335" s="4">
        <v>-31979</v>
      </c>
      <c r="F4335" s="3" t="s">
        <v>11385</v>
      </c>
      <c r="G4335" s="3" t="s">
        <v>130</v>
      </c>
      <c r="H4335" s="2" t="s">
        <v>30</v>
      </c>
      <c r="I4335" s="2" t="s">
        <v>11386</v>
      </c>
      <c r="J4335" s="3" t="str">
        <f>HYPERLINK("https://www.boe.es/gazeta/dias/1812/06/10/pdfs/GMD-1812-162.pdf#page=4","Abrir facsímil")</f>
        <v>Abrir facsímil</v>
      </c>
      <c r="K4335" s="3" t="s">
        <v>32</v>
      </c>
    </row>
    <row r="4336" spans="1:11" ht="42" customHeight="1">
      <c r="A4336" s="2" t="s">
        <v>11387</v>
      </c>
      <c r="B4336" s="2" t="s">
        <v>11388</v>
      </c>
      <c r="C4336" s="2" t="s">
        <v>26</v>
      </c>
      <c r="D4336" s="2" t="s">
        <v>27</v>
      </c>
      <c r="E4336" s="4">
        <v>-31938</v>
      </c>
      <c r="F4336" s="3" t="s">
        <v>324</v>
      </c>
      <c r="G4336" s="3" t="s">
        <v>404</v>
      </c>
      <c r="H4336" s="2" t="s">
        <v>30</v>
      </c>
      <c r="I4336" s="2" t="s">
        <v>11389</v>
      </c>
      <c r="J4336" s="3" t="str">
        <f>HYPERLINK("https://www.boe.es/gazeta/dias/1812/07/21/pdfs/GMD-1812-203.pdf#page=4","Abrir facsímil")</f>
        <v>Abrir facsímil</v>
      </c>
      <c r="K4336" s="3" t="s">
        <v>32</v>
      </c>
    </row>
    <row r="4337" spans="1:11" ht="42" customHeight="1">
      <c r="A4337" s="2" t="s">
        <v>11390</v>
      </c>
      <c r="B4337" s="2" t="s">
        <v>11391</v>
      </c>
      <c r="C4337" s="2" t="s">
        <v>17</v>
      </c>
      <c r="D4337" s="2" t="s">
        <v>573</v>
      </c>
      <c r="E4337" s="4">
        <v>-31900</v>
      </c>
      <c r="F4337" s="3" t="s">
        <v>276</v>
      </c>
      <c r="G4337" s="3" t="s">
        <v>277</v>
      </c>
      <c r="H4337" s="2" t="s">
        <v>30</v>
      </c>
      <c r="I4337" s="2" t="s">
        <v>11392</v>
      </c>
      <c r="J4337" s="3" t="str">
        <f>HYPERLINK("https://www.boe.es/gazeta/dias/1812/08/28/pdfs/GRE-1812-113E.pdf#page=8","Abrir facsímil")</f>
        <v>Abrir facsímil</v>
      </c>
      <c r="K4337" s="3" t="s">
        <v>32</v>
      </c>
    </row>
    <row r="4338" spans="1:11" ht="42" customHeight="1">
      <c r="A4338" s="2" t="s">
        <v>11393</v>
      </c>
      <c r="B4338" s="2" t="s">
        <v>11393</v>
      </c>
      <c r="C4338" s="2" t="s">
        <v>17</v>
      </c>
      <c r="D4338" s="2" t="s">
        <v>18</v>
      </c>
      <c r="E4338" s="4">
        <v>-32063</v>
      </c>
      <c r="F4338" s="3" t="s">
        <v>384</v>
      </c>
      <c r="G4338" s="3" t="s">
        <v>20</v>
      </c>
      <c r="H4338" s="2" t="s">
        <v>21</v>
      </c>
      <c r="I4338" s="2" t="s">
        <v>11394</v>
      </c>
      <c r="J4338" s="3" t="str">
        <f>HYPERLINK("https://www.boe.es/gazeta/dias/1812/03/18/pdfs/GMD-1812-78.pdf#page=4","Abrir facsímil")</f>
        <v>Abrir facsímil</v>
      </c>
      <c r="K4338" s="3" t="s">
        <v>23</v>
      </c>
    </row>
    <row r="4339" spans="1:11" ht="42" customHeight="1">
      <c r="A4339" s="2" t="s">
        <v>11395</v>
      </c>
      <c r="B4339" s="2" t="s">
        <v>11395</v>
      </c>
      <c r="C4339" s="2" t="s">
        <v>17</v>
      </c>
      <c r="D4339" s="2" t="s">
        <v>27</v>
      </c>
      <c r="E4339" s="4">
        <v>-31971</v>
      </c>
      <c r="F4339" s="3" t="s">
        <v>686</v>
      </c>
      <c r="G4339" s="3" t="s">
        <v>2262</v>
      </c>
      <c r="H4339" s="2" t="s">
        <v>21</v>
      </c>
      <c r="I4339" s="2" t="s">
        <v>11396</v>
      </c>
      <c r="J4339" s="3" t="str">
        <f>HYPERLINK("https://www.boe.es/gazeta/dias/1812/06/18/pdfs/GRE-1812-75.pdf#page=5","Abrir facsímil")</f>
        <v>Abrir facsímil</v>
      </c>
      <c r="K4339" s="3" t="s">
        <v>23</v>
      </c>
    </row>
    <row r="4340" spans="1:11" ht="42" customHeight="1">
      <c r="A4340" s="2" t="s">
        <v>11397</v>
      </c>
      <c r="B4340" s="2" t="s">
        <v>11398</v>
      </c>
      <c r="C4340" s="2" t="s">
        <v>26</v>
      </c>
      <c r="D4340" s="2" t="s">
        <v>27</v>
      </c>
      <c r="E4340" s="4">
        <v>-31850</v>
      </c>
      <c r="F4340" s="3" t="s">
        <v>719</v>
      </c>
      <c r="G4340" s="3" t="s">
        <v>777</v>
      </c>
      <c r="H4340" s="2" t="s">
        <v>21</v>
      </c>
      <c r="I4340" s="2" t="s">
        <v>11399</v>
      </c>
      <c r="J4340" s="3" t="str">
        <f>HYPERLINK("https://www.boe.es/gazeta/dias/1812/10/17/pdfs/GMR-1812-28.pdf#page=3","Abrir facsímil")</f>
        <v>Abrir facsímil</v>
      </c>
      <c r="K4340" s="3" t="s">
        <v>23</v>
      </c>
    </row>
    <row r="4341" spans="1:11" ht="42" customHeight="1">
      <c r="A4341" s="2" t="s">
        <v>11400</v>
      </c>
      <c r="B4341" s="2" t="s">
        <v>11400</v>
      </c>
      <c r="C4341" s="2" t="s">
        <v>26</v>
      </c>
      <c r="D4341" s="2" t="s">
        <v>134</v>
      </c>
      <c r="E4341" s="4">
        <v>-31983</v>
      </c>
      <c r="F4341" s="3" t="s">
        <v>1437</v>
      </c>
      <c r="G4341" s="3" t="s">
        <v>1438</v>
      </c>
      <c r="H4341" s="2" t="s">
        <v>21</v>
      </c>
      <c r="I4341" s="2" t="s">
        <v>11401</v>
      </c>
      <c r="J4341" s="3" t="str">
        <f>HYPERLINK("https://www.boe.es/gazeta/dias/1812/06/06/pdfs/GRE-F-1812-70.pdf#page=4","Abrir facsímil")</f>
        <v>Abrir facsímil</v>
      </c>
      <c r="K4341" s="3" t="s">
        <v>23</v>
      </c>
    </row>
    <row r="4342" spans="1:11" ht="42" customHeight="1">
      <c r="A4342" s="2" t="s">
        <v>11402</v>
      </c>
      <c r="B4342" s="2" t="s">
        <v>11402</v>
      </c>
      <c r="C4342" s="2" t="s">
        <v>17</v>
      </c>
      <c r="D4342" s="2" t="s">
        <v>27</v>
      </c>
      <c r="E4342" s="4">
        <v>-32063</v>
      </c>
      <c r="F4342" s="3" t="s">
        <v>384</v>
      </c>
      <c r="G4342" s="3" t="s">
        <v>125</v>
      </c>
      <c r="H4342" s="2" t="s">
        <v>21</v>
      </c>
      <c r="I4342" s="2" t="s">
        <v>11403</v>
      </c>
      <c r="J4342" s="3" t="str">
        <f>HYPERLINK("https://www.boe.es/gazeta/dias/1812/03/18/pdfs/GMD-1812-78.pdf#page=3","Abrir facsímil")</f>
        <v>Abrir facsímil</v>
      </c>
      <c r="K4342" s="3" t="s">
        <v>23</v>
      </c>
    </row>
    <row r="4343" spans="1:11" ht="42" customHeight="1">
      <c r="A4343" s="2" t="s">
        <v>11404</v>
      </c>
      <c r="B4343" s="2" t="s">
        <v>11405</v>
      </c>
      <c r="C4343" s="2" t="s">
        <v>26</v>
      </c>
      <c r="D4343" s="2" t="s">
        <v>27</v>
      </c>
      <c r="E4343" s="4">
        <v>-31864</v>
      </c>
      <c r="F4343" s="3" t="s">
        <v>3014</v>
      </c>
      <c r="G4343" s="3" t="s">
        <v>8995</v>
      </c>
      <c r="H4343" s="2" t="s">
        <v>21</v>
      </c>
      <c r="I4343" s="2" t="s">
        <v>11406</v>
      </c>
      <c r="J4343" s="3" t="str">
        <f>HYPERLINK("https://www.boe.es/gazeta/dias/1812/10/03/pdfs/GRE-1812-134.pdf#page=7","Abrir facsímil")</f>
        <v>Abrir facsímil</v>
      </c>
      <c r="K4343" s="3" t="s">
        <v>23</v>
      </c>
    </row>
    <row r="4344" spans="1:11" ht="42" customHeight="1">
      <c r="A4344" s="2" t="s">
        <v>11407</v>
      </c>
      <c r="B4344" s="2" t="s">
        <v>11407</v>
      </c>
      <c r="C4344" s="2" t="s">
        <v>26</v>
      </c>
      <c r="D4344" s="2" t="s">
        <v>27</v>
      </c>
      <c r="E4344" s="4">
        <v>-32134</v>
      </c>
      <c r="F4344" s="3" t="s">
        <v>50</v>
      </c>
      <c r="G4344" s="3" t="s">
        <v>233</v>
      </c>
      <c r="H4344" s="2" t="s">
        <v>21</v>
      </c>
      <c r="I4344" s="2" t="s">
        <v>11408</v>
      </c>
      <c r="J4344" s="3" t="str">
        <f>HYPERLINK("https://www.boe.es/gazeta/dias/1812/01/07/pdfs/GEI-1812-3.pdf#page=8","Abrir facsímil")</f>
        <v>Abrir facsímil</v>
      </c>
      <c r="K4344" s="3" t="s">
        <v>23</v>
      </c>
    </row>
    <row r="4345" spans="1:11" ht="42" customHeight="1">
      <c r="A4345" s="2" t="s">
        <v>11409</v>
      </c>
      <c r="B4345" s="2" t="s">
        <v>11410</v>
      </c>
      <c r="C4345" s="2" t="s">
        <v>17</v>
      </c>
      <c r="D4345" s="2" t="s">
        <v>27</v>
      </c>
      <c r="E4345" s="4">
        <v>-31989</v>
      </c>
      <c r="F4345" s="3" t="s">
        <v>263</v>
      </c>
      <c r="G4345" s="3" t="s">
        <v>58</v>
      </c>
      <c r="H4345" s="2" t="s">
        <v>21</v>
      </c>
      <c r="I4345" s="2" t="s">
        <v>11411</v>
      </c>
      <c r="J4345" s="3" t="str">
        <f>HYPERLINK("https://www.boe.es/gazeta/dias/1812/05/31/pdfs/GMD-1812-152.pdf#page=4","Abrir facsímil")</f>
        <v>Abrir facsímil</v>
      </c>
      <c r="K4345" s="3" t="s">
        <v>23</v>
      </c>
    </row>
    <row r="4346" spans="1:11" ht="42" customHeight="1">
      <c r="A4346" s="2" t="s">
        <v>11412</v>
      </c>
      <c r="B4346" s="2" t="s">
        <v>11412</v>
      </c>
      <c r="C4346" s="2" t="s">
        <v>26</v>
      </c>
      <c r="D4346" s="2" t="s">
        <v>27</v>
      </c>
      <c r="E4346" s="4">
        <v>-31875</v>
      </c>
      <c r="F4346" s="3" t="s">
        <v>110</v>
      </c>
      <c r="G4346" s="3" t="s">
        <v>20</v>
      </c>
      <c r="H4346" s="2" t="s">
        <v>21</v>
      </c>
      <c r="I4346" s="2" t="s">
        <v>11413</v>
      </c>
      <c r="J4346" s="3" t="str">
        <f>HYPERLINK("https://www.boe.es/gazeta/dias/1812/09/22/pdfs/GRE-1812-128.pdf#page=3","Abrir facsímil")</f>
        <v>Abrir facsímil</v>
      </c>
      <c r="K4346" s="3" t="s">
        <v>23</v>
      </c>
    </row>
    <row r="4347" spans="1:11" ht="42" customHeight="1">
      <c r="A4347" s="2" t="s">
        <v>11414</v>
      </c>
      <c r="B4347" s="2" t="s">
        <v>11415</v>
      </c>
      <c r="C4347" s="2" t="s">
        <v>26</v>
      </c>
      <c r="D4347" s="2" t="s">
        <v>27</v>
      </c>
      <c r="E4347" s="4">
        <v>-31938</v>
      </c>
      <c r="F4347" s="3" t="s">
        <v>324</v>
      </c>
      <c r="G4347" s="3" t="s">
        <v>237</v>
      </c>
      <c r="H4347" s="2" t="s">
        <v>21</v>
      </c>
      <c r="I4347" s="2" t="s">
        <v>11416</v>
      </c>
      <c r="J4347" s="3" t="str">
        <f>HYPERLINK("https://www.boe.es/gazeta/dias/1812/07/21/pdfs/GMD-1812-203.pdf#page=2","Abrir facsímil")</f>
        <v>Abrir facsímil</v>
      </c>
      <c r="K4347" s="3" t="s">
        <v>23</v>
      </c>
    </row>
    <row r="4348" spans="1:11" ht="42" customHeight="1">
      <c r="A4348" s="2" t="s">
        <v>11417</v>
      </c>
      <c r="B4348" s="2" t="s">
        <v>11417</v>
      </c>
      <c r="C4348" s="2" t="s">
        <v>17</v>
      </c>
      <c r="D4348" s="2" t="s">
        <v>27</v>
      </c>
      <c r="E4348" s="4">
        <v>-31985</v>
      </c>
      <c r="F4348" s="3" t="s">
        <v>1942</v>
      </c>
      <c r="G4348" s="3" t="s">
        <v>1698</v>
      </c>
      <c r="H4348" s="2" t="s">
        <v>21</v>
      </c>
      <c r="I4348" s="2" t="s">
        <v>11418</v>
      </c>
      <c r="J4348" s="3" t="str">
        <f>HYPERLINK("https://www.boe.es/gazeta/dias/1812/06/04/pdfs/GRE-1812-69.pdf#page=8","Abrir facsímil")</f>
        <v>Abrir facsímil</v>
      </c>
      <c r="K4348" s="3" t="s">
        <v>23</v>
      </c>
    </row>
    <row r="4349" spans="1:11" ht="42" customHeight="1">
      <c r="A4349" s="2" t="s">
        <v>11419</v>
      </c>
      <c r="B4349" s="2" t="s">
        <v>11419</v>
      </c>
      <c r="C4349" s="2" t="s">
        <v>17</v>
      </c>
      <c r="D4349" s="2" t="s">
        <v>27</v>
      </c>
      <c r="E4349" s="4">
        <v>-31805</v>
      </c>
      <c r="F4349" s="3" t="s">
        <v>895</v>
      </c>
      <c r="G4349" s="3" t="s">
        <v>2367</v>
      </c>
      <c r="H4349" s="2" t="s">
        <v>21</v>
      </c>
      <c r="I4349" s="2" t="s">
        <v>11420</v>
      </c>
      <c r="J4349" s="3" t="str">
        <f>HYPERLINK("https://www.boe.es/gazeta/dias/1812/12/01/pdfs/GMR-1812-39.pdf#page=4","Abrir facsímil")</f>
        <v>Abrir facsímil</v>
      </c>
      <c r="K4349" s="3" t="s">
        <v>23</v>
      </c>
    </row>
    <row r="4350" spans="1:11" ht="42" customHeight="1">
      <c r="A4350" s="2" t="s">
        <v>11421</v>
      </c>
      <c r="B4350" s="2" t="s">
        <v>11421</v>
      </c>
      <c r="C4350" s="2" t="s">
        <v>17</v>
      </c>
      <c r="D4350" s="2" t="s">
        <v>18</v>
      </c>
      <c r="E4350" s="4">
        <v>-32090</v>
      </c>
      <c r="F4350" s="3" t="s">
        <v>142</v>
      </c>
      <c r="G4350" s="3" t="s">
        <v>297</v>
      </c>
      <c r="H4350" s="2" t="s">
        <v>21</v>
      </c>
      <c r="I4350" s="2" t="s">
        <v>11422</v>
      </c>
      <c r="J4350" s="3" t="str">
        <f>HYPERLINK("https://www.boe.es/gazeta/dias/1812/02/20/pdfs/GRE-1812-22.pdf#page=4","Abrir facsímil")</f>
        <v>Abrir facsímil</v>
      </c>
      <c r="K4350" s="3" t="s">
        <v>23</v>
      </c>
    </row>
    <row r="4351" spans="1:11" ht="42" customHeight="1">
      <c r="A4351" s="2" t="s">
        <v>11423</v>
      </c>
      <c r="B4351" s="2" t="s">
        <v>11423</v>
      </c>
      <c r="C4351" s="2" t="s">
        <v>26</v>
      </c>
      <c r="D4351" s="2" t="s">
        <v>27</v>
      </c>
      <c r="E4351" s="4">
        <v>-31945</v>
      </c>
      <c r="F4351" s="3" t="s">
        <v>1485</v>
      </c>
      <c r="G4351" s="3" t="s">
        <v>1486</v>
      </c>
      <c r="H4351" s="2" t="s">
        <v>21</v>
      </c>
      <c r="I4351" s="2" t="s">
        <v>11424</v>
      </c>
      <c r="J4351" s="3" t="str">
        <f>HYPERLINK("https://www.boe.es/gazeta/dias/1812/07/14/pdfs/GRE-1812-88.pdf#page=1","Abrir facsímil")</f>
        <v>Abrir facsímil</v>
      </c>
      <c r="K4351" s="3" t="s">
        <v>23</v>
      </c>
    </row>
    <row r="4352" spans="1:11" ht="42" customHeight="1">
      <c r="A4352" s="2" t="s">
        <v>11425</v>
      </c>
      <c r="B4352" s="2" t="s">
        <v>11426</v>
      </c>
      <c r="C4352" s="2" t="s">
        <v>17</v>
      </c>
      <c r="D4352" s="2" t="s">
        <v>27</v>
      </c>
      <c r="E4352" s="4">
        <v>-32100</v>
      </c>
      <c r="F4352" s="3" t="s">
        <v>492</v>
      </c>
      <c r="G4352" s="3" t="s">
        <v>1650</v>
      </c>
      <c r="H4352" s="2" t="s">
        <v>21</v>
      </c>
      <c r="I4352" s="2" t="s">
        <v>11427</v>
      </c>
      <c r="J4352" s="3" t="str">
        <f>HYPERLINK("https://www.boe.es/gazeta/dias/1812/02/10/pdfs/GRE-1812-31.pdf#page=2","Abrir facsímil")</f>
        <v>Abrir facsímil</v>
      </c>
      <c r="K4352" s="3" t="s">
        <v>23</v>
      </c>
    </row>
    <row r="4353" spans="1:11" ht="42" customHeight="1">
      <c r="A4353" s="2" t="s">
        <v>11425</v>
      </c>
      <c r="B4353" s="2" t="s">
        <v>11426</v>
      </c>
      <c r="C4353" s="2" t="s">
        <v>17</v>
      </c>
      <c r="D4353" s="2" t="s">
        <v>27</v>
      </c>
      <c r="E4353" s="4">
        <v>-32071</v>
      </c>
      <c r="F4353" s="3" t="s">
        <v>492</v>
      </c>
      <c r="G4353" s="3" t="s">
        <v>1650</v>
      </c>
      <c r="H4353" s="2" t="s">
        <v>21</v>
      </c>
      <c r="I4353" s="2" t="s">
        <v>11427</v>
      </c>
      <c r="J4353" s="3" t="str">
        <f>HYPERLINK("https://www.boe.es/gazeta/dias/1812/03/10/pdfs/GRE-1812-31.pdf#page=2","Abrir facsímil")</f>
        <v>Abrir facsímil</v>
      </c>
      <c r="K4353" s="3" t="s">
        <v>23</v>
      </c>
    </row>
    <row r="4354" spans="1:11" ht="42" customHeight="1">
      <c r="A4354" s="2" t="s">
        <v>11428</v>
      </c>
      <c r="B4354" s="2" t="s">
        <v>11428</v>
      </c>
      <c r="C4354" s="2" t="s">
        <v>17</v>
      </c>
      <c r="D4354" s="2" t="s">
        <v>18</v>
      </c>
      <c r="E4354" s="4">
        <v>-32128</v>
      </c>
      <c r="F4354" s="3" t="s">
        <v>1927</v>
      </c>
      <c r="G4354" s="3" t="s">
        <v>514</v>
      </c>
      <c r="H4354" s="2" t="s">
        <v>21</v>
      </c>
      <c r="I4354" s="2" t="s">
        <v>11429</v>
      </c>
      <c r="J4354" s="3" t="str">
        <f>HYPERLINK("https://www.boe.es/gazeta/dias/1812/01/13/pdfs/GMD-1812-13.pdf#page=3","Abrir facsímil")</f>
        <v>Abrir facsímil</v>
      </c>
      <c r="K4354" s="3" t="s">
        <v>23</v>
      </c>
    </row>
    <row r="4355" spans="1:11" ht="42" customHeight="1">
      <c r="A4355" s="2" t="s">
        <v>11428</v>
      </c>
      <c r="B4355" s="2" t="s">
        <v>11428</v>
      </c>
      <c r="C4355" s="2" t="s">
        <v>17</v>
      </c>
      <c r="D4355" s="2" t="s">
        <v>18</v>
      </c>
      <c r="E4355" s="4">
        <v>-32090</v>
      </c>
      <c r="F4355" s="3" t="s">
        <v>142</v>
      </c>
      <c r="G4355" s="3" t="s">
        <v>11430</v>
      </c>
      <c r="H4355" s="2" t="s">
        <v>21</v>
      </c>
      <c r="I4355" s="2" t="s">
        <v>11431</v>
      </c>
      <c r="J4355" s="3" t="str">
        <f>HYPERLINK("https://www.boe.es/gazeta/dias/1812/02/20/pdfs/GRE-1812-22.pdf#page=3","Abrir facsímil")</f>
        <v>Abrir facsímil</v>
      </c>
      <c r="K4355" s="3" t="s">
        <v>23</v>
      </c>
    </row>
    <row r="4356" spans="1:11" ht="42" customHeight="1">
      <c r="A4356" s="2" t="s">
        <v>11428</v>
      </c>
      <c r="B4356" s="2" t="s">
        <v>11428</v>
      </c>
      <c r="C4356" s="2" t="s">
        <v>17</v>
      </c>
      <c r="D4356" s="2" t="s">
        <v>27</v>
      </c>
      <c r="E4356" s="4">
        <v>-32090</v>
      </c>
      <c r="F4356" s="3" t="s">
        <v>142</v>
      </c>
      <c r="G4356" s="3" t="s">
        <v>297</v>
      </c>
      <c r="H4356" s="2" t="s">
        <v>21</v>
      </c>
      <c r="I4356" s="2" t="s">
        <v>11432</v>
      </c>
      <c r="J4356" s="3" t="str">
        <f>HYPERLINK("https://www.boe.es/gazeta/dias/1812/02/20/pdfs/GRE-1812-22.pdf#page=4","Abrir facsímil")</f>
        <v>Abrir facsímil</v>
      </c>
      <c r="K4356" s="3" t="s">
        <v>23</v>
      </c>
    </row>
    <row r="4357" spans="1:11" ht="42" customHeight="1">
      <c r="A4357" s="2" t="s">
        <v>11428</v>
      </c>
      <c r="B4357" s="2" t="s">
        <v>11428</v>
      </c>
      <c r="C4357" s="2" t="s">
        <v>17</v>
      </c>
      <c r="D4357" s="2" t="s">
        <v>27</v>
      </c>
      <c r="E4357" s="4">
        <v>-32057</v>
      </c>
      <c r="F4357" s="3" t="s">
        <v>677</v>
      </c>
      <c r="G4357" s="3" t="s">
        <v>4415</v>
      </c>
      <c r="H4357" s="2" t="s">
        <v>21</v>
      </c>
      <c r="I4357" s="2" t="s">
        <v>11433</v>
      </c>
      <c r="J4357" s="3" t="str">
        <f>HYPERLINK("https://www.boe.es/gazeta/dias/1812/03/24/pdfs/GRE-1812-37.pdf#page=2","Abrir facsímil")</f>
        <v>Abrir facsímil</v>
      </c>
      <c r="K4357" s="3" t="s">
        <v>23</v>
      </c>
    </row>
    <row r="4358" spans="1:11" ht="42" customHeight="1">
      <c r="A4358" s="2" t="s">
        <v>11434</v>
      </c>
      <c r="B4358" s="2" t="s">
        <v>11435</v>
      </c>
      <c r="C4358" s="2" t="s">
        <v>17</v>
      </c>
      <c r="D4358" s="2" t="s">
        <v>18</v>
      </c>
      <c r="E4358" s="4">
        <v>-32061</v>
      </c>
      <c r="F4358" s="3" t="s">
        <v>798</v>
      </c>
      <c r="G4358" s="3" t="s">
        <v>36</v>
      </c>
      <c r="H4358" s="2" t="s">
        <v>21</v>
      </c>
      <c r="I4358" s="2" t="s">
        <v>11436</v>
      </c>
      <c r="J4358" s="3" t="str">
        <f>HYPERLINK("https://www.boe.es/gazeta/dias/1812/03/20/pdfs/GMD-1812-80.pdf#page=3","Abrir facsímil")</f>
        <v>Abrir facsímil</v>
      </c>
      <c r="K4358" s="3" t="s">
        <v>23</v>
      </c>
    </row>
    <row r="4359" spans="1:11" ht="42" customHeight="1">
      <c r="A4359" s="2" t="s">
        <v>11437</v>
      </c>
      <c r="B4359" s="2" t="s">
        <v>11438</v>
      </c>
      <c r="C4359" s="2" t="s">
        <v>26</v>
      </c>
      <c r="D4359" s="2" t="s">
        <v>27</v>
      </c>
      <c r="E4359" s="4">
        <v>-32074</v>
      </c>
      <c r="F4359" s="3" t="s">
        <v>816</v>
      </c>
      <c r="G4359" s="3" t="s">
        <v>777</v>
      </c>
      <c r="H4359" s="2" t="s">
        <v>21</v>
      </c>
      <c r="I4359" s="2" t="s">
        <v>11439</v>
      </c>
      <c r="J4359" s="3" t="str">
        <f>HYPERLINK("https://www.boe.es/gazeta/dias/1812/03/07/pdfs/GRE-1812-30.pdf#page=8","Abrir facsímil")</f>
        <v>Abrir facsímil</v>
      </c>
      <c r="K4359" s="3" t="s">
        <v>23</v>
      </c>
    </row>
    <row r="4360" spans="1:11" ht="42" customHeight="1">
      <c r="A4360" s="2" t="s">
        <v>11440</v>
      </c>
      <c r="B4360" s="2" t="s">
        <v>11441</v>
      </c>
      <c r="C4360" s="2" t="s">
        <v>26</v>
      </c>
      <c r="D4360" s="2" t="s">
        <v>27</v>
      </c>
      <c r="E4360" s="4">
        <v>-32034</v>
      </c>
      <c r="F4360" s="3" t="s">
        <v>28</v>
      </c>
      <c r="G4360" s="3" t="s">
        <v>45</v>
      </c>
      <c r="H4360" s="2" t="s">
        <v>21</v>
      </c>
      <c r="I4360" s="2" t="s">
        <v>11442</v>
      </c>
      <c r="J4360" s="3" t="str">
        <f>HYPERLINK("https://www.boe.es/gazeta/dias/1812/04/16/pdfs/GMD-1812-107.pdf#page=5","Abrir facsímil")</f>
        <v>Abrir facsímil</v>
      </c>
      <c r="K4360" s="3" t="s">
        <v>23</v>
      </c>
    </row>
    <row r="4361" spans="1:11" ht="42" customHeight="1">
      <c r="A4361" s="2" t="s">
        <v>11443</v>
      </c>
      <c r="B4361" s="2" t="s">
        <v>11443</v>
      </c>
      <c r="C4361" s="2" t="s">
        <v>17</v>
      </c>
      <c r="D4361" s="2" t="s">
        <v>18</v>
      </c>
      <c r="E4361" s="4">
        <v>-31898</v>
      </c>
      <c r="F4361" s="3" t="s">
        <v>1952</v>
      </c>
      <c r="G4361" s="3" t="s">
        <v>255</v>
      </c>
      <c r="H4361" s="2" t="s">
        <v>21</v>
      </c>
      <c r="I4361" s="2" t="s">
        <v>11444</v>
      </c>
      <c r="J4361" s="3" t="str">
        <f>HYPERLINK("https://www.boe.es/gazeta/dias/1812/08/30/pdfs/GRE-1812-116E.pdf#page=1","Abrir facsímil")</f>
        <v>Abrir facsímil</v>
      </c>
      <c r="K4361" s="3" t="s">
        <v>23</v>
      </c>
    </row>
    <row r="4362" spans="1:11" ht="42" customHeight="1">
      <c r="A4362" s="2" t="s">
        <v>11445</v>
      </c>
      <c r="B4362" s="2" t="s">
        <v>11446</v>
      </c>
      <c r="C4362" s="2" t="s">
        <v>26</v>
      </c>
      <c r="D4362" s="2" t="s">
        <v>27</v>
      </c>
      <c r="E4362" s="4">
        <v>-31929</v>
      </c>
      <c r="F4362" s="3" t="s">
        <v>1148</v>
      </c>
      <c r="G4362" s="3" t="s">
        <v>481</v>
      </c>
      <c r="H4362" s="2" t="s">
        <v>21</v>
      </c>
      <c r="I4362" s="2" t="s">
        <v>11447</v>
      </c>
      <c r="J4362" s="3" t="str">
        <f>HYPERLINK("https://www.boe.es/gazeta/dias/1812/07/30/pdfs/GRE-1812-95.pdf#page=4","Abrir facsímil")</f>
        <v>Abrir facsímil</v>
      </c>
      <c r="K4362" s="3" t="s">
        <v>23</v>
      </c>
    </row>
    <row r="4363" spans="1:11" ht="42" customHeight="1">
      <c r="A4363" s="2" t="s">
        <v>11448</v>
      </c>
      <c r="B4363" s="2" t="s">
        <v>11449</v>
      </c>
      <c r="C4363" s="2" t="s">
        <v>26</v>
      </c>
      <c r="D4363" s="2" t="s">
        <v>27</v>
      </c>
      <c r="E4363" s="4">
        <v>-32127</v>
      </c>
      <c r="F4363" s="3" t="s">
        <v>88</v>
      </c>
      <c r="G4363" s="3" t="s">
        <v>89</v>
      </c>
      <c r="H4363" s="2" t="s">
        <v>21</v>
      </c>
      <c r="I4363" s="2" t="s">
        <v>11450</v>
      </c>
      <c r="J4363" s="3" t="str">
        <f>HYPERLINK("https://www.boe.es/gazeta/dias/1812/01/14/pdfs/GEI-1812-6.pdf#page=8","Abrir facsímil")</f>
        <v>Abrir facsímil</v>
      </c>
      <c r="K4363" s="3" t="s">
        <v>23</v>
      </c>
    </row>
    <row r="4364" spans="1:11" ht="42" customHeight="1">
      <c r="A4364" s="2" t="s">
        <v>11451</v>
      </c>
      <c r="B4364" s="2" t="s">
        <v>11452</v>
      </c>
      <c r="C4364" s="2" t="s">
        <v>17</v>
      </c>
      <c r="D4364" s="2" t="s">
        <v>18</v>
      </c>
      <c r="E4364" s="4">
        <v>-32069</v>
      </c>
      <c r="F4364" s="3" t="s">
        <v>445</v>
      </c>
      <c r="G4364" s="3" t="s">
        <v>446</v>
      </c>
      <c r="H4364" s="2" t="s">
        <v>21</v>
      </c>
      <c r="I4364" s="2" t="s">
        <v>11453</v>
      </c>
      <c r="J4364" s="3" t="str">
        <f>HYPERLINK("https://www.boe.es/gazeta/dias/1812/03/12/pdfs/GRE-1812-32.pdf#page=8","Abrir facsímil")</f>
        <v>Abrir facsímil</v>
      </c>
      <c r="K4364" s="3" t="s">
        <v>23</v>
      </c>
    </row>
    <row r="4365" spans="1:11" ht="42" customHeight="1">
      <c r="A4365" s="2" t="s">
        <v>11454</v>
      </c>
      <c r="B4365" s="2" t="s">
        <v>11455</v>
      </c>
      <c r="C4365" s="2" t="s">
        <v>26</v>
      </c>
      <c r="D4365" s="2" t="s">
        <v>27</v>
      </c>
      <c r="E4365" s="4">
        <v>-32130</v>
      </c>
      <c r="F4365" s="3" t="s">
        <v>2538</v>
      </c>
      <c r="G4365" s="3" t="s">
        <v>706</v>
      </c>
      <c r="H4365" s="2" t="s">
        <v>21</v>
      </c>
      <c r="I4365" s="2" t="s">
        <v>11456</v>
      </c>
      <c r="J4365" s="3" t="str">
        <f>HYPERLINK("https://www.boe.es/gazeta/dias/1812/01/11/pdfs/GEI-1812-5.pdf#page=5","Abrir facsímil")</f>
        <v>Abrir facsímil</v>
      </c>
      <c r="K4365" s="3" t="s">
        <v>23</v>
      </c>
    </row>
    <row r="4366" spans="1:11" ht="42" customHeight="1">
      <c r="A4366" s="2" t="s">
        <v>11454</v>
      </c>
      <c r="B4366" s="2" t="s">
        <v>11455</v>
      </c>
      <c r="C4366" s="2" t="s">
        <v>26</v>
      </c>
      <c r="D4366" s="2" t="s">
        <v>27</v>
      </c>
      <c r="E4366" s="4">
        <v>-31994</v>
      </c>
      <c r="F4366" s="3" t="s">
        <v>207</v>
      </c>
      <c r="G4366" s="3" t="s">
        <v>125</v>
      </c>
      <c r="H4366" s="2" t="s">
        <v>21</v>
      </c>
      <c r="I4366" s="2" t="s">
        <v>11457</v>
      </c>
      <c r="J4366" s="3" t="str">
        <f>HYPERLINK("https://www.boe.es/gazeta/dias/1812/05/26/pdfs/GRE-1812-65.pdf#page=4","Abrir facsímil")</f>
        <v>Abrir facsímil</v>
      </c>
      <c r="K4366" s="3" t="s">
        <v>23</v>
      </c>
    </row>
    <row r="4367" spans="1:11" ht="42" customHeight="1">
      <c r="A4367" s="2" t="s">
        <v>11454</v>
      </c>
      <c r="B4367" s="2" t="s">
        <v>11455</v>
      </c>
      <c r="C4367" s="2" t="s">
        <v>17</v>
      </c>
      <c r="D4367" s="2" t="s">
        <v>27</v>
      </c>
      <c r="E4367" s="4">
        <v>-31878</v>
      </c>
      <c r="F4367" s="3" t="s">
        <v>2891</v>
      </c>
      <c r="G4367" s="3" t="s">
        <v>2892</v>
      </c>
      <c r="H4367" s="2" t="s">
        <v>21</v>
      </c>
      <c r="I4367" s="2" t="s">
        <v>11458</v>
      </c>
      <c r="J4367" s="3" t="str">
        <f>HYPERLINK("https://www.boe.es/gazeta/dias/1812/09/19/pdfs/GRE-1812-127.pdf#page=3","Abrir facsímil")</f>
        <v>Abrir facsímil</v>
      </c>
      <c r="K4367" s="3" t="s">
        <v>23</v>
      </c>
    </row>
    <row r="4368" spans="1:11" ht="42" customHeight="1">
      <c r="A4368" s="2" t="s">
        <v>11459</v>
      </c>
      <c r="B4368" s="2" t="s">
        <v>11460</v>
      </c>
      <c r="C4368" s="2" t="s">
        <v>26</v>
      </c>
      <c r="D4368" s="2" t="s">
        <v>27</v>
      </c>
      <c r="E4368" s="4">
        <v>-32055</v>
      </c>
      <c r="F4368" s="3" t="s">
        <v>459</v>
      </c>
      <c r="G4368" s="3" t="s">
        <v>20</v>
      </c>
      <c r="H4368" s="2" t="s">
        <v>21</v>
      </c>
      <c r="I4368" s="2" t="s">
        <v>11461</v>
      </c>
      <c r="J4368" s="3" t="str">
        <f>HYPERLINK("https://www.boe.es/gazeta/dias/1812/03/26/pdfs/GRE-1812-38.pdf#page=8","Abrir facsímil")</f>
        <v>Abrir facsímil</v>
      </c>
      <c r="K4368" s="3" t="s">
        <v>23</v>
      </c>
    </row>
    <row r="4369" spans="1:11" ht="42" customHeight="1">
      <c r="A4369" s="2" t="s">
        <v>11462</v>
      </c>
      <c r="B4369" s="2" t="s">
        <v>11463</v>
      </c>
      <c r="C4369" s="2" t="s">
        <v>186</v>
      </c>
      <c r="D4369" s="2" t="s">
        <v>275</v>
      </c>
      <c r="E4369" s="4">
        <v>-31838</v>
      </c>
      <c r="F4369" s="3" t="s">
        <v>1960</v>
      </c>
      <c r="G4369" s="3" t="s">
        <v>196</v>
      </c>
      <c r="H4369" s="2" t="s">
        <v>21</v>
      </c>
      <c r="I4369" s="2" t="s">
        <v>11464</v>
      </c>
      <c r="J4369" s="3" t="str">
        <f>HYPERLINK("https://www.boe.es/gazeta/dias/1812/10/29/pdfs/GRE-1812-145.pdf#page=8","Abrir facsímil")</f>
        <v>Abrir facsímil</v>
      </c>
      <c r="K4369" s="3" t="s">
        <v>23</v>
      </c>
    </row>
    <row r="4370" spans="1:11" ht="42" customHeight="1">
      <c r="A4370" s="2" t="s">
        <v>11465</v>
      </c>
      <c r="B4370" s="2" t="s">
        <v>11465</v>
      </c>
      <c r="C4370" s="2" t="s">
        <v>17</v>
      </c>
      <c r="D4370" s="2" t="s">
        <v>194</v>
      </c>
      <c r="E4370" s="4">
        <v>-32137</v>
      </c>
      <c r="F4370" s="3" t="s">
        <v>355</v>
      </c>
      <c r="G4370" s="3" t="s">
        <v>336</v>
      </c>
      <c r="H4370" s="2" t="s">
        <v>21</v>
      </c>
      <c r="I4370" s="2" t="s">
        <v>11466</v>
      </c>
      <c r="J4370" s="3" t="str">
        <f>HYPERLINK("https://www.boe.es/gazeta/dias/1812/01/04/pdfs/GEI-1812-2.pdf#page=2","Abrir facsímil")</f>
        <v>Abrir facsímil</v>
      </c>
      <c r="K4370" s="3" t="s">
        <v>23</v>
      </c>
    </row>
    <row r="4371" spans="1:11" ht="42" customHeight="1">
      <c r="A4371" s="2" t="s">
        <v>11467</v>
      </c>
      <c r="B4371" s="2" t="s">
        <v>11467</v>
      </c>
      <c r="C4371" s="2" t="s">
        <v>17</v>
      </c>
      <c r="D4371" s="2" t="s">
        <v>18</v>
      </c>
      <c r="E4371" s="4">
        <v>-31787</v>
      </c>
      <c r="F4371" s="3" t="s">
        <v>1560</v>
      </c>
      <c r="G4371" s="3" t="s">
        <v>11468</v>
      </c>
      <c r="H4371" s="2" t="s">
        <v>21</v>
      </c>
      <c r="I4371" s="2" t="s">
        <v>11469</v>
      </c>
      <c r="J4371" s="3" t="str">
        <f>HYPERLINK("https://www.boe.es/gazeta/dias/1812/12/19/pdfs/GRE-1812-167.pdf#page=1","Abrir facsímil")</f>
        <v>Abrir facsímil</v>
      </c>
      <c r="K4371" s="3" t="s">
        <v>23</v>
      </c>
    </row>
    <row r="4372" spans="1:11" ht="42" customHeight="1">
      <c r="A4372" s="2" t="s">
        <v>11470</v>
      </c>
      <c r="B4372" s="2" t="s">
        <v>11470</v>
      </c>
      <c r="C4372" s="2" t="s">
        <v>17</v>
      </c>
      <c r="D4372" s="2" t="s">
        <v>18</v>
      </c>
      <c r="E4372" s="4">
        <v>-32059</v>
      </c>
      <c r="F4372" s="3" t="s">
        <v>2531</v>
      </c>
      <c r="G4372" s="3" t="s">
        <v>2532</v>
      </c>
      <c r="H4372" s="2" t="s">
        <v>21</v>
      </c>
      <c r="I4372" s="2" t="s">
        <v>11471</v>
      </c>
      <c r="J4372" s="3" t="str">
        <f>HYPERLINK("https://www.boe.es/gazeta/dias/1812/03/22/pdfs/GMD-1812-82.pdf#page=4","Abrir facsímil")</f>
        <v>Abrir facsímil</v>
      </c>
      <c r="K4372" s="3" t="s">
        <v>23</v>
      </c>
    </row>
    <row r="4373" spans="1:11" ht="42" customHeight="1">
      <c r="A4373" s="2" t="s">
        <v>11472</v>
      </c>
      <c r="B4373" s="2" t="s">
        <v>11472</v>
      </c>
      <c r="C4373" s="2" t="s">
        <v>17</v>
      </c>
      <c r="D4373" s="2" t="s">
        <v>27</v>
      </c>
      <c r="E4373" s="4">
        <v>-32025</v>
      </c>
      <c r="F4373" s="3" t="s">
        <v>2323</v>
      </c>
      <c r="G4373" s="3" t="s">
        <v>45</v>
      </c>
      <c r="H4373" s="2" t="s">
        <v>21</v>
      </c>
      <c r="I4373" s="2" t="s">
        <v>11473</v>
      </c>
      <c r="J4373" s="3" t="str">
        <f>HYPERLINK("https://www.boe.es/gazeta/dias/1812/04/25/pdfs/GRE-1812-52.pdf#page=6","Abrir facsímil")</f>
        <v>Abrir facsímil</v>
      </c>
      <c r="K4373" s="3" t="s">
        <v>23</v>
      </c>
    </row>
    <row r="4374" spans="1:11" ht="42" customHeight="1">
      <c r="A4374" s="2" t="s">
        <v>11474</v>
      </c>
      <c r="B4374" s="2" t="s">
        <v>11475</v>
      </c>
      <c r="C4374" s="2" t="s">
        <v>26</v>
      </c>
      <c r="D4374" s="2" t="s">
        <v>27</v>
      </c>
      <c r="E4374" s="4">
        <v>-32097</v>
      </c>
      <c r="F4374" s="3" t="s">
        <v>4288</v>
      </c>
      <c r="G4374" s="3" t="s">
        <v>130</v>
      </c>
      <c r="H4374" s="2" t="s">
        <v>21</v>
      </c>
      <c r="I4374" s="2" t="s">
        <v>11476</v>
      </c>
      <c r="J4374" s="3" t="str">
        <f>HYPERLINK("https://www.boe.es/gazeta/dias/1812/02/13/pdfs/GMD-1812-44.pdf#page=4","Abrir facsímil")</f>
        <v>Abrir facsímil</v>
      </c>
      <c r="K4374" s="3" t="s">
        <v>23</v>
      </c>
    </row>
    <row r="4375" spans="1:11" ht="42" customHeight="1">
      <c r="A4375" s="2" t="s">
        <v>11477</v>
      </c>
      <c r="B4375" s="2" t="s">
        <v>11478</v>
      </c>
      <c r="C4375" s="2" t="s">
        <v>49</v>
      </c>
      <c r="D4375" s="2" t="s">
        <v>27</v>
      </c>
      <c r="E4375" s="4">
        <v>-31976</v>
      </c>
      <c r="F4375" s="3" t="s">
        <v>54</v>
      </c>
      <c r="G4375" s="3" t="s">
        <v>11479</v>
      </c>
      <c r="H4375" s="2" t="s">
        <v>21</v>
      </c>
      <c r="I4375" s="2" t="s">
        <v>11480</v>
      </c>
      <c r="J4375" s="3" t="str">
        <f>HYPERLINK("https://www.boe.es/gazeta/dias/1812/06/13/pdfs/GRE-1812-73.pdf#page=5","Abrir facsímil")</f>
        <v>Abrir facsímil</v>
      </c>
      <c r="K4375" s="3" t="s">
        <v>23</v>
      </c>
    </row>
    <row r="4376" spans="1:11" ht="42" customHeight="1">
      <c r="A4376" s="2" t="s">
        <v>11481</v>
      </c>
      <c r="B4376" s="2" t="s">
        <v>11481</v>
      </c>
      <c r="C4376" s="2" t="s">
        <v>17</v>
      </c>
      <c r="D4376" s="2" t="s">
        <v>18</v>
      </c>
      <c r="E4376" s="4">
        <v>-31880</v>
      </c>
      <c r="F4376" s="3" t="s">
        <v>705</v>
      </c>
      <c r="G4376" s="3" t="s">
        <v>20</v>
      </c>
      <c r="H4376" s="2" t="s">
        <v>21</v>
      </c>
      <c r="I4376" s="2" t="s">
        <v>11482</v>
      </c>
      <c r="J4376" s="3" t="str">
        <f>HYPERLINK("https://www.boe.es/gazeta/dias/1812/09/17/pdfs/GMR-1812-15.pdf#page=8","Abrir facsímil")</f>
        <v>Abrir facsímil</v>
      </c>
      <c r="K4376" s="3" t="s">
        <v>23</v>
      </c>
    </row>
    <row r="4377" spans="1:11" ht="42" customHeight="1">
      <c r="A4377" s="2" t="s">
        <v>11483</v>
      </c>
      <c r="B4377" s="2" t="s">
        <v>11484</v>
      </c>
      <c r="C4377" s="2" t="s">
        <v>26</v>
      </c>
      <c r="D4377" s="2" t="s">
        <v>27</v>
      </c>
      <c r="E4377" s="4">
        <v>-31940</v>
      </c>
      <c r="F4377" s="3" t="s">
        <v>187</v>
      </c>
      <c r="G4377" s="3" t="s">
        <v>404</v>
      </c>
      <c r="H4377" s="2" t="s">
        <v>21</v>
      </c>
      <c r="I4377" s="2" t="s">
        <v>11485</v>
      </c>
      <c r="J4377" s="3" t="str">
        <f>HYPERLINK("https://www.boe.es/gazeta/dias/1812/07/19/pdfs/GMD-1812-201.pdf#page=3","Abrir facsímil")</f>
        <v>Abrir facsímil</v>
      </c>
      <c r="K4377" s="3" t="s">
        <v>23</v>
      </c>
    </row>
    <row r="4378" spans="1:11" ht="42" customHeight="1">
      <c r="A4378" s="2" t="s">
        <v>11486</v>
      </c>
      <c r="B4378" s="2" t="s">
        <v>11487</v>
      </c>
      <c r="C4378" s="2" t="s">
        <v>17</v>
      </c>
      <c r="D4378" s="2" t="s">
        <v>18</v>
      </c>
      <c r="E4378" s="4">
        <v>-32041</v>
      </c>
      <c r="F4378" s="3" t="s">
        <v>35</v>
      </c>
      <c r="G4378" s="3" t="s">
        <v>1980</v>
      </c>
      <c r="H4378" s="2" t="s">
        <v>30</v>
      </c>
      <c r="I4378" s="2" t="s">
        <v>11488</v>
      </c>
      <c r="J4378" s="3" t="str">
        <f>HYPERLINK("https://www.boe.es/gazeta/dias/1812/04/09/pdfs/GRE-1812-44.pdf#page=2","Abrir facsímil")</f>
        <v>Abrir facsímil</v>
      </c>
      <c r="K4378" s="3" t="s">
        <v>32</v>
      </c>
    </row>
    <row r="4379" spans="1:11" ht="42" customHeight="1">
      <c r="A4379" s="2" t="s">
        <v>11489</v>
      </c>
      <c r="B4379" s="2" t="s">
        <v>11489</v>
      </c>
      <c r="C4379" s="2" t="s">
        <v>17</v>
      </c>
      <c r="D4379" s="2" t="s">
        <v>27</v>
      </c>
      <c r="E4379" s="4">
        <v>-31780</v>
      </c>
      <c r="F4379" s="3" t="s">
        <v>3317</v>
      </c>
      <c r="G4379" s="3" t="s">
        <v>11490</v>
      </c>
      <c r="H4379" s="2" t="s">
        <v>21</v>
      </c>
      <c r="I4379" s="2" t="s">
        <v>11491</v>
      </c>
      <c r="J4379" s="3" t="str">
        <f>HYPERLINK("https://www.boe.es/gazeta/dias/1812/12/26/pdfs/GRE-1812-170.pdf#page=2","Abrir facsímil")</f>
        <v>Abrir facsímil</v>
      </c>
      <c r="K4379" s="3" t="s">
        <v>23</v>
      </c>
    </row>
    <row r="4380" spans="1:11" ht="42" customHeight="1">
      <c r="A4380" s="2" t="s">
        <v>11492</v>
      </c>
      <c r="B4380" s="2" t="s">
        <v>11493</v>
      </c>
      <c r="C4380" s="2" t="s">
        <v>186</v>
      </c>
      <c r="D4380" s="2" t="s">
        <v>275</v>
      </c>
      <c r="E4380" s="4">
        <v>-31955</v>
      </c>
      <c r="F4380" s="3" t="s">
        <v>135</v>
      </c>
      <c r="G4380" s="3" t="s">
        <v>136</v>
      </c>
      <c r="H4380" s="2" t="s">
        <v>21</v>
      </c>
      <c r="I4380" s="2" t="s">
        <v>11494</v>
      </c>
      <c r="J4380" s="3" t="str">
        <f>HYPERLINK("https://www.boe.es/gazeta/dias/1812/07/04/pdfs/GRE-F-1812-82.pdf#page=8","Abrir facsímil")</f>
        <v>Abrir facsímil</v>
      </c>
      <c r="K4380" s="3" t="s">
        <v>23</v>
      </c>
    </row>
    <row r="4381" spans="1:11" ht="42" customHeight="1">
      <c r="A4381" s="2" t="s">
        <v>11495</v>
      </c>
      <c r="B4381" s="2" t="s">
        <v>11495</v>
      </c>
      <c r="C4381" s="2" t="s">
        <v>17</v>
      </c>
      <c r="D4381" s="2" t="s">
        <v>18</v>
      </c>
      <c r="E4381" s="4">
        <v>-31847</v>
      </c>
      <c r="F4381" s="3" t="s">
        <v>219</v>
      </c>
      <c r="G4381" s="3" t="s">
        <v>11496</v>
      </c>
      <c r="H4381" s="2" t="s">
        <v>21</v>
      </c>
      <c r="I4381" s="2" t="s">
        <v>11497</v>
      </c>
      <c r="J4381" s="3" t="str">
        <f>HYPERLINK("https://www.boe.es/gazeta/dias/1812/10/20/pdfs/GRE-1812-141.pdf#page=7","Abrir facsímil")</f>
        <v>Abrir facsímil</v>
      </c>
      <c r="K4381" s="3" t="s">
        <v>23</v>
      </c>
    </row>
    <row r="4382" spans="1:11" ht="42" customHeight="1">
      <c r="A4382" s="2" t="s">
        <v>11498</v>
      </c>
      <c r="B4382" s="2" t="s">
        <v>11498</v>
      </c>
      <c r="C4382" s="2" t="s">
        <v>115</v>
      </c>
      <c r="D4382" s="2" t="s">
        <v>18</v>
      </c>
      <c r="E4382" s="4">
        <v>-31973</v>
      </c>
      <c r="F4382" s="3" t="s">
        <v>11499</v>
      </c>
      <c r="G4382" s="3" t="s">
        <v>11500</v>
      </c>
      <c r="H4382" s="2" t="s">
        <v>21</v>
      </c>
      <c r="I4382" s="2" t="s">
        <v>11501</v>
      </c>
      <c r="J4382" s="3" t="str">
        <f>HYPERLINK("https://www.boe.es/gazeta/dias/1812/06/16/pdfs/GMD-1812-168.pdf#page=2","Abrir facsímil")</f>
        <v>Abrir facsímil</v>
      </c>
      <c r="K4382" s="3" t="s">
        <v>23</v>
      </c>
    </row>
    <row r="4383" spans="1:11" ht="42" customHeight="1">
      <c r="A4383" s="2" t="s">
        <v>11502</v>
      </c>
      <c r="B4383" s="2" t="s">
        <v>11502</v>
      </c>
      <c r="C4383" s="2" t="s">
        <v>26</v>
      </c>
      <c r="D4383" s="2" t="s">
        <v>27</v>
      </c>
      <c r="E4383" s="4">
        <v>-32032</v>
      </c>
      <c r="F4383" s="3" t="s">
        <v>421</v>
      </c>
      <c r="G4383" s="3" t="s">
        <v>106</v>
      </c>
      <c r="H4383" s="2" t="s">
        <v>21</v>
      </c>
      <c r="I4383" s="2" t="s">
        <v>11503</v>
      </c>
      <c r="J4383" s="3" t="str">
        <f>HYPERLINK("https://www.boe.es/gazeta/dias/1812/04/18/pdfs/GRE-1812-49.pdf#page=4","Abrir facsímil")</f>
        <v>Abrir facsímil</v>
      </c>
      <c r="K4383" s="3" t="s">
        <v>23</v>
      </c>
    </row>
    <row r="4384" spans="1:11" ht="42" customHeight="1">
      <c r="A4384" s="2" t="s">
        <v>11504</v>
      </c>
      <c r="B4384" s="2" t="s">
        <v>11504</v>
      </c>
      <c r="C4384" s="2" t="s">
        <v>17</v>
      </c>
      <c r="D4384" s="2" t="s">
        <v>27</v>
      </c>
      <c r="E4384" s="4">
        <v>-32099</v>
      </c>
      <c r="F4384" s="3" t="s">
        <v>2566</v>
      </c>
      <c r="G4384" s="3" t="s">
        <v>2644</v>
      </c>
      <c r="H4384" s="2" t="s">
        <v>21</v>
      </c>
      <c r="I4384" s="2" t="s">
        <v>11505</v>
      </c>
      <c r="J4384" s="3" t="str">
        <f>HYPERLINK("https://www.boe.es/gazeta/dias/1812/02/11/pdfs/GRE-1812-18.pdf#page=5","Abrir facsímil")</f>
        <v>Abrir facsímil</v>
      </c>
      <c r="K4384" s="3" t="s">
        <v>23</v>
      </c>
    </row>
    <row r="4385" spans="1:11" ht="42" customHeight="1">
      <c r="A4385" s="2" t="s">
        <v>11506</v>
      </c>
      <c r="B4385" s="2" t="s">
        <v>11507</v>
      </c>
      <c r="C4385" s="2" t="s">
        <v>17</v>
      </c>
      <c r="D4385" s="2" t="s">
        <v>27</v>
      </c>
      <c r="E4385" s="4">
        <v>-32022</v>
      </c>
      <c r="F4385" s="3" t="s">
        <v>1186</v>
      </c>
      <c r="G4385" s="3" t="s">
        <v>532</v>
      </c>
      <c r="H4385" s="2" t="s">
        <v>30</v>
      </c>
      <c r="I4385" s="2" t="s">
        <v>11508</v>
      </c>
      <c r="J4385" s="3" t="str">
        <f>HYPERLINK("https://www.boe.es/gazeta/dias/1812/04/28/pdfs/GRE-1812-53.pdf#page=6","Abrir facsímil")</f>
        <v>Abrir facsímil</v>
      </c>
      <c r="K4385" s="3" t="s">
        <v>32</v>
      </c>
    </row>
    <row r="4386" spans="1:11" ht="42" customHeight="1">
      <c r="A4386" s="2" t="s">
        <v>11509</v>
      </c>
      <c r="B4386" s="2" t="s">
        <v>11510</v>
      </c>
      <c r="C4386" s="2" t="s">
        <v>67</v>
      </c>
      <c r="D4386" s="2" t="s">
        <v>27</v>
      </c>
      <c r="E4386" s="4">
        <v>-32000</v>
      </c>
      <c r="F4386" s="3" t="s">
        <v>878</v>
      </c>
      <c r="G4386" s="3" t="s">
        <v>214</v>
      </c>
      <c r="H4386" s="2" t="s">
        <v>21</v>
      </c>
      <c r="I4386" s="2" t="s">
        <v>11511</v>
      </c>
      <c r="J4386" s="3" t="str">
        <f>HYPERLINK("https://www.boe.es/gazeta/dias/1812/05/20/pdfs/GMD-1812-141.pdf#page=2","Abrir facsímil")</f>
        <v>Abrir facsímil</v>
      </c>
      <c r="K4386" s="3" t="s">
        <v>23</v>
      </c>
    </row>
    <row r="4387" spans="1:11" ht="42" customHeight="1">
      <c r="A4387" s="2" t="s">
        <v>11512</v>
      </c>
      <c r="B4387" s="2" t="s">
        <v>11513</v>
      </c>
      <c r="C4387" s="2" t="s">
        <v>26</v>
      </c>
      <c r="D4387" s="2" t="s">
        <v>27</v>
      </c>
      <c r="E4387" s="4">
        <v>-31976</v>
      </c>
      <c r="F4387" s="3" t="s">
        <v>54</v>
      </c>
      <c r="G4387" s="3" t="s">
        <v>55</v>
      </c>
      <c r="H4387" s="2" t="s">
        <v>21</v>
      </c>
      <c r="I4387" s="2" t="s">
        <v>11514</v>
      </c>
      <c r="J4387" s="3" t="str">
        <f>HYPERLINK("https://www.boe.es/gazeta/dias/1812/06/13/pdfs/GRE-1812-73.pdf#page=6","Abrir facsímil")</f>
        <v>Abrir facsímil</v>
      </c>
      <c r="K4387" s="3" t="s">
        <v>23</v>
      </c>
    </row>
    <row r="4388" spans="1:11" ht="42" customHeight="1">
      <c r="A4388" s="2" t="s">
        <v>11515</v>
      </c>
      <c r="B4388" s="2" t="s">
        <v>11515</v>
      </c>
      <c r="C4388" s="2" t="s">
        <v>67</v>
      </c>
      <c r="D4388" s="2" t="s">
        <v>27</v>
      </c>
      <c r="E4388" s="4">
        <v>-32118</v>
      </c>
      <c r="F4388" s="3" t="s">
        <v>1420</v>
      </c>
      <c r="G4388" s="3" t="s">
        <v>1128</v>
      </c>
      <c r="H4388" s="2" t="s">
        <v>21</v>
      </c>
      <c r="I4388" s="2" t="s">
        <v>11516</v>
      </c>
      <c r="J4388" s="3" t="str">
        <f>HYPERLINK("https://www.boe.es/gazeta/dias/1812/01/23/pdfs/GEI-1812-10.pdf#page=3","Abrir facsímil")</f>
        <v>Abrir facsímil</v>
      </c>
      <c r="K4388" s="3" t="s">
        <v>23</v>
      </c>
    </row>
    <row r="4389" spans="1:11" ht="42" customHeight="1">
      <c r="A4389" s="2" t="s">
        <v>11515</v>
      </c>
      <c r="B4389" s="2" t="s">
        <v>11515</v>
      </c>
      <c r="C4389" s="2" t="s">
        <v>26</v>
      </c>
      <c r="D4389" s="2" t="s">
        <v>27</v>
      </c>
      <c r="E4389" s="4">
        <v>-32035</v>
      </c>
      <c r="F4389" s="3" t="s">
        <v>2646</v>
      </c>
      <c r="G4389" s="3" t="s">
        <v>130</v>
      </c>
      <c r="H4389" s="2" t="s">
        <v>21</v>
      </c>
      <c r="I4389" s="2" t="s">
        <v>11517</v>
      </c>
      <c r="J4389" s="3" t="str">
        <f>HYPERLINK("https://www.boe.es/gazeta/dias/1812/04/15/pdfs/GMD-1812-106.pdf#page=4","Abrir facsímil")</f>
        <v>Abrir facsímil</v>
      </c>
      <c r="K4389" s="3" t="s">
        <v>23</v>
      </c>
    </row>
    <row r="4390" spans="1:11" ht="42" customHeight="1">
      <c r="A4390" s="2" t="s">
        <v>11515</v>
      </c>
      <c r="B4390" s="2" t="s">
        <v>11515</v>
      </c>
      <c r="C4390" s="2" t="s">
        <v>17</v>
      </c>
      <c r="D4390" s="2" t="s">
        <v>18</v>
      </c>
      <c r="E4390" s="4">
        <v>-31951</v>
      </c>
      <c r="F4390" s="3" t="s">
        <v>1603</v>
      </c>
      <c r="G4390" s="3" t="s">
        <v>214</v>
      </c>
      <c r="H4390" s="2" t="s">
        <v>21</v>
      </c>
      <c r="I4390" s="2" t="s">
        <v>11518</v>
      </c>
      <c r="J4390" s="3" t="str">
        <f>HYPERLINK("https://www.boe.es/gazeta/dias/1812/07/08/pdfs/GMD-1812-190.pdf#page=4","Abrir facsímil")</f>
        <v>Abrir facsímil</v>
      </c>
      <c r="K4390" s="3" t="s">
        <v>23</v>
      </c>
    </row>
    <row r="4391" spans="1:11" ht="42" customHeight="1">
      <c r="A4391" s="2" t="s">
        <v>11519</v>
      </c>
      <c r="B4391" s="2" t="s">
        <v>11519</v>
      </c>
      <c r="C4391" s="2" t="s">
        <v>17</v>
      </c>
      <c r="D4391" s="2" t="s">
        <v>18</v>
      </c>
      <c r="E4391" s="4">
        <v>-32003</v>
      </c>
      <c r="F4391" s="3" t="s">
        <v>585</v>
      </c>
      <c r="G4391" s="3" t="s">
        <v>404</v>
      </c>
      <c r="H4391" s="2" t="s">
        <v>21</v>
      </c>
      <c r="I4391" s="2" t="s">
        <v>11520</v>
      </c>
      <c r="J4391" s="3" t="str">
        <f>HYPERLINK("https://www.boe.es/gazeta/dias/1812/05/17/pdfs/GMD-1812-138.pdf#page=2","Abrir facsímil")</f>
        <v>Abrir facsímil</v>
      </c>
      <c r="K4391" s="3" t="s">
        <v>23</v>
      </c>
    </row>
    <row r="4392" spans="1:11" ht="42" customHeight="1">
      <c r="A4392" s="2" t="s">
        <v>11521</v>
      </c>
      <c r="B4392" s="2" t="s">
        <v>11521</v>
      </c>
      <c r="C4392" s="2" t="s">
        <v>17</v>
      </c>
      <c r="D4392" s="2" t="s">
        <v>275</v>
      </c>
      <c r="E4392" s="4">
        <v>-32111</v>
      </c>
      <c r="F4392" s="3" t="s">
        <v>553</v>
      </c>
      <c r="G4392" s="3" t="s">
        <v>29</v>
      </c>
      <c r="H4392" s="2" t="s">
        <v>21</v>
      </c>
      <c r="I4392" s="2" t="s">
        <v>11522</v>
      </c>
      <c r="J4392" s="3" t="str">
        <f>HYPERLINK("https://www.boe.es/gazeta/dias/1812/01/30/pdfs/GRE-1812-13.pdf#page=8","Abrir facsímil")</f>
        <v>Abrir facsímil</v>
      </c>
      <c r="K4392" s="3" t="s">
        <v>23</v>
      </c>
    </row>
    <row r="4393" spans="1:11" ht="42" customHeight="1">
      <c r="A4393" s="2" t="s">
        <v>11521</v>
      </c>
      <c r="B4393" s="2" t="s">
        <v>11521</v>
      </c>
      <c r="C4393" s="2" t="s">
        <v>26</v>
      </c>
      <c r="D4393" s="2" t="s">
        <v>27</v>
      </c>
      <c r="E4393" s="4">
        <v>-32109</v>
      </c>
      <c r="F4393" s="3" t="s">
        <v>2637</v>
      </c>
      <c r="G4393" s="3" t="s">
        <v>1380</v>
      </c>
      <c r="H4393" s="2" t="s">
        <v>21</v>
      </c>
      <c r="I4393" s="2" t="s">
        <v>11523</v>
      </c>
      <c r="J4393" s="3" t="str">
        <f>HYPERLINK("https://www.boe.es/gazeta/dias/1812/02/01/pdfs/GMD-1812-32.pdf#page=4","Abrir facsímil")</f>
        <v>Abrir facsímil</v>
      </c>
      <c r="K4393" s="3" t="s">
        <v>23</v>
      </c>
    </row>
    <row r="4394" spans="1:11" ht="42" customHeight="1">
      <c r="A4394" s="2" t="s">
        <v>11521</v>
      </c>
      <c r="B4394" s="2" t="s">
        <v>11521</v>
      </c>
      <c r="C4394" s="2" t="s">
        <v>17</v>
      </c>
      <c r="D4394" s="2" t="s">
        <v>18</v>
      </c>
      <c r="E4394" s="4">
        <v>-32063</v>
      </c>
      <c r="F4394" s="3" t="s">
        <v>384</v>
      </c>
      <c r="G4394" s="3" t="s">
        <v>125</v>
      </c>
      <c r="H4394" s="2" t="s">
        <v>21</v>
      </c>
      <c r="I4394" s="2" t="s">
        <v>11524</v>
      </c>
      <c r="J4394" s="3" t="str">
        <f>HYPERLINK("https://www.boe.es/gazeta/dias/1812/03/18/pdfs/GMD-1812-78.pdf#page=3","Abrir facsímil")</f>
        <v>Abrir facsímil</v>
      </c>
      <c r="K4394" s="3" t="s">
        <v>23</v>
      </c>
    </row>
    <row r="4395" spans="1:11" ht="42" customHeight="1">
      <c r="A4395" s="2" t="s">
        <v>11521</v>
      </c>
      <c r="B4395" s="2" t="s">
        <v>11521</v>
      </c>
      <c r="C4395" s="2" t="s">
        <v>17</v>
      </c>
      <c r="D4395" s="2" t="s">
        <v>18</v>
      </c>
      <c r="E4395" s="4">
        <v>-32063</v>
      </c>
      <c r="F4395" s="3" t="s">
        <v>384</v>
      </c>
      <c r="G4395" s="3" t="s">
        <v>20</v>
      </c>
      <c r="H4395" s="2" t="s">
        <v>21</v>
      </c>
      <c r="I4395" s="2" t="s">
        <v>11525</v>
      </c>
      <c r="J4395" s="3" t="str">
        <f>HYPERLINK("https://www.boe.es/gazeta/dias/1812/03/18/pdfs/GMD-1812-78.pdf#page=4","Abrir facsímil")</f>
        <v>Abrir facsímil</v>
      </c>
      <c r="K4395" s="3" t="s">
        <v>23</v>
      </c>
    </row>
    <row r="4396" spans="1:11" ht="42" customHeight="1">
      <c r="A4396" s="2" t="s">
        <v>11521</v>
      </c>
      <c r="B4396" s="2" t="s">
        <v>11521</v>
      </c>
      <c r="C4396" s="2" t="s">
        <v>26</v>
      </c>
      <c r="D4396" s="2" t="s">
        <v>27</v>
      </c>
      <c r="E4396" s="4">
        <v>-32030</v>
      </c>
      <c r="F4396" s="3" t="s">
        <v>2226</v>
      </c>
      <c r="G4396" s="3" t="s">
        <v>2650</v>
      </c>
      <c r="H4396" s="2" t="s">
        <v>21</v>
      </c>
      <c r="I4396" s="2" t="s">
        <v>11526</v>
      </c>
      <c r="J4396" s="3" t="str">
        <f>HYPERLINK("https://www.boe.es/gazeta/dias/1812/04/20/pdfs/GMD-1812-111.pdf#page=3","Abrir facsímil")</f>
        <v>Abrir facsímil</v>
      </c>
      <c r="K4396" s="3" t="s">
        <v>23</v>
      </c>
    </row>
    <row r="4397" spans="1:11" ht="42" customHeight="1">
      <c r="A4397" s="2" t="s">
        <v>11521</v>
      </c>
      <c r="B4397" s="2" t="s">
        <v>11521</v>
      </c>
      <c r="C4397" s="2" t="s">
        <v>26</v>
      </c>
      <c r="D4397" s="2" t="s">
        <v>27</v>
      </c>
      <c r="E4397" s="4">
        <v>-31937</v>
      </c>
      <c r="F4397" s="3" t="s">
        <v>1198</v>
      </c>
      <c r="G4397" s="3" t="s">
        <v>140</v>
      </c>
      <c r="H4397" s="2" t="s">
        <v>21</v>
      </c>
      <c r="I4397" s="2" t="s">
        <v>11527</v>
      </c>
      <c r="J4397" s="3" t="str">
        <f>HYPERLINK("https://www.boe.es/gazeta/dias/1812/07/22/pdfs/GMD-1812-204.pdf#page=2","Abrir facsímil")</f>
        <v>Abrir facsímil</v>
      </c>
      <c r="K4397" s="3" t="s">
        <v>23</v>
      </c>
    </row>
    <row r="4398" spans="1:11" ht="42" customHeight="1">
      <c r="A4398" s="2" t="s">
        <v>11528</v>
      </c>
      <c r="B4398" s="2" t="s">
        <v>11529</v>
      </c>
      <c r="C4398" s="2" t="s">
        <v>115</v>
      </c>
      <c r="D4398" s="2" t="s">
        <v>27</v>
      </c>
      <c r="E4398" s="4">
        <v>-32032</v>
      </c>
      <c r="F4398" s="3" t="s">
        <v>531</v>
      </c>
      <c r="G4398" s="3" t="s">
        <v>532</v>
      </c>
      <c r="H4398" s="2" t="s">
        <v>21</v>
      </c>
      <c r="I4398" s="2" t="s">
        <v>11530</v>
      </c>
      <c r="J4398" s="3" t="str">
        <f>HYPERLINK("https://www.boe.es/gazeta/dias/1812/04/18/pdfs/GMD-1812-109.pdf#page=4","Abrir facsímil")</f>
        <v>Abrir facsímil</v>
      </c>
      <c r="K4398" s="3" t="s">
        <v>23</v>
      </c>
    </row>
    <row r="4399" spans="1:11" ht="42" customHeight="1">
      <c r="A4399" s="2" t="s">
        <v>11531</v>
      </c>
      <c r="B4399" s="2" t="s">
        <v>11531</v>
      </c>
      <c r="C4399" s="2" t="s">
        <v>26</v>
      </c>
      <c r="D4399" s="2" t="s">
        <v>27</v>
      </c>
      <c r="E4399" s="4">
        <v>-32062</v>
      </c>
      <c r="F4399" s="3" t="s">
        <v>280</v>
      </c>
      <c r="G4399" s="3" t="s">
        <v>20</v>
      </c>
      <c r="H4399" s="2" t="s">
        <v>21</v>
      </c>
      <c r="I4399" s="2" t="s">
        <v>11532</v>
      </c>
      <c r="J4399" s="3" t="str">
        <f>HYPERLINK("https://www.boe.es/gazeta/dias/1812/03/19/pdfs/GMD-1812-79.pdf#page=4","Abrir facsímil")</f>
        <v>Abrir facsímil</v>
      </c>
      <c r="K4399" s="3" t="s">
        <v>23</v>
      </c>
    </row>
    <row r="4400" spans="1:11" ht="42" customHeight="1">
      <c r="A4400" s="2" t="s">
        <v>11533</v>
      </c>
      <c r="B4400" s="2" t="s">
        <v>11534</v>
      </c>
      <c r="C4400" s="2" t="s">
        <v>26</v>
      </c>
      <c r="D4400" s="2" t="s">
        <v>194</v>
      </c>
      <c r="E4400" s="4">
        <v>-31789</v>
      </c>
      <c r="F4400" s="3" t="s">
        <v>350</v>
      </c>
      <c r="G4400" s="3" t="s">
        <v>351</v>
      </c>
      <c r="H4400" s="2" t="s">
        <v>21</v>
      </c>
      <c r="I4400" s="2" t="s">
        <v>11535</v>
      </c>
      <c r="J4400" s="3" t="str">
        <f>HYPERLINK("https://www.boe.es/gazeta/dias/1812/12/17/pdfs/GRE-1812-166.pdf#page=6","Abrir facsímil")</f>
        <v>Abrir facsímil</v>
      </c>
      <c r="K4400" s="3" t="s">
        <v>23</v>
      </c>
    </row>
    <row r="4401" spans="1:11" ht="42" customHeight="1">
      <c r="A4401" s="2" t="s">
        <v>11536</v>
      </c>
      <c r="B4401" s="2" t="s">
        <v>11536</v>
      </c>
      <c r="C4401" s="2" t="s">
        <v>105</v>
      </c>
      <c r="D4401" s="2" t="s">
        <v>27</v>
      </c>
      <c r="E4401" s="4">
        <v>-31922</v>
      </c>
      <c r="F4401" s="3" t="s">
        <v>375</v>
      </c>
      <c r="G4401" s="3" t="s">
        <v>6978</v>
      </c>
      <c r="H4401" s="2" t="s">
        <v>21</v>
      </c>
      <c r="I4401" s="2" t="s">
        <v>11537</v>
      </c>
      <c r="J4401" s="3" t="str">
        <f>HYPERLINK("https://www.boe.es/gazeta/dias/1812/08/06/pdfs/GRE-1812-100.pdf#page=6","Abrir facsímil")</f>
        <v>Abrir facsímil</v>
      </c>
      <c r="K4401" s="3" t="s">
        <v>23</v>
      </c>
    </row>
    <row r="4402" spans="1:11" ht="42" customHeight="1">
      <c r="A4402" s="2" t="s">
        <v>11538</v>
      </c>
      <c r="B4402" s="2" t="s">
        <v>11539</v>
      </c>
      <c r="C4402" s="2" t="s">
        <v>26</v>
      </c>
      <c r="D4402" s="2" t="s">
        <v>27</v>
      </c>
      <c r="E4402" s="4">
        <v>-32137</v>
      </c>
      <c r="F4402" s="3" t="s">
        <v>355</v>
      </c>
      <c r="G4402" s="3" t="s">
        <v>117</v>
      </c>
      <c r="H4402" s="2" t="s">
        <v>21</v>
      </c>
      <c r="I4402" s="2" t="s">
        <v>11540</v>
      </c>
      <c r="J4402" s="3" t="str">
        <f>HYPERLINK("https://www.boe.es/gazeta/dias/1812/01/04/pdfs/GEI-1812-2.pdf#page=8","Abrir facsímil")</f>
        <v>Abrir facsímil</v>
      </c>
      <c r="K4402" s="3" t="s">
        <v>23</v>
      </c>
    </row>
    <row r="4403" spans="1:11" ht="42" customHeight="1">
      <c r="A4403" s="2" t="s">
        <v>11538</v>
      </c>
      <c r="B4403" s="2" t="s">
        <v>11539</v>
      </c>
      <c r="C4403" s="2" t="s">
        <v>26</v>
      </c>
      <c r="D4403" s="2" t="s">
        <v>27</v>
      </c>
      <c r="E4403" s="4">
        <v>-32100</v>
      </c>
      <c r="F4403" s="3" t="s">
        <v>492</v>
      </c>
      <c r="G4403" s="3" t="s">
        <v>493</v>
      </c>
      <c r="H4403" s="2" t="s">
        <v>21</v>
      </c>
      <c r="I4403" s="2" t="s">
        <v>11541</v>
      </c>
      <c r="J4403" s="3" t="str">
        <f>HYPERLINK("https://www.boe.es/gazeta/dias/1812/02/10/pdfs/GRE-1812-31.pdf#page=8","Abrir facsímil")</f>
        <v>Abrir facsímil</v>
      </c>
      <c r="K4403" s="3" t="s">
        <v>23</v>
      </c>
    </row>
    <row r="4404" spans="1:11" ht="42" customHeight="1">
      <c r="A4404" s="2" t="s">
        <v>11538</v>
      </c>
      <c r="B4404" s="2" t="s">
        <v>11539</v>
      </c>
      <c r="C4404" s="2" t="s">
        <v>26</v>
      </c>
      <c r="D4404" s="2" t="s">
        <v>27</v>
      </c>
      <c r="E4404" s="4">
        <v>-32071</v>
      </c>
      <c r="F4404" s="3" t="s">
        <v>492</v>
      </c>
      <c r="G4404" s="3" t="s">
        <v>493</v>
      </c>
      <c r="H4404" s="2" t="s">
        <v>21</v>
      </c>
      <c r="I4404" s="2" t="s">
        <v>11541</v>
      </c>
      <c r="J4404" s="3" t="str">
        <f>HYPERLINK("https://www.boe.es/gazeta/dias/1812/03/10/pdfs/GRE-1812-31.pdf#page=8","Abrir facsímil")</f>
        <v>Abrir facsímil</v>
      </c>
      <c r="K4404" s="3" t="s">
        <v>23</v>
      </c>
    </row>
    <row r="4405" spans="1:11" ht="42" customHeight="1">
      <c r="A4405" s="2" t="s">
        <v>11542</v>
      </c>
      <c r="B4405" s="2" t="s">
        <v>11543</v>
      </c>
      <c r="C4405" s="2" t="s">
        <v>26</v>
      </c>
      <c r="D4405" s="2" t="s">
        <v>27</v>
      </c>
      <c r="E4405" s="4">
        <v>-31964</v>
      </c>
      <c r="F4405" s="3" t="s">
        <v>305</v>
      </c>
      <c r="G4405" s="3" t="s">
        <v>58</v>
      </c>
      <c r="H4405" s="2" t="s">
        <v>21</v>
      </c>
      <c r="I4405" s="2" t="s">
        <v>11544</v>
      </c>
      <c r="J4405" s="3" t="str">
        <f>HYPERLINK("https://www.boe.es/gazeta/dias/1812/06/25/pdfs/GMD-1812-177.pdf#page=2","Abrir facsímil")</f>
        <v>Abrir facsímil</v>
      </c>
      <c r="K4405" s="3" t="s">
        <v>23</v>
      </c>
    </row>
    <row r="4406" spans="1:11" ht="42" customHeight="1">
      <c r="A4406" s="2" t="s">
        <v>11545</v>
      </c>
      <c r="B4406" s="2" t="s">
        <v>11545</v>
      </c>
      <c r="C4406" s="2" t="s">
        <v>82</v>
      </c>
      <c r="D4406" s="2" t="s">
        <v>27</v>
      </c>
      <c r="E4406" s="4">
        <v>-32088</v>
      </c>
      <c r="F4406" s="3" t="s">
        <v>1217</v>
      </c>
      <c r="G4406" s="3" t="s">
        <v>1218</v>
      </c>
      <c r="H4406" s="2" t="s">
        <v>21</v>
      </c>
      <c r="I4406" s="2" t="s">
        <v>11546</v>
      </c>
      <c r="J4406" s="3" t="str">
        <f>HYPERLINK("https://www.boe.es/gazeta/dias/1812/02/22/pdfs/GMD-1812-53.pdf#page=4","Abrir facsímil")</f>
        <v>Abrir facsímil</v>
      </c>
      <c r="K4406" s="3" t="s">
        <v>23</v>
      </c>
    </row>
    <row r="4407" spans="1:11" ht="42" customHeight="1">
      <c r="A4407" s="2" t="s">
        <v>11547</v>
      </c>
      <c r="B4407" s="2" t="s">
        <v>11547</v>
      </c>
      <c r="C4407" s="2" t="s">
        <v>17</v>
      </c>
      <c r="D4407" s="2" t="s">
        <v>18</v>
      </c>
      <c r="E4407" s="4">
        <v>-32063</v>
      </c>
      <c r="F4407" s="3" t="s">
        <v>384</v>
      </c>
      <c r="G4407" s="3" t="s">
        <v>20</v>
      </c>
      <c r="H4407" s="2" t="s">
        <v>21</v>
      </c>
      <c r="I4407" s="2" t="s">
        <v>11548</v>
      </c>
      <c r="J4407" s="3" t="str">
        <f>HYPERLINK("https://www.boe.es/gazeta/dias/1812/03/18/pdfs/GMD-1812-78.pdf#page=4","Abrir facsímil")</f>
        <v>Abrir facsímil</v>
      </c>
      <c r="K4407" s="3" t="s">
        <v>23</v>
      </c>
    </row>
    <row r="4408" spans="1:11" ht="42" customHeight="1">
      <c r="A4408" s="2" t="s">
        <v>11547</v>
      </c>
      <c r="B4408" s="2" t="s">
        <v>11547</v>
      </c>
      <c r="C4408" s="2" t="s">
        <v>17</v>
      </c>
      <c r="D4408" s="2" t="s">
        <v>18</v>
      </c>
      <c r="E4408" s="4">
        <v>-32030</v>
      </c>
      <c r="F4408" s="3" t="s">
        <v>2226</v>
      </c>
      <c r="G4408" s="3" t="s">
        <v>20</v>
      </c>
      <c r="H4408" s="2" t="s">
        <v>21</v>
      </c>
      <c r="I4408" s="2" t="s">
        <v>11549</v>
      </c>
      <c r="J4408" s="3" t="str">
        <f>HYPERLINK("https://www.boe.es/gazeta/dias/1812/04/20/pdfs/GMD-1812-111.pdf#page=4","Abrir facsímil")</f>
        <v>Abrir facsímil</v>
      </c>
      <c r="K4408" s="3" t="s">
        <v>23</v>
      </c>
    </row>
    <row r="4409" spans="1:11" ht="42" customHeight="1">
      <c r="A4409" s="2" t="s">
        <v>11547</v>
      </c>
      <c r="B4409" s="2" t="s">
        <v>11547</v>
      </c>
      <c r="C4409" s="2" t="s">
        <v>105</v>
      </c>
      <c r="D4409" s="2" t="s">
        <v>27</v>
      </c>
      <c r="E4409" s="4">
        <v>-31861</v>
      </c>
      <c r="F4409" s="3" t="s">
        <v>1080</v>
      </c>
      <c r="G4409" s="3" t="s">
        <v>3113</v>
      </c>
      <c r="H4409" s="2" t="s">
        <v>21</v>
      </c>
      <c r="I4409" s="2" t="s">
        <v>11550</v>
      </c>
      <c r="J4409" s="3" t="str">
        <f>HYPERLINK("https://www.boe.es/gazeta/dias/1812/10/06/pdfs/GMR-1812-23.pdf#page=1","Abrir facsímil")</f>
        <v>Abrir facsímil</v>
      </c>
      <c r="K4409" s="3" t="s">
        <v>23</v>
      </c>
    </row>
    <row r="4410" spans="1:11" ht="42" customHeight="1">
      <c r="A4410" s="2" t="s">
        <v>11551</v>
      </c>
      <c r="B4410" s="2" t="s">
        <v>11552</v>
      </c>
      <c r="C4410" s="2" t="s">
        <v>26</v>
      </c>
      <c r="D4410" s="2" t="s">
        <v>27</v>
      </c>
      <c r="E4410" s="4">
        <v>-31955</v>
      </c>
      <c r="F4410" s="3" t="s">
        <v>789</v>
      </c>
      <c r="G4410" s="3" t="s">
        <v>58</v>
      </c>
      <c r="H4410" s="2" t="s">
        <v>21</v>
      </c>
      <c r="I4410" s="2" t="s">
        <v>11553</v>
      </c>
      <c r="J4410" s="3" t="str">
        <f>HYPERLINK("https://www.boe.es/gazeta/dias/1812/07/04/pdfs/GRE-1812-82.pdf#page=3","Abrir facsímil")</f>
        <v>Abrir facsímil</v>
      </c>
      <c r="K4410" s="3" t="s">
        <v>23</v>
      </c>
    </row>
    <row r="4411" spans="1:11" ht="42" customHeight="1">
      <c r="A4411" s="2" t="s">
        <v>11554</v>
      </c>
      <c r="B4411" s="2" t="s">
        <v>11554</v>
      </c>
      <c r="C4411" s="2" t="s">
        <v>17</v>
      </c>
      <c r="D4411" s="2" t="s">
        <v>18</v>
      </c>
      <c r="E4411" s="4">
        <v>-32081</v>
      </c>
      <c r="F4411" s="3" t="s">
        <v>989</v>
      </c>
      <c r="G4411" s="3" t="s">
        <v>683</v>
      </c>
      <c r="H4411" s="2" t="s">
        <v>21</v>
      </c>
      <c r="I4411" s="2" t="s">
        <v>11555</v>
      </c>
      <c r="J4411" s="3" t="str">
        <f>HYPERLINK("https://www.boe.es/gazeta/dias/1812/02/29/pdfs/GMD-1812-60.pdf#page=4","Abrir facsímil")</f>
        <v>Abrir facsímil</v>
      </c>
      <c r="K4411" s="3" t="s">
        <v>23</v>
      </c>
    </row>
    <row r="4412" spans="1:11" ht="42" customHeight="1">
      <c r="A4412" s="2" t="s">
        <v>11554</v>
      </c>
      <c r="B4412" s="2" t="s">
        <v>11554</v>
      </c>
      <c r="C4412" s="2" t="s">
        <v>115</v>
      </c>
      <c r="D4412" s="2" t="s">
        <v>27</v>
      </c>
      <c r="E4412" s="4">
        <v>-32044</v>
      </c>
      <c r="F4412" s="3" t="s">
        <v>1031</v>
      </c>
      <c r="G4412" s="3" t="s">
        <v>1873</v>
      </c>
      <c r="H4412" s="2" t="s">
        <v>21</v>
      </c>
      <c r="I4412" s="2" t="s">
        <v>11556</v>
      </c>
      <c r="J4412" s="3" t="str">
        <f>HYPERLINK("https://www.boe.es/gazeta/dias/1812/04/06/pdfs/GMD-1812-97.pdf#page=4","Abrir facsímil")</f>
        <v>Abrir facsímil</v>
      </c>
      <c r="K4412" s="3" t="s">
        <v>23</v>
      </c>
    </row>
    <row r="4413" spans="1:11" ht="42" customHeight="1">
      <c r="A4413" s="2" t="s">
        <v>11554</v>
      </c>
      <c r="B4413" s="2" t="s">
        <v>11554</v>
      </c>
      <c r="C4413" s="2" t="s">
        <v>26</v>
      </c>
      <c r="D4413" s="2" t="s">
        <v>27</v>
      </c>
      <c r="E4413" s="4">
        <v>-31963</v>
      </c>
      <c r="F4413" s="3" t="s">
        <v>171</v>
      </c>
      <c r="G4413" s="3" t="s">
        <v>172</v>
      </c>
      <c r="H4413" s="2" t="s">
        <v>21</v>
      </c>
      <c r="I4413" s="2" t="s">
        <v>11557</v>
      </c>
      <c r="J4413" s="3" t="str">
        <f>HYPERLINK("https://www.boe.es/gazeta/dias/1812/06/26/pdfs/GMD-1812-178.pdf#page=3","Abrir facsímil")</f>
        <v>Abrir facsímil</v>
      </c>
      <c r="K4413" s="3" t="s">
        <v>23</v>
      </c>
    </row>
    <row r="4414" spans="1:11" ht="42" customHeight="1">
      <c r="A4414" s="2" t="s">
        <v>11554</v>
      </c>
      <c r="B4414" s="2" t="s">
        <v>11554</v>
      </c>
      <c r="C4414" s="2" t="s">
        <v>26</v>
      </c>
      <c r="D4414" s="2" t="s">
        <v>27</v>
      </c>
      <c r="E4414" s="4">
        <v>-31938</v>
      </c>
      <c r="F4414" s="3" t="s">
        <v>324</v>
      </c>
      <c r="G4414" s="3" t="s">
        <v>404</v>
      </c>
      <c r="H4414" s="2" t="s">
        <v>21</v>
      </c>
      <c r="I4414" s="2" t="s">
        <v>11558</v>
      </c>
      <c r="J4414" s="3" t="str">
        <f>HYPERLINK("https://www.boe.es/gazeta/dias/1812/07/21/pdfs/GMD-1812-203.pdf#page=4","Abrir facsímil")</f>
        <v>Abrir facsímil</v>
      </c>
      <c r="K4414" s="3" t="s">
        <v>23</v>
      </c>
    </row>
    <row r="4415" spans="1:11" ht="42" customHeight="1">
      <c r="A4415" s="2" t="s">
        <v>11559</v>
      </c>
      <c r="B4415" s="2" t="s">
        <v>11559</v>
      </c>
      <c r="C4415" s="2" t="s">
        <v>17</v>
      </c>
      <c r="D4415" s="2" t="s">
        <v>27</v>
      </c>
      <c r="E4415" s="4">
        <v>-32063</v>
      </c>
      <c r="F4415" s="3" t="s">
        <v>384</v>
      </c>
      <c r="G4415" s="3" t="s">
        <v>125</v>
      </c>
      <c r="H4415" s="2" t="s">
        <v>21</v>
      </c>
      <c r="I4415" s="2" t="s">
        <v>11560</v>
      </c>
      <c r="J4415" s="3" t="str">
        <f>HYPERLINK("https://www.boe.es/gazeta/dias/1812/03/18/pdfs/GMD-1812-78.pdf#page=3","Abrir facsímil")</f>
        <v>Abrir facsímil</v>
      </c>
      <c r="K4415" s="3" t="s">
        <v>23</v>
      </c>
    </row>
    <row r="4416" spans="1:11" ht="42" customHeight="1">
      <c r="A4416" s="2" t="s">
        <v>11561</v>
      </c>
      <c r="B4416" s="2" t="s">
        <v>11561</v>
      </c>
      <c r="C4416" s="2" t="s">
        <v>105</v>
      </c>
      <c r="D4416" s="2" t="s">
        <v>27</v>
      </c>
      <c r="E4416" s="4">
        <v>-32132</v>
      </c>
      <c r="F4416" s="3" t="s">
        <v>484</v>
      </c>
      <c r="G4416" s="3" t="s">
        <v>485</v>
      </c>
      <c r="H4416" s="2" t="s">
        <v>21</v>
      </c>
      <c r="I4416" s="2" t="s">
        <v>11562</v>
      </c>
      <c r="J4416" s="3" t="str">
        <f>HYPERLINK("https://www.boe.es/gazeta/dias/1812/01/09/pdfs/GEI-1812-4.pdf#page=8","Abrir facsímil")</f>
        <v>Abrir facsímil</v>
      </c>
      <c r="K4416" s="3" t="s">
        <v>23</v>
      </c>
    </row>
    <row r="4417" spans="1:11" ht="42" customHeight="1">
      <c r="A4417" s="2" t="s">
        <v>11561</v>
      </c>
      <c r="B4417" s="2" t="s">
        <v>11561</v>
      </c>
      <c r="C4417" s="2" t="s">
        <v>26</v>
      </c>
      <c r="D4417" s="2" t="s">
        <v>27</v>
      </c>
      <c r="E4417" s="4">
        <v>-32118</v>
      </c>
      <c r="F4417" s="3" t="s">
        <v>964</v>
      </c>
      <c r="G4417" s="3" t="s">
        <v>965</v>
      </c>
      <c r="H4417" s="2" t="s">
        <v>21</v>
      </c>
      <c r="I4417" s="2" t="s">
        <v>11563</v>
      </c>
      <c r="J4417" s="3" t="str">
        <f>HYPERLINK("https://www.boe.es/gazeta/dias/1812/01/23/pdfs/GEI-H-1812-10.pdf#page=4","Abrir facsímil")</f>
        <v>Abrir facsímil</v>
      </c>
      <c r="K4417" s="3" t="s">
        <v>23</v>
      </c>
    </row>
    <row r="4418" spans="1:11" ht="42" customHeight="1">
      <c r="A4418" s="2" t="s">
        <v>11561</v>
      </c>
      <c r="B4418" s="2" t="s">
        <v>11561</v>
      </c>
      <c r="C4418" s="2" t="s">
        <v>26</v>
      </c>
      <c r="D4418" s="2" t="s">
        <v>27</v>
      </c>
      <c r="E4418" s="4">
        <v>-32053</v>
      </c>
      <c r="F4418" s="3" t="s">
        <v>910</v>
      </c>
      <c r="G4418" s="3" t="s">
        <v>911</v>
      </c>
      <c r="H4418" s="2" t="s">
        <v>21</v>
      </c>
      <c r="I4418" s="2" t="s">
        <v>11564</v>
      </c>
      <c r="J4418" s="3" t="str">
        <f>HYPERLINK("https://www.boe.es/gazeta/dias/1812/03/28/pdfs/GRE-1812-39.pdf#page=8","Abrir facsímil")</f>
        <v>Abrir facsímil</v>
      </c>
      <c r="K4418" s="3" t="s">
        <v>23</v>
      </c>
    </row>
    <row r="4419" spans="1:11" ht="42" customHeight="1">
      <c r="A4419" s="2" t="s">
        <v>11561</v>
      </c>
      <c r="B4419" s="2" t="s">
        <v>11561</v>
      </c>
      <c r="C4419" s="2" t="s">
        <v>26</v>
      </c>
      <c r="D4419" s="2" t="s">
        <v>27</v>
      </c>
      <c r="E4419" s="4">
        <v>-32034</v>
      </c>
      <c r="F4419" s="3" t="s">
        <v>1008</v>
      </c>
      <c r="G4419" s="3" t="s">
        <v>1009</v>
      </c>
      <c r="H4419" s="2" t="s">
        <v>21</v>
      </c>
      <c r="I4419" s="2" t="s">
        <v>11565</v>
      </c>
      <c r="J4419" s="3" t="str">
        <f>HYPERLINK("https://www.boe.es/gazeta/dias/1812/04/16/pdfs/GRE-1812-48.pdf#page=8","Abrir facsímil")</f>
        <v>Abrir facsímil</v>
      </c>
      <c r="K4419" s="3" t="s">
        <v>23</v>
      </c>
    </row>
    <row r="4420" spans="1:11" ht="42" customHeight="1">
      <c r="A4420" s="2" t="s">
        <v>11561</v>
      </c>
      <c r="B4420" s="2" t="s">
        <v>11561</v>
      </c>
      <c r="C4420" s="2" t="s">
        <v>105</v>
      </c>
      <c r="D4420" s="2" t="s">
        <v>27</v>
      </c>
      <c r="E4420" s="4">
        <v>-32018</v>
      </c>
      <c r="F4420" s="3" t="s">
        <v>365</v>
      </c>
      <c r="G4420" s="3" t="s">
        <v>392</v>
      </c>
      <c r="H4420" s="2" t="s">
        <v>21</v>
      </c>
      <c r="I4420" s="2" t="s">
        <v>11566</v>
      </c>
      <c r="J4420" s="3" t="str">
        <f>HYPERLINK("https://www.boe.es/gazeta/dias/1812/05/02/pdfs/GRE-1812-55.pdf#page=2","Abrir facsímil")</f>
        <v>Abrir facsímil</v>
      </c>
      <c r="K4420" s="3" t="s">
        <v>23</v>
      </c>
    </row>
    <row r="4421" spans="1:11" ht="42" customHeight="1">
      <c r="A4421" s="2" t="s">
        <v>11561</v>
      </c>
      <c r="B4421" s="2" t="s">
        <v>11561</v>
      </c>
      <c r="C4421" s="2" t="s">
        <v>26</v>
      </c>
      <c r="D4421" s="2" t="s">
        <v>134</v>
      </c>
      <c r="E4421" s="4">
        <v>-31983</v>
      </c>
      <c r="F4421" s="3" t="s">
        <v>1437</v>
      </c>
      <c r="G4421" s="3" t="s">
        <v>1438</v>
      </c>
      <c r="H4421" s="2" t="s">
        <v>21</v>
      </c>
      <c r="I4421" s="2" t="s">
        <v>11567</v>
      </c>
      <c r="J4421" s="3" t="str">
        <f>HYPERLINK("https://www.boe.es/gazeta/dias/1812/06/06/pdfs/GRE-F-1812-70.pdf#page=4","Abrir facsímil")</f>
        <v>Abrir facsímil</v>
      </c>
      <c r="K4421" s="3" t="s">
        <v>23</v>
      </c>
    </row>
    <row r="4422" spans="1:11" ht="42" customHeight="1">
      <c r="A4422" s="2" t="s">
        <v>11561</v>
      </c>
      <c r="B4422" s="2" t="s">
        <v>11561</v>
      </c>
      <c r="C4422" s="2" t="s">
        <v>26</v>
      </c>
      <c r="D4422" s="2" t="s">
        <v>27</v>
      </c>
      <c r="E4422" s="4">
        <v>-31955</v>
      </c>
      <c r="F4422" s="3" t="s">
        <v>789</v>
      </c>
      <c r="G4422" s="3" t="s">
        <v>6696</v>
      </c>
      <c r="H4422" s="2" t="s">
        <v>21</v>
      </c>
      <c r="I4422" s="2" t="s">
        <v>11568</v>
      </c>
      <c r="J4422" s="3" t="str">
        <f>HYPERLINK("https://www.boe.es/gazeta/dias/1812/07/04/pdfs/GRE-1812-82.pdf#page=2","Abrir facsímil")</f>
        <v>Abrir facsímil</v>
      </c>
      <c r="K4422" s="3" t="s">
        <v>23</v>
      </c>
    </row>
    <row r="4423" spans="1:11" ht="42" customHeight="1">
      <c r="A4423" s="2" t="s">
        <v>11561</v>
      </c>
      <c r="B4423" s="2" t="s">
        <v>11561</v>
      </c>
      <c r="C4423" s="2" t="s">
        <v>17</v>
      </c>
      <c r="D4423" s="2" t="s">
        <v>27</v>
      </c>
      <c r="E4423" s="4">
        <v>-31908</v>
      </c>
      <c r="F4423" s="3" t="s">
        <v>835</v>
      </c>
      <c r="G4423" s="3" t="s">
        <v>836</v>
      </c>
      <c r="H4423" s="2" t="s">
        <v>21</v>
      </c>
      <c r="I4423" s="2" t="s">
        <v>11569</v>
      </c>
      <c r="J4423" s="3" t="str">
        <f>HYPERLINK("https://www.boe.es/gazeta/dias/1812/08/20/pdfs/GRE-1812-107.pdf#page=4","Abrir facsímil")</f>
        <v>Abrir facsímil</v>
      </c>
      <c r="K4423" s="3" t="s">
        <v>23</v>
      </c>
    </row>
    <row r="4424" spans="1:11" ht="42" customHeight="1">
      <c r="A4424" s="2" t="s">
        <v>11561</v>
      </c>
      <c r="B4424" s="2" t="s">
        <v>11561</v>
      </c>
      <c r="C4424" s="2" t="s">
        <v>26</v>
      </c>
      <c r="D4424" s="2" t="s">
        <v>27</v>
      </c>
      <c r="E4424" s="4">
        <v>-31894</v>
      </c>
      <c r="F4424" s="3" t="s">
        <v>793</v>
      </c>
      <c r="G4424" s="3" t="s">
        <v>11570</v>
      </c>
      <c r="H4424" s="2" t="s">
        <v>21</v>
      </c>
      <c r="I4424" s="2" t="s">
        <v>11571</v>
      </c>
      <c r="J4424" s="3" t="str">
        <f>HYPERLINK("https://www.boe.es/gazeta/dias/1812/09/03/pdfs/GRE-1812-119.pdf#page=6","Abrir facsímil")</f>
        <v>Abrir facsímil</v>
      </c>
      <c r="K4424" s="3" t="s">
        <v>23</v>
      </c>
    </row>
    <row r="4425" spans="1:11" ht="42" customHeight="1">
      <c r="A4425" s="2" t="s">
        <v>11561</v>
      </c>
      <c r="B4425" s="2" t="s">
        <v>11561</v>
      </c>
      <c r="C4425" s="2" t="s">
        <v>17</v>
      </c>
      <c r="D4425" s="2" t="s">
        <v>18</v>
      </c>
      <c r="E4425" s="4">
        <v>-31861</v>
      </c>
      <c r="F4425" s="3" t="s">
        <v>216</v>
      </c>
      <c r="G4425" s="3" t="s">
        <v>3726</v>
      </c>
      <c r="H4425" s="2" t="s">
        <v>21</v>
      </c>
      <c r="I4425" s="2" t="s">
        <v>11572</v>
      </c>
      <c r="J4425" s="3" t="str">
        <f>HYPERLINK("https://www.boe.es/gazeta/dias/1812/10/06/pdfs/GRE-1812-135.pdf#page=8","Abrir facsímil")</f>
        <v>Abrir facsímil</v>
      </c>
      <c r="K4425" s="3" t="s">
        <v>23</v>
      </c>
    </row>
    <row r="4426" spans="1:11" ht="42" customHeight="1">
      <c r="A4426" s="2" t="s">
        <v>11561</v>
      </c>
      <c r="B4426" s="2" t="s">
        <v>11561</v>
      </c>
      <c r="C4426" s="2" t="s">
        <v>17</v>
      </c>
      <c r="D4426" s="2" t="s">
        <v>27</v>
      </c>
      <c r="E4426" s="4">
        <v>-31838</v>
      </c>
      <c r="F4426" s="3" t="s">
        <v>1960</v>
      </c>
      <c r="G4426" s="3" t="s">
        <v>1961</v>
      </c>
      <c r="H4426" s="2" t="s">
        <v>21</v>
      </c>
      <c r="I4426" s="2" t="s">
        <v>11573</v>
      </c>
      <c r="J4426" s="3" t="str">
        <f>HYPERLINK("https://www.boe.es/gazeta/dias/1812/10/29/pdfs/GRE-1812-145.pdf#page=2","Abrir facsímil")</f>
        <v>Abrir facsímil</v>
      </c>
      <c r="K4426" s="3" t="s">
        <v>23</v>
      </c>
    </row>
    <row r="4427" spans="1:11" ht="42" customHeight="1">
      <c r="A4427" s="2" t="s">
        <v>11574</v>
      </c>
      <c r="B4427" s="2" t="s">
        <v>11575</v>
      </c>
      <c r="C4427" s="2" t="s">
        <v>17</v>
      </c>
      <c r="D4427" s="2" t="s">
        <v>27</v>
      </c>
      <c r="E4427" s="4">
        <v>-31964</v>
      </c>
      <c r="F4427" s="3" t="s">
        <v>93</v>
      </c>
      <c r="G4427" s="3" t="s">
        <v>94</v>
      </c>
      <c r="H4427" s="2" t="s">
        <v>30</v>
      </c>
      <c r="I4427" s="2" t="s">
        <v>11576</v>
      </c>
      <c r="J4427" s="3" t="str">
        <f>HYPERLINK("https://www.boe.es/gazeta/dias/1812/06/25/pdfs/GRE-1812-78.pdf#page=4","Abrir facsímil")</f>
        <v>Abrir facsímil</v>
      </c>
      <c r="K4427" s="3" t="s">
        <v>32</v>
      </c>
    </row>
    <row r="4428" spans="1:11" ht="42" customHeight="1">
      <c r="A4428" s="2" t="s">
        <v>11577</v>
      </c>
      <c r="B4428" s="2" t="s">
        <v>11578</v>
      </c>
      <c r="C4428" s="2" t="s">
        <v>17</v>
      </c>
      <c r="D4428" s="2" t="s">
        <v>27</v>
      </c>
      <c r="E4428" s="4">
        <v>-31917</v>
      </c>
      <c r="F4428" s="3" t="s">
        <v>946</v>
      </c>
      <c r="G4428" s="3" t="s">
        <v>947</v>
      </c>
      <c r="H4428" s="2" t="s">
        <v>21</v>
      </c>
      <c r="I4428" s="2" t="s">
        <v>11579</v>
      </c>
      <c r="J4428" s="3" t="str">
        <f>HYPERLINK("https://www.boe.es/gazeta/dias/1812/08/11/pdfs/GRE-1812-103.pdf#page=8","Abrir facsímil")</f>
        <v>Abrir facsímil</v>
      </c>
      <c r="K4428" s="3" t="s">
        <v>23</v>
      </c>
    </row>
    <row r="4429" spans="1:11" ht="42" customHeight="1">
      <c r="A4429" s="2" t="s">
        <v>11580</v>
      </c>
      <c r="B4429" s="2" t="s">
        <v>11580</v>
      </c>
      <c r="C4429" s="2" t="s">
        <v>186</v>
      </c>
      <c r="D4429" s="2" t="s">
        <v>27</v>
      </c>
      <c r="E4429" s="4">
        <v>-32063</v>
      </c>
      <c r="F4429" s="3" t="s">
        <v>384</v>
      </c>
      <c r="G4429" s="3" t="s">
        <v>366</v>
      </c>
      <c r="H4429" s="2" t="s">
        <v>21</v>
      </c>
      <c r="I4429" s="2" t="s">
        <v>11581</v>
      </c>
      <c r="J4429" s="3" t="str">
        <f>HYPERLINK("https://www.boe.es/gazeta/dias/1812/03/18/pdfs/GMD-1812-78.pdf#page=2","Abrir facsímil")</f>
        <v>Abrir facsímil</v>
      </c>
      <c r="K4429" s="3" t="s">
        <v>23</v>
      </c>
    </row>
    <row r="4430" spans="1:11" ht="42" customHeight="1">
      <c r="A4430" s="2" t="s">
        <v>11580</v>
      </c>
      <c r="B4430" s="2" t="s">
        <v>11580</v>
      </c>
      <c r="C4430" s="2" t="s">
        <v>26</v>
      </c>
      <c r="D4430" s="2" t="s">
        <v>27</v>
      </c>
      <c r="E4430" s="4">
        <v>-32063</v>
      </c>
      <c r="F4430" s="3" t="s">
        <v>384</v>
      </c>
      <c r="G4430" s="3" t="s">
        <v>125</v>
      </c>
      <c r="H4430" s="2" t="s">
        <v>21</v>
      </c>
      <c r="I4430" s="2" t="s">
        <v>11582</v>
      </c>
      <c r="J4430" s="3" t="str">
        <f>HYPERLINK("https://www.boe.es/gazeta/dias/1812/03/18/pdfs/GMD-1812-78.pdf#page=3","Abrir facsímil")</f>
        <v>Abrir facsímil</v>
      </c>
      <c r="K4430" s="3" t="s">
        <v>23</v>
      </c>
    </row>
    <row r="4431" spans="1:11" ht="42" customHeight="1">
      <c r="A4431" s="2" t="s">
        <v>11580</v>
      </c>
      <c r="B4431" s="2" t="s">
        <v>11580</v>
      </c>
      <c r="C4431" s="2" t="s">
        <v>17</v>
      </c>
      <c r="D4431" s="2" t="s">
        <v>18</v>
      </c>
      <c r="E4431" s="4">
        <v>-32063</v>
      </c>
      <c r="F4431" s="3" t="s">
        <v>384</v>
      </c>
      <c r="G4431" s="3" t="s">
        <v>20</v>
      </c>
      <c r="H4431" s="2" t="s">
        <v>21</v>
      </c>
      <c r="I4431" s="2" t="s">
        <v>11583</v>
      </c>
      <c r="J4431" s="3" t="str">
        <f>HYPERLINK("https://www.boe.es/gazeta/dias/1812/03/18/pdfs/GMD-1812-78.pdf#page=4","Abrir facsímil")</f>
        <v>Abrir facsímil</v>
      </c>
      <c r="K4431" s="3" t="s">
        <v>23</v>
      </c>
    </row>
    <row r="4432" spans="1:11" ht="42" customHeight="1">
      <c r="A4432" s="2" t="s">
        <v>11580</v>
      </c>
      <c r="B4432" s="2" t="s">
        <v>11580</v>
      </c>
      <c r="C4432" s="2" t="s">
        <v>26</v>
      </c>
      <c r="D4432" s="2" t="s">
        <v>27</v>
      </c>
      <c r="E4432" s="4">
        <v>-32062</v>
      </c>
      <c r="F4432" s="3" t="s">
        <v>280</v>
      </c>
      <c r="G4432" s="3" t="s">
        <v>20</v>
      </c>
      <c r="H4432" s="2" t="s">
        <v>21</v>
      </c>
      <c r="I4432" s="2" t="s">
        <v>11584</v>
      </c>
      <c r="J4432" s="3" t="str">
        <f>HYPERLINK("https://www.boe.es/gazeta/dias/1812/03/19/pdfs/GMD-1812-79.pdf#page=4","Abrir facsímil")</f>
        <v>Abrir facsímil</v>
      </c>
      <c r="K4432" s="3" t="s">
        <v>23</v>
      </c>
    </row>
    <row r="4433" spans="1:11" ht="42" customHeight="1">
      <c r="A4433" s="2" t="s">
        <v>11580</v>
      </c>
      <c r="B4433" s="2" t="s">
        <v>11580</v>
      </c>
      <c r="C4433" s="2" t="s">
        <v>186</v>
      </c>
      <c r="D4433" s="2" t="s">
        <v>27</v>
      </c>
      <c r="E4433" s="4">
        <v>-32045</v>
      </c>
      <c r="F4433" s="3" t="s">
        <v>129</v>
      </c>
      <c r="G4433" s="3" t="s">
        <v>130</v>
      </c>
      <c r="H4433" s="2" t="s">
        <v>21</v>
      </c>
      <c r="I4433" s="2" t="s">
        <v>11585</v>
      </c>
      <c r="J4433" s="3" t="str">
        <f>HYPERLINK("https://www.boe.es/gazeta/dias/1812/04/05/pdfs/GMD-1812-96.pdf#page=4","Abrir facsímil")</f>
        <v>Abrir facsímil</v>
      </c>
      <c r="K4433" s="3" t="s">
        <v>23</v>
      </c>
    </row>
    <row r="4434" spans="1:11" ht="42" customHeight="1">
      <c r="A4434" s="2" t="s">
        <v>11580</v>
      </c>
      <c r="B4434" s="2" t="s">
        <v>11580</v>
      </c>
      <c r="C4434" s="2" t="s">
        <v>17</v>
      </c>
      <c r="D4434" s="2" t="s">
        <v>18</v>
      </c>
      <c r="E4434" s="4">
        <v>-32039</v>
      </c>
      <c r="F4434" s="3" t="s">
        <v>557</v>
      </c>
      <c r="G4434" s="3" t="s">
        <v>20</v>
      </c>
      <c r="H4434" s="2" t="s">
        <v>21</v>
      </c>
      <c r="I4434" s="2" t="s">
        <v>11586</v>
      </c>
      <c r="J4434" s="3" t="str">
        <f>HYPERLINK("https://www.boe.es/gazeta/dias/1812/04/11/pdfs/GMD-1812-102.pdf#page=4","Abrir facsímil")</f>
        <v>Abrir facsímil</v>
      </c>
      <c r="K4434" s="3" t="s">
        <v>23</v>
      </c>
    </row>
    <row r="4435" spans="1:11" ht="42" customHeight="1">
      <c r="A4435" s="2" t="s">
        <v>11580</v>
      </c>
      <c r="B4435" s="2" t="s">
        <v>11580</v>
      </c>
      <c r="C4435" s="2" t="s">
        <v>17</v>
      </c>
      <c r="D4435" s="2" t="s">
        <v>18</v>
      </c>
      <c r="E4435" s="4">
        <v>-32010</v>
      </c>
      <c r="F4435" s="3" t="s">
        <v>243</v>
      </c>
      <c r="G4435" s="3" t="s">
        <v>45</v>
      </c>
      <c r="H4435" s="2" t="s">
        <v>21</v>
      </c>
      <c r="I4435" s="2" t="s">
        <v>11587</v>
      </c>
      <c r="J4435" s="3" t="str">
        <f>HYPERLINK("https://www.boe.es/gazeta/dias/1812/05/10/pdfs/GMD-1812-131.pdf#page=3","Abrir facsímil")</f>
        <v>Abrir facsímil</v>
      </c>
      <c r="K4435" s="3" t="s">
        <v>23</v>
      </c>
    </row>
    <row r="4436" spans="1:11" ht="42" customHeight="1">
      <c r="A4436" s="2" t="s">
        <v>11580</v>
      </c>
      <c r="B4436" s="2" t="s">
        <v>11580</v>
      </c>
      <c r="C4436" s="2" t="s">
        <v>26</v>
      </c>
      <c r="D4436" s="2" t="s">
        <v>27</v>
      </c>
      <c r="E4436" s="4">
        <v>-32005</v>
      </c>
      <c r="F4436" s="3" t="s">
        <v>2696</v>
      </c>
      <c r="G4436" s="3" t="s">
        <v>140</v>
      </c>
      <c r="H4436" s="2" t="s">
        <v>21</v>
      </c>
      <c r="I4436" s="2" t="s">
        <v>11588</v>
      </c>
      <c r="J4436" s="3" t="str">
        <f>HYPERLINK("https://www.boe.es/gazeta/dias/1812/05/15/pdfs/GMD-1812-136.pdf#page=2","Abrir facsímil")</f>
        <v>Abrir facsímil</v>
      </c>
      <c r="K4436" s="3" t="s">
        <v>23</v>
      </c>
    </row>
    <row r="4437" spans="1:11" ht="42" customHeight="1">
      <c r="A4437" s="2" t="s">
        <v>11580</v>
      </c>
      <c r="B4437" s="2" t="s">
        <v>11580</v>
      </c>
      <c r="C4437" s="2" t="s">
        <v>17</v>
      </c>
      <c r="D4437" s="2" t="s">
        <v>18</v>
      </c>
      <c r="E4437" s="4">
        <v>-31991</v>
      </c>
      <c r="F4437" s="3" t="s">
        <v>663</v>
      </c>
      <c r="G4437" s="3" t="s">
        <v>404</v>
      </c>
      <c r="H4437" s="2" t="s">
        <v>21</v>
      </c>
      <c r="I4437" s="2" t="s">
        <v>11589</v>
      </c>
      <c r="J4437" s="3" t="str">
        <f>HYPERLINK("https://www.boe.es/gazeta/dias/1812/05/29/pdfs/GMD-1812-150.pdf#page=4","Abrir facsímil")</f>
        <v>Abrir facsímil</v>
      </c>
      <c r="K4437" s="3" t="s">
        <v>23</v>
      </c>
    </row>
    <row r="4438" spans="1:11" ht="42" customHeight="1">
      <c r="A4438" s="2" t="s">
        <v>11580</v>
      </c>
      <c r="B4438" s="2" t="s">
        <v>11580</v>
      </c>
      <c r="C4438" s="2" t="s">
        <v>105</v>
      </c>
      <c r="D4438" s="2" t="s">
        <v>27</v>
      </c>
      <c r="E4438" s="4">
        <v>-31974</v>
      </c>
      <c r="F4438" s="3" t="s">
        <v>2986</v>
      </c>
      <c r="G4438" s="3" t="s">
        <v>130</v>
      </c>
      <c r="H4438" s="2" t="s">
        <v>21</v>
      </c>
      <c r="I4438" s="2" t="s">
        <v>11590</v>
      </c>
      <c r="J4438" s="3" t="str">
        <f>HYPERLINK("https://www.boe.es/gazeta/dias/1812/06/15/pdfs/GMD-1812-167.pdf#page=4","Abrir facsímil")</f>
        <v>Abrir facsímil</v>
      </c>
      <c r="K4438" s="3" t="s">
        <v>23</v>
      </c>
    </row>
    <row r="4439" spans="1:11" ht="42" customHeight="1">
      <c r="A4439" s="2" t="s">
        <v>11580</v>
      </c>
      <c r="B4439" s="2" t="s">
        <v>11580</v>
      </c>
      <c r="C4439" s="2" t="s">
        <v>26</v>
      </c>
      <c r="D4439" s="2" t="s">
        <v>27</v>
      </c>
      <c r="E4439" s="4">
        <v>-31968</v>
      </c>
      <c r="F4439" s="3" t="s">
        <v>4011</v>
      </c>
      <c r="G4439" s="3" t="s">
        <v>237</v>
      </c>
      <c r="H4439" s="2" t="s">
        <v>21</v>
      </c>
      <c r="I4439" s="2" t="s">
        <v>11591</v>
      </c>
      <c r="J4439" s="3" t="str">
        <f>HYPERLINK("https://www.boe.es/gazeta/dias/1812/06/21/pdfs/GMD-1812-173.pdf#page=4","Abrir facsímil")</f>
        <v>Abrir facsímil</v>
      </c>
      <c r="K4439" s="3" t="s">
        <v>23</v>
      </c>
    </row>
    <row r="4440" spans="1:11" ht="42" customHeight="1">
      <c r="A4440" s="2" t="s">
        <v>11580</v>
      </c>
      <c r="B4440" s="2" t="s">
        <v>11580</v>
      </c>
      <c r="C4440" s="2" t="s">
        <v>115</v>
      </c>
      <c r="D4440" s="2" t="s">
        <v>27</v>
      </c>
      <c r="E4440" s="4">
        <v>-31948</v>
      </c>
      <c r="F4440" s="3" t="s">
        <v>6870</v>
      </c>
      <c r="G4440" s="3" t="s">
        <v>172</v>
      </c>
      <c r="H4440" s="2" t="s">
        <v>21</v>
      </c>
      <c r="I4440" s="2" t="s">
        <v>11592</v>
      </c>
      <c r="J4440" s="3" t="str">
        <f>HYPERLINK("https://www.boe.es/gazeta/dias/1812/07/11/pdfs/GMD-1812-193.pdf#page=4","Abrir facsímil")</f>
        <v>Abrir facsímil</v>
      </c>
      <c r="K4440" s="3" t="s">
        <v>23</v>
      </c>
    </row>
    <row r="4441" spans="1:11" ht="42" customHeight="1">
      <c r="A4441" s="2" t="s">
        <v>11580</v>
      </c>
      <c r="B4441" s="2" t="s">
        <v>11580</v>
      </c>
      <c r="C4441" s="2" t="s">
        <v>26</v>
      </c>
      <c r="D4441" s="2" t="s">
        <v>27</v>
      </c>
      <c r="E4441" s="4">
        <v>-31939</v>
      </c>
      <c r="F4441" s="3" t="s">
        <v>408</v>
      </c>
      <c r="G4441" s="3" t="s">
        <v>404</v>
      </c>
      <c r="H4441" s="2" t="s">
        <v>21</v>
      </c>
      <c r="I4441" s="2" t="s">
        <v>11593</v>
      </c>
      <c r="J4441" s="3" t="str">
        <f>HYPERLINK("https://www.boe.es/gazeta/dias/1812/07/20/pdfs/GMD-1812-202.pdf#page=2","Abrir facsímil")</f>
        <v>Abrir facsímil</v>
      </c>
      <c r="K4441" s="3" t="s">
        <v>23</v>
      </c>
    </row>
    <row r="4442" spans="1:11" ht="42" customHeight="1">
      <c r="A4442" s="2" t="s">
        <v>11580</v>
      </c>
      <c r="B4442" s="2" t="s">
        <v>11580</v>
      </c>
      <c r="C4442" s="2" t="s">
        <v>105</v>
      </c>
      <c r="D4442" s="2" t="s">
        <v>27</v>
      </c>
      <c r="E4442" s="4">
        <v>-31939</v>
      </c>
      <c r="F4442" s="3" t="s">
        <v>408</v>
      </c>
      <c r="G4442" s="3" t="s">
        <v>20</v>
      </c>
      <c r="H4442" s="2" t="s">
        <v>21</v>
      </c>
      <c r="I4442" s="2" t="s">
        <v>11594</v>
      </c>
      <c r="J4442" s="3" t="str">
        <f>HYPERLINK("https://www.boe.es/gazeta/dias/1812/07/20/pdfs/GMD-1812-202.pdf#page=4","Abrir facsímil")</f>
        <v>Abrir facsímil</v>
      </c>
      <c r="K4442" s="3" t="s">
        <v>23</v>
      </c>
    </row>
    <row r="4443" spans="1:11" ht="42" customHeight="1">
      <c r="A4443" s="2" t="s">
        <v>11580</v>
      </c>
      <c r="B4443" s="2" t="s">
        <v>11580</v>
      </c>
      <c r="C4443" s="2" t="s">
        <v>105</v>
      </c>
      <c r="D4443" s="2" t="s">
        <v>27</v>
      </c>
      <c r="E4443" s="4">
        <v>-31937</v>
      </c>
      <c r="F4443" s="3" t="s">
        <v>1198</v>
      </c>
      <c r="G4443" s="3" t="s">
        <v>140</v>
      </c>
      <c r="H4443" s="2" t="s">
        <v>21</v>
      </c>
      <c r="I4443" s="2" t="s">
        <v>11595</v>
      </c>
      <c r="J4443" s="3" t="str">
        <f>HYPERLINK("https://www.boe.es/gazeta/dias/1812/07/22/pdfs/GMD-1812-204.pdf#page=2","Abrir facsímil")</f>
        <v>Abrir facsímil</v>
      </c>
      <c r="K4443" s="3" t="s">
        <v>23</v>
      </c>
    </row>
    <row r="4444" spans="1:11" ht="42" customHeight="1">
      <c r="A4444" s="2" t="s">
        <v>11580</v>
      </c>
      <c r="B4444" s="2" t="s">
        <v>11580</v>
      </c>
      <c r="C4444" s="2" t="s">
        <v>17</v>
      </c>
      <c r="D4444" s="2" t="s">
        <v>18</v>
      </c>
      <c r="E4444" s="4">
        <v>-31931</v>
      </c>
      <c r="F4444" s="3" t="s">
        <v>2350</v>
      </c>
      <c r="G4444" s="3" t="s">
        <v>2351</v>
      </c>
      <c r="H4444" s="2" t="s">
        <v>21</v>
      </c>
      <c r="I4444" s="2" t="s">
        <v>11596</v>
      </c>
      <c r="J4444" s="3" t="str">
        <f>HYPERLINK("https://www.boe.es/gazeta/dias/1812/07/28/pdfs/GMD-1812-210.pdf#page=2","Abrir facsímil")</f>
        <v>Abrir facsímil</v>
      </c>
      <c r="K4444" s="3" t="s">
        <v>23</v>
      </c>
    </row>
    <row r="4445" spans="1:11" ht="42" customHeight="1">
      <c r="A4445" s="2" t="s">
        <v>11580</v>
      </c>
      <c r="B4445" s="2" t="s">
        <v>11580</v>
      </c>
      <c r="C4445" s="2" t="s">
        <v>17</v>
      </c>
      <c r="D4445" s="2" t="s">
        <v>18</v>
      </c>
      <c r="E4445" s="4">
        <v>-31911</v>
      </c>
      <c r="F4445" s="3" t="s">
        <v>1950</v>
      </c>
      <c r="G4445" s="3" t="s">
        <v>2262</v>
      </c>
      <c r="H4445" s="2" t="s">
        <v>21</v>
      </c>
      <c r="I4445" s="2" t="s">
        <v>11597</v>
      </c>
      <c r="J4445" s="3" t="str">
        <f>HYPERLINK("https://www.boe.es/gazeta/dias/1812/08/17/pdfs/GMR-1812-1.pdf#page=5","Abrir facsímil")</f>
        <v>Abrir facsímil</v>
      </c>
      <c r="K4445" s="3" t="s">
        <v>23</v>
      </c>
    </row>
    <row r="4446" spans="1:11" ht="42" customHeight="1">
      <c r="A4446" s="2" t="s">
        <v>11598</v>
      </c>
      <c r="B4446" s="2" t="s">
        <v>11599</v>
      </c>
      <c r="C4446" s="2" t="s">
        <v>26</v>
      </c>
      <c r="D4446" s="2" t="s">
        <v>27</v>
      </c>
      <c r="E4446" s="4">
        <v>-32034</v>
      </c>
      <c r="F4446" s="3" t="s">
        <v>28</v>
      </c>
      <c r="G4446" s="3" t="s">
        <v>794</v>
      </c>
      <c r="H4446" s="2" t="s">
        <v>21</v>
      </c>
      <c r="I4446" s="2" t="s">
        <v>11600</v>
      </c>
      <c r="J4446" s="3" t="str">
        <f>HYPERLINK("https://www.boe.es/gazeta/dias/1812/04/16/pdfs/GMD-1812-107.pdf#page=7","Abrir facsímil")</f>
        <v>Abrir facsímil</v>
      </c>
      <c r="K4446" s="3" t="s">
        <v>23</v>
      </c>
    </row>
    <row r="4447" spans="1:11" ht="42" customHeight="1">
      <c r="A4447" s="2" t="s">
        <v>11601</v>
      </c>
      <c r="B4447" s="2" t="s">
        <v>11602</v>
      </c>
      <c r="C4447" s="2" t="s">
        <v>49</v>
      </c>
      <c r="D4447" s="2" t="s">
        <v>27</v>
      </c>
      <c r="E4447" s="4">
        <v>-32073</v>
      </c>
      <c r="F4447" s="3" t="s">
        <v>4960</v>
      </c>
      <c r="G4447" s="3" t="s">
        <v>857</v>
      </c>
      <c r="H4447" s="2" t="s">
        <v>21</v>
      </c>
      <c r="I4447" s="2" t="s">
        <v>11603</v>
      </c>
      <c r="J4447" s="3" t="str">
        <f>HYPERLINK("https://www.boe.es/gazeta/dias/1812/03/08/pdfs/GMD-1812-68.pdf#page=4","Abrir facsímil")</f>
        <v>Abrir facsímil</v>
      </c>
      <c r="K4447" s="3" t="s">
        <v>23</v>
      </c>
    </row>
    <row r="4448" spans="1:11" ht="42" customHeight="1">
      <c r="A4448" s="2" t="s">
        <v>11604</v>
      </c>
      <c r="B4448" s="2" t="s">
        <v>11605</v>
      </c>
      <c r="C4448" s="2" t="s">
        <v>26</v>
      </c>
      <c r="D4448" s="2" t="s">
        <v>27</v>
      </c>
      <c r="E4448" s="4">
        <v>-31938</v>
      </c>
      <c r="F4448" s="3" t="s">
        <v>324</v>
      </c>
      <c r="G4448" s="3" t="s">
        <v>237</v>
      </c>
      <c r="H4448" s="2" t="s">
        <v>21</v>
      </c>
      <c r="I4448" s="2" t="s">
        <v>11606</v>
      </c>
      <c r="J4448" s="3" t="str">
        <f>HYPERLINK("https://www.boe.es/gazeta/dias/1812/07/21/pdfs/GMD-1812-203.pdf#page=2","Abrir facsímil")</f>
        <v>Abrir facsímil</v>
      </c>
      <c r="K4448" s="3" t="s">
        <v>23</v>
      </c>
    </row>
    <row r="4449" spans="1:11" ht="42" customHeight="1">
      <c r="A4449" s="2" t="s">
        <v>11607</v>
      </c>
      <c r="B4449" s="2" t="s">
        <v>11608</v>
      </c>
      <c r="C4449" s="2" t="s">
        <v>26</v>
      </c>
      <c r="D4449" s="2" t="s">
        <v>27</v>
      </c>
      <c r="E4449" s="4">
        <v>-32065</v>
      </c>
      <c r="F4449" s="3" t="s">
        <v>259</v>
      </c>
      <c r="G4449" s="3" t="s">
        <v>20</v>
      </c>
      <c r="H4449" s="2" t="s">
        <v>21</v>
      </c>
      <c r="I4449" s="2" t="s">
        <v>11609</v>
      </c>
      <c r="J4449" s="3" t="str">
        <f>HYPERLINK("https://www.boe.es/gazeta/dias/1812/03/16/pdfs/GMD-1812-76.pdf#page=4","Abrir facsímil")</f>
        <v>Abrir facsímil</v>
      </c>
      <c r="K4449" s="3" t="s">
        <v>23</v>
      </c>
    </row>
    <row r="4450" spans="1:11" ht="42" customHeight="1">
      <c r="A4450" s="2" t="s">
        <v>11610</v>
      </c>
      <c r="B4450" s="2" t="s">
        <v>11611</v>
      </c>
      <c r="C4450" s="2" t="s">
        <v>17</v>
      </c>
      <c r="D4450" s="2" t="s">
        <v>18</v>
      </c>
      <c r="E4450" s="4">
        <v>-32010</v>
      </c>
      <c r="F4450" s="3" t="s">
        <v>243</v>
      </c>
      <c r="G4450" s="3" t="s">
        <v>620</v>
      </c>
      <c r="H4450" s="2" t="s">
        <v>21</v>
      </c>
      <c r="I4450" s="2" t="s">
        <v>11612</v>
      </c>
      <c r="J4450" s="3" t="str">
        <f>HYPERLINK("https://www.boe.es/gazeta/dias/1812/05/10/pdfs/GMD-1812-131.pdf#page=2","Abrir facsímil")</f>
        <v>Abrir facsímil</v>
      </c>
      <c r="K4450" s="3" t="s">
        <v>23</v>
      </c>
    </row>
    <row r="4451" spans="1:11" ht="42" customHeight="1">
      <c r="A4451" s="2" t="s">
        <v>11613</v>
      </c>
      <c r="B4451" s="2" t="s">
        <v>11614</v>
      </c>
      <c r="C4451" s="2" t="s">
        <v>17</v>
      </c>
      <c r="D4451" s="2" t="s">
        <v>27</v>
      </c>
      <c r="E4451" s="4">
        <v>-32063</v>
      </c>
      <c r="F4451" s="3" t="s">
        <v>384</v>
      </c>
      <c r="G4451" s="3" t="s">
        <v>125</v>
      </c>
      <c r="H4451" s="2" t="s">
        <v>21</v>
      </c>
      <c r="I4451" s="2" t="s">
        <v>11615</v>
      </c>
      <c r="J4451" s="3" t="str">
        <f>HYPERLINK("https://www.boe.es/gazeta/dias/1812/03/18/pdfs/GMD-1812-78.pdf#page=3","Abrir facsímil")</f>
        <v>Abrir facsímil</v>
      </c>
      <c r="K4451" s="3" t="s">
        <v>23</v>
      </c>
    </row>
    <row r="4452" spans="1:11" ht="42" customHeight="1">
      <c r="A4452" s="2" t="s">
        <v>11616</v>
      </c>
      <c r="B4452" s="2" t="s">
        <v>11616</v>
      </c>
      <c r="C4452" s="2" t="s">
        <v>26</v>
      </c>
      <c r="D4452" s="2" t="s">
        <v>27</v>
      </c>
      <c r="E4452" s="4">
        <v>-31938</v>
      </c>
      <c r="F4452" s="3" t="s">
        <v>324</v>
      </c>
      <c r="G4452" s="3" t="s">
        <v>404</v>
      </c>
      <c r="H4452" s="2" t="s">
        <v>21</v>
      </c>
      <c r="I4452" s="2" t="s">
        <v>11617</v>
      </c>
      <c r="J4452" s="3" t="str">
        <f>HYPERLINK("https://www.boe.es/gazeta/dias/1812/07/21/pdfs/GMD-1812-203.pdf#page=4","Abrir facsímil")</f>
        <v>Abrir facsímil</v>
      </c>
      <c r="K4452" s="3" t="s">
        <v>23</v>
      </c>
    </row>
    <row r="4453" spans="1:11" ht="42" customHeight="1">
      <c r="A4453" s="2" t="s">
        <v>11618</v>
      </c>
      <c r="B4453" s="2" t="s">
        <v>11618</v>
      </c>
      <c r="C4453" s="2" t="s">
        <v>115</v>
      </c>
      <c r="D4453" s="2" t="s">
        <v>27</v>
      </c>
      <c r="E4453" s="4">
        <v>-31963</v>
      </c>
      <c r="F4453" s="3" t="s">
        <v>171</v>
      </c>
      <c r="G4453" s="3" t="s">
        <v>172</v>
      </c>
      <c r="H4453" s="2" t="s">
        <v>21</v>
      </c>
      <c r="I4453" s="2" t="s">
        <v>11619</v>
      </c>
      <c r="J4453" s="3" t="str">
        <f>HYPERLINK("https://www.boe.es/gazeta/dias/1812/06/26/pdfs/GMD-1812-178.pdf#page=3","Abrir facsímil")</f>
        <v>Abrir facsímil</v>
      </c>
      <c r="K4453" s="3" t="s">
        <v>23</v>
      </c>
    </row>
    <row r="4454" spans="1:11" ht="42" customHeight="1">
      <c r="A4454" s="2" t="s">
        <v>11620</v>
      </c>
      <c r="B4454" s="2" t="s">
        <v>11620</v>
      </c>
      <c r="C4454" s="2" t="s">
        <v>26</v>
      </c>
      <c r="D4454" s="2" t="s">
        <v>27</v>
      </c>
      <c r="E4454" s="4">
        <v>-32065</v>
      </c>
      <c r="F4454" s="3" t="s">
        <v>259</v>
      </c>
      <c r="G4454" s="3" t="s">
        <v>20</v>
      </c>
      <c r="H4454" s="2" t="s">
        <v>21</v>
      </c>
      <c r="I4454" s="2" t="s">
        <v>11621</v>
      </c>
      <c r="J4454" s="3" t="str">
        <f>HYPERLINK("https://www.boe.es/gazeta/dias/1812/03/16/pdfs/GMD-1812-76.pdf#page=4","Abrir facsímil")</f>
        <v>Abrir facsímil</v>
      </c>
      <c r="K4454" s="3" t="s">
        <v>23</v>
      </c>
    </row>
    <row r="4455" spans="1:11" ht="42" customHeight="1">
      <c r="A4455" s="2" t="s">
        <v>11622</v>
      </c>
      <c r="B4455" s="2" t="s">
        <v>11623</v>
      </c>
      <c r="C4455" s="2" t="s">
        <v>26</v>
      </c>
      <c r="D4455" s="2" t="s">
        <v>27</v>
      </c>
      <c r="E4455" s="4">
        <v>-31988</v>
      </c>
      <c r="F4455" s="3" t="s">
        <v>1094</v>
      </c>
      <c r="G4455" s="3" t="s">
        <v>1095</v>
      </c>
      <c r="H4455" s="2" t="s">
        <v>21</v>
      </c>
      <c r="I4455" s="2" t="s">
        <v>11624</v>
      </c>
      <c r="J4455" s="3" t="str">
        <f>HYPERLINK("https://www.boe.es/gazeta/dias/1812/06/01/pdfs/GMD-1812-153.pdf#page=2","Abrir facsímil")</f>
        <v>Abrir facsímil</v>
      </c>
      <c r="K4455" s="3" t="s">
        <v>23</v>
      </c>
    </row>
    <row r="4456" spans="1:11" ht="42" customHeight="1">
      <c r="A4456" s="2" t="s">
        <v>11625</v>
      </c>
      <c r="B4456" s="2" t="s">
        <v>11625</v>
      </c>
      <c r="C4456" s="2" t="s">
        <v>26</v>
      </c>
      <c r="D4456" s="2" t="s">
        <v>194</v>
      </c>
      <c r="E4456" s="4">
        <v>-32083</v>
      </c>
      <c r="F4456" s="3" t="s">
        <v>1496</v>
      </c>
      <c r="G4456" s="3" t="s">
        <v>237</v>
      </c>
      <c r="H4456" s="2" t="s">
        <v>21</v>
      </c>
      <c r="I4456" s="2" t="s">
        <v>11626</v>
      </c>
      <c r="J4456" s="3" t="str">
        <f>HYPERLINK("https://www.boe.es/gazeta/dias/1812/02/27/pdfs/GRE-1812-26.pdf#page=3","Abrir facsímil")</f>
        <v>Abrir facsímil</v>
      </c>
      <c r="K4456" s="3" t="s">
        <v>23</v>
      </c>
    </row>
    <row r="4457" spans="1:11" ht="42" customHeight="1">
      <c r="A4457" s="2" t="s">
        <v>11625</v>
      </c>
      <c r="B4457" s="2" t="s">
        <v>11625</v>
      </c>
      <c r="C4457" s="2" t="s">
        <v>17</v>
      </c>
      <c r="D4457" s="2" t="s">
        <v>18</v>
      </c>
      <c r="E4457" s="4">
        <v>-31937</v>
      </c>
      <c r="F4457" s="3" t="s">
        <v>1198</v>
      </c>
      <c r="G4457" s="3" t="s">
        <v>4758</v>
      </c>
      <c r="H4457" s="2" t="s">
        <v>21</v>
      </c>
      <c r="I4457" s="2" t="s">
        <v>11627</v>
      </c>
      <c r="J4457" s="3" t="str">
        <f>HYPERLINK("https://www.boe.es/gazeta/dias/1812/07/22/pdfs/GMD-1812-204.pdf#page=1","Abrir facsímil")</f>
        <v>Abrir facsímil</v>
      </c>
      <c r="K4457" s="3" t="s">
        <v>23</v>
      </c>
    </row>
    <row r="4458" spans="1:11" ht="42" customHeight="1">
      <c r="A4458" s="2" t="s">
        <v>11628</v>
      </c>
      <c r="B4458" s="2" t="s">
        <v>11629</v>
      </c>
      <c r="C4458" s="2" t="s">
        <v>17</v>
      </c>
      <c r="D4458" s="2" t="s">
        <v>18</v>
      </c>
      <c r="E4458" s="4">
        <v>-31819</v>
      </c>
      <c r="F4458" s="3" t="s">
        <v>1856</v>
      </c>
      <c r="G4458" s="3" t="s">
        <v>794</v>
      </c>
      <c r="H4458" s="2" t="s">
        <v>21</v>
      </c>
      <c r="I4458" s="2" t="s">
        <v>11630</v>
      </c>
      <c r="J4458" s="3" t="str">
        <f>HYPERLINK("https://www.boe.es/gazeta/dias/1812/11/17/pdfs/GMR-1812-35.pdf#page=7","Abrir facsímil")</f>
        <v>Abrir facsímil</v>
      </c>
      <c r="K4458" s="3" t="s">
        <v>23</v>
      </c>
    </row>
    <row r="4459" spans="1:11" ht="42" customHeight="1">
      <c r="A4459" s="2" t="s">
        <v>11631</v>
      </c>
      <c r="B4459" s="2" t="s">
        <v>11631</v>
      </c>
      <c r="C4459" s="2" t="s">
        <v>17</v>
      </c>
      <c r="D4459" s="2" t="s">
        <v>27</v>
      </c>
      <c r="E4459" s="4">
        <v>-32057</v>
      </c>
      <c r="F4459" s="3" t="s">
        <v>677</v>
      </c>
      <c r="G4459" s="3" t="s">
        <v>4415</v>
      </c>
      <c r="H4459" s="2" t="s">
        <v>21</v>
      </c>
      <c r="I4459" s="2" t="s">
        <v>11632</v>
      </c>
      <c r="J4459" s="3" t="str">
        <f>HYPERLINK("https://www.boe.es/gazeta/dias/1812/03/24/pdfs/GRE-1812-37.pdf#page=2","Abrir facsímil")</f>
        <v>Abrir facsímil</v>
      </c>
      <c r="K4459" s="3" t="s">
        <v>23</v>
      </c>
    </row>
    <row r="4460" spans="1:11" ht="42" customHeight="1">
      <c r="A4460" s="2" t="s">
        <v>11633</v>
      </c>
      <c r="B4460" s="2" t="s">
        <v>11633</v>
      </c>
      <c r="C4460" s="2" t="s">
        <v>17</v>
      </c>
      <c r="D4460" s="2" t="s">
        <v>27</v>
      </c>
      <c r="E4460" s="4">
        <v>-32083</v>
      </c>
      <c r="F4460" s="3" t="s">
        <v>1906</v>
      </c>
      <c r="G4460" s="3" t="s">
        <v>1631</v>
      </c>
      <c r="H4460" s="2" t="s">
        <v>21</v>
      </c>
      <c r="I4460" s="2" t="s">
        <v>11634</v>
      </c>
      <c r="J4460" s="3" t="str">
        <f>HYPERLINK("https://www.boe.es/gazeta/dias/1812/02/27/pdfs/GMD-1812-58.pdf#page=3","Abrir facsímil")</f>
        <v>Abrir facsímil</v>
      </c>
      <c r="K4460" s="3" t="s">
        <v>23</v>
      </c>
    </row>
    <row r="4461" spans="1:11" ht="42" customHeight="1">
      <c r="A4461" s="2" t="s">
        <v>11635</v>
      </c>
      <c r="B4461" s="2" t="s">
        <v>11635</v>
      </c>
      <c r="C4461" s="2" t="s">
        <v>17</v>
      </c>
      <c r="D4461" s="2" t="s">
        <v>27</v>
      </c>
      <c r="E4461" s="4">
        <v>-32099</v>
      </c>
      <c r="F4461" s="3" t="s">
        <v>2566</v>
      </c>
      <c r="G4461" s="3" t="s">
        <v>8484</v>
      </c>
      <c r="H4461" s="2" t="s">
        <v>21</v>
      </c>
      <c r="I4461" s="2" t="s">
        <v>11636</v>
      </c>
      <c r="J4461" s="3" t="str">
        <f>HYPERLINK("https://www.boe.es/gazeta/dias/1812/02/11/pdfs/GRE-1812-18.pdf#page=1","Abrir facsímil")</f>
        <v>Abrir facsímil</v>
      </c>
      <c r="K4461" s="3" t="s">
        <v>23</v>
      </c>
    </row>
    <row r="4462" spans="1:11" ht="42" customHeight="1">
      <c r="A4462" s="2" t="s">
        <v>11637</v>
      </c>
      <c r="B4462" s="2" t="s">
        <v>11638</v>
      </c>
      <c r="C4462" s="2" t="s">
        <v>17</v>
      </c>
      <c r="D4462" s="2" t="s">
        <v>27</v>
      </c>
      <c r="E4462" s="4">
        <v>-31969</v>
      </c>
      <c r="F4462" s="3" t="s">
        <v>83</v>
      </c>
      <c r="G4462" s="3" t="s">
        <v>10941</v>
      </c>
      <c r="H4462" s="2" t="s">
        <v>30</v>
      </c>
      <c r="I4462" s="2" t="s">
        <v>11639</v>
      </c>
      <c r="J4462" s="3" t="str">
        <f>HYPERLINK("https://www.boe.es/gazeta/dias/1812/06/20/pdfs/GRE-1812-76.pdf#page=6","Abrir facsímil")</f>
        <v>Abrir facsímil</v>
      </c>
      <c r="K4462" s="3" t="s">
        <v>32</v>
      </c>
    </row>
    <row r="4463" spans="1:11" ht="42" customHeight="1">
      <c r="A4463" s="2" t="s">
        <v>11640</v>
      </c>
      <c r="B4463" s="2" t="s">
        <v>11640</v>
      </c>
      <c r="C4463" s="2" t="s">
        <v>17</v>
      </c>
      <c r="D4463" s="2" t="s">
        <v>27</v>
      </c>
      <c r="E4463" s="4">
        <v>-32116</v>
      </c>
      <c r="F4463" s="3" t="s">
        <v>993</v>
      </c>
      <c r="G4463" s="3" t="s">
        <v>1958</v>
      </c>
      <c r="H4463" s="2" t="s">
        <v>21</v>
      </c>
      <c r="I4463" s="2" t="s">
        <v>11641</v>
      </c>
      <c r="J4463" s="3" t="str">
        <f>HYPERLINK("https://www.boe.es/gazeta/dias/1812/01/25/pdfs/GEI-1812-11.pdf#page=5","Abrir facsímil")</f>
        <v>Abrir facsímil</v>
      </c>
      <c r="K4463" s="3" t="s">
        <v>23</v>
      </c>
    </row>
    <row r="4464" spans="1:11" ht="42" customHeight="1">
      <c r="A4464" s="2" t="s">
        <v>11642</v>
      </c>
      <c r="B4464" s="2" t="s">
        <v>11643</v>
      </c>
      <c r="C4464" s="2" t="s">
        <v>26</v>
      </c>
      <c r="D4464" s="2" t="s">
        <v>27</v>
      </c>
      <c r="E4464" s="4">
        <v>-31901</v>
      </c>
      <c r="F4464" s="3" t="s">
        <v>590</v>
      </c>
      <c r="G4464" s="3" t="s">
        <v>742</v>
      </c>
      <c r="H4464" s="2" t="s">
        <v>21</v>
      </c>
      <c r="I4464" s="2" t="s">
        <v>11644</v>
      </c>
      <c r="J4464" s="3" t="str">
        <f>HYPERLINK("https://www.boe.es/gazeta/dias/1812/08/27/pdfs/GMR-1812-6.pdf#page=5","Abrir facsímil")</f>
        <v>Abrir facsímil</v>
      </c>
      <c r="K4464" s="3" t="s">
        <v>23</v>
      </c>
    </row>
    <row r="4465" spans="1:11" ht="42" customHeight="1">
      <c r="A4465" s="2" t="s">
        <v>11645</v>
      </c>
      <c r="B4465" s="2" t="s">
        <v>11645</v>
      </c>
      <c r="C4465" s="2" t="s">
        <v>49</v>
      </c>
      <c r="D4465" s="2" t="s">
        <v>27</v>
      </c>
      <c r="E4465" s="4">
        <v>-32139</v>
      </c>
      <c r="F4465" s="3" t="s">
        <v>288</v>
      </c>
      <c r="G4465" s="3" t="s">
        <v>130</v>
      </c>
      <c r="H4465" s="2" t="s">
        <v>21</v>
      </c>
      <c r="I4465" s="2" t="s">
        <v>11646</v>
      </c>
      <c r="J4465" s="3" t="str">
        <f>HYPERLINK("https://www.boe.es/gazeta/dias/1812/01/02/pdfs/GMD-1812-2.pdf#page=4","Abrir facsímil")</f>
        <v>Abrir facsímil</v>
      </c>
      <c r="K4465" s="3" t="s">
        <v>23</v>
      </c>
    </row>
    <row r="4466" spans="1:11" ht="42" customHeight="1">
      <c r="A4466" s="2" t="s">
        <v>11645</v>
      </c>
      <c r="B4466" s="2" t="s">
        <v>11645</v>
      </c>
      <c r="C4466" s="2" t="s">
        <v>26</v>
      </c>
      <c r="D4466" s="2" t="s">
        <v>27</v>
      </c>
      <c r="E4466" s="4">
        <v>-32134</v>
      </c>
      <c r="F4466" s="3" t="s">
        <v>50</v>
      </c>
      <c r="G4466" s="3" t="s">
        <v>45</v>
      </c>
      <c r="H4466" s="2" t="s">
        <v>21</v>
      </c>
      <c r="I4466" s="2" t="s">
        <v>11647</v>
      </c>
      <c r="J4466" s="3" t="str">
        <f>HYPERLINK("https://www.boe.es/gazeta/dias/1812/01/07/pdfs/GEI-1812-3.pdf#page=4","Abrir facsímil")</f>
        <v>Abrir facsímil</v>
      </c>
      <c r="K4466" s="3" t="s">
        <v>23</v>
      </c>
    </row>
    <row r="4467" spans="1:11" ht="42" customHeight="1">
      <c r="A4467" s="2" t="s">
        <v>11645</v>
      </c>
      <c r="B4467" s="2" t="s">
        <v>11645</v>
      </c>
      <c r="C4467" s="2" t="s">
        <v>17</v>
      </c>
      <c r="D4467" s="2" t="s">
        <v>27</v>
      </c>
      <c r="E4467" s="4">
        <v>-32120</v>
      </c>
      <c r="F4467" s="3" t="s">
        <v>522</v>
      </c>
      <c r="G4467" s="3" t="s">
        <v>523</v>
      </c>
      <c r="H4467" s="2" t="s">
        <v>21</v>
      </c>
      <c r="I4467" s="2" t="s">
        <v>11648</v>
      </c>
      <c r="J4467" s="3" t="str">
        <f>HYPERLINK("https://www.boe.es/gazeta/dias/1812/01/21/pdfs/GMD-1812-21.pdf#page=4","Abrir facsímil")</f>
        <v>Abrir facsímil</v>
      </c>
      <c r="K4467" s="3" t="s">
        <v>23</v>
      </c>
    </row>
    <row r="4468" spans="1:11" ht="42" customHeight="1">
      <c r="A4468" s="2" t="s">
        <v>11645</v>
      </c>
      <c r="B4468" s="2" t="s">
        <v>11645</v>
      </c>
      <c r="C4468" s="2" t="s">
        <v>26</v>
      </c>
      <c r="D4468" s="2" t="s">
        <v>27</v>
      </c>
      <c r="E4468" s="4">
        <v>-32109</v>
      </c>
      <c r="F4468" s="3" t="s">
        <v>2637</v>
      </c>
      <c r="G4468" s="3" t="s">
        <v>1380</v>
      </c>
      <c r="H4468" s="2" t="s">
        <v>21</v>
      </c>
      <c r="I4468" s="2" t="s">
        <v>11649</v>
      </c>
      <c r="J4468" s="3" t="str">
        <f>HYPERLINK("https://www.boe.es/gazeta/dias/1812/02/01/pdfs/GMD-1812-32.pdf#page=4","Abrir facsímil")</f>
        <v>Abrir facsímil</v>
      </c>
      <c r="K4468" s="3" t="s">
        <v>23</v>
      </c>
    </row>
    <row r="4469" spans="1:11" ht="42" customHeight="1">
      <c r="A4469" s="2" t="s">
        <v>11645</v>
      </c>
      <c r="B4469" s="2" t="s">
        <v>11645</v>
      </c>
      <c r="C4469" s="2" t="s">
        <v>26</v>
      </c>
      <c r="D4469" s="2" t="s">
        <v>27</v>
      </c>
      <c r="E4469" s="4">
        <v>-32108</v>
      </c>
      <c r="F4469" s="3" t="s">
        <v>1143</v>
      </c>
      <c r="G4469" s="3" t="s">
        <v>45</v>
      </c>
      <c r="H4469" s="2" t="s">
        <v>21</v>
      </c>
      <c r="I4469" s="2" t="s">
        <v>11650</v>
      </c>
      <c r="J4469" s="3" t="str">
        <f>HYPERLINK("https://www.boe.es/gazeta/dias/1812/02/02/pdfs/GMD-1812-33.pdf#page=4","Abrir facsímil")</f>
        <v>Abrir facsímil</v>
      </c>
      <c r="K4469" s="3" t="s">
        <v>23</v>
      </c>
    </row>
    <row r="4470" spans="1:11" ht="42" customHeight="1">
      <c r="A4470" s="2" t="s">
        <v>11645</v>
      </c>
      <c r="B4470" s="2" t="s">
        <v>11645</v>
      </c>
      <c r="C4470" s="2" t="s">
        <v>105</v>
      </c>
      <c r="D4470" s="2" t="s">
        <v>27</v>
      </c>
      <c r="E4470" s="4">
        <v>-32100</v>
      </c>
      <c r="F4470" s="3" t="s">
        <v>492</v>
      </c>
      <c r="G4470" s="3" t="s">
        <v>493</v>
      </c>
      <c r="H4470" s="2" t="s">
        <v>21</v>
      </c>
      <c r="I4470" s="2" t="s">
        <v>11651</v>
      </c>
      <c r="J4470" s="3" t="str">
        <f>HYPERLINK("https://www.boe.es/gazeta/dias/1812/02/10/pdfs/GRE-1812-31.pdf#page=8","Abrir facsímil")</f>
        <v>Abrir facsímil</v>
      </c>
      <c r="K4470" s="3" t="s">
        <v>23</v>
      </c>
    </row>
    <row r="4471" spans="1:11" ht="42" customHeight="1">
      <c r="A4471" s="2" t="s">
        <v>11645</v>
      </c>
      <c r="B4471" s="2" t="s">
        <v>11645</v>
      </c>
      <c r="C4471" s="2" t="s">
        <v>26</v>
      </c>
      <c r="D4471" s="2" t="s">
        <v>27</v>
      </c>
      <c r="E4471" s="4">
        <v>-32095</v>
      </c>
      <c r="F4471" s="3" t="s">
        <v>1099</v>
      </c>
      <c r="G4471" s="3" t="s">
        <v>438</v>
      </c>
      <c r="H4471" s="2" t="s">
        <v>21</v>
      </c>
      <c r="I4471" s="2" t="s">
        <v>11652</v>
      </c>
      <c r="J4471" s="3" t="str">
        <f>HYPERLINK("https://www.boe.es/gazeta/dias/1812/02/15/pdfs/GMD-1812-46.pdf#page=4","Abrir facsímil")</f>
        <v>Abrir facsímil</v>
      </c>
      <c r="K4471" s="3" t="s">
        <v>23</v>
      </c>
    </row>
    <row r="4472" spans="1:11" ht="42" customHeight="1">
      <c r="A4472" s="2" t="s">
        <v>11645</v>
      </c>
      <c r="B4472" s="2" t="s">
        <v>11645</v>
      </c>
      <c r="C4472" s="2" t="s">
        <v>17</v>
      </c>
      <c r="D4472" s="2" t="s">
        <v>18</v>
      </c>
      <c r="E4472" s="4">
        <v>-32095</v>
      </c>
      <c r="F4472" s="3" t="s">
        <v>181</v>
      </c>
      <c r="G4472" s="3" t="s">
        <v>777</v>
      </c>
      <c r="H4472" s="2" t="s">
        <v>21</v>
      </c>
      <c r="I4472" s="2" t="s">
        <v>11653</v>
      </c>
      <c r="J4472" s="3" t="str">
        <f>HYPERLINK("https://www.boe.es/gazeta/dias/1812/02/15/pdfs/GMD-1812-47.pdf#page=3","Abrir facsímil")</f>
        <v>Abrir facsímil</v>
      </c>
      <c r="K4472" s="3" t="s">
        <v>23</v>
      </c>
    </row>
    <row r="4473" spans="1:11" ht="42" customHeight="1">
      <c r="A4473" s="2" t="s">
        <v>11645</v>
      </c>
      <c r="B4473" s="2" t="s">
        <v>11645</v>
      </c>
      <c r="C4473" s="2" t="s">
        <v>17</v>
      </c>
      <c r="D4473" s="2" t="s">
        <v>18</v>
      </c>
      <c r="E4473" s="4">
        <v>-32094</v>
      </c>
      <c r="F4473" s="3" t="s">
        <v>181</v>
      </c>
      <c r="G4473" s="3" t="s">
        <v>777</v>
      </c>
      <c r="H4473" s="2" t="s">
        <v>21</v>
      </c>
      <c r="I4473" s="2" t="s">
        <v>11653</v>
      </c>
      <c r="J4473" s="3" t="str">
        <f>HYPERLINK("https://www.boe.es/gazeta/dias/1812/02/16/pdfs/GMD-1812-47.pdf#page=3","Abrir facsímil")</f>
        <v>Abrir facsímil</v>
      </c>
      <c r="K4473" s="3" t="s">
        <v>23</v>
      </c>
    </row>
    <row r="4474" spans="1:11" ht="42" customHeight="1">
      <c r="A4474" s="2" t="s">
        <v>11645</v>
      </c>
      <c r="B4474" s="2" t="s">
        <v>11645</v>
      </c>
      <c r="C4474" s="2" t="s">
        <v>17</v>
      </c>
      <c r="D4474" s="2" t="s">
        <v>18</v>
      </c>
      <c r="E4474" s="4">
        <v>-32079</v>
      </c>
      <c r="F4474" s="3" t="s">
        <v>11654</v>
      </c>
      <c r="G4474" s="3" t="s">
        <v>715</v>
      </c>
      <c r="H4474" s="2" t="s">
        <v>21</v>
      </c>
      <c r="I4474" s="2" t="s">
        <v>11655</v>
      </c>
      <c r="J4474" s="3" t="str">
        <f>HYPERLINK("https://www.boe.es/gazeta/dias/1812/03/02/pdfs/GMD-1812-62.pdf#page=4","Abrir facsímil")</f>
        <v>Abrir facsímil</v>
      </c>
      <c r="K4474" s="3" t="s">
        <v>23</v>
      </c>
    </row>
    <row r="4475" spans="1:11" ht="42" customHeight="1">
      <c r="A4475" s="2" t="s">
        <v>11645</v>
      </c>
      <c r="B4475" s="2" t="s">
        <v>11645</v>
      </c>
      <c r="C4475" s="2" t="s">
        <v>17</v>
      </c>
      <c r="D4475" s="2" t="s">
        <v>275</v>
      </c>
      <c r="E4475" s="4">
        <v>-32076</v>
      </c>
      <c r="F4475" s="3" t="s">
        <v>2486</v>
      </c>
      <c r="G4475" s="3" t="s">
        <v>11656</v>
      </c>
      <c r="H4475" s="2" t="s">
        <v>21</v>
      </c>
      <c r="I4475" s="2" t="s">
        <v>11657</v>
      </c>
      <c r="J4475" s="3" t="str">
        <f>HYPERLINK("https://www.boe.es/gazeta/dias/1812/03/05/pdfs/GRE-1812-29.pdf#page=8","Abrir facsímil")</f>
        <v>Abrir facsímil</v>
      </c>
      <c r="K4475" s="3" t="s">
        <v>23</v>
      </c>
    </row>
    <row r="4476" spans="1:11" ht="42" customHeight="1">
      <c r="A4476" s="2" t="s">
        <v>11645</v>
      </c>
      <c r="B4476" s="2" t="s">
        <v>11645</v>
      </c>
      <c r="C4476" s="2" t="s">
        <v>105</v>
      </c>
      <c r="D4476" s="2" t="s">
        <v>27</v>
      </c>
      <c r="E4476" s="4">
        <v>-32071</v>
      </c>
      <c r="F4476" s="3" t="s">
        <v>492</v>
      </c>
      <c r="G4476" s="3" t="s">
        <v>493</v>
      </c>
      <c r="H4476" s="2" t="s">
        <v>21</v>
      </c>
      <c r="I4476" s="2" t="s">
        <v>11651</v>
      </c>
      <c r="J4476" s="3" t="str">
        <f>HYPERLINK("https://www.boe.es/gazeta/dias/1812/03/10/pdfs/GRE-1812-31.pdf#page=8","Abrir facsímil")</f>
        <v>Abrir facsímil</v>
      </c>
      <c r="K4476" s="3" t="s">
        <v>23</v>
      </c>
    </row>
    <row r="4477" spans="1:11" ht="42" customHeight="1">
      <c r="A4477" s="2" t="s">
        <v>11645</v>
      </c>
      <c r="B4477" s="2" t="s">
        <v>11645</v>
      </c>
      <c r="C4477" s="2" t="s">
        <v>105</v>
      </c>
      <c r="D4477" s="2" t="s">
        <v>27</v>
      </c>
      <c r="E4477" s="4">
        <v>-32070</v>
      </c>
      <c r="F4477" s="3" t="s">
        <v>11658</v>
      </c>
      <c r="G4477" s="3" t="s">
        <v>336</v>
      </c>
      <c r="H4477" s="2" t="s">
        <v>21</v>
      </c>
      <c r="I4477" s="2" t="s">
        <v>11659</v>
      </c>
      <c r="J4477" s="3" t="str">
        <f>HYPERLINK("https://www.boe.es/gazeta/dias/1812/03/11/pdfs/GMD-1812-71.pdf#page=4","Abrir facsímil")</f>
        <v>Abrir facsímil</v>
      </c>
      <c r="K4477" s="3" t="s">
        <v>23</v>
      </c>
    </row>
    <row r="4478" spans="1:11" ht="42" customHeight="1">
      <c r="A4478" s="2" t="s">
        <v>11645</v>
      </c>
      <c r="B4478" s="2" t="s">
        <v>11645</v>
      </c>
      <c r="C4478" s="2" t="s">
        <v>26</v>
      </c>
      <c r="D4478" s="2" t="s">
        <v>27</v>
      </c>
      <c r="E4478" s="4">
        <v>-32065</v>
      </c>
      <c r="F4478" s="3" t="s">
        <v>259</v>
      </c>
      <c r="G4478" s="3" t="s">
        <v>20</v>
      </c>
      <c r="H4478" s="2" t="s">
        <v>21</v>
      </c>
      <c r="I4478" s="2" t="s">
        <v>11660</v>
      </c>
      <c r="J4478" s="3" t="str">
        <f>HYPERLINK("https://www.boe.es/gazeta/dias/1812/03/16/pdfs/GMD-1812-76.pdf#page=4","Abrir facsímil")</f>
        <v>Abrir facsímil</v>
      </c>
      <c r="K4478" s="3" t="s">
        <v>23</v>
      </c>
    </row>
    <row r="4479" spans="1:11" ht="42" customHeight="1">
      <c r="A4479" s="2" t="s">
        <v>11645</v>
      </c>
      <c r="B4479" s="2" t="s">
        <v>11645</v>
      </c>
      <c r="C4479" s="2" t="s">
        <v>17</v>
      </c>
      <c r="D4479" s="2" t="s">
        <v>18</v>
      </c>
      <c r="E4479" s="4">
        <v>-32063</v>
      </c>
      <c r="F4479" s="3" t="s">
        <v>384</v>
      </c>
      <c r="G4479" s="3" t="s">
        <v>366</v>
      </c>
      <c r="H4479" s="2" t="s">
        <v>21</v>
      </c>
      <c r="I4479" s="2" t="s">
        <v>11661</v>
      </c>
      <c r="J4479" s="3" t="str">
        <f>HYPERLINK("https://www.boe.es/gazeta/dias/1812/03/18/pdfs/GMD-1812-78.pdf#page=2","Abrir facsímil")</f>
        <v>Abrir facsímil</v>
      </c>
      <c r="K4479" s="3" t="s">
        <v>23</v>
      </c>
    </row>
    <row r="4480" spans="1:11" ht="42" customHeight="1">
      <c r="A4480" s="2" t="s">
        <v>11645</v>
      </c>
      <c r="B4480" s="2" t="s">
        <v>11645</v>
      </c>
      <c r="C4480" s="2" t="s">
        <v>26</v>
      </c>
      <c r="D4480" s="2" t="s">
        <v>27</v>
      </c>
      <c r="E4480" s="4">
        <v>-32063</v>
      </c>
      <c r="F4480" s="3" t="s">
        <v>384</v>
      </c>
      <c r="G4480" s="3" t="s">
        <v>125</v>
      </c>
      <c r="H4480" s="2" t="s">
        <v>21</v>
      </c>
      <c r="I4480" s="2" t="s">
        <v>11662</v>
      </c>
      <c r="J4480" s="3" t="str">
        <f>HYPERLINK("https://www.boe.es/gazeta/dias/1812/03/18/pdfs/GMD-1812-78.pdf#page=3","Abrir facsímil")</f>
        <v>Abrir facsímil</v>
      </c>
      <c r="K4480" s="3" t="s">
        <v>23</v>
      </c>
    </row>
    <row r="4481" spans="1:11" ht="42" customHeight="1">
      <c r="A4481" s="2" t="s">
        <v>11645</v>
      </c>
      <c r="B4481" s="2" t="s">
        <v>11645</v>
      </c>
      <c r="C4481" s="2" t="s">
        <v>17</v>
      </c>
      <c r="D4481" s="2" t="s">
        <v>18</v>
      </c>
      <c r="E4481" s="4">
        <v>-32063</v>
      </c>
      <c r="F4481" s="3" t="s">
        <v>384</v>
      </c>
      <c r="G4481" s="3" t="s">
        <v>20</v>
      </c>
      <c r="H4481" s="2" t="s">
        <v>21</v>
      </c>
      <c r="I4481" s="2" t="s">
        <v>11663</v>
      </c>
      <c r="J4481" s="3" t="str">
        <f>HYPERLINK("https://www.boe.es/gazeta/dias/1812/03/18/pdfs/GMD-1812-78.pdf#page=4","Abrir facsímil")</f>
        <v>Abrir facsímil</v>
      </c>
      <c r="K4481" s="3" t="s">
        <v>23</v>
      </c>
    </row>
    <row r="4482" spans="1:11" ht="42" customHeight="1">
      <c r="A4482" s="2" t="s">
        <v>11645</v>
      </c>
      <c r="B4482" s="2" t="s">
        <v>11645</v>
      </c>
      <c r="C4482" s="2" t="s">
        <v>26</v>
      </c>
      <c r="D4482" s="2" t="s">
        <v>194</v>
      </c>
      <c r="E4482" s="4">
        <v>-32053</v>
      </c>
      <c r="F4482" s="3" t="s">
        <v>2877</v>
      </c>
      <c r="G4482" s="3" t="s">
        <v>965</v>
      </c>
      <c r="H4482" s="2" t="s">
        <v>21</v>
      </c>
      <c r="I4482" s="2" t="s">
        <v>11664</v>
      </c>
      <c r="J4482" s="3" t="str">
        <f>HYPERLINK("https://www.boe.es/gazeta/dias/1812/03/28/pdfs/GMD-1812-88.pdf#page=4","Abrir facsímil")</f>
        <v>Abrir facsímil</v>
      </c>
      <c r="K4482" s="3" t="s">
        <v>23</v>
      </c>
    </row>
    <row r="4483" spans="1:11" ht="42" customHeight="1">
      <c r="A4483" s="2" t="s">
        <v>11645</v>
      </c>
      <c r="B4483" s="2" t="s">
        <v>11645</v>
      </c>
      <c r="C4483" s="2" t="s">
        <v>67</v>
      </c>
      <c r="D4483" s="2" t="s">
        <v>27</v>
      </c>
      <c r="E4483" s="4">
        <v>-32045</v>
      </c>
      <c r="F4483" s="3" t="s">
        <v>129</v>
      </c>
      <c r="G4483" s="3" t="s">
        <v>130</v>
      </c>
      <c r="H4483" s="2" t="s">
        <v>21</v>
      </c>
      <c r="I4483" s="2" t="s">
        <v>11665</v>
      </c>
      <c r="J4483" s="3" t="str">
        <f>HYPERLINK("https://www.boe.es/gazeta/dias/1812/04/05/pdfs/GMD-1812-96.pdf#page=4","Abrir facsímil")</f>
        <v>Abrir facsímil</v>
      </c>
      <c r="K4483" s="3" t="s">
        <v>23</v>
      </c>
    </row>
    <row r="4484" spans="1:11" ht="42" customHeight="1">
      <c r="A4484" s="2" t="s">
        <v>11645</v>
      </c>
      <c r="B4484" s="2" t="s">
        <v>11645</v>
      </c>
      <c r="C4484" s="2" t="s">
        <v>26</v>
      </c>
      <c r="D4484" s="2" t="s">
        <v>27</v>
      </c>
      <c r="E4484" s="4">
        <v>-32039</v>
      </c>
      <c r="F4484" s="3" t="s">
        <v>557</v>
      </c>
      <c r="G4484" s="3" t="s">
        <v>20</v>
      </c>
      <c r="H4484" s="2" t="s">
        <v>21</v>
      </c>
      <c r="I4484" s="2" t="s">
        <v>11666</v>
      </c>
      <c r="J4484" s="3" t="str">
        <f>HYPERLINK("https://www.boe.es/gazeta/dias/1812/04/11/pdfs/GMD-1812-102.pdf#page=4","Abrir facsímil")</f>
        <v>Abrir facsímil</v>
      </c>
      <c r="K4484" s="3" t="s">
        <v>23</v>
      </c>
    </row>
    <row r="4485" spans="1:11" ht="42" customHeight="1">
      <c r="A4485" s="2" t="s">
        <v>11645</v>
      </c>
      <c r="B4485" s="2" t="s">
        <v>11645</v>
      </c>
      <c r="C4485" s="2" t="s">
        <v>26</v>
      </c>
      <c r="D4485" s="2" t="s">
        <v>27</v>
      </c>
      <c r="E4485" s="4">
        <v>-32034</v>
      </c>
      <c r="F4485" s="3" t="s">
        <v>28</v>
      </c>
      <c r="G4485" s="3" t="s">
        <v>29</v>
      </c>
      <c r="H4485" s="2" t="s">
        <v>21</v>
      </c>
      <c r="I4485" s="2" t="s">
        <v>11667</v>
      </c>
      <c r="J4485" s="3" t="str">
        <f>HYPERLINK("https://www.boe.es/gazeta/dias/1812/04/16/pdfs/GMD-1812-107.pdf#page=8","Abrir facsímil")</f>
        <v>Abrir facsímil</v>
      </c>
      <c r="K4485" s="3" t="s">
        <v>23</v>
      </c>
    </row>
    <row r="4486" spans="1:11" ht="42" customHeight="1">
      <c r="A4486" s="2" t="s">
        <v>11645</v>
      </c>
      <c r="B4486" s="2" t="s">
        <v>11645</v>
      </c>
      <c r="C4486" s="2" t="s">
        <v>26</v>
      </c>
      <c r="D4486" s="2" t="s">
        <v>27</v>
      </c>
      <c r="E4486" s="4">
        <v>-32030</v>
      </c>
      <c r="F4486" s="3" t="s">
        <v>2226</v>
      </c>
      <c r="G4486" s="3" t="s">
        <v>20</v>
      </c>
      <c r="H4486" s="2" t="s">
        <v>21</v>
      </c>
      <c r="I4486" s="2" t="s">
        <v>11668</v>
      </c>
      <c r="J4486" s="3" t="str">
        <f>HYPERLINK("https://www.boe.es/gazeta/dias/1812/04/20/pdfs/GMD-1812-111.pdf#page=4","Abrir facsímil")</f>
        <v>Abrir facsímil</v>
      </c>
      <c r="K4486" s="3" t="s">
        <v>23</v>
      </c>
    </row>
    <row r="4487" spans="1:11" ht="42" customHeight="1">
      <c r="A4487" s="2" t="s">
        <v>11645</v>
      </c>
      <c r="B4487" s="2" t="s">
        <v>11645</v>
      </c>
      <c r="C4487" s="2" t="s">
        <v>26</v>
      </c>
      <c r="D4487" s="2" t="s">
        <v>27</v>
      </c>
      <c r="E4487" s="4">
        <v>-32022</v>
      </c>
      <c r="F4487" s="3" t="s">
        <v>1186</v>
      </c>
      <c r="G4487" s="3" t="s">
        <v>336</v>
      </c>
      <c r="H4487" s="2" t="s">
        <v>21</v>
      </c>
      <c r="I4487" s="2" t="s">
        <v>11669</v>
      </c>
      <c r="J4487" s="3" t="str">
        <f>HYPERLINK("https://www.boe.es/gazeta/dias/1812/04/28/pdfs/GRE-1812-53.pdf#page=8","Abrir facsímil")</f>
        <v>Abrir facsímil</v>
      </c>
      <c r="K4487" s="3" t="s">
        <v>23</v>
      </c>
    </row>
    <row r="4488" spans="1:11" ht="42" customHeight="1">
      <c r="A4488" s="2" t="s">
        <v>11645</v>
      </c>
      <c r="B4488" s="2" t="s">
        <v>11645</v>
      </c>
      <c r="C4488" s="2" t="s">
        <v>105</v>
      </c>
      <c r="D4488" s="2" t="s">
        <v>27</v>
      </c>
      <c r="E4488" s="4">
        <v>-32015</v>
      </c>
      <c r="F4488" s="3" t="s">
        <v>77</v>
      </c>
      <c r="G4488" s="3" t="s">
        <v>78</v>
      </c>
      <c r="H4488" s="2" t="s">
        <v>21</v>
      </c>
      <c r="I4488" s="2" t="s">
        <v>11670</v>
      </c>
      <c r="J4488" s="3" t="str">
        <f>HYPERLINK("https://www.boe.es/gazeta/dias/1812/05/05/pdfs/GRE-1812-56.pdf#page=8","Abrir facsímil")</f>
        <v>Abrir facsímil</v>
      </c>
      <c r="K4488" s="3" t="s">
        <v>23</v>
      </c>
    </row>
    <row r="4489" spans="1:11" ht="42" customHeight="1">
      <c r="A4489" s="2" t="s">
        <v>11645</v>
      </c>
      <c r="B4489" s="2" t="s">
        <v>11645</v>
      </c>
      <c r="C4489" s="2" t="s">
        <v>115</v>
      </c>
      <c r="D4489" s="2" t="s">
        <v>27</v>
      </c>
      <c r="E4489" s="4">
        <v>-32010</v>
      </c>
      <c r="F4489" s="3" t="s">
        <v>243</v>
      </c>
      <c r="G4489" s="3" t="s">
        <v>45</v>
      </c>
      <c r="H4489" s="2" t="s">
        <v>21</v>
      </c>
      <c r="I4489" s="2" t="s">
        <v>11671</v>
      </c>
      <c r="J4489" s="3" t="str">
        <f>HYPERLINK("https://www.boe.es/gazeta/dias/1812/05/10/pdfs/GMD-1812-131.pdf#page=3","Abrir facsímil")</f>
        <v>Abrir facsímil</v>
      </c>
      <c r="K4489" s="3" t="s">
        <v>23</v>
      </c>
    </row>
    <row r="4490" spans="1:11" ht="42" customHeight="1">
      <c r="A4490" s="2" t="s">
        <v>11645</v>
      </c>
      <c r="B4490" s="2" t="s">
        <v>11645</v>
      </c>
      <c r="C4490" s="2" t="s">
        <v>17</v>
      </c>
      <c r="D4490" s="2" t="s">
        <v>27</v>
      </c>
      <c r="E4490" s="4">
        <v>-32009</v>
      </c>
      <c r="F4490" s="3" t="s">
        <v>8049</v>
      </c>
      <c r="G4490" s="3" t="s">
        <v>130</v>
      </c>
      <c r="H4490" s="2" t="s">
        <v>21</v>
      </c>
      <c r="I4490" s="2" t="s">
        <v>11672</v>
      </c>
      <c r="J4490" s="3" t="str">
        <f>HYPERLINK("https://www.boe.es/gazeta/dias/1812/05/11/pdfs/GMD-1812-132.pdf#page=4","Abrir facsímil")</f>
        <v>Abrir facsímil</v>
      </c>
      <c r="K4490" s="3" t="s">
        <v>23</v>
      </c>
    </row>
    <row r="4491" spans="1:11" ht="42" customHeight="1">
      <c r="A4491" s="2" t="s">
        <v>11645</v>
      </c>
      <c r="B4491" s="2" t="s">
        <v>11645</v>
      </c>
      <c r="C4491" s="2" t="s">
        <v>26</v>
      </c>
      <c r="D4491" s="2" t="s">
        <v>27</v>
      </c>
      <c r="E4491" s="4">
        <v>-31991</v>
      </c>
      <c r="F4491" s="3" t="s">
        <v>663</v>
      </c>
      <c r="G4491" s="3" t="s">
        <v>404</v>
      </c>
      <c r="H4491" s="2" t="s">
        <v>21</v>
      </c>
      <c r="I4491" s="2" t="s">
        <v>11673</v>
      </c>
      <c r="J4491" s="3" t="str">
        <f>HYPERLINK("https://www.boe.es/gazeta/dias/1812/05/29/pdfs/GMD-1812-150.pdf#page=4","Abrir facsímil")</f>
        <v>Abrir facsímil</v>
      </c>
      <c r="K4491" s="3" t="s">
        <v>23</v>
      </c>
    </row>
    <row r="4492" spans="1:11" ht="42" customHeight="1">
      <c r="A4492" s="2" t="s">
        <v>11645</v>
      </c>
      <c r="B4492" s="2" t="s">
        <v>11645</v>
      </c>
      <c r="C4492" s="2" t="s">
        <v>49</v>
      </c>
      <c r="D4492" s="2" t="s">
        <v>18</v>
      </c>
      <c r="E4492" s="4">
        <v>-31982</v>
      </c>
      <c r="F4492" s="3" t="s">
        <v>1630</v>
      </c>
      <c r="G4492" s="3" t="s">
        <v>1631</v>
      </c>
      <c r="H4492" s="2" t="s">
        <v>21</v>
      </c>
      <c r="I4492" s="2" t="s">
        <v>11674</v>
      </c>
      <c r="J4492" s="3" t="str">
        <f>HYPERLINK("https://www.boe.es/gazeta/dias/1812/06/07/pdfs/GMD-1812-159.pdf#page=4","Abrir facsímil")</f>
        <v>Abrir facsímil</v>
      </c>
      <c r="K4492" s="3" t="s">
        <v>23</v>
      </c>
    </row>
    <row r="4493" spans="1:11" ht="42" customHeight="1">
      <c r="A4493" s="2" t="s">
        <v>11645</v>
      </c>
      <c r="B4493" s="2" t="s">
        <v>11645</v>
      </c>
      <c r="C4493" s="2" t="s">
        <v>17</v>
      </c>
      <c r="D4493" s="2" t="s">
        <v>275</v>
      </c>
      <c r="E4493" s="4">
        <v>-31974</v>
      </c>
      <c r="F4493" s="3" t="s">
        <v>2986</v>
      </c>
      <c r="G4493" s="3" t="s">
        <v>130</v>
      </c>
      <c r="H4493" s="2" t="s">
        <v>21</v>
      </c>
      <c r="I4493" s="2" t="s">
        <v>11675</v>
      </c>
      <c r="J4493" s="3" t="str">
        <f>HYPERLINK("https://www.boe.es/gazeta/dias/1812/06/15/pdfs/GMD-1812-167.pdf#page=4","Abrir facsímil")</f>
        <v>Abrir facsímil</v>
      </c>
      <c r="K4493" s="3" t="s">
        <v>23</v>
      </c>
    </row>
    <row r="4494" spans="1:11" ht="42" customHeight="1">
      <c r="A4494" s="2" t="s">
        <v>11645</v>
      </c>
      <c r="B4494" s="2" t="s">
        <v>11645</v>
      </c>
      <c r="C4494" s="2" t="s">
        <v>17</v>
      </c>
      <c r="D4494" s="2" t="s">
        <v>194</v>
      </c>
      <c r="E4494" s="4">
        <v>-31966</v>
      </c>
      <c r="F4494" s="3" t="s">
        <v>387</v>
      </c>
      <c r="G4494" s="3" t="s">
        <v>388</v>
      </c>
      <c r="H4494" s="2" t="s">
        <v>21</v>
      </c>
      <c r="I4494" s="2" t="s">
        <v>11676</v>
      </c>
      <c r="J4494" s="3" t="str">
        <f>HYPERLINK("https://www.boe.es/gazeta/dias/1812/06/23/pdfs/GMD-1812-175.pdf#page=2","Abrir facsímil")</f>
        <v>Abrir facsímil</v>
      </c>
      <c r="K4494" s="3" t="s">
        <v>23</v>
      </c>
    </row>
    <row r="4495" spans="1:11" ht="42" customHeight="1">
      <c r="A4495" s="2" t="s">
        <v>11645</v>
      </c>
      <c r="B4495" s="2" t="s">
        <v>11645</v>
      </c>
      <c r="C4495" s="2" t="s">
        <v>26</v>
      </c>
      <c r="D4495" s="2" t="s">
        <v>27</v>
      </c>
      <c r="E4495" s="4">
        <v>-31964</v>
      </c>
      <c r="F4495" s="3" t="s">
        <v>305</v>
      </c>
      <c r="G4495" s="3" t="s">
        <v>58</v>
      </c>
      <c r="H4495" s="2" t="s">
        <v>21</v>
      </c>
      <c r="I4495" s="2" t="s">
        <v>11677</v>
      </c>
      <c r="J4495" s="3" t="str">
        <f>HYPERLINK("https://www.boe.es/gazeta/dias/1812/06/25/pdfs/GMD-1812-177.pdf#page=2","Abrir facsímil")</f>
        <v>Abrir facsímil</v>
      </c>
      <c r="K4495" s="3" t="s">
        <v>23</v>
      </c>
    </row>
    <row r="4496" spans="1:11" ht="42" customHeight="1">
      <c r="A4496" s="2" t="s">
        <v>11645</v>
      </c>
      <c r="B4496" s="2" t="s">
        <v>11645</v>
      </c>
      <c r="C4496" s="2" t="s">
        <v>26</v>
      </c>
      <c r="D4496" s="2" t="s">
        <v>27</v>
      </c>
      <c r="E4496" s="4">
        <v>-31956</v>
      </c>
      <c r="F4496" s="3" t="s">
        <v>19</v>
      </c>
      <c r="G4496" s="3" t="s">
        <v>11081</v>
      </c>
      <c r="H4496" s="2" t="s">
        <v>21</v>
      </c>
      <c r="I4496" s="2" t="s">
        <v>11678</v>
      </c>
      <c r="J4496" s="3" t="str">
        <f>HYPERLINK("https://www.boe.es/gazeta/dias/1812/07/03/pdfs/GMD-1812-185.pdf#page=4","Abrir facsímil")</f>
        <v>Abrir facsímil</v>
      </c>
      <c r="K4496" s="3" t="s">
        <v>23</v>
      </c>
    </row>
    <row r="4497" spans="1:11" ht="42" customHeight="1">
      <c r="A4497" s="2" t="s">
        <v>11645</v>
      </c>
      <c r="B4497" s="2" t="s">
        <v>11645</v>
      </c>
      <c r="C4497" s="2" t="s">
        <v>26</v>
      </c>
      <c r="D4497" s="2" t="s">
        <v>27</v>
      </c>
      <c r="E4497" s="4">
        <v>-31955</v>
      </c>
      <c r="F4497" s="3" t="s">
        <v>789</v>
      </c>
      <c r="G4497" s="3" t="s">
        <v>237</v>
      </c>
      <c r="H4497" s="2" t="s">
        <v>21</v>
      </c>
      <c r="I4497" s="2" t="s">
        <v>11679</v>
      </c>
      <c r="J4497" s="3" t="str">
        <f>HYPERLINK("https://www.boe.es/gazeta/dias/1812/07/04/pdfs/GRE-1812-82.pdf#page=8","Abrir facsímil")</f>
        <v>Abrir facsímil</v>
      </c>
      <c r="K4497" s="3" t="s">
        <v>23</v>
      </c>
    </row>
    <row r="4498" spans="1:11" ht="42" customHeight="1">
      <c r="A4498" s="2" t="s">
        <v>11645</v>
      </c>
      <c r="B4498" s="2" t="s">
        <v>11645</v>
      </c>
      <c r="C4498" s="2" t="s">
        <v>26</v>
      </c>
      <c r="D4498" s="2" t="s">
        <v>27</v>
      </c>
      <c r="E4498" s="4">
        <v>-31942</v>
      </c>
      <c r="F4498" s="3" t="s">
        <v>3065</v>
      </c>
      <c r="G4498" s="3" t="s">
        <v>3066</v>
      </c>
      <c r="H4498" s="2" t="s">
        <v>21</v>
      </c>
      <c r="I4498" s="2" t="s">
        <v>11680</v>
      </c>
      <c r="J4498" s="3" t="str">
        <f>HYPERLINK("https://www.boe.es/gazeta/dias/1812/07/17/pdfs/GMD-1812-199.pdf#page=3","Abrir facsímil")</f>
        <v>Abrir facsímil</v>
      </c>
      <c r="K4498" s="3" t="s">
        <v>23</v>
      </c>
    </row>
    <row r="4499" spans="1:11" ht="42" customHeight="1">
      <c r="A4499" s="2" t="s">
        <v>11645</v>
      </c>
      <c r="B4499" s="2" t="s">
        <v>11645</v>
      </c>
      <c r="C4499" s="2" t="s">
        <v>67</v>
      </c>
      <c r="D4499" s="2" t="s">
        <v>275</v>
      </c>
      <c r="E4499" s="4">
        <v>-31941</v>
      </c>
      <c r="F4499" s="3" t="s">
        <v>2048</v>
      </c>
      <c r="G4499" s="3" t="s">
        <v>20</v>
      </c>
      <c r="H4499" s="2" t="s">
        <v>21</v>
      </c>
      <c r="I4499" s="2" t="s">
        <v>11681</v>
      </c>
      <c r="J4499" s="3" t="str">
        <f>HYPERLINK("https://www.boe.es/gazeta/dias/1812/07/18/pdfs/GRE-1812-90.pdf#page=8","Abrir facsímil")</f>
        <v>Abrir facsímil</v>
      </c>
      <c r="K4499" s="3" t="s">
        <v>23</v>
      </c>
    </row>
    <row r="4500" spans="1:11" ht="42" customHeight="1">
      <c r="A4500" s="2" t="s">
        <v>11645</v>
      </c>
      <c r="B4500" s="2" t="s">
        <v>11645</v>
      </c>
      <c r="C4500" s="2" t="s">
        <v>26</v>
      </c>
      <c r="D4500" s="2" t="s">
        <v>27</v>
      </c>
      <c r="E4500" s="4">
        <v>-31939</v>
      </c>
      <c r="F4500" s="3" t="s">
        <v>408</v>
      </c>
      <c r="G4500" s="3" t="s">
        <v>20</v>
      </c>
      <c r="H4500" s="2" t="s">
        <v>21</v>
      </c>
      <c r="I4500" s="2" t="s">
        <v>11682</v>
      </c>
      <c r="J4500" s="3" t="str">
        <f>HYPERLINK("https://www.boe.es/gazeta/dias/1812/07/20/pdfs/GMD-1812-202.pdf#page=4","Abrir facsímil")</f>
        <v>Abrir facsímil</v>
      </c>
      <c r="K4500" s="3" t="s">
        <v>23</v>
      </c>
    </row>
    <row r="4501" spans="1:11" ht="42" customHeight="1">
      <c r="A4501" s="2" t="s">
        <v>11645</v>
      </c>
      <c r="B4501" s="2" t="s">
        <v>11645</v>
      </c>
      <c r="C4501" s="2" t="s">
        <v>26</v>
      </c>
      <c r="D4501" s="2" t="s">
        <v>27</v>
      </c>
      <c r="E4501" s="4">
        <v>-31938</v>
      </c>
      <c r="F4501" s="3" t="s">
        <v>324</v>
      </c>
      <c r="G4501" s="3" t="s">
        <v>404</v>
      </c>
      <c r="H4501" s="2" t="s">
        <v>21</v>
      </c>
      <c r="I4501" s="2" t="s">
        <v>11683</v>
      </c>
      <c r="J4501" s="3" t="str">
        <f>HYPERLINK("https://www.boe.es/gazeta/dias/1812/07/21/pdfs/GMD-1812-203.pdf#page=4","Abrir facsímil")</f>
        <v>Abrir facsímil</v>
      </c>
      <c r="K4501" s="3" t="s">
        <v>23</v>
      </c>
    </row>
    <row r="4502" spans="1:11" ht="42" customHeight="1">
      <c r="A4502" s="2" t="s">
        <v>11645</v>
      </c>
      <c r="B4502" s="2" t="s">
        <v>11645</v>
      </c>
      <c r="C4502" s="2" t="s">
        <v>26</v>
      </c>
      <c r="D4502" s="2" t="s">
        <v>27</v>
      </c>
      <c r="E4502" s="4">
        <v>-31937</v>
      </c>
      <c r="F4502" s="3" t="s">
        <v>1198</v>
      </c>
      <c r="G4502" s="3" t="s">
        <v>140</v>
      </c>
      <c r="H4502" s="2" t="s">
        <v>21</v>
      </c>
      <c r="I4502" s="2" t="s">
        <v>11684</v>
      </c>
      <c r="J4502" s="3" t="str">
        <f>HYPERLINK("https://www.boe.es/gazeta/dias/1812/07/22/pdfs/GMD-1812-204.pdf#page=2","Abrir facsímil")</f>
        <v>Abrir facsímil</v>
      </c>
      <c r="K4502" s="3" t="s">
        <v>23</v>
      </c>
    </row>
    <row r="4503" spans="1:11" ht="42" customHeight="1">
      <c r="A4503" s="2" t="s">
        <v>11645</v>
      </c>
      <c r="B4503" s="2" t="s">
        <v>11645</v>
      </c>
      <c r="C4503" s="2" t="s">
        <v>26</v>
      </c>
      <c r="D4503" s="2" t="s">
        <v>27</v>
      </c>
      <c r="E4503" s="4">
        <v>-31936</v>
      </c>
      <c r="F4503" s="3" t="s">
        <v>603</v>
      </c>
      <c r="G4503" s="3" t="s">
        <v>2410</v>
      </c>
      <c r="H4503" s="2" t="s">
        <v>21</v>
      </c>
      <c r="I4503" s="2" t="s">
        <v>11685</v>
      </c>
      <c r="J4503" s="3" t="str">
        <f>HYPERLINK("https://www.boe.es/gazeta/dias/1812/07/23/pdfs/GMD-1812-205.pdf#page=4","Abrir facsímil")</f>
        <v>Abrir facsímil</v>
      </c>
      <c r="K4503" s="3" t="s">
        <v>23</v>
      </c>
    </row>
    <row r="4504" spans="1:11" ht="42" customHeight="1">
      <c r="A4504" s="2" t="s">
        <v>11645</v>
      </c>
      <c r="B4504" s="2" t="s">
        <v>11645</v>
      </c>
      <c r="C4504" s="2" t="s">
        <v>26</v>
      </c>
      <c r="D4504" s="2" t="s">
        <v>275</v>
      </c>
      <c r="E4504" s="4">
        <v>-31929</v>
      </c>
      <c r="F4504" s="3" t="s">
        <v>1148</v>
      </c>
      <c r="G4504" s="3" t="s">
        <v>1301</v>
      </c>
      <c r="H4504" s="2" t="s">
        <v>21</v>
      </c>
      <c r="I4504" s="2" t="s">
        <v>11686</v>
      </c>
      <c r="J4504" s="3" t="str">
        <f>HYPERLINK("https://www.boe.es/gazeta/dias/1812/07/30/pdfs/GRE-1812-95.pdf#page=8","Abrir facsímil")</f>
        <v>Abrir facsímil</v>
      </c>
      <c r="K4504" s="3" t="s">
        <v>23</v>
      </c>
    </row>
    <row r="4505" spans="1:11" ht="42" customHeight="1">
      <c r="A4505" s="2" t="s">
        <v>11645</v>
      </c>
      <c r="B4505" s="2" t="s">
        <v>11645</v>
      </c>
      <c r="C4505" s="2" t="s">
        <v>26</v>
      </c>
      <c r="D4505" s="2" t="s">
        <v>275</v>
      </c>
      <c r="E4505" s="4">
        <v>-31922</v>
      </c>
      <c r="F4505" s="3" t="s">
        <v>622</v>
      </c>
      <c r="G4505" s="3" t="s">
        <v>623</v>
      </c>
      <c r="H4505" s="2" t="s">
        <v>21</v>
      </c>
      <c r="I4505" s="2" t="s">
        <v>11687</v>
      </c>
      <c r="J4505" s="3" t="str">
        <f>HYPERLINK("https://www.boe.es/gazeta/dias/1812/08/06/pdfs/GMD-1812-219.pdf#page=1","Abrir facsímil")</f>
        <v>Abrir facsímil</v>
      </c>
      <c r="K4505" s="3" t="s">
        <v>23</v>
      </c>
    </row>
    <row r="4506" spans="1:11" ht="42" customHeight="1">
      <c r="A4506" s="2" t="s">
        <v>11645</v>
      </c>
      <c r="B4506" s="2" t="s">
        <v>11645</v>
      </c>
      <c r="C4506" s="2" t="s">
        <v>17</v>
      </c>
      <c r="D4506" s="2" t="s">
        <v>573</v>
      </c>
      <c r="E4506" s="4">
        <v>-31900</v>
      </c>
      <c r="F4506" s="3" t="s">
        <v>276</v>
      </c>
      <c r="G4506" s="3" t="s">
        <v>277</v>
      </c>
      <c r="H4506" s="2" t="s">
        <v>21</v>
      </c>
      <c r="I4506" s="2" t="s">
        <v>11688</v>
      </c>
      <c r="J4506" s="3" t="str">
        <f>HYPERLINK("https://www.boe.es/gazeta/dias/1812/08/28/pdfs/GRE-1812-113E.pdf#page=8","Abrir facsímil")</f>
        <v>Abrir facsímil</v>
      </c>
      <c r="K4506" s="3" t="s">
        <v>23</v>
      </c>
    </row>
    <row r="4507" spans="1:11" ht="42" customHeight="1">
      <c r="A4507" s="2" t="s">
        <v>11645</v>
      </c>
      <c r="B4507" s="2" t="s">
        <v>11645</v>
      </c>
      <c r="C4507" s="2" t="s">
        <v>67</v>
      </c>
      <c r="D4507" s="2" t="s">
        <v>27</v>
      </c>
      <c r="E4507" s="4">
        <v>-31885</v>
      </c>
      <c r="F4507" s="3" t="s">
        <v>750</v>
      </c>
      <c r="G4507" s="3" t="s">
        <v>214</v>
      </c>
      <c r="H4507" s="2" t="s">
        <v>21</v>
      </c>
      <c r="I4507" s="2" t="s">
        <v>11689</v>
      </c>
      <c r="J4507" s="3" t="str">
        <f>HYPERLINK("https://www.boe.es/gazeta/dias/1812/09/12/pdfs/GMR-1812-13.pdf#page=5","Abrir facsímil")</f>
        <v>Abrir facsímil</v>
      </c>
      <c r="K4507" s="3" t="s">
        <v>23</v>
      </c>
    </row>
    <row r="4508" spans="1:11" ht="42" customHeight="1">
      <c r="A4508" s="2" t="s">
        <v>11645</v>
      </c>
      <c r="B4508" s="2" t="s">
        <v>11645</v>
      </c>
      <c r="C4508" s="2" t="s">
        <v>26</v>
      </c>
      <c r="D4508" s="2" t="s">
        <v>27</v>
      </c>
      <c r="E4508" s="4">
        <v>-31857</v>
      </c>
      <c r="F4508" s="3" t="s">
        <v>1000</v>
      </c>
      <c r="G4508" s="3" t="s">
        <v>136</v>
      </c>
      <c r="H4508" s="2" t="s">
        <v>21</v>
      </c>
      <c r="I4508" s="2" t="s">
        <v>11690</v>
      </c>
      <c r="J4508" s="3" t="str">
        <f>HYPERLINK("https://www.boe.es/gazeta/dias/1812/10/10/pdfs/GRE-1812-137.pdf#page=8","Abrir facsímil")</f>
        <v>Abrir facsímil</v>
      </c>
      <c r="K4508" s="3" t="s">
        <v>23</v>
      </c>
    </row>
    <row r="4509" spans="1:11" ht="42" customHeight="1">
      <c r="A4509" s="2" t="s">
        <v>11645</v>
      </c>
      <c r="B4509" s="2" t="s">
        <v>11645</v>
      </c>
      <c r="C4509" s="2" t="s">
        <v>186</v>
      </c>
      <c r="D4509" s="2" t="s">
        <v>275</v>
      </c>
      <c r="E4509" s="4">
        <v>-31843</v>
      </c>
      <c r="F4509" s="3" t="s">
        <v>3493</v>
      </c>
      <c r="G4509" s="3" t="s">
        <v>3494</v>
      </c>
      <c r="H4509" s="2" t="s">
        <v>21</v>
      </c>
      <c r="I4509" s="2" t="s">
        <v>11691</v>
      </c>
      <c r="J4509" s="3" t="str">
        <f>HYPERLINK("https://www.boe.es/gazeta/dias/1812/10/24/pdfs/GMR-1812-31.pdf#page=8","Abrir facsímil")</f>
        <v>Abrir facsímil</v>
      </c>
      <c r="K4509" s="3" t="s">
        <v>23</v>
      </c>
    </row>
    <row r="4510" spans="1:11" ht="42" customHeight="1">
      <c r="A4510" s="2" t="s">
        <v>11692</v>
      </c>
      <c r="B4510" s="2" t="s">
        <v>11692</v>
      </c>
      <c r="C4510" s="2" t="s">
        <v>26</v>
      </c>
      <c r="D4510" s="2" t="s">
        <v>27</v>
      </c>
      <c r="E4510" s="4">
        <v>-31857</v>
      </c>
      <c r="F4510" s="3" t="s">
        <v>1000</v>
      </c>
      <c r="G4510" s="3" t="s">
        <v>136</v>
      </c>
      <c r="H4510" s="2" t="s">
        <v>21</v>
      </c>
      <c r="I4510" s="2" t="s">
        <v>11693</v>
      </c>
      <c r="J4510" s="3" t="str">
        <f>HYPERLINK("https://www.boe.es/gazeta/dias/1812/10/10/pdfs/GRE-1812-137.pdf#page=8","Abrir facsímil")</f>
        <v>Abrir facsímil</v>
      </c>
      <c r="K4510" s="3" t="s">
        <v>23</v>
      </c>
    </row>
    <row r="4511" spans="1:11" ht="42" customHeight="1">
      <c r="A4511" s="2" t="s">
        <v>11694</v>
      </c>
      <c r="B4511" s="2" t="s">
        <v>11695</v>
      </c>
      <c r="C4511" s="2" t="s">
        <v>17</v>
      </c>
      <c r="D4511" s="2" t="s">
        <v>27</v>
      </c>
      <c r="E4511" s="4">
        <v>-31974</v>
      </c>
      <c r="F4511" s="3" t="s">
        <v>2986</v>
      </c>
      <c r="G4511" s="3" t="s">
        <v>130</v>
      </c>
      <c r="H4511" s="2" t="s">
        <v>21</v>
      </c>
      <c r="I4511" s="2" t="s">
        <v>11696</v>
      </c>
      <c r="J4511" s="3" t="str">
        <f>HYPERLINK("https://www.boe.es/gazeta/dias/1812/06/15/pdfs/GMD-1812-167.pdf#page=4","Abrir facsímil")</f>
        <v>Abrir facsímil</v>
      </c>
      <c r="K4511" s="3" t="s">
        <v>23</v>
      </c>
    </row>
    <row r="4512" spans="1:11" ht="42" customHeight="1">
      <c r="A4512" s="2" t="s">
        <v>11697</v>
      </c>
      <c r="B4512" s="2" t="s">
        <v>11697</v>
      </c>
      <c r="C4512" s="2" t="s">
        <v>26</v>
      </c>
      <c r="D4512" s="2" t="s">
        <v>573</v>
      </c>
      <c r="E4512" s="4">
        <v>-31900</v>
      </c>
      <c r="F4512" s="3" t="s">
        <v>276</v>
      </c>
      <c r="G4512" s="3" t="s">
        <v>277</v>
      </c>
      <c r="H4512" s="2" t="s">
        <v>21</v>
      </c>
      <c r="I4512" s="2" t="s">
        <v>11698</v>
      </c>
      <c r="J4512" s="3" t="str">
        <f>HYPERLINK("https://www.boe.es/gazeta/dias/1812/08/28/pdfs/GRE-1812-113E.pdf#page=8","Abrir facsímil")</f>
        <v>Abrir facsímil</v>
      </c>
      <c r="K4512" s="3" t="s">
        <v>23</v>
      </c>
    </row>
    <row r="4513" spans="1:11" ht="42" customHeight="1">
      <c r="A4513" s="2" t="s">
        <v>11699</v>
      </c>
      <c r="B4513" s="2" t="s">
        <v>11699</v>
      </c>
      <c r="C4513" s="2" t="s">
        <v>549</v>
      </c>
      <c r="D4513" s="2" t="s">
        <v>27</v>
      </c>
      <c r="E4513" s="4">
        <v>-31887</v>
      </c>
      <c r="F4513" s="3" t="s">
        <v>703</v>
      </c>
      <c r="G4513" s="3" t="s">
        <v>196</v>
      </c>
      <c r="H4513" s="2" t="s">
        <v>21</v>
      </c>
      <c r="I4513" s="2" t="s">
        <v>11700</v>
      </c>
      <c r="J4513" s="3" t="str">
        <f>HYPERLINK("https://www.boe.es/gazeta/dias/1812/09/10/pdfs/GRE-1812-122.pdf#page=1","Abrir facsímil")</f>
        <v>Abrir facsímil</v>
      </c>
      <c r="K4513" s="3" t="s">
        <v>23</v>
      </c>
    </row>
    <row r="4514" spans="1:11" ht="42" customHeight="1">
      <c r="A4514" s="2" t="s">
        <v>11701</v>
      </c>
      <c r="B4514" s="2" t="s">
        <v>11701</v>
      </c>
      <c r="C4514" s="2" t="s">
        <v>17</v>
      </c>
      <c r="D4514" s="2" t="s">
        <v>27</v>
      </c>
      <c r="E4514" s="4">
        <v>-32109</v>
      </c>
      <c r="F4514" s="3" t="s">
        <v>62</v>
      </c>
      <c r="G4514" s="3" t="s">
        <v>2624</v>
      </c>
      <c r="H4514" s="2" t="s">
        <v>21</v>
      </c>
      <c r="I4514" s="2" t="s">
        <v>11702</v>
      </c>
      <c r="J4514" s="3" t="str">
        <f>HYPERLINK("https://www.boe.es/gazeta/dias/1812/02/01/pdfs/GRE-1812-14.pdf#page=7","Abrir facsímil")</f>
        <v>Abrir facsímil</v>
      </c>
      <c r="K4514" s="3" t="s">
        <v>23</v>
      </c>
    </row>
    <row r="4515" spans="1:11" ht="42" customHeight="1">
      <c r="A4515" s="2" t="s">
        <v>11701</v>
      </c>
      <c r="B4515" s="2" t="s">
        <v>11701</v>
      </c>
      <c r="C4515" s="2" t="s">
        <v>17</v>
      </c>
      <c r="D4515" s="2" t="s">
        <v>18</v>
      </c>
      <c r="E4515" s="4">
        <v>-32063</v>
      </c>
      <c r="F4515" s="3" t="s">
        <v>384</v>
      </c>
      <c r="G4515" s="3" t="s">
        <v>125</v>
      </c>
      <c r="H4515" s="2" t="s">
        <v>21</v>
      </c>
      <c r="I4515" s="2" t="s">
        <v>11703</v>
      </c>
      <c r="J4515" s="3" t="str">
        <f>HYPERLINK("https://www.boe.es/gazeta/dias/1812/03/18/pdfs/GMD-1812-78.pdf#page=3","Abrir facsímil")</f>
        <v>Abrir facsímil</v>
      </c>
      <c r="K4515" s="3" t="s">
        <v>23</v>
      </c>
    </row>
    <row r="4516" spans="1:11" ht="42" customHeight="1">
      <c r="A4516" s="2" t="s">
        <v>11701</v>
      </c>
      <c r="B4516" s="2" t="s">
        <v>11701</v>
      </c>
      <c r="C4516" s="2" t="s">
        <v>17</v>
      </c>
      <c r="D4516" s="2" t="s">
        <v>18</v>
      </c>
      <c r="E4516" s="4">
        <v>-31991</v>
      </c>
      <c r="F4516" s="3" t="s">
        <v>663</v>
      </c>
      <c r="G4516" s="3" t="s">
        <v>404</v>
      </c>
      <c r="H4516" s="2" t="s">
        <v>21</v>
      </c>
      <c r="I4516" s="2" t="s">
        <v>11704</v>
      </c>
      <c r="J4516" s="3" t="str">
        <f>HYPERLINK("https://www.boe.es/gazeta/dias/1812/05/29/pdfs/GMD-1812-150.pdf#page=4","Abrir facsímil")</f>
        <v>Abrir facsímil</v>
      </c>
      <c r="K4516" s="3" t="s">
        <v>23</v>
      </c>
    </row>
    <row r="4517" spans="1:11" ht="42" customHeight="1">
      <c r="A4517" s="2" t="s">
        <v>11701</v>
      </c>
      <c r="B4517" s="2" t="s">
        <v>11701</v>
      </c>
      <c r="C4517" s="2" t="s">
        <v>17</v>
      </c>
      <c r="D4517" s="2" t="s">
        <v>27</v>
      </c>
      <c r="E4517" s="4">
        <v>-31955</v>
      </c>
      <c r="F4517" s="3" t="s">
        <v>1195</v>
      </c>
      <c r="G4517" s="3" t="s">
        <v>5514</v>
      </c>
      <c r="H4517" s="2" t="s">
        <v>21</v>
      </c>
      <c r="I4517" s="2" t="s">
        <v>11705</v>
      </c>
      <c r="J4517" s="3" t="str">
        <f>HYPERLINK("https://www.boe.es/gazeta/dias/1812/07/04/pdfs/GMD-1812-186.pdf#page=3","Abrir facsímil")</f>
        <v>Abrir facsímil</v>
      </c>
      <c r="K4517" s="3" t="s">
        <v>23</v>
      </c>
    </row>
    <row r="4518" spans="1:11" ht="42" customHeight="1">
      <c r="A4518" s="2" t="s">
        <v>11701</v>
      </c>
      <c r="B4518" s="2" t="s">
        <v>11701</v>
      </c>
      <c r="C4518" s="2" t="s">
        <v>17</v>
      </c>
      <c r="D4518" s="2" t="s">
        <v>27</v>
      </c>
      <c r="E4518" s="4">
        <v>-31789</v>
      </c>
      <c r="F4518" s="3" t="s">
        <v>873</v>
      </c>
      <c r="G4518" s="3" t="s">
        <v>874</v>
      </c>
      <c r="H4518" s="2" t="s">
        <v>21</v>
      </c>
      <c r="I4518" s="2" t="s">
        <v>11706</v>
      </c>
      <c r="J4518" s="3" t="str">
        <f>HYPERLINK("https://www.boe.es/gazeta/dias/1812/12/17/pdfs/GMD-1812-240.pdf#page=4","Abrir facsímil")</f>
        <v>Abrir facsímil</v>
      </c>
      <c r="K4518" s="3" t="s">
        <v>23</v>
      </c>
    </row>
    <row r="4519" spans="1:11" ht="42" customHeight="1">
      <c r="A4519" s="2" t="s">
        <v>11701</v>
      </c>
      <c r="B4519" s="2" t="s">
        <v>11701</v>
      </c>
      <c r="C4519" s="2" t="s">
        <v>186</v>
      </c>
      <c r="D4519" s="2" t="s">
        <v>27</v>
      </c>
      <c r="E4519" s="4">
        <v>-31781</v>
      </c>
      <c r="F4519" s="3" t="s">
        <v>2414</v>
      </c>
      <c r="G4519" s="3" t="s">
        <v>2415</v>
      </c>
      <c r="H4519" s="2" t="s">
        <v>21</v>
      </c>
      <c r="I4519" s="2" t="s">
        <v>11707</v>
      </c>
      <c r="J4519" s="3" t="str">
        <f>HYPERLINK("https://www.boe.es/gazeta/dias/1812/12/25/pdfs/GMD-1812-248.pdf#page=4","Abrir facsímil")</f>
        <v>Abrir facsímil</v>
      </c>
      <c r="K4519" s="3" t="s">
        <v>23</v>
      </c>
    </row>
    <row r="4520" spans="1:11" ht="42" customHeight="1">
      <c r="A4520" s="2" t="s">
        <v>11708</v>
      </c>
      <c r="B4520" s="2" t="s">
        <v>11709</v>
      </c>
      <c r="C4520" s="2" t="s">
        <v>549</v>
      </c>
      <c r="D4520" s="2" t="s">
        <v>27</v>
      </c>
      <c r="E4520" s="4">
        <v>-31992</v>
      </c>
      <c r="F4520" s="3" t="s">
        <v>1292</v>
      </c>
      <c r="G4520" s="3" t="s">
        <v>1424</v>
      </c>
      <c r="H4520" s="2" t="s">
        <v>21</v>
      </c>
      <c r="I4520" s="2" t="s">
        <v>11710</v>
      </c>
      <c r="J4520" s="3" t="str">
        <f>HYPERLINK("https://www.boe.es/gazeta/dias/1812/05/28/pdfs/GRE-1812-66.pdf#page=5","Abrir facsímil")</f>
        <v>Abrir facsímil</v>
      </c>
      <c r="K4520" s="3" t="s">
        <v>23</v>
      </c>
    </row>
    <row r="4521" spans="1:11" ht="42" customHeight="1">
      <c r="A4521" s="2" t="s">
        <v>11711</v>
      </c>
      <c r="B4521" s="2" t="s">
        <v>11712</v>
      </c>
      <c r="C4521" s="2" t="s">
        <v>17</v>
      </c>
      <c r="D4521" s="2" t="s">
        <v>18</v>
      </c>
      <c r="E4521" s="4">
        <v>-32018</v>
      </c>
      <c r="F4521" s="3" t="s">
        <v>365</v>
      </c>
      <c r="G4521" s="3" t="s">
        <v>1639</v>
      </c>
      <c r="H4521" s="2" t="s">
        <v>21</v>
      </c>
      <c r="I4521" s="2" t="s">
        <v>11713</v>
      </c>
      <c r="J4521" s="3" t="str">
        <f>HYPERLINK("https://www.boe.es/gazeta/dias/1812/05/02/pdfs/GRE-1812-55.pdf#page=6","Abrir facsímil")</f>
        <v>Abrir facsímil</v>
      </c>
      <c r="K4521" s="3" t="s">
        <v>23</v>
      </c>
    </row>
    <row r="4522" spans="1:11" ht="42" customHeight="1">
      <c r="A4522" s="2" t="s">
        <v>11714</v>
      </c>
      <c r="B4522" s="2" t="s">
        <v>11714</v>
      </c>
      <c r="C4522" s="2" t="s">
        <v>82</v>
      </c>
      <c r="D4522" s="2" t="s">
        <v>27</v>
      </c>
      <c r="E4522" s="4">
        <v>-32074</v>
      </c>
      <c r="F4522" s="3" t="s">
        <v>7295</v>
      </c>
      <c r="G4522" s="3" t="s">
        <v>237</v>
      </c>
      <c r="H4522" s="2" t="s">
        <v>21</v>
      </c>
      <c r="I4522" s="2" t="s">
        <v>11715</v>
      </c>
      <c r="J4522" s="3" t="str">
        <f>HYPERLINK("https://www.boe.es/gazeta/dias/1812/03/07/pdfs/GMD-1812-67.pdf#page=2","Abrir facsímil")</f>
        <v>Abrir facsímil</v>
      </c>
      <c r="K4522" s="3" t="s">
        <v>23</v>
      </c>
    </row>
    <row r="4523" spans="1:11" ht="42" customHeight="1">
      <c r="A4523" s="2" t="s">
        <v>11716</v>
      </c>
      <c r="B4523" s="2" t="s">
        <v>11716</v>
      </c>
      <c r="C4523" s="2" t="s">
        <v>17</v>
      </c>
      <c r="D4523" s="2" t="s">
        <v>275</v>
      </c>
      <c r="E4523" s="4">
        <v>-32122</v>
      </c>
      <c r="F4523" s="3" t="s">
        <v>1389</v>
      </c>
      <c r="G4523" s="3" t="s">
        <v>404</v>
      </c>
      <c r="H4523" s="2" t="s">
        <v>21</v>
      </c>
      <c r="I4523" s="2" t="s">
        <v>11717</v>
      </c>
      <c r="J4523" s="3" t="str">
        <f>HYPERLINK("https://www.boe.es/gazeta/dias/1812/01/19/pdfs/GMD-1812-19.pdf#page=3","Abrir facsímil")</f>
        <v>Abrir facsímil</v>
      </c>
      <c r="K4523" s="3" t="s">
        <v>23</v>
      </c>
    </row>
    <row r="4524" spans="1:11" ht="42" customHeight="1">
      <c r="A4524" s="2" t="s">
        <v>11718</v>
      </c>
      <c r="B4524" s="2" t="s">
        <v>11719</v>
      </c>
      <c r="C4524" s="2" t="s">
        <v>26</v>
      </c>
      <c r="D4524" s="2" t="s">
        <v>27</v>
      </c>
      <c r="E4524" s="4">
        <v>-31939</v>
      </c>
      <c r="F4524" s="3" t="s">
        <v>408</v>
      </c>
      <c r="G4524" s="3" t="s">
        <v>20</v>
      </c>
      <c r="H4524" s="2" t="s">
        <v>21</v>
      </c>
      <c r="I4524" s="2" t="s">
        <v>11720</v>
      </c>
      <c r="J4524" s="3" t="str">
        <f>HYPERLINK("https://www.boe.es/gazeta/dias/1812/07/20/pdfs/GMD-1812-202.pdf#page=4","Abrir facsímil")</f>
        <v>Abrir facsímil</v>
      </c>
      <c r="K4524" s="3" t="s">
        <v>23</v>
      </c>
    </row>
    <row r="4525" spans="1:11" ht="42" customHeight="1">
      <c r="A4525" s="2" t="s">
        <v>11721</v>
      </c>
      <c r="B4525" s="2" t="s">
        <v>11721</v>
      </c>
      <c r="C4525" s="2" t="s">
        <v>17</v>
      </c>
      <c r="D4525" s="2" t="s">
        <v>18</v>
      </c>
      <c r="E4525" s="4">
        <v>-31882</v>
      </c>
      <c r="F4525" s="3" t="s">
        <v>1798</v>
      </c>
      <c r="G4525" s="3" t="s">
        <v>237</v>
      </c>
      <c r="H4525" s="2" t="s">
        <v>21</v>
      </c>
      <c r="I4525" s="2" t="s">
        <v>11722</v>
      </c>
      <c r="J4525" s="3" t="str">
        <f>HYPERLINK("https://www.boe.es/gazeta/dias/1812/09/15/pdfs/GMR-1812-14.pdf#page=7","Abrir facsímil")</f>
        <v>Abrir facsímil</v>
      </c>
      <c r="K4525" s="3" t="s">
        <v>23</v>
      </c>
    </row>
    <row r="4526" spans="1:11" ht="42" customHeight="1">
      <c r="A4526" s="2" t="s">
        <v>11723</v>
      </c>
      <c r="B4526" s="2" t="s">
        <v>11724</v>
      </c>
      <c r="C4526" s="2" t="s">
        <v>26</v>
      </c>
      <c r="D4526" s="2" t="s">
        <v>27</v>
      </c>
      <c r="E4526" s="4">
        <v>-31938</v>
      </c>
      <c r="F4526" s="3" t="s">
        <v>324</v>
      </c>
      <c r="G4526" s="3" t="s">
        <v>497</v>
      </c>
      <c r="H4526" s="2" t="s">
        <v>21</v>
      </c>
      <c r="I4526" s="2" t="s">
        <v>11725</v>
      </c>
      <c r="J4526" s="3" t="str">
        <f>HYPERLINK("https://www.boe.es/gazeta/dias/1812/07/21/pdfs/GMD-1812-203.pdf#page=3","Abrir facsímil")</f>
        <v>Abrir facsímil</v>
      </c>
      <c r="K4526" s="3" t="s">
        <v>23</v>
      </c>
    </row>
    <row r="4527" spans="1:11" ht="42" customHeight="1">
      <c r="A4527" s="2" t="s">
        <v>11726</v>
      </c>
      <c r="B4527" s="2" t="s">
        <v>11727</v>
      </c>
      <c r="C4527" s="2" t="s">
        <v>17</v>
      </c>
      <c r="D4527" s="2" t="s">
        <v>27</v>
      </c>
      <c r="E4527" s="4">
        <v>-32039</v>
      </c>
      <c r="F4527" s="3" t="s">
        <v>557</v>
      </c>
      <c r="G4527" s="3" t="s">
        <v>20</v>
      </c>
      <c r="H4527" s="2" t="s">
        <v>21</v>
      </c>
      <c r="I4527" s="2" t="s">
        <v>11728</v>
      </c>
      <c r="J4527" s="3" t="str">
        <f>HYPERLINK("https://www.boe.es/gazeta/dias/1812/04/11/pdfs/GMD-1812-102.pdf#page=4","Abrir facsímil")</f>
        <v>Abrir facsímil</v>
      </c>
      <c r="K4527" s="3" t="s">
        <v>23</v>
      </c>
    </row>
    <row r="4528" spans="1:11" ht="42" customHeight="1">
      <c r="A4528" s="2" t="s">
        <v>11729</v>
      </c>
      <c r="B4528" s="2" t="s">
        <v>11730</v>
      </c>
      <c r="C4528" s="2" t="s">
        <v>26</v>
      </c>
      <c r="D4528" s="2" t="s">
        <v>27</v>
      </c>
      <c r="E4528" s="4">
        <v>-32010</v>
      </c>
      <c r="F4528" s="3" t="s">
        <v>243</v>
      </c>
      <c r="G4528" s="3" t="s">
        <v>45</v>
      </c>
      <c r="H4528" s="2" t="s">
        <v>21</v>
      </c>
      <c r="I4528" s="2" t="s">
        <v>11731</v>
      </c>
      <c r="J4528" s="3" t="str">
        <f>HYPERLINK("https://www.boe.es/gazeta/dias/1812/05/10/pdfs/GMD-1812-131.pdf#page=3","Abrir facsímil")</f>
        <v>Abrir facsímil</v>
      </c>
      <c r="K4528" s="3" t="s">
        <v>23</v>
      </c>
    </row>
    <row r="4529" spans="1:11" ht="42" customHeight="1">
      <c r="A4529" s="2" t="s">
        <v>11732</v>
      </c>
      <c r="B4529" s="2" t="s">
        <v>11733</v>
      </c>
      <c r="C4529" s="2" t="s">
        <v>115</v>
      </c>
      <c r="D4529" s="2" t="s">
        <v>27</v>
      </c>
      <c r="E4529" s="4">
        <v>-31963</v>
      </c>
      <c r="F4529" s="3" t="s">
        <v>171</v>
      </c>
      <c r="G4529" s="3" t="s">
        <v>172</v>
      </c>
      <c r="H4529" s="2" t="s">
        <v>30</v>
      </c>
      <c r="I4529" s="2" t="s">
        <v>11734</v>
      </c>
      <c r="J4529" s="3" t="str">
        <f>HYPERLINK("https://www.boe.es/gazeta/dias/1812/06/26/pdfs/GMD-1812-178.pdf#page=3","Abrir facsímil")</f>
        <v>Abrir facsímil</v>
      </c>
      <c r="K4529" s="3" t="s">
        <v>32</v>
      </c>
    </row>
    <row r="4530" spans="1:11" ht="42" customHeight="1">
      <c r="A4530" s="2" t="s">
        <v>11735</v>
      </c>
      <c r="B4530" s="2" t="s">
        <v>11736</v>
      </c>
      <c r="C4530" s="2" t="s">
        <v>17</v>
      </c>
      <c r="D4530" s="2" t="s">
        <v>18</v>
      </c>
      <c r="E4530" s="4">
        <v>-32030</v>
      </c>
      <c r="F4530" s="3" t="s">
        <v>2226</v>
      </c>
      <c r="G4530" s="3" t="s">
        <v>20</v>
      </c>
      <c r="H4530" s="2" t="s">
        <v>21</v>
      </c>
      <c r="I4530" s="2" t="s">
        <v>11737</v>
      </c>
      <c r="J4530" s="3" t="str">
        <f>HYPERLINK("https://www.boe.es/gazeta/dias/1812/04/20/pdfs/GMD-1812-111.pdf#page=4","Abrir facsímil")</f>
        <v>Abrir facsímil</v>
      </c>
      <c r="K4530" s="3" t="s">
        <v>23</v>
      </c>
    </row>
    <row r="4531" spans="1:11" ht="42" customHeight="1">
      <c r="A4531" s="2" t="s">
        <v>11738</v>
      </c>
      <c r="B4531" s="2" t="s">
        <v>11739</v>
      </c>
      <c r="C4531" s="2" t="s">
        <v>17</v>
      </c>
      <c r="D4531" s="2" t="s">
        <v>27</v>
      </c>
      <c r="E4531" s="4">
        <v>-32069</v>
      </c>
      <c r="F4531" s="3" t="s">
        <v>445</v>
      </c>
      <c r="G4531" s="3" t="s">
        <v>446</v>
      </c>
      <c r="H4531" s="2" t="s">
        <v>21</v>
      </c>
      <c r="I4531" s="2" t="s">
        <v>11740</v>
      </c>
      <c r="J4531" s="3" t="str">
        <f>HYPERLINK("https://www.boe.es/gazeta/dias/1812/03/12/pdfs/GRE-1812-32.pdf#page=8","Abrir facsímil")</f>
        <v>Abrir facsímil</v>
      </c>
      <c r="K4531" s="3" t="s">
        <v>23</v>
      </c>
    </row>
    <row r="4532" spans="1:11" ht="42" customHeight="1">
      <c r="A4532" s="2" t="s">
        <v>11741</v>
      </c>
      <c r="B4532" s="2" t="s">
        <v>11742</v>
      </c>
      <c r="C4532" s="2" t="s">
        <v>26</v>
      </c>
      <c r="D4532" s="2" t="s">
        <v>27</v>
      </c>
      <c r="E4532" s="4">
        <v>-32013</v>
      </c>
      <c r="F4532" s="3" t="s">
        <v>849</v>
      </c>
      <c r="G4532" s="3" t="s">
        <v>6982</v>
      </c>
      <c r="H4532" s="2" t="s">
        <v>21</v>
      </c>
      <c r="I4532" s="2" t="s">
        <v>11743</v>
      </c>
      <c r="J4532" s="3" t="str">
        <f>HYPERLINK("https://www.boe.es/gazeta/dias/1812/05/07/pdfs/GRE-1812-57.pdf#page=5","Abrir facsímil")</f>
        <v>Abrir facsímil</v>
      </c>
      <c r="K4532" s="3" t="s">
        <v>23</v>
      </c>
    </row>
    <row r="4533" spans="1:11" ht="42" customHeight="1">
      <c r="A4533" s="2" t="s">
        <v>11744</v>
      </c>
      <c r="B4533" s="2" t="s">
        <v>11744</v>
      </c>
      <c r="C4533" s="2" t="s">
        <v>17</v>
      </c>
      <c r="D4533" s="2" t="s">
        <v>27</v>
      </c>
      <c r="E4533" s="4">
        <v>-31803</v>
      </c>
      <c r="F4533" s="3" t="s">
        <v>221</v>
      </c>
      <c r="G4533" s="3" t="s">
        <v>11745</v>
      </c>
      <c r="H4533" s="2" t="s">
        <v>21</v>
      </c>
      <c r="I4533" s="2" t="s">
        <v>11746</v>
      </c>
      <c r="J4533" s="3" t="str">
        <f>HYPERLINK("https://www.boe.es/gazeta/dias/1812/12/03/pdfs/GRE-1812-160.pdf#page=2","Abrir facsímil")</f>
        <v>Abrir facsímil</v>
      </c>
      <c r="K4533" s="3" t="s">
        <v>23</v>
      </c>
    </row>
    <row r="4534" spans="1:11" ht="42" customHeight="1">
      <c r="A4534" s="2" t="s">
        <v>11747</v>
      </c>
      <c r="B4534" s="2" t="s">
        <v>11748</v>
      </c>
      <c r="C4534" s="2" t="s">
        <v>26</v>
      </c>
      <c r="D4534" s="2" t="s">
        <v>27</v>
      </c>
      <c r="E4534" s="4">
        <v>-31866</v>
      </c>
      <c r="F4534" s="3" t="s">
        <v>845</v>
      </c>
      <c r="G4534" s="3" t="s">
        <v>1210</v>
      </c>
      <c r="H4534" s="2" t="s">
        <v>30</v>
      </c>
      <c r="I4534" s="2" t="s">
        <v>11749</v>
      </c>
      <c r="J4534" s="3" t="str">
        <f>HYPERLINK("https://www.boe.es/gazeta/dias/1812/10/01/pdfs/GRE-1812-133.pdf#page=5","Abrir facsímil")</f>
        <v>Abrir facsímil</v>
      </c>
      <c r="K4534" s="3" t="s">
        <v>32</v>
      </c>
    </row>
    <row r="4535" spans="1:11" ht="42" customHeight="1">
      <c r="A4535" s="2" t="s">
        <v>11750</v>
      </c>
      <c r="B4535" s="2" t="s">
        <v>11750</v>
      </c>
      <c r="C4535" s="2" t="s">
        <v>26</v>
      </c>
      <c r="D4535" s="2" t="s">
        <v>27</v>
      </c>
      <c r="E4535" s="4">
        <v>-32034</v>
      </c>
      <c r="F4535" s="3" t="s">
        <v>28</v>
      </c>
      <c r="G4535" s="3" t="s">
        <v>514</v>
      </c>
      <c r="H4535" s="2" t="s">
        <v>21</v>
      </c>
      <c r="I4535" s="2" t="s">
        <v>11751</v>
      </c>
      <c r="J4535" s="3" t="str">
        <f>HYPERLINK("https://www.boe.es/gazeta/dias/1812/04/16/pdfs/GMD-1812-107.pdf#page=2","Abrir facsímil")</f>
        <v>Abrir facsímil</v>
      </c>
      <c r="K4535" s="3" t="s">
        <v>23</v>
      </c>
    </row>
    <row r="4536" spans="1:11" ht="42" customHeight="1">
      <c r="A4536" s="2" t="s">
        <v>11752</v>
      </c>
      <c r="B4536" s="2" t="s">
        <v>11752</v>
      </c>
      <c r="C4536" s="2" t="s">
        <v>115</v>
      </c>
      <c r="D4536" s="2" t="s">
        <v>27</v>
      </c>
      <c r="E4536" s="4">
        <v>-32023</v>
      </c>
      <c r="F4536" s="3" t="s">
        <v>1537</v>
      </c>
      <c r="G4536" s="3" t="s">
        <v>7184</v>
      </c>
      <c r="H4536" s="2" t="s">
        <v>21</v>
      </c>
      <c r="I4536" s="2" t="s">
        <v>11753</v>
      </c>
      <c r="J4536" s="3" t="str">
        <f>HYPERLINK("https://www.boe.es/gazeta/dias/1812/04/27/pdfs/GMD-1812-118.pdf#page=1","Abrir facsímil")</f>
        <v>Abrir facsímil</v>
      </c>
      <c r="K4536" s="3" t="s">
        <v>23</v>
      </c>
    </row>
    <row r="4537" spans="1:11" ht="42" customHeight="1">
      <c r="A4537" s="2" t="s">
        <v>11754</v>
      </c>
      <c r="B4537" s="2" t="s">
        <v>11754</v>
      </c>
      <c r="C4537" s="2" t="s">
        <v>17</v>
      </c>
      <c r="D4537" s="2" t="s">
        <v>27</v>
      </c>
      <c r="E4537" s="4">
        <v>-32023</v>
      </c>
      <c r="F4537" s="3" t="s">
        <v>1537</v>
      </c>
      <c r="G4537" s="3" t="s">
        <v>7184</v>
      </c>
      <c r="H4537" s="2" t="s">
        <v>21</v>
      </c>
      <c r="I4537" s="2" t="s">
        <v>11755</v>
      </c>
      <c r="J4537" s="3" t="str">
        <f>HYPERLINK("https://www.boe.es/gazeta/dias/1812/04/27/pdfs/GMD-1812-118.pdf#page=1","Abrir facsímil")</f>
        <v>Abrir facsímil</v>
      </c>
      <c r="K4537" s="3" t="s">
        <v>23</v>
      </c>
    </row>
    <row r="4538" spans="1:11" ht="42" customHeight="1">
      <c r="A4538" s="2" t="s">
        <v>11756</v>
      </c>
      <c r="B4538" s="2" t="s">
        <v>11756</v>
      </c>
      <c r="C4538" s="2" t="s">
        <v>17</v>
      </c>
      <c r="D4538" s="2" t="s">
        <v>18</v>
      </c>
      <c r="E4538" s="4">
        <v>-31798</v>
      </c>
      <c r="F4538" s="3" t="s">
        <v>1849</v>
      </c>
      <c r="G4538" s="3" t="s">
        <v>237</v>
      </c>
      <c r="H4538" s="2" t="s">
        <v>21</v>
      </c>
      <c r="I4538" s="2" t="s">
        <v>11757</v>
      </c>
      <c r="J4538" s="3" t="str">
        <f>HYPERLINK("https://www.boe.es/gazeta/dias/1812/12/08/pdfs/GMD-1812-231.pdf#page=2","Abrir facsímil")</f>
        <v>Abrir facsímil</v>
      </c>
      <c r="K4538" s="3" t="s">
        <v>23</v>
      </c>
    </row>
    <row r="4539" spans="1:11" ht="42" customHeight="1">
      <c r="A4539" s="2" t="s">
        <v>11758</v>
      </c>
      <c r="B4539" s="2" t="s">
        <v>11758</v>
      </c>
      <c r="C4539" s="2" t="s">
        <v>17</v>
      </c>
      <c r="D4539" s="2" t="s">
        <v>18</v>
      </c>
      <c r="E4539" s="4">
        <v>-31864</v>
      </c>
      <c r="F4539" s="3" t="s">
        <v>4258</v>
      </c>
      <c r="G4539" s="3" t="s">
        <v>4321</v>
      </c>
      <c r="H4539" s="2" t="s">
        <v>21</v>
      </c>
      <c r="I4539" s="2" t="s">
        <v>11759</v>
      </c>
      <c r="J4539" s="3" t="str">
        <f>HYPERLINK("https://www.boe.es/gazeta/dias/1812/10/03/pdfs/GMR-1812-22.pdf#page=2","Abrir facsímil")</f>
        <v>Abrir facsímil</v>
      </c>
      <c r="K4539" s="3" t="s">
        <v>23</v>
      </c>
    </row>
    <row r="4540" spans="1:11" ht="42" customHeight="1">
      <c r="A4540" s="2" t="s">
        <v>11760</v>
      </c>
      <c r="B4540" s="2" t="s">
        <v>11760</v>
      </c>
      <c r="C4540" s="2" t="s">
        <v>17</v>
      </c>
      <c r="D4540" s="2" t="s">
        <v>18</v>
      </c>
      <c r="E4540" s="4">
        <v>-31782</v>
      </c>
      <c r="F4540" s="3" t="s">
        <v>860</v>
      </c>
      <c r="G4540" s="3" t="s">
        <v>2379</v>
      </c>
      <c r="H4540" s="2" t="s">
        <v>21</v>
      </c>
      <c r="I4540" s="2" t="s">
        <v>11761</v>
      </c>
      <c r="J4540" s="3" t="str">
        <f>HYPERLINK("https://www.boe.es/gazeta/dias/1812/12/24/pdfs/GRE-1812-169.pdf#page=1","Abrir facsímil")</f>
        <v>Abrir facsímil</v>
      </c>
      <c r="K4540" s="3" t="s">
        <v>23</v>
      </c>
    </row>
    <row r="4541" spans="1:11" ht="42" customHeight="1">
      <c r="A4541" s="2" t="s">
        <v>11762</v>
      </c>
      <c r="B4541" s="2" t="s">
        <v>11762</v>
      </c>
      <c r="C4541" s="2" t="s">
        <v>17</v>
      </c>
      <c r="D4541" s="2" t="s">
        <v>18</v>
      </c>
      <c r="E4541" s="4">
        <v>-31866</v>
      </c>
      <c r="F4541" s="3" t="s">
        <v>845</v>
      </c>
      <c r="G4541" s="3" t="s">
        <v>214</v>
      </c>
      <c r="H4541" s="2" t="s">
        <v>21</v>
      </c>
      <c r="I4541" s="2" t="s">
        <v>11763</v>
      </c>
      <c r="J4541" s="3" t="str">
        <f>HYPERLINK("https://www.boe.es/gazeta/dias/1812/10/01/pdfs/GRE-1812-133.pdf#page=2","Abrir facsímil")</f>
        <v>Abrir facsímil</v>
      </c>
      <c r="K4541" s="3" t="s">
        <v>23</v>
      </c>
    </row>
    <row r="4542" spans="1:11" ht="42" customHeight="1">
      <c r="A4542" s="2" t="s">
        <v>11764</v>
      </c>
      <c r="B4542" s="2" t="s">
        <v>11764</v>
      </c>
      <c r="C4542" s="2" t="s">
        <v>17</v>
      </c>
      <c r="D4542" s="2" t="s">
        <v>27</v>
      </c>
      <c r="E4542" s="4">
        <v>-32138</v>
      </c>
      <c r="F4542" s="3" t="s">
        <v>2714</v>
      </c>
      <c r="G4542" s="3" t="s">
        <v>196</v>
      </c>
      <c r="H4542" s="2" t="s">
        <v>21</v>
      </c>
      <c r="I4542" s="2" t="s">
        <v>11765</v>
      </c>
      <c r="J4542" s="3" t="str">
        <f>HYPERLINK("https://www.boe.es/gazeta/dias/1812/01/03/pdfs/GMD-1812-3.pdf#page=1","Abrir facsímil")</f>
        <v>Abrir facsímil</v>
      </c>
      <c r="K4542" s="3" t="s">
        <v>23</v>
      </c>
    </row>
    <row r="4543" spans="1:11" ht="42" customHeight="1">
      <c r="A4543" s="2" t="s">
        <v>11766</v>
      </c>
      <c r="B4543" s="2" t="s">
        <v>11767</v>
      </c>
      <c r="C4543" s="2" t="s">
        <v>17</v>
      </c>
      <c r="D4543" s="2" t="s">
        <v>18</v>
      </c>
      <c r="E4543" s="4">
        <v>-32139</v>
      </c>
      <c r="F4543" s="3" t="s">
        <v>288</v>
      </c>
      <c r="G4543" s="3" t="s">
        <v>20</v>
      </c>
      <c r="H4543" s="2" t="s">
        <v>21</v>
      </c>
      <c r="I4543" s="2" t="s">
        <v>11768</v>
      </c>
      <c r="J4543" s="3" t="str">
        <f>HYPERLINK("https://www.boe.es/gazeta/dias/1812/01/02/pdfs/GMD-1812-2.pdf#page=3","Abrir facsímil")</f>
        <v>Abrir facsímil</v>
      </c>
      <c r="K4543" s="3" t="s">
        <v>23</v>
      </c>
    </row>
    <row r="4544" spans="1:11" ht="42" customHeight="1">
      <c r="A4544" s="2" t="s">
        <v>11769</v>
      </c>
      <c r="B4544" s="2" t="s">
        <v>11770</v>
      </c>
      <c r="C4544" s="2" t="s">
        <v>17</v>
      </c>
      <c r="D4544" s="2" t="s">
        <v>18</v>
      </c>
      <c r="E4544" s="4">
        <v>-31784</v>
      </c>
      <c r="F4544" s="3" t="s">
        <v>1648</v>
      </c>
      <c r="G4544" s="3" t="s">
        <v>45</v>
      </c>
      <c r="H4544" s="2" t="s">
        <v>21</v>
      </c>
      <c r="I4544" s="2" t="s">
        <v>11771</v>
      </c>
      <c r="J4544" s="3" t="str">
        <f>HYPERLINK("https://www.boe.es/gazeta/dias/1812/12/22/pdfs/GMD-1812-245.pdf#page=3","Abrir facsímil")</f>
        <v>Abrir facsímil</v>
      </c>
      <c r="K4544" s="3" t="s">
        <v>23</v>
      </c>
    </row>
    <row r="4545" spans="1:11" ht="42" customHeight="1">
      <c r="A4545" s="2" t="s">
        <v>11772</v>
      </c>
      <c r="B4545" s="2" t="s">
        <v>11772</v>
      </c>
      <c r="C4545" s="2" t="s">
        <v>17</v>
      </c>
      <c r="D4545" s="2" t="s">
        <v>18</v>
      </c>
      <c r="E4545" s="4">
        <v>-31793</v>
      </c>
      <c r="F4545" s="3" t="s">
        <v>2570</v>
      </c>
      <c r="G4545" s="3" t="s">
        <v>20</v>
      </c>
      <c r="H4545" s="2" t="s">
        <v>21</v>
      </c>
      <c r="I4545" s="2" t="s">
        <v>11773</v>
      </c>
      <c r="J4545" s="3" t="str">
        <f>HYPERLINK("https://www.boe.es/gazeta/dias/1812/12/13/pdfs/GMD-1812-236.pdf#page=2","Abrir facsímil")</f>
        <v>Abrir facsímil</v>
      </c>
      <c r="K4545" s="3" t="s">
        <v>23</v>
      </c>
    </row>
    <row r="4546" spans="1:11" ht="42" customHeight="1">
      <c r="A4546" s="2" t="s">
        <v>11774</v>
      </c>
      <c r="B4546" s="2" t="s">
        <v>11774</v>
      </c>
      <c r="C4546" s="2" t="s">
        <v>49</v>
      </c>
      <c r="D4546" s="2" t="s">
        <v>27</v>
      </c>
      <c r="E4546" s="4">
        <v>-32032</v>
      </c>
      <c r="F4546" s="3" t="s">
        <v>421</v>
      </c>
      <c r="G4546" s="3" t="s">
        <v>7302</v>
      </c>
      <c r="H4546" s="2" t="s">
        <v>21</v>
      </c>
      <c r="I4546" s="2" t="s">
        <v>11775</v>
      </c>
      <c r="J4546" s="3" t="str">
        <f>HYPERLINK("https://www.boe.es/gazeta/dias/1812/04/18/pdfs/GRE-1812-49.pdf#page=1","Abrir facsímil")</f>
        <v>Abrir facsímil</v>
      </c>
      <c r="K4546" s="3" t="s">
        <v>23</v>
      </c>
    </row>
    <row r="4547" spans="1:11" ht="42" customHeight="1">
      <c r="A4547" s="2" t="s">
        <v>11774</v>
      </c>
      <c r="B4547" s="2" t="s">
        <v>11774</v>
      </c>
      <c r="C4547" s="2" t="s">
        <v>17</v>
      </c>
      <c r="D4547" s="2" t="s">
        <v>27</v>
      </c>
      <c r="E4547" s="4">
        <v>-32032</v>
      </c>
      <c r="F4547" s="3" t="s">
        <v>421</v>
      </c>
      <c r="G4547" s="3" t="s">
        <v>10371</v>
      </c>
      <c r="H4547" s="2" t="s">
        <v>21</v>
      </c>
      <c r="I4547" s="2" t="s">
        <v>11776</v>
      </c>
      <c r="J4547" s="3" t="str">
        <f>HYPERLINK("https://www.boe.es/gazeta/dias/1812/04/18/pdfs/GRE-1812-49.pdf#page=2","Abrir facsímil")</f>
        <v>Abrir facsímil</v>
      </c>
      <c r="K4547" s="3" t="s">
        <v>23</v>
      </c>
    </row>
    <row r="4548" spans="1:11" ht="42" customHeight="1">
      <c r="A4548" s="2" t="s">
        <v>11774</v>
      </c>
      <c r="B4548" s="2" t="s">
        <v>11774</v>
      </c>
      <c r="C4548" s="2" t="s">
        <v>17</v>
      </c>
      <c r="D4548" s="2" t="s">
        <v>18</v>
      </c>
      <c r="E4548" s="4">
        <v>-32025</v>
      </c>
      <c r="F4548" s="3" t="s">
        <v>2323</v>
      </c>
      <c r="G4548" s="3" t="s">
        <v>130</v>
      </c>
      <c r="H4548" s="2" t="s">
        <v>21</v>
      </c>
      <c r="I4548" s="2" t="s">
        <v>11777</v>
      </c>
      <c r="J4548" s="3" t="str">
        <f>HYPERLINK("https://www.boe.es/gazeta/dias/1812/04/25/pdfs/GRE-1812-52.pdf#page=4","Abrir facsímil")</f>
        <v>Abrir facsímil</v>
      </c>
      <c r="K4548" s="3" t="s">
        <v>23</v>
      </c>
    </row>
    <row r="4549" spans="1:11" ht="42" customHeight="1">
      <c r="A4549" s="2" t="s">
        <v>11778</v>
      </c>
      <c r="B4549" s="2" t="s">
        <v>11779</v>
      </c>
      <c r="C4549" s="2" t="s">
        <v>17</v>
      </c>
      <c r="D4549" s="2" t="s">
        <v>18</v>
      </c>
      <c r="E4549" s="4">
        <v>-31957</v>
      </c>
      <c r="F4549" s="3" t="s">
        <v>2173</v>
      </c>
      <c r="G4549" s="3" t="s">
        <v>3034</v>
      </c>
      <c r="H4549" s="2" t="s">
        <v>21</v>
      </c>
      <c r="I4549" s="2" t="s">
        <v>11780</v>
      </c>
      <c r="J4549" s="3" t="str">
        <f>HYPERLINK("https://www.boe.es/gazeta/dias/1812/07/02/pdfs/GRE-1812-81.pdf#page=5","Abrir facsímil")</f>
        <v>Abrir facsímil</v>
      </c>
      <c r="K4549" s="3" t="s">
        <v>23</v>
      </c>
    </row>
    <row r="4550" spans="1:11" ht="42" customHeight="1">
      <c r="A4550" s="2" t="s">
        <v>11778</v>
      </c>
      <c r="B4550" s="2" t="s">
        <v>11779</v>
      </c>
      <c r="C4550" s="2" t="s">
        <v>49</v>
      </c>
      <c r="D4550" s="2" t="s">
        <v>27</v>
      </c>
      <c r="E4550" s="4">
        <v>-31822</v>
      </c>
      <c r="F4550" s="3" t="s">
        <v>541</v>
      </c>
      <c r="G4550" s="3" t="s">
        <v>1459</v>
      </c>
      <c r="H4550" s="2" t="s">
        <v>21</v>
      </c>
      <c r="I4550" s="2" t="s">
        <v>11781</v>
      </c>
      <c r="J4550" s="3" t="str">
        <f>HYPERLINK("https://www.boe.es/gazeta/dias/1812/11/14/pdfs/GRE-1812-152.pdf#page=8","Abrir facsímil")</f>
        <v>Abrir facsímil</v>
      </c>
      <c r="K4550" s="3" t="s">
        <v>23</v>
      </c>
    </row>
    <row r="4551" spans="1:11" ht="42" customHeight="1">
      <c r="A4551" s="2" t="s">
        <v>11782</v>
      </c>
      <c r="B4551" s="2" t="s">
        <v>11782</v>
      </c>
      <c r="C4551" s="2" t="s">
        <v>17</v>
      </c>
      <c r="D4551" s="2" t="s">
        <v>27</v>
      </c>
      <c r="E4551" s="4">
        <v>-31859</v>
      </c>
      <c r="F4551" s="3" t="s">
        <v>3024</v>
      </c>
      <c r="G4551" s="3" t="s">
        <v>217</v>
      </c>
      <c r="H4551" s="2" t="s">
        <v>21</v>
      </c>
      <c r="I4551" s="2" t="s">
        <v>11783</v>
      </c>
      <c r="J4551" s="3" t="str">
        <f>HYPERLINK("https://www.boe.es/gazeta/dias/1812/10/08/pdfs/GRE-1812-136.pdf#page=5","Abrir facsímil")</f>
        <v>Abrir facsímil</v>
      </c>
      <c r="K4551" s="3" t="s">
        <v>23</v>
      </c>
    </row>
    <row r="4552" spans="1:11" ht="42" customHeight="1">
      <c r="A4552" s="2" t="s">
        <v>11784</v>
      </c>
      <c r="B4552" s="2" t="s">
        <v>11784</v>
      </c>
      <c r="C4552" s="2" t="s">
        <v>17</v>
      </c>
      <c r="D4552" s="2" t="s">
        <v>27</v>
      </c>
      <c r="E4552" s="4">
        <v>-31868</v>
      </c>
      <c r="F4552" s="3" t="s">
        <v>1833</v>
      </c>
      <c r="G4552" s="3" t="s">
        <v>45</v>
      </c>
      <c r="H4552" s="2" t="s">
        <v>21</v>
      </c>
      <c r="I4552" s="2" t="s">
        <v>11785</v>
      </c>
      <c r="J4552" s="3" t="str">
        <f>HYPERLINK("https://www.boe.es/gazeta/dias/1812/09/29/pdfs/GMR-1812-20.pdf#page=2","Abrir facsímil")</f>
        <v>Abrir facsímil</v>
      </c>
      <c r="K4552" s="3" t="s">
        <v>23</v>
      </c>
    </row>
    <row r="4553" spans="1:11" ht="42" customHeight="1">
      <c r="A4553" s="2" t="s">
        <v>11786</v>
      </c>
      <c r="B4553" s="2" t="s">
        <v>11786</v>
      </c>
      <c r="C4553" s="2" t="s">
        <v>26</v>
      </c>
      <c r="D4553" s="2" t="s">
        <v>27</v>
      </c>
      <c r="E4553" s="4">
        <v>-32097</v>
      </c>
      <c r="F4553" s="3" t="s">
        <v>4288</v>
      </c>
      <c r="G4553" s="3" t="s">
        <v>130</v>
      </c>
      <c r="H4553" s="2" t="s">
        <v>21</v>
      </c>
      <c r="I4553" s="2" t="s">
        <v>11787</v>
      </c>
      <c r="J4553" s="3" t="str">
        <f>HYPERLINK("https://www.boe.es/gazeta/dias/1812/02/13/pdfs/GMD-1812-44.pdf#page=4","Abrir facsímil")</f>
        <v>Abrir facsímil</v>
      </c>
      <c r="K4553" s="3" t="s">
        <v>23</v>
      </c>
    </row>
    <row r="4554" spans="1:11" ht="42" customHeight="1">
      <c r="A4554" s="2" t="s">
        <v>11788</v>
      </c>
      <c r="B4554" s="2" t="s">
        <v>11788</v>
      </c>
      <c r="C4554" s="2" t="s">
        <v>26</v>
      </c>
      <c r="D4554" s="2" t="s">
        <v>27</v>
      </c>
      <c r="E4554" s="4">
        <v>-32077</v>
      </c>
      <c r="F4554" s="3" t="s">
        <v>639</v>
      </c>
      <c r="G4554" s="3" t="s">
        <v>742</v>
      </c>
      <c r="H4554" s="2" t="s">
        <v>21</v>
      </c>
      <c r="I4554" s="2" t="s">
        <v>11789</v>
      </c>
      <c r="J4554" s="3" t="str">
        <f>HYPERLINK("https://www.boe.es/gazeta/dias/1812/03/04/pdfs/GMD-1812-64.pdf#page=1","Abrir facsímil")</f>
        <v>Abrir facsímil</v>
      </c>
      <c r="K4554" s="3" t="s">
        <v>23</v>
      </c>
    </row>
    <row r="4555" spans="1:11" ht="42" customHeight="1">
      <c r="A4555" s="2" t="s">
        <v>11790</v>
      </c>
      <c r="B4555" s="2" t="s">
        <v>11790</v>
      </c>
      <c r="C4555" s="2" t="s">
        <v>17</v>
      </c>
      <c r="D4555" s="2" t="s">
        <v>27</v>
      </c>
      <c r="E4555" s="4">
        <v>-31798</v>
      </c>
      <c r="F4555" s="3" t="s">
        <v>1849</v>
      </c>
      <c r="G4555" s="3" t="s">
        <v>237</v>
      </c>
      <c r="H4555" s="2" t="s">
        <v>21</v>
      </c>
      <c r="I4555" s="2" t="s">
        <v>11791</v>
      </c>
      <c r="J4555" s="3" t="str">
        <f>HYPERLINK("https://www.boe.es/gazeta/dias/1812/12/08/pdfs/GMD-1812-231.pdf#page=2","Abrir facsímil")</f>
        <v>Abrir facsímil</v>
      </c>
      <c r="K4555" s="3" t="s">
        <v>23</v>
      </c>
    </row>
    <row r="4556" spans="1:11" ht="42" customHeight="1">
      <c r="A4556" s="2" t="s">
        <v>11792</v>
      </c>
      <c r="B4556" s="2" t="s">
        <v>11792</v>
      </c>
      <c r="C4556" s="2" t="s">
        <v>49</v>
      </c>
      <c r="D4556" s="2" t="s">
        <v>27</v>
      </c>
      <c r="E4556" s="4">
        <v>-31977</v>
      </c>
      <c r="F4556" s="3" t="s">
        <v>1566</v>
      </c>
      <c r="G4556" s="3" t="s">
        <v>1567</v>
      </c>
      <c r="H4556" s="2" t="s">
        <v>21</v>
      </c>
      <c r="I4556" s="2" t="s">
        <v>11793</v>
      </c>
      <c r="J4556" s="3" t="str">
        <f>HYPERLINK("https://www.boe.es/gazeta/dias/1812/06/12/pdfs/GMD-1812-164.pdf#page=1","Abrir facsímil")</f>
        <v>Abrir facsímil</v>
      </c>
      <c r="K4556" s="3" t="s">
        <v>23</v>
      </c>
    </row>
    <row r="4557" spans="1:11" ht="42" customHeight="1">
      <c r="A4557" s="2" t="s">
        <v>11794</v>
      </c>
      <c r="B4557" s="2" t="s">
        <v>11794</v>
      </c>
      <c r="C4557" s="2" t="s">
        <v>17</v>
      </c>
      <c r="D4557" s="2" t="s">
        <v>27</v>
      </c>
      <c r="E4557" s="4">
        <v>-31859</v>
      </c>
      <c r="F4557" s="3" t="s">
        <v>158</v>
      </c>
      <c r="G4557" s="3" t="s">
        <v>36</v>
      </c>
      <c r="H4557" s="2" t="s">
        <v>21</v>
      </c>
      <c r="I4557" s="2" t="s">
        <v>11795</v>
      </c>
      <c r="J4557" s="3" t="str">
        <f>HYPERLINK("https://www.boe.es/gazeta/dias/1812/10/08/pdfs/GMR-1812-24.pdf#page=3","Abrir facsímil")</f>
        <v>Abrir facsímil</v>
      </c>
      <c r="K4557" s="3" t="s">
        <v>23</v>
      </c>
    </row>
    <row r="4558" spans="1:11" ht="42" customHeight="1">
      <c r="A4558" s="2" t="s">
        <v>11796</v>
      </c>
      <c r="B4558" s="2" t="s">
        <v>11797</v>
      </c>
      <c r="C4558" s="2" t="s">
        <v>26</v>
      </c>
      <c r="D4558" s="2" t="s">
        <v>27</v>
      </c>
      <c r="E4558" s="4">
        <v>-32044</v>
      </c>
      <c r="F4558" s="3" t="s">
        <v>1031</v>
      </c>
      <c r="G4558" s="3" t="s">
        <v>1873</v>
      </c>
      <c r="H4558" s="2" t="s">
        <v>21</v>
      </c>
      <c r="I4558" s="2" t="s">
        <v>11798</v>
      </c>
      <c r="J4558" s="3" t="str">
        <f>HYPERLINK("https://www.boe.es/gazeta/dias/1812/04/06/pdfs/GMD-1812-97.pdf#page=4","Abrir facsímil")</f>
        <v>Abrir facsímil</v>
      </c>
      <c r="K4558" s="3" t="s">
        <v>23</v>
      </c>
    </row>
    <row r="4559" spans="1:11" ht="42" customHeight="1">
      <c r="A4559" s="2" t="s">
        <v>11799</v>
      </c>
      <c r="B4559" s="2" t="s">
        <v>11799</v>
      </c>
      <c r="C4559" s="2" t="s">
        <v>17</v>
      </c>
      <c r="D4559" s="2" t="s">
        <v>194</v>
      </c>
      <c r="E4559" s="4">
        <v>-31889</v>
      </c>
      <c r="F4559" s="3" t="s">
        <v>699</v>
      </c>
      <c r="G4559" s="3" t="s">
        <v>7835</v>
      </c>
      <c r="H4559" s="2" t="s">
        <v>21</v>
      </c>
      <c r="I4559" s="2" t="s">
        <v>11800</v>
      </c>
      <c r="J4559" s="3" t="str">
        <f>HYPERLINK("https://www.boe.es/gazeta/dias/1812/09/08/pdfs/GMR-1812-11.pdf#page=4","Abrir facsímil")</f>
        <v>Abrir facsímil</v>
      </c>
      <c r="K4559" s="3" t="s">
        <v>23</v>
      </c>
    </row>
    <row r="4560" spans="1:11" ht="42" customHeight="1">
      <c r="A4560" s="2" t="s">
        <v>11801</v>
      </c>
      <c r="B4560" s="2" t="s">
        <v>11801</v>
      </c>
      <c r="C4560" s="2" t="s">
        <v>82</v>
      </c>
      <c r="D4560" s="2" t="s">
        <v>27</v>
      </c>
      <c r="E4560" s="4">
        <v>-32097</v>
      </c>
      <c r="F4560" s="3" t="s">
        <v>4288</v>
      </c>
      <c r="G4560" s="3" t="s">
        <v>140</v>
      </c>
      <c r="H4560" s="2" t="s">
        <v>21</v>
      </c>
      <c r="I4560" s="2" t="s">
        <v>11802</v>
      </c>
      <c r="J4560" s="3" t="str">
        <f>HYPERLINK("https://www.boe.es/gazeta/dias/1812/02/13/pdfs/GMD-1812-44.pdf#page=2","Abrir facsímil")</f>
        <v>Abrir facsímil</v>
      </c>
      <c r="K4560" s="3" t="s">
        <v>23</v>
      </c>
    </row>
    <row r="4561" spans="1:11" ht="42" customHeight="1">
      <c r="A4561" s="2" t="s">
        <v>11803</v>
      </c>
      <c r="B4561" s="2" t="s">
        <v>11803</v>
      </c>
      <c r="C4561" s="2" t="s">
        <v>17</v>
      </c>
      <c r="D4561" s="2" t="s">
        <v>27</v>
      </c>
      <c r="E4561" s="4">
        <v>-31791</v>
      </c>
      <c r="F4561" s="3" t="s">
        <v>1668</v>
      </c>
      <c r="G4561" s="3" t="s">
        <v>1852</v>
      </c>
      <c r="H4561" s="2" t="s">
        <v>21</v>
      </c>
      <c r="I4561" s="2" t="s">
        <v>11804</v>
      </c>
      <c r="J4561" s="3" t="str">
        <f>HYPERLINK("https://www.boe.es/gazeta/dias/1812/12/15/pdfs/GMD-1812-238.pdf#page=2","Abrir facsímil")</f>
        <v>Abrir facsímil</v>
      </c>
      <c r="K4561" s="3" t="s">
        <v>23</v>
      </c>
    </row>
    <row r="4562" spans="1:11" ht="42" customHeight="1">
      <c r="A4562" s="2" t="s">
        <v>11805</v>
      </c>
      <c r="B4562" s="2" t="s">
        <v>11805</v>
      </c>
      <c r="C4562" s="2" t="s">
        <v>17</v>
      </c>
      <c r="D4562" s="2" t="s">
        <v>27</v>
      </c>
      <c r="E4562" s="4">
        <v>-32118</v>
      </c>
      <c r="F4562" s="3" t="s">
        <v>10707</v>
      </c>
      <c r="G4562" s="3" t="s">
        <v>6059</v>
      </c>
      <c r="H4562" s="2" t="s">
        <v>21</v>
      </c>
      <c r="I4562" s="2" t="s">
        <v>11806</v>
      </c>
      <c r="J4562" s="3" t="str">
        <f>HYPERLINK("https://www.boe.es/gazeta/dias/1812/01/23/pdfs/GMD-1812-23.pdf#page=1","Abrir facsímil")</f>
        <v>Abrir facsímil</v>
      </c>
      <c r="K4562" s="3" t="s">
        <v>23</v>
      </c>
    </row>
    <row r="4563" spans="1:11" ht="42" customHeight="1">
      <c r="A4563" s="2" t="s">
        <v>11807</v>
      </c>
      <c r="B4563" s="2" t="s">
        <v>11807</v>
      </c>
      <c r="C4563" s="2" t="s">
        <v>49</v>
      </c>
      <c r="D4563" s="2" t="s">
        <v>27</v>
      </c>
      <c r="E4563" s="4">
        <v>-32043</v>
      </c>
      <c r="F4563" s="3" t="s">
        <v>11808</v>
      </c>
      <c r="G4563" s="3" t="s">
        <v>11809</v>
      </c>
      <c r="H4563" s="2" t="s">
        <v>21</v>
      </c>
      <c r="I4563" s="2" t="s">
        <v>11810</v>
      </c>
      <c r="J4563" s="3" t="str">
        <f>HYPERLINK("https://www.boe.es/gazeta/dias/1812/04/07/pdfs/GMD-1812-98.pdf#page=1","Abrir facsímil")</f>
        <v>Abrir facsímil</v>
      </c>
      <c r="K4563" s="3" t="s">
        <v>23</v>
      </c>
    </row>
    <row r="4564" spans="1:11" ht="42" customHeight="1">
      <c r="A4564" s="2" t="s">
        <v>11811</v>
      </c>
      <c r="B4564" s="2" t="s">
        <v>11811</v>
      </c>
      <c r="C4564" s="2" t="s">
        <v>17</v>
      </c>
      <c r="D4564" s="2" t="s">
        <v>18</v>
      </c>
      <c r="E4564" s="4">
        <v>-32040</v>
      </c>
      <c r="F4564" s="3" t="s">
        <v>682</v>
      </c>
      <c r="G4564" s="3" t="s">
        <v>683</v>
      </c>
      <c r="H4564" s="2" t="s">
        <v>21</v>
      </c>
      <c r="I4564" s="2" t="s">
        <v>11812</v>
      </c>
      <c r="J4564" s="3" t="str">
        <f>HYPERLINK("https://www.boe.es/gazeta/dias/1812/04/10/pdfs/GMD-1812-101.pdf#page=1","Abrir facsímil")</f>
        <v>Abrir facsímil</v>
      </c>
      <c r="K4564" s="3" t="s">
        <v>23</v>
      </c>
    </row>
    <row r="4565" spans="1:11" ht="42" customHeight="1">
      <c r="A4565" s="2" t="s">
        <v>11813</v>
      </c>
      <c r="B4565" s="2" t="s">
        <v>11813</v>
      </c>
      <c r="C4565" s="2" t="s">
        <v>17</v>
      </c>
      <c r="D4565" s="2" t="s">
        <v>27</v>
      </c>
      <c r="E4565" s="4">
        <v>-32064</v>
      </c>
      <c r="F4565" s="3" t="s">
        <v>403</v>
      </c>
      <c r="G4565" s="3" t="s">
        <v>125</v>
      </c>
      <c r="H4565" s="2" t="s">
        <v>21</v>
      </c>
      <c r="I4565" s="2" t="s">
        <v>11814</v>
      </c>
      <c r="J4565" s="3" t="str">
        <f>HYPERLINK("https://www.boe.es/gazeta/dias/1812/03/17/pdfs/GMD-1812-77.pdf#page=1","Abrir facsímil")</f>
        <v>Abrir facsímil</v>
      </c>
      <c r="K4565" s="3" t="s">
        <v>23</v>
      </c>
    </row>
    <row r="4566" spans="1:11" ht="42" customHeight="1">
      <c r="A4566" s="2" t="s">
        <v>11815</v>
      </c>
      <c r="B4566" s="2" t="s">
        <v>11815</v>
      </c>
      <c r="C4566" s="2" t="s">
        <v>17</v>
      </c>
      <c r="D4566" s="2" t="s">
        <v>27</v>
      </c>
      <c r="E4566" s="4">
        <v>-32071</v>
      </c>
      <c r="F4566" s="3" t="s">
        <v>3601</v>
      </c>
      <c r="G4566" s="3" t="s">
        <v>493</v>
      </c>
      <c r="H4566" s="2" t="s">
        <v>21</v>
      </c>
      <c r="I4566" s="2" t="s">
        <v>11816</v>
      </c>
      <c r="J4566" s="3" t="str">
        <f>HYPERLINK("https://www.boe.es/gazeta/dias/1812/03/10/pdfs/GMD-1812-70.pdf#page=3","Abrir facsímil")</f>
        <v>Abrir facsímil</v>
      </c>
      <c r="K4566" s="3" t="s">
        <v>23</v>
      </c>
    </row>
    <row r="4567" spans="1:11" ht="42" customHeight="1">
      <c r="A4567" s="2" t="s">
        <v>11817</v>
      </c>
      <c r="B4567" s="2" t="s">
        <v>11817</v>
      </c>
      <c r="C4567" s="2" t="s">
        <v>82</v>
      </c>
      <c r="D4567" s="2" t="s">
        <v>27</v>
      </c>
      <c r="E4567" s="4">
        <v>-32000</v>
      </c>
      <c r="F4567" s="3" t="s">
        <v>878</v>
      </c>
      <c r="G4567" s="3" t="s">
        <v>514</v>
      </c>
      <c r="H4567" s="2" t="s">
        <v>21</v>
      </c>
      <c r="I4567" s="2" t="s">
        <v>11818</v>
      </c>
      <c r="J4567" s="3" t="str">
        <f>HYPERLINK("https://www.boe.es/gazeta/dias/1812/05/20/pdfs/GMD-1812-141.pdf#page=1","Abrir facsímil")</f>
        <v>Abrir facsímil</v>
      </c>
      <c r="K4567" s="3" t="s">
        <v>23</v>
      </c>
    </row>
    <row r="4568" spans="1:11" ht="42" customHeight="1">
      <c r="A4568" s="2" t="s">
        <v>11819</v>
      </c>
      <c r="B4568" s="2" t="s">
        <v>11820</v>
      </c>
      <c r="C4568" s="2" t="s">
        <v>26</v>
      </c>
      <c r="D4568" s="2" t="s">
        <v>573</v>
      </c>
      <c r="E4568" s="4">
        <v>-31900</v>
      </c>
      <c r="F4568" s="3" t="s">
        <v>276</v>
      </c>
      <c r="G4568" s="3" t="s">
        <v>277</v>
      </c>
      <c r="H4568" s="2" t="s">
        <v>21</v>
      </c>
      <c r="I4568" s="2" t="s">
        <v>11821</v>
      </c>
      <c r="J4568" s="3" t="str">
        <f>HYPERLINK("https://www.boe.es/gazeta/dias/1812/08/28/pdfs/GRE-1812-113E.pdf#page=8","Abrir facsímil")</f>
        <v>Abrir facsímil</v>
      </c>
      <c r="K4568" s="3" t="s">
        <v>23</v>
      </c>
    </row>
    <row r="4569" spans="1:11" ht="42" customHeight="1">
      <c r="A4569" s="2" t="s">
        <v>11822</v>
      </c>
      <c r="B4569" s="2" t="s">
        <v>11823</v>
      </c>
      <c r="C4569" s="2" t="s">
        <v>115</v>
      </c>
      <c r="D4569" s="2" t="s">
        <v>27</v>
      </c>
      <c r="E4569" s="4">
        <v>-32024</v>
      </c>
      <c r="F4569" s="3" t="s">
        <v>11824</v>
      </c>
      <c r="G4569" s="3" t="s">
        <v>11825</v>
      </c>
      <c r="H4569" s="2" t="s">
        <v>21</v>
      </c>
      <c r="I4569" s="2" t="s">
        <v>11826</v>
      </c>
      <c r="J4569" s="3" t="str">
        <f>HYPERLINK("https://www.boe.es/gazeta/dias/1812/04/26/pdfs/GMD-1812-117.pdf#page=1","Abrir facsímil")</f>
        <v>Abrir facsímil</v>
      </c>
      <c r="K4569" s="3" t="s">
        <v>23</v>
      </c>
    </row>
    <row r="4570" spans="1:11" ht="42" customHeight="1">
      <c r="A4570" s="2" t="s">
        <v>11827</v>
      </c>
      <c r="B4570" s="2" t="s">
        <v>11827</v>
      </c>
      <c r="C4570" s="2" t="s">
        <v>17</v>
      </c>
      <c r="D4570" s="2" t="s">
        <v>27</v>
      </c>
      <c r="E4570" s="4">
        <v>-32026</v>
      </c>
      <c r="F4570" s="3" t="s">
        <v>7845</v>
      </c>
      <c r="G4570" s="3" t="s">
        <v>6350</v>
      </c>
      <c r="H4570" s="2" t="s">
        <v>21</v>
      </c>
      <c r="I4570" s="2" t="s">
        <v>11828</v>
      </c>
      <c r="J4570" s="3" t="str">
        <f>HYPERLINK("https://www.boe.es/gazeta/dias/1812/04/24/pdfs/GMD-1812-115.pdf#page=2","Abrir facsímil")</f>
        <v>Abrir facsímil</v>
      </c>
      <c r="K4570" s="3" t="s">
        <v>23</v>
      </c>
    </row>
    <row r="4571" spans="1:11" ht="42" customHeight="1">
      <c r="A4571" s="2" t="s">
        <v>11829</v>
      </c>
      <c r="B4571" s="2" t="s">
        <v>11829</v>
      </c>
      <c r="C4571" s="2" t="s">
        <v>17</v>
      </c>
      <c r="D4571" s="2" t="s">
        <v>18</v>
      </c>
      <c r="E4571" s="4">
        <v>-31859</v>
      </c>
      <c r="F4571" s="3" t="s">
        <v>3024</v>
      </c>
      <c r="G4571" s="3" t="s">
        <v>172</v>
      </c>
      <c r="H4571" s="2" t="s">
        <v>21</v>
      </c>
      <c r="I4571" s="2" t="s">
        <v>11830</v>
      </c>
      <c r="J4571" s="3" t="str">
        <f>HYPERLINK("https://www.boe.es/gazeta/dias/1812/10/08/pdfs/GRE-1812-136.pdf#page=4","Abrir facsímil")</f>
        <v>Abrir facsímil</v>
      </c>
      <c r="K4571" s="3" t="s">
        <v>23</v>
      </c>
    </row>
    <row r="4572" spans="1:11" ht="42" customHeight="1">
      <c r="A4572" s="2" t="s">
        <v>11831</v>
      </c>
      <c r="B4572" s="2" t="s">
        <v>11831</v>
      </c>
      <c r="C4572" s="2" t="s">
        <v>17</v>
      </c>
      <c r="D4572" s="2" t="s">
        <v>18</v>
      </c>
      <c r="E4572" s="4">
        <v>-31868</v>
      </c>
      <c r="F4572" s="3" t="s">
        <v>1833</v>
      </c>
      <c r="G4572" s="3" t="s">
        <v>2280</v>
      </c>
      <c r="H4572" s="2" t="s">
        <v>21</v>
      </c>
      <c r="I4572" s="2" t="s">
        <v>11832</v>
      </c>
      <c r="J4572" s="3" t="str">
        <f>HYPERLINK("https://www.boe.es/gazeta/dias/1812/09/29/pdfs/GMR-1812-20.pdf#page=1","Abrir facsímil")</f>
        <v>Abrir facsímil</v>
      </c>
      <c r="K4572" s="3" t="s">
        <v>23</v>
      </c>
    </row>
    <row r="4573" spans="1:11" ht="42" customHeight="1">
      <c r="A4573" s="2" t="s">
        <v>11833</v>
      </c>
      <c r="B4573" s="2" t="s">
        <v>11833</v>
      </c>
      <c r="C4573" s="2" t="s">
        <v>17</v>
      </c>
      <c r="D4573" s="2" t="s">
        <v>18</v>
      </c>
      <c r="E4573" s="4">
        <v>-31892</v>
      </c>
      <c r="F4573" s="3" t="s">
        <v>1825</v>
      </c>
      <c r="G4573" s="3" t="s">
        <v>217</v>
      </c>
      <c r="H4573" s="2" t="s">
        <v>21</v>
      </c>
      <c r="I4573" s="2" t="s">
        <v>11834</v>
      </c>
      <c r="J4573" s="3" t="str">
        <f>HYPERLINK("https://www.boe.es/gazeta/dias/1812/09/05/pdfs/GMR-1812-10.pdf#page=7","Abrir facsímil")</f>
        <v>Abrir facsímil</v>
      </c>
      <c r="K4573" s="3" t="s">
        <v>23</v>
      </c>
    </row>
    <row r="4574" spans="1:11" ht="42" customHeight="1">
      <c r="A4574" s="2" t="s">
        <v>11835</v>
      </c>
      <c r="B4574" s="2" t="s">
        <v>11835</v>
      </c>
      <c r="C4574" s="2" t="s">
        <v>17</v>
      </c>
      <c r="D4574" s="2" t="s">
        <v>27</v>
      </c>
      <c r="E4574" s="4">
        <v>-31831</v>
      </c>
      <c r="F4574" s="3" t="s">
        <v>1963</v>
      </c>
      <c r="G4574" s="3" t="s">
        <v>9409</v>
      </c>
      <c r="H4574" s="2" t="s">
        <v>21</v>
      </c>
      <c r="I4574" s="2" t="s">
        <v>11836</v>
      </c>
      <c r="J4574" s="3" t="str">
        <f>HYPERLINK("https://www.boe.es/gazeta/dias/1812/11/05/pdfs/GRE-1812-148.pdf#page=3","Abrir facsímil")</f>
        <v>Abrir facsímil</v>
      </c>
      <c r="K4574" s="3" t="s">
        <v>23</v>
      </c>
    </row>
    <row r="4575" spans="1:11" ht="42" customHeight="1">
      <c r="A4575" s="2" t="s">
        <v>11837</v>
      </c>
      <c r="B4575" s="2" t="s">
        <v>11837</v>
      </c>
      <c r="C4575" s="2" t="s">
        <v>49</v>
      </c>
      <c r="D4575" s="2" t="s">
        <v>27</v>
      </c>
      <c r="E4575" s="4">
        <v>-31791</v>
      </c>
      <c r="F4575" s="3" t="s">
        <v>905</v>
      </c>
      <c r="G4575" s="3" t="s">
        <v>2551</v>
      </c>
      <c r="H4575" s="2" t="s">
        <v>21</v>
      </c>
      <c r="I4575" s="2" t="s">
        <v>11838</v>
      </c>
      <c r="J4575" s="3" t="str">
        <f>HYPERLINK("https://www.boe.es/gazeta/dias/1812/12/15/pdfs/GRE-1812-165.pdf#page=3","Abrir facsímil")</f>
        <v>Abrir facsímil</v>
      </c>
      <c r="K4575" s="3" t="s">
        <v>23</v>
      </c>
    </row>
    <row r="4576" spans="1:11" ht="42" customHeight="1">
      <c r="A4576" s="2" t="s">
        <v>11839</v>
      </c>
      <c r="B4576" s="2" t="s">
        <v>11839</v>
      </c>
      <c r="C4576" s="2" t="s">
        <v>115</v>
      </c>
      <c r="D4576" s="2" t="s">
        <v>27</v>
      </c>
      <c r="E4576" s="4">
        <v>-31977</v>
      </c>
      <c r="F4576" s="3" t="s">
        <v>1566</v>
      </c>
      <c r="G4576" s="3" t="s">
        <v>1567</v>
      </c>
      <c r="H4576" s="2" t="s">
        <v>21</v>
      </c>
      <c r="I4576" s="2" t="s">
        <v>11840</v>
      </c>
      <c r="J4576" s="3" t="str">
        <f>HYPERLINK("https://www.boe.es/gazeta/dias/1812/06/12/pdfs/GMD-1812-164.pdf#page=1","Abrir facsímil")</f>
        <v>Abrir facsímil</v>
      </c>
      <c r="K4576" s="3" t="s">
        <v>23</v>
      </c>
    </row>
    <row r="4577" spans="1:11" ht="42" customHeight="1">
      <c r="A4577" s="2" t="s">
        <v>11841</v>
      </c>
      <c r="B4577" s="2" t="s">
        <v>11841</v>
      </c>
      <c r="C4577" s="2" t="s">
        <v>67</v>
      </c>
      <c r="D4577" s="2" t="s">
        <v>27</v>
      </c>
      <c r="E4577" s="4">
        <v>-31797</v>
      </c>
      <c r="F4577" s="3" t="s">
        <v>738</v>
      </c>
      <c r="G4577" s="3" t="s">
        <v>739</v>
      </c>
      <c r="H4577" s="2" t="s">
        <v>21</v>
      </c>
      <c r="I4577" s="2" t="s">
        <v>11842</v>
      </c>
      <c r="J4577" s="3" t="str">
        <f>HYPERLINK("https://www.boe.es/gazeta/dias/1812/12/09/pdfs/GMD-1812-232.pdf#page=2","Abrir facsímil")</f>
        <v>Abrir facsímil</v>
      </c>
      <c r="K4577" s="3" t="s">
        <v>23</v>
      </c>
    </row>
    <row r="4578" spans="1:11" ht="42" customHeight="1">
      <c r="A4578" s="2" t="s">
        <v>11843</v>
      </c>
      <c r="B4578" s="2" t="s">
        <v>11843</v>
      </c>
      <c r="C4578" s="2" t="s">
        <v>17</v>
      </c>
      <c r="D4578" s="2" t="s">
        <v>18</v>
      </c>
      <c r="E4578" s="4">
        <v>-31795</v>
      </c>
      <c r="F4578" s="3" t="s">
        <v>2344</v>
      </c>
      <c r="G4578" s="3" t="s">
        <v>11844</v>
      </c>
      <c r="H4578" s="2" t="s">
        <v>21</v>
      </c>
      <c r="I4578" s="2" t="s">
        <v>11845</v>
      </c>
      <c r="J4578" s="3" t="str">
        <f>HYPERLINK("https://www.boe.es/gazeta/dias/1812/12/11/pdfs/GMD-1812-234.pdf#page=3","Abrir facsímil")</f>
        <v>Abrir facsímil</v>
      </c>
      <c r="K4578" s="3" t="s">
        <v>23</v>
      </c>
    </row>
    <row r="4579" spans="1:11" ht="42" customHeight="1">
      <c r="A4579" s="2" t="s">
        <v>11846</v>
      </c>
      <c r="B4579" s="2" t="s">
        <v>11846</v>
      </c>
      <c r="C4579" s="2" t="s">
        <v>26</v>
      </c>
      <c r="D4579" s="2" t="s">
        <v>194</v>
      </c>
      <c r="E4579" s="4">
        <v>-31831</v>
      </c>
      <c r="F4579" s="3" t="s">
        <v>11847</v>
      </c>
      <c r="G4579" s="3" t="s">
        <v>20</v>
      </c>
      <c r="H4579" s="2" t="s">
        <v>21</v>
      </c>
      <c r="I4579" s="2" t="s">
        <v>11848</v>
      </c>
      <c r="J4579" s="3" t="str">
        <f>HYPERLINK("https://www.boe.es/gazeta/dias/1812/11/05/pdfs/GMD-1812-225.pdf#page=2","Abrir facsímil")</f>
        <v>Abrir facsímil</v>
      </c>
      <c r="K4579" s="3" t="s">
        <v>23</v>
      </c>
    </row>
    <row r="4580" spans="1:11" ht="42" customHeight="1">
      <c r="A4580" s="2" t="s">
        <v>11849</v>
      </c>
      <c r="B4580" s="2" t="s">
        <v>11849</v>
      </c>
      <c r="C4580" s="2" t="s">
        <v>17</v>
      </c>
      <c r="D4580" s="2" t="s">
        <v>18</v>
      </c>
      <c r="E4580" s="4">
        <v>-31791</v>
      </c>
      <c r="F4580" s="3" t="s">
        <v>1668</v>
      </c>
      <c r="G4580" s="3" t="s">
        <v>1669</v>
      </c>
      <c r="H4580" s="2" t="s">
        <v>21</v>
      </c>
      <c r="I4580" s="2" t="s">
        <v>11850</v>
      </c>
      <c r="J4580" s="3" t="str">
        <f>HYPERLINK("https://www.boe.es/gazeta/dias/1812/12/15/pdfs/GMD-1812-238.pdf#page=3","Abrir facsímil")</f>
        <v>Abrir facsímil</v>
      </c>
      <c r="K4580" s="3" t="s">
        <v>23</v>
      </c>
    </row>
    <row r="4581" spans="1:11" ht="42" customHeight="1">
      <c r="A4581" s="2" t="s">
        <v>11851</v>
      </c>
      <c r="B4581" s="2" t="s">
        <v>11852</v>
      </c>
      <c r="C4581" s="2" t="s">
        <v>67</v>
      </c>
      <c r="D4581" s="2" t="s">
        <v>275</v>
      </c>
      <c r="E4581" s="4">
        <v>-32055</v>
      </c>
      <c r="F4581" s="3" t="s">
        <v>1271</v>
      </c>
      <c r="G4581" s="3" t="s">
        <v>130</v>
      </c>
      <c r="H4581" s="2" t="s">
        <v>21</v>
      </c>
      <c r="I4581" s="2" t="s">
        <v>11853</v>
      </c>
      <c r="J4581" s="3" t="str">
        <f>HYPERLINK("https://www.boe.es/gazeta/dias/1812/03/26/pdfs/GMD-1812-86.pdf#page=4","Abrir facsímil")</f>
        <v>Abrir facsímil</v>
      </c>
      <c r="K4581" s="3" t="s">
        <v>23</v>
      </c>
    </row>
    <row r="4582" spans="1:11" ht="42" customHeight="1">
      <c r="A4582" s="2" t="s">
        <v>11854</v>
      </c>
      <c r="B4582" s="2" t="s">
        <v>11854</v>
      </c>
      <c r="C4582" s="2" t="s">
        <v>115</v>
      </c>
      <c r="D4582" s="2" t="s">
        <v>27</v>
      </c>
      <c r="E4582" s="4">
        <v>-32007</v>
      </c>
      <c r="F4582" s="3" t="s">
        <v>11855</v>
      </c>
      <c r="G4582" s="3" t="s">
        <v>20</v>
      </c>
      <c r="H4582" s="2" t="s">
        <v>21</v>
      </c>
      <c r="I4582" s="2" t="s">
        <v>11856</v>
      </c>
      <c r="J4582" s="3" t="str">
        <f>HYPERLINK("https://www.boe.es/gazeta/dias/1812/05/13/pdfs/GMD-1812-134.pdf#page=1","Abrir facsímil")</f>
        <v>Abrir facsímil</v>
      </c>
      <c r="K4582" s="3" t="s">
        <v>23</v>
      </c>
    </row>
    <row r="4583" spans="1:11" ht="42" customHeight="1">
      <c r="A4583" s="2" t="s">
        <v>11857</v>
      </c>
      <c r="B4583" s="2" t="s">
        <v>11857</v>
      </c>
      <c r="C4583" s="2" t="s">
        <v>17</v>
      </c>
      <c r="D4583" s="2" t="s">
        <v>27</v>
      </c>
      <c r="E4583" s="4">
        <v>-32053</v>
      </c>
      <c r="F4583" s="3" t="s">
        <v>910</v>
      </c>
      <c r="G4583" s="3" t="s">
        <v>671</v>
      </c>
      <c r="H4583" s="2" t="s">
        <v>21</v>
      </c>
      <c r="I4583" s="2" t="s">
        <v>11858</v>
      </c>
      <c r="J4583" s="3" t="str">
        <f>HYPERLINK("https://www.boe.es/gazeta/dias/1812/03/28/pdfs/GRE-1812-39.pdf#page=5","Abrir facsímil")</f>
        <v>Abrir facsímil</v>
      </c>
      <c r="K4583" s="3" t="s">
        <v>23</v>
      </c>
    </row>
    <row r="4584" spans="1:11" ht="42" customHeight="1">
      <c r="A4584" s="2" t="s">
        <v>11857</v>
      </c>
      <c r="B4584" s="2" t="s">
        <v>11857</v>
      </c>
      <c r="C4584" s="2" t="s">
        <v>26</v>
      </c>
      <c r="D4584" s="2" t="s">
        <v>275</v>
      </c>
      <c r="E4584" s="4">
        <v>-32013</v>
      </c>
      <c r="F4584" s="3" t="s">
        <v>849</v>
      </c>
      <c r="G4584" s="3" t="s">
        <v>1154</v>
      </c>
      <c r="H4584" s="2" t="s">
        <v>21</v>
      </c>
      <c r="I4584" s="2" t="s">
        <v>11859</v>
      </c>
      <c r="J4584" s="3" t="str">
        <f>HYPERLINK("https://www.boe.es/gazeta/dias/1812/05/07/pdfs/GRE-1812-57.pdf#page=6","Abrir facsímil")</f>
        <v>Abrir facsímil</v>
      </c>
      <c r="K4584" s="3" t="s">
        <v>23</v>
      </c>
    </row>
    <row r="4585" spans="1:11" ht="42" customHeight="1">
      <c r="A4585" s="2" t="s">
        <v>11860</v>
      </c>
      <c r="B4585" s="2" t="s">
        <v>11860</v>
      </c>
      <c r="C4585" s="2" t="s">
        <v>17</v>
      </c>
      <c r="D4585" s="2" t="s">
        <v>194</v>
      </c>
      <c r="E4585" s="4">
        <v>-31906</v>
      </c>
      <c r="F4585" s="3" t="s">
        <v>1815</v>
      </c>
      <c r="G4585" s="3" t="s">
        <v>196</v>
      </c>
      <c r="H4585" s="2" t="s">
        <v>21</v>
      </c>
      <c r="I4585" s="2" t="s">
        <v>11861</v>
      </c>
      <c r="J4585" s="3" t="str">
        <f>HYPERLINK("https://www.boe.es/gazeta/dias/1812/08/22/pdfs/GMR-1812-3.pdf#page=1","Abrir facsímil")</f>
        <v>Abrir facsímil</v>
      </c>
      <c r="K4585" s="3" t="s">
        <v>23</v>
      </c>
    </row>
    <row r="4586" spans="1:11" ht="42" customHeight="1">
      <c r="A4586" s="2" t="s">
        <v>11862</v>
      </c>
      <c r="B4586" s="2" t="s">
        <v>11862</v>
      </c>
      <c r="C4586" s="2" t="s">
        <v>17</v>
      </c>
      <c r="D4586" s="2" t="s">
        <v>27</v>
      </c>
      <c r="E4586" s="4">
        <v>-31970</v>
      </c>
      <c r="F4586" s="3" t="s">
        <v>10445</v>
      </c>
      <c r="G4586" s="3" t="s">
        <v>45</v>
      </c>
      <c r="H4586" s="2" t="s">
        <v>21</v>
      </c>
      <c r="I4586" s="2" t="s">
        <v>11863</v>
      </c>
      <c r="J4586" s="3" t="str">
        <f>HYPERLINK("https://www.boe.es/gazeta/dias/1812/06/19/pdfs/GMD-1812-171.pdf#page=3","Abrir facsímil")</f>
        <v>Abrir facsímil</v>
      </c>
      <c r="K4586" s="3" t="s">
        <v>23</v>
      </c>
    </row>
    <row r="4587" spans="1:11" ht="42" customHeight="1">
      <c r="A4587" s="2" t="s">
        <v>11864</v>
      </c>
      <c r="B4587" s="2" t="s">
        <v>11864</v>
      </c>
      <c r="C4587" s="2" t="s">
        <v>26</v>
      </c>
      <c r="D4587" s="2" t="s">
        <v>27</v>
      </c>
      <c r="E4587" s="4">
        <v>-31780</v>
      </c>
      <c r="F4587" s="3" t="s">
        <v>3317</v>
      </c>
      <c r="G4587" s="3" t="s">
        <v>11490</v>
      </c>
      <c r="H4587" s="2" t="s">
        <v>21</v>
      </c>
      <c r="I4587" s="2" t="s">
        <v>11865</v>
      </c>
      <c r="J4587" s="3" t="str">
        <f>HYPERLINK("https://www.boe.es/gazeta/dias/1812/12/26/pdfs/GRE-1812-170.pdf#page=2","Abrir facsímil")</f>
        <v>Abrir facsímil</v>
      </c>
      <c r="K4587" s="3" t="s">
        <v>23</v>
      </c>
    </row>
    <row r="4588" spans="1:11" ht="42" customHeight="1">
      <c r="A4588" s="2" t="s">
        <v>11866</v>
      </c>
      <c r="B4588" s="2" t="s">
        <v>11866</v>
      </c>
      <c r="C4588" s="2" t="s">
        <v>115</v>
      </c>
      <c r="D4588" s="2" t="s">
        <v>27</v>
      </c>
      <c r="E4588" s="4">
        <v>-31873</v>
      </c>
      <c r="F4588" s="3" t="s">
        <v>654</v>
      </c>
      <c r="G4588" s="3" t="s">
        <v>11867</v>
      </c>
      <c r="H4588" s="2" t="s">
        <v>21</v>
      </c>
      <c r="I4588" s="2" t="s">
        <v>11868</v>
      </c>
      <c r="J4588" s="3" t="str">
        <f>HYPERLINK("https://www.boe.es/gazeta/dias/1812/09/24/pdfs/GRE-1812-130.pdf#page=3","Abrir facsímil")</f>
        <v>Abrir facsímil</v>
      </c>
      <c r="K4588" s="3" t="s">
        <v>23</v>
      </c>
    </row>
    <row r="4589" spans="1:11" ht="42" customHeight="1">
      <c r="A4589" s="2" t="s">
        <v>11869</v>
      </c>
      <c r="B4589" s="2" t="s">
        <v>11869</v>
      </c>
      <c r="C4589" s="2" t="s">
        <v>17</v>
      </c>
      <c r="D4589" s="2" t="s">
        <v>18</v>
      </c>
      <c r="E4589" s="4">
        <v>-31894</v>
      </c>
      <c r="F4589" s="3" t="s">
        <v>793</v>
      </c>
      <c r="G4589" s="3" t="s">
        <v>1822</v>
      </c>
      <c r="H4589" s="2" t="s">
        <v>21</v>
      </c>
      <c r="I4589" s="2" t="s">
        <v>11870</v>
      </c>
      <c r="J4589" s="3" t="str">
        <f>HYPERLINK("https://www.boe.es/gazeta/dias/1812/09/03/pdfs/GRE-1812-119.pdf#page=3","Abrir facsímil")</f>
        <v>Abrir facsímil</v>
      </c>
      <c r="K4589" s="3" t="s">
        <v>23</v>
      </c>
    </row>
    <row r="4590" spans="1:11" ht="42" customHeight="1">
      <c r="A4590" s="2" t="s">
        <v>11869</v>
      </c>
      <c r="B4590" s="2" t="s">
        <v>11869</v>
      </c>
      <c r="C4590" s="2" t="s">
        <v>115</v>
      </c>
      <c r="D4590" s="2" t="s">
        <v>18</v>
      </c>
      <c r="E4590" s="4">
        <v>-31866</v>
      </c>
      <c r="F4590" s="3" t="s">
        <v>2438</v>
      </c>
      <c r="G4590" s="3" t="s">
        <v>125</v>
      </c>
      <c r="H4590" s="2" t="s">
        <v>21</v>
      </c>
      <c r="I4590" s="2" t="s">
        <v>11871</v>
      </c>
      <c r="J4590" s="3" t="str">
        <f>HYPERLINK("https://www.boe.es/gazeta/dias/1812/10/01/pdfs/GMR-1812-21.pdf#page=3","Abrir facsímil")</f>
        <v>Abrir facsímil</v>
      </c>
      <c r="K4590" s="3" t="s">
        <v>23</v>
      </c>
    </row>
    <row r="4591" spans="1:11" ht="42" customHeight="1">
      <c r="A4591" s="2" t="s">
        <v>11872</v>
      </c>
      <c r="B4591" s="2" t="s">
        <v>11872</v>
      </c>
      <c r="C4591" s="2" t="s">
        <v>17</v>
      </c>
      <c r="D4591" s="2" t="s">
        <v>18</v>
      </c>
      <c r="E4591" s="4">
        <v>-31784</v>
      </c>
      <c r="F4591" s="3" t="s">
        <v>6524</v>
      </c>
      <c r="G4591" s="3" t="s">
        <v>706</v>
      </c>
      <c r="H4591" s="2" t="s">
        <v>21</v>
      </c>
      <c r="I4591" s="2" t="s">
        <v>11873</v>
      </c>
      <c r="J4591" s="3" t="str">
        <f>HYPERLINK("https://www.boe.es/gazeta/dias/1812/12/22/pdfs/GRE-1812-168.pdf#page=3","Abrir facsímil")</f>
        <v>Abrir facsímil</v>
      </c>
      <c r="K4591" s="3" t="s">
        <v>23</v>
      </c>
    </row>
    <row r="4592" spans="1:11" ht="42" customHeight="1">
      <c r="A4592" s="2" t="s">
        <v>11874</v>
      </c>
      <c r="B4592" s="2" t="s">
        <v>11874</v>
      </c>
      <c r="C4592" s="2" t="s">
        <v>17</v>
      </c>
      <c r="D4592" s="2" t="s">
        <v>18</v>
      </c>
      <c r="E4592" s="4">
        <v>-31885</v>
      </c>
      <c r="F4592" s="3" t="s">
        <v>750</v>
      </c>
      <c r="G4592" s="3" t="s">
        <v>36</v>
      </c>
      <c r="H4592" s="2" t="s">
        <v>21</v>
      </c>
      <c r="I4592" s="2" t="s">
        <v>11875</v>
      </c>
      <c r="J4592" s="3" t="str">
        <f>HYPERLINK("https://www.boe.es/gazeta/dias/1812/09/12/pdfs/GMR-1812-13.pdf#page=3","Abrir facsímil")</f>
        <v>Abrir facsímil</v>
      </c>
      <c r="K4592" s="3" t="s">
        <v>23</v>
      </c>
    </row>
    <row r="4593" spans="1:11" ht="42" customHeight="1">
      <c r="A4593" s="2" t="s">
        <v>11876</v>
      </c>
      <c r="B4593" s="2" t="s">
        <v>11876</v>
      </c>
      <c r="C4593" s="2" t="s">
        <v>17</v>
      </c>
      <c r="D4593" s="2" t="s">
        <v>27</v>
      </c>
      <c r="E4593" s="4">
        <v>-31878</v>
      </c>
      <c r="F4593" s="3" t="s">
        <v>1831</v>
      </c>
      <c r="G4593" s="3" t="s">
        <v>20</v>
      </c>
      <c r="H4593" s="2" t="s">
        <v>21</v>
      </c>
      <c r="I4593" s="2" t="s">
        <v>11877</v>
      </c>
      <c r="J4593" s="3" t="str">
        <f>HYPERLINK("https://www.boe.es/gazeta/dias/1812/09/19/pdfs/GMR-1812-16.pdf#page=2","Abrir facsímil")</f>
        <v>Abrir facsímil</v>
      </c>
      <c r="K4593" s="3" t="s">
        <v>23</v>
      </c>
    </row>
    <row r="4594" spans="1:11" ht="42" customHeight="1">
      <c r="A4594" s="2" t="s">
        <v>11878</v>
      </c>
      <c r="B4594" s="2" t="s">
        <v>11878</v>
      </c>
      <c r="C4594" s="2" t="s">
        <v>26</v>
      </c>
      <c r="D4594" s="2" t="s">
        <v>194</v>
      </c>
      <c r="E4594" s="4">
        <v>-31906</v>
      </c>
      <c r="F4594" s="3" t="s">
        <v>1815</v>
      </c>
      <c r="G4594" s="3" t="s">
        <v>136</v>
      </c>
      <c r="H4594" s="2" t="s">
        <v>21</v>
      </c>
      <c r="I4594" s="2" t="s">
        <v>11879</v>
      </c>
      <c r="J4594" s="3" t="str">
        <f>HYPERLINK("https://www.boe.es/gazeta/dias/1812/08/22/pdfs/GMR-1812-3.pdf#page=4","Abrir facsímil")</f>
        <v>Abrir facsímil</v>
      </c>
      <c r="K4594" s="3" t="s">
        <v>23</v>
      </c>
    </row>
    <row r="4595" spans="1:11" ht="42" customHeight="1">
      <c r="A4595" s="2" t="s">
        <v>11878</v>
      </c>
      <c r="B4595" s="2" t="s">
        <v>11878</v>
      </c>
      <c r="C4595" s="2" t="s">
        <v>17</v>
      </c>
      <c r="D4595" s="2" t="s">
        <v>27</v>
      </c>
      <c r="E4595" s="4">
        <v>-31903</v>
      </c>
      <c r="F4595" s="3" t="s">
        <v>626</v>
      </c>
      <c r="G4595" s="3" t="s">
        <v>20</v>
      </c>
      <c r="H4595" s="2" t="s">
        <v>21</v>
      </c>
      <c r="I4595" s="2" t="s">
        <v>11880</v>
      </c>
      <c r="J4595" s="3" t="str">
        <f>HYPERLINK("https://www.boe.es/gazeta/dias/1812/08/25/pdfs/GMR-1812-5.pdf#page=4","Abrir facsímil")</f>
        <v>Abrir facsímil</v>
      </c>
      <c r="K4595" s="3" t="s">
        <v>23</v>
      </c>
    </row>
    <row r="4596" spans="1:11" ht="42" customHeight="1">
      <c r="A4596" s="2" t="s">
        <v>11881</v>
      </c>
      <c r="B4596" s="2" t="s">
        <v>11881</v>
      </c>
      <c r="C4596" s="2" t="s">
        <v>17</v>
      </c>
      <c r="D4596" s="2" t="s">
        <v>194</v>
      </c>
      <c r="E4596" s="4">
        <v>-32038</v>
      </c>
      <c r="F4596" s="3" t="s">
        <v>195</v>
      </c>
      <c r="G4596" s="3" t="s">
        <v>11882</v>
      </c>
      <c r="H4596" s="2" t="s">
        <v>21</v>
      </c>
      <c r="I4596" s="2" t="s">
        <v>11883</v>
      </c>
      <c r="J4596" s="3" t="str">
        <f>HYPERLINK("https://www.boe.es/gazeta/dias/1812/04/12/pdfs/GMD-1812-103.pdf#page=2","Abrir facsímil")</f>
        <v>Abrir facsímil</v>
      </c>
      <c r="K4596" s="3" t="s">
        <v>23</v>
      </c>
    </row>
    <row r="4597" spans="1:11" ht="42" customHeight="1">
      <c r="A4597" s="2" t="s">
        <v>11884</v>
      </c>
      <c r="B4597" s="2" t="s">
        <v>11884</v>
      </c>
      <c r="C4597" s="2" t="s">
        <v>17</v>
      </c>
      <c r="D4597" s="2" t="s">
        <v>27</v>
      </c>
      <c r="E4597" s="4">
        <v>-31896</v>
      </c>
      <c r="F4597" s="3" t="s">
        <v>3158</v>
      </c>
      <c r="G4597" s="3" t="s">
        <v>674</v>
      </c>
      <c r="H4597" s="2" t="s">
        <v>21</v>
      </c>
      <c r="I4597" s="2" t="s">
        <v>11885</v>
      </c>
      <c r="J4597" s="3" t="str">
        <f>HYPERLINK("https://www.boe.es/gazeta/dias/1812/09/01/pdfs/GRE-1812-117.pdf#page=2","Abrir facsímil")</f>
        <v>Abrir facsímil</v>
      </c>
      <c r="K4597" s="3" t="s">
        <v>23</v>
      </c>
    </row>
    <row r="4598" spans="1:11" ht="42" customHeight="1">
      <c r="A4598" s="2" t="s">
        <v>11886</v>
      </c>
      <c r="B4598" s="2" t="s">
        <v>11886</v>
      </c>
      <c r="C4598" s="2" t="s">
        <v>17</v>
      </c>
      <c r="D4598" s="2" t="s">
        <v>27</v>
      </c>
      <c r="E4598" s="4">
        <v>-32112</v>
      </c>
      <c r="F4598" s="3" t="s">
        <v>2794</v>
      </c>
      <c r="G4598" s="3" t="s">
        <v>1650</v>
      </c>
      <c r="H4598" s="2" t="s">
        <v>21</v>
      </c>
      <c r="I4598" s="2" t="s">
        <v>11887</v>
      </c>
      <c r="J4598" s="3" t="str">
        <f>HYPERLINK("https://www.boe.es/gazeta/dias/1812/01/29/pdfs/GMD-1812-29.pdf#page=1","Abrir facsímil")</f>
        <v>Abrir facsímil</v>
      </c>
      <c r="K4598" s="3" t="s">
        <v>23</v>
      </c>
    </row>
    <row r="4599" spans="1:11" ht="42" customHeight="1">
      <c r="A4599" s="2" t="s">
        <v>11888</v>
      </c>
      <c r="B4599" s="2" t="s">
        <v>11888</v>
      </c>
      <c r="C4599" s="2" t="s">
        <v>17</v>
      </c>
      <c r="D4599" s="2" t="s">
        <v>27</v>
      </c>
      <c r="E4599" s="4">
        <v>-32138</v>
      </c>
      <c r="F4599" s="3" t="s">
        <v>2714</v>
      </c>
      <c r="G4599" s="3" t="s">
        <v>1907</v>
      </c>
      <c r="H4599" s="2" t="s">
        <v>21</v>
      </c>
      <c r="I4599" s="2" t="s">
        <v>11889</v>
      </c>
      <c r="J4599" s="3" t="str">
        <f>HYPERLINK("https://www.boe.es/gazeta/dias/1812/01/03/pdfs/GMD-1812-3.pdf#page=2","Abrir facsímil")</f>
        <v>Abrir facsímil</v>
      </c>
      <c r="K4599" s="3" t="s">
        <v>23</v>
      </c>
    </row>
    <row r="4600" spans="1:11" ht="42" customHeight="1">
      <c r="A4600" s="2" t="s">
        <v>11890</v>
      </c>
      <c r="B4600" s="2" t="s">
        <v>11890</v>
      </c>
      <c r="C4600" s="2" t="s">
        <v>49</v>
      </c>
      <c r="D4600" s="2" t="s">
        <v>27</v>
      </c>
      <c r="E4600" s="4">
        <v>-32112</v>
      </c>
      <c r="F4600" s="3" t="s">
        <v>2794</v>
      </c>
      <c r="G4600" s="3" t="s">
        <v>1650</v>
      </c>
      <c r="H4600" s="2" t="s">
        <v>21</v>
      </c>
      <c r="I4600" s="2" t="s">
        <v>11891</v>
      </c>
      <c r="J4600" s="3" t="str">
        <f>HYPERLINK("https://www.boe.es/gazeta/dias/1812/01/29/pdfs/GMD-1812-29.pdf#page=1","Abrir facsímil")</f>
        <v>Abrir facsímil</v>
      </c>
      <c r="K4600" s="3" t="s">
        <v>23</v>
      </c>
    </row>
    <row r="4601" spans="1:11" ht="42" customHeight="1">
      <c r="A4601" s="2" t="s">
        <v>11892</v>
      </c>
      <c r="B4601" s="2" t="s">
        <v>11892</v>
      </c>
      <c r="C4601" s="2" t="s">
        <v>49</v>
      </c>
      <c r="D4601" s="2" t="s">
        <v>27</v>
      </c>
      <c r="E4601" s="4">
        <v>-31934</v>
      </c>
      <c r="F4601" s="3" t="s">
        <v>509</v>
      </c>
      <c r="G4601" s="3" t="s">
        <v>696</v>
      </c>
      <c r="H4601" s="2" t="s">
        <v>21</v>
      </c>
      <c r="I4601" s="2" t="s">
        <v>11893</v>
      </c>
      <c r="J4601" s="3" t="str">
        <f>HYPERLINK("https://www.boe.es/gazeta/dias/1812/07/25/pdfs/GRE-1812-93.pdf#page=2","Abrir facsímil")</f>
        <v>Abrir facsímil</v>
      </c>
      <c r="K4601" s="3" t="s">
        <v>23</v>
      </c>
    </row>
    <row r="4602" spans="1:11" ht="42" customHeight="1">
      <c r="A4602" s="2" t="s">
        <v>11894</v>
      </c>
      <c r="B4602" s="2" t="s">
        <v>11894</v>
      </c>
      <c r="C4602" s="2" t="s">
        <v>17</v>
      </c>
      <c r="D4602" s="2" t="s">
        <v>18</v>
      </c>
      <c r="E4602" s="4">
        <v>-32074</v>
      </c>
      <c r="F4602" s="3" t="s">
        <v>816</v>
      </c>
      <c r="G4602" s="3" t="s">
        <v>217</v>
      </c>
      <c r="H4602" s="2" t="s">
        <v>21</v>
      </c>
      <c r="I4602" s="2" t="s">
        <v>11895</v>
      </c>
      <c r="J4602" s="3" t="str">
        <f>HYPERLINK("https://www.boe.es/gazeta/dias/1812/03/07/pdfs/GRE-1812-30.pdf#page=2","Abrir facsímil")</f>
        <v>Abrir facsímil</v>
      </c>
      <c r="K4602" s="3" t="s">
        <v>23</v>
      </c>
    </row>
    <row r="4603" spans="1:11" ht="42" customHeight="1">
      <c r="A4603" s="2" t="s">
        <v>11894</v>
      </c>
      <c r="B4603" s="2" t="s">
        <v>11894</v>
      </c>
      <c r="C4603" s="2" t="s">
        <v>49</v>
      </c>
      <c r="D4603" s="2" t="s">
        <v>18</v>
      </c>
      <c r="E4603" s="4">
        <v>-31847</v>
      </c>
      <c r="F4603" s="3" t="s">
        <v>4133</v>
      </c>
      <c r="G4603" s="3" t="s">
        <v>7110</v>
      </c>
      <c r="H4603" s="2" t="s">
        <v>21</v>
      </c>
      <c r="I4603" s="2" t="s">
        <v>11896</v>
      </c>
      <c r="J4603" s="3" t="str">
        <f>HYPERLINK("https://www.boe.es/gazeta/dias/1812/10/20/pdfs/GMR-1812-29.pdf#page=1","Abrir facsímil")</f>
        <v>Abrir facsímil</v>
      </c>
      <c r="K4603" s="3" t="s">
        <v>23</v>
      </c>
    </row>
    <row r="4604" spans="1:11" ht="42" customHeight="1">
      <c r="A4604" s="2" t="s">
        <v>11894</v>
      </c>
      <c r="B4604" s="2" t="s">
        <v>11894</v>
      </c>
      <c r="C4604" s="2" t="s">
        <v>17</v>
      </c>
      <c r="D4604" s="2" t="s">
        <v>27</v>
      </c>
      <c r="E4604" s="4">
        <v>-31819</v>
      </c>
      <c r="F4604" s="3" t="s">
        <v>1856</v>
      </c>
      <c r="G4604" s="3" t="s">
        <v>45</v>
      </c>
      <c r="H4604" s="2" t="s">
        <v>21</v>
      </c>
      <c r="I4604" s="2" t="s">
        <v>11897</v>
      </c>
      <c r="J4604" s="3" t="str">
        <f>HYPERLINK("https://www.boe.es/gazeta/dias/1812/11/17/pdfs/GMR-1812-35.pdf#page=1","Abrir facsímil")</f>
        <v>Abrir facsímil</v>
      </c>
      <c r="K4604" s="3" t="s">
        <v>23</v>
      </c>
    </row>
    <row r="4605" spans="1:11" ht="42" customHeight="1">
      <c r="A4605" s="2" t="s">
        <v>11894</v>
      </c>
      <c r="B4605" s="2" t="s">
        <v>11894</v>
      </c>
      <c r="C4605" s="2" t="s">
        <v>17</v>
      </c>
      <c r="D4605" s="2" t="s">
        <v>18</v>
      </c>
      <c r="E4605" s="4">
        <v>-31819</v>
      </c>
      <c r="F4605" s="3" t="s">
        <v>1856</v>
      </c>
      <c r="G4605" s="3" t="s">
        <v>20</v>
      </c>
      <c r="H4605" s="2" t="s">
        <v>21</v>
      </c>
      <c r="I4605" s="2" t="s">
        <v>11898</v>
      </c>
      <c r="J4605" s="3" t="str">
        <f>HYPERLINK("https://www.boe.es/gazeta/dias/1812/11/17/pdfs/GMR-1812-35.pdf#page=2","Abrir facsímil")</f>
        <v>Abrir facsímil</v>
      </c>
      <c r="K4605" s="3" t="s">
        <v>23</v>
      </c>
    </row>
    <row r="4606" spans="1:11" ht="42" customHeight="1">
      <c r="A4606" s="2" t="s">
        <v>11899</v>
      </c>
      <c r="B4606" s="2" t="s">
        <v>11899</v>
      </c>
      <c r="C4606" s="2" t="s">
        <v>17</v>
      </c>
      <c r="D4606" s="2" t="s">
        <v>27</v>
      </c>
      <c r="E4606" s="4">
        <v>-32131</v>
      </c>
      <c r="F4606" s="3" t="s">
        <v>11900</v>
      </c>
      <c r="G4606" s="3" t="s">
        <v>706</v>
      </c>
      <c r="H4606" s="2" t="s">
        <v>21</v>
      </c>
      <c r="I4606" s="2" t="s">
        <v>11901</v>
      </c>
      <c r="J4606" s="3" t="str">
        <f>HYPERLINK("https://www.boe.es/gazeta/dias/1812/01/10/pdfs/GMD-1812-10.pdf#page=1","Abrir facsímil")</f>
        <v>Abrir facsímil</v>
      </c>
      <c r="K4606" s="3" t="s">
        <v>23</v>
      </c>
    </row>
    <row r="4607" spans="1:11" ht="42" customHeight="1">
      <c r="A4607" s="2" t="s">
        <v>11899</v>
      </c>
      <c r="B4607" s="2" t="s">
        <v>11899</v>
      </c>
      <c r="C4607" s="2" t="s">
        <v>17</v>
      </c>
      <c r="D4607" s="2" t="s">
        <v>18</v>
      </c>
      <c r="E4607" s="4">
        <v>-32125</v>
      </c>
      <c r="F4607" s="3" t="s">
        <v>7016</v>
      </c>
      <c r="G4607" s="3" t="s">
        <v>404</v>
      </c>
      <c r="H4607" s="2" t="s">
        <v>21</v>
      </c>
      <c r="I4607" s="2" t="s">
        <v>11902</v>
      </c>
      <c r="J4607" s="3" t="str">
        <f>HYPERLINK("https://www.boe.es/gazeta/dias/1812/01/16/pdfs/GMD-1812-16.pdf#page=1","Abrir facsímil")</f>
        <v>Abrir facsímil</v>
      </c>
      <c r="K4607" s="3" t="s">
        <v>23</v>
      </c>
    </row>
    <row r="4608" spans="1:11" ht="42" customHeight="1">
      <c r="A4608" s="2" t="s">
        <v>11899</v>
      </c>
      <c r="B4608" s="2" t="s">
        <v>11899</v>
      </c>
      <c r="C4608" s="2" t="s">
        <v>17</v>
      </c>
      <c r="D4608" s="2" t="s">
        <v>194</v>
      </c>
      <c r="E4608" s="4">
        <v>-32119</v>
      </c>
      <c r="F4608" s="3" t="s">
        <v>11903</v>
      </c>
      <c r="G4608" s="3" t="s">
        <v>2313</v>
      </c>
      <c r="H4608" s="2" t="s">
        <v>21</v>
      </c>
      <c r="I4608" s="2" t="s">
        <v>11904</v>
      </c>
      <c r="J4608" s="3" t="str">
        <f>HYPERLINK("https://www.boe.es/gazeta/dias/1812/01/22/pdfs/GMD-1812-22.pdf#page=1","Abrir facsímil")</f>
        <v>Abrir facsímil</v>
      </c>
      <c r="K4608" s="3" t="s">
        <v>23</v>
      </c>
    </row>
    <row r="4609" spans="1:11" ht="42" customHeight="1">
      <c r="A4609" s="2" t="s">
        <v>11899</v>
      </c>
      <c r="B4609" s="2" t="s">
        <v>11899</v>
      </c>
      <c r="C4609" s="2" t="s">
        <v>17</v>
      </c>
      <c r="D4609" s="2" t="s">
        <v>194</v>
      </c>
      <c r="E4609" s="4">
        <v>-32119</v>
      </c>
      <c r="F4609" s="3" t="s">
        <v>11903</v>
      </c>
      <c r="G4609" s="3" t="s">
        <v>404</v>
      </c>
      <c r="H4609" s="2" t="s">
        <v>21</v>
      </c>
      <c r="I4609" s="2" t="s">
        <v>11905</v>
      </c>
      <c r="J4609" s="3" t="str">
        <f>HYPERLINK("https://www.boe.es/gazeta/dias/1812/01/22/pdfs/GMD-1812-22.pdf#page=2","Abrir facsímil")</f>
        <v>Abrir facsímil</v>
      </c>
      <c r="K4609" s="3" t="s">
        <v>23</v>
      </c>
    </row>
    <row r="4610" spans="1:11" ht="42" customHeight="1">
      <c r="A4610" s="2" t="s">
        <v>11899</v>
      </c>
      <c r="B4610" s="2" t="s">
        <v>11899</v>
      </c>
      <c r="C4610" s="2" t="s">
        <v>17</v>
      </c>
      <c r="D4610" s="2" t="s">
        <v>27</v>
      </c>
      <c r="E4610" s="4">
        <v>-32026</v>
      </c>
      <c r="F4610" s="3" t="s">
        <v>7845</v>
      </c>
      <c r="G4610" s="3" t="s">
        <v>6350</v>
      </c>
      <c r="H4610" s="2" t="s">
        <v>21</v>
      </c>
      <c r="I4610" s="2" t="s">
        <v>11906</v>
      </c>
      <c r="J4610" s="3" t="str">
        <f>HYPERLINK("https://www.boe.es/gazeta/dias/1812/04/24/pdfs/GMD-1812-115.pdf#page=2","Abrir facsímil")</f>
        <v>Abrir facsímil</v>
      </c>
      <c r="K4610" s="3" t="s">
        <v>23</v>
      </c>
    </row>
    <row r="4611" spans="1:11" ht="42" customHeight="1">
      <c r="A4611" s="2" t="s">
        <v>11899</v>
      </c>
      <c r="B4611" s="2" t="s">
        <v>11899</v>
      </c>
      <c r="C4611" s="2" t="s">
        <v>17</v>
      </c>
      <c r="D4611" s="2" t="s">
        <v>27</v>
      </c>
      <c r="E4611" s="4">
        <v>-32026</v>
      </c>
      <c r="F4611" s="3" t="s">
        <v>7845</v>
      </c>
      <c r="G4611" s="3" t="s">
        <v>514</v>
      </c>
      <c r="H4611" s="2" t="s">
        <v>21</v>
      </c>
      <c r="I4611" s="2" t="s">
        <v>11907</v>
      </c>
      <c r="J4611" s="3" t="str">
        <f>HYPERLINK("https://www.boe.es/gazeta/dias/1812/04/24/pdfs/GMD-1812-115.pdf#page=3","Abrir facsímil")</f>
        <v>Abrir facsímil</v>
      </c>
      <c r="K4611" s="3" t="s">
        <v>23</v>
      </c>
    </row>
    <row r="4612" spans="1:11" ht="42" customHeight="1">
      <c r="A4612" s="2" t="s">
        <v>11899</v>
      </c>
      <c r="B4612" s="2" t="s">
        <v>11899</v>
      </c>
      <c r="C4612" s="2" t="s">
        <v>49</v>
      </c>
      <c r="D4612" s="2" t="s">
        <v>18</v>
      </c>
      <c r="E4612" s="4">
        <v>-31967</v>
      </c>
      <c r="F4612" s="3" t="s">
        <v>1635</v>
      </c>
      <c r="G4612" s="3" t="s">
        <v>4600</v>
      </c>
      <c r="H4612" s="2" t="s">
        <v>21</v>
      </c>
      <c r="I4612" s="2" t="s">
        <v>11908</v>
      </c>
      <c r="J4612" s="3" t="str">
        <f>HYPERLINK("https://www.boe.es/gazeta/dias/1812/06/22/pdfs/GMD-1812-174.pdf#page=1","Abrir facsímil")</f>
        <v>Abrir facsímil</v>
      </c>
      <c r="K4612" s="3" t="s">
        <v>23</v>
      </c>
    </row>
    <row r="4613" spans="1:11" ht="42" customHeight="1">
      <c r="A4613" s="2" t="s">
        <v>11899</v>
      </c>
      <c r="B4613" s="2" t="s">
        <v>11899</v>
      </c>
      <c r="C4613" s="2" t="s">
        <v>17</v>
      </c>
      <c r="D4613" s="2" t="s">
        <v>18</v>
      </c>
      <c r="E4613" s="4">
        <v>-31854</v>
      </c>
      <c r="F4613" s="3" t="s">
        <v>717</v>
      </c>
      <c r="G4613" s="3" t="s">
        <v>7829</v>
      </c>
      <c r="H4613" s="2" t="s">
        <v>21</v>
      </c>
      <c r="I4613" s="2" t="s">
        <v>11909</v>
      </c>
      <c r="J4613" s="3" t="str">
        <f>HYPERLINK("https://www.boe.es/gazeta/dias/1812/10/13/pdfs/GRE-1812-138.pdf#page=4","Abrir facsímil")</f>
        <v>Abrir facsímil</v>
      </c>
      <c r="K4613" s="3" t="s">
        <v>23</v>
      </c>
    </row>
    <row r="4614" spans="1:11" ht="42" customHeight="1">
      <c r="A4614" s="2" t="s">
        <v>11899</v>
      </c>
      <c r="B4614" s="2" t="s">
        <v>11899</v>
      </c>
      <c r="C4614" s="2" t="s">
        <v>17</v>
      </c>
      <c r="D4614" s="2" t="s">
        <v>18</v>
      </c>
      <c r="E4614" s="4">
        <v>-31836</v>
      </c>
      <c r="F4614" s="3" t="s">
        <v>729</v>
      </c>
      <c r="G4614" s="3" t="s">
        <v>730</v>
      </c>
      <c r="H4614" s="2" t="s">
        <v>21</v>
      </c>
      <c r="I4614" s="2" t="s">
        <v>11910</v>
      </c>
      <c r="J4614" s="3" t="str">
        <f>HYPERLINK("https://www.boe.es/gazeta/dias/1812/10/31/pdfs/GRE-1812-146.pdf#page=1","Abrir facsímil")</f>
        <v>Abrir facsímil</v>
      </c>
      <c r="K4614" s="3" t="s">
        <v>23</v>
      </c>
    </row>
    <row r="4615" spans="1:11" ht="42" customHeight="1">
      <c r="A4615" s="2" t="s">
        <v>11899</v>
      </c>
      <c r="B4615" s="2" t="s">
        <v>11899</v>
      </c>
      <c r="C4615" s="2" t="s">
        <v>17</v>
      </c>
      <c r="D4615" s="2" t="s">
        <v>18</v>
      </c>
      <c r="E4615" s="4">
        <v>-31836</v>
      </c>
      <c r="F4615" s="3" t="s">
        <v>729</v>
      </c>
      <c r="G4615" s="3" t="s">
        <v>1837</v>
      </c>
      <c r="H4615" s="2" t="s">
        <v>21</v>
      </c>
      <c r="I4615" s="2" t="s">
        <v>11911</v>
      </c>
      <c r="J4615" s="3" t="str">
        <f>HYPERLINK("https://www.boe.es/gazeta/dias/1812/10/31/pdfs/GRE-1812-146.pdf#page=2","Abrir facsímil")</f>
        <v>Abrir facsímil</v>
      </c>
      <c r="K4615" s="3" t="s">
        <v>23</v>
      </c>
    </row>
    <row r="4616" spans="1:11" ht="42" customHeight="1">
      <c r="A4616" s="2" t="s">
        <v>11899</v>
      </c>
      <c r="B4616" s="2" t="s">
        <v>11899</v>
      </c>
      <c r="C4616" s="2" t="s">
        <v>67</v>
      </c>
      <c r="D4616" s="2" t="s">
        <v>194</v>
      </c>
      <c r="E4616" s="4">
        <v>-31822</v>
      </c>
      <c r="F4616" s="3" t="s">
        <v>541</v>
      </c>
      <c r="G4616" s="3" t="s">
        <v>11912</v>
      </c>
      <c r="H4616" s="2" t="s">
        <v>21</v>
      </c>
      <c r="I4616" s="2" t="s">
        <v>11913</v>
      </c>
      <c r="J4616" s="3" t="str">
        <f>HYPERLINK("https://www.boe.es/gazeta/dias/1812/11/14/pdfs/GRE-1812-152.pdf#page=2","Abrir facsímil")</f>
        <v>Abrir facsímil</v>
      </c>
      <c r="K4616" s="3" t="s">
        <v>23</v>
      </c>
    </row>
    <row r="4617" spans="1:11" ht="42" customHeight="1">
      <c r="A4617" s="2" t="s">
        <v>11899</v>
      </c>
      <c r="B4617" s="2" t="s">
        <v>11899</v>
      </c>
      <c r="C4617" s="2" t="s">
        <v>17</v>
      </c>
      <c r="D4617" s="2" t="s">
        <v>18</v>
      </c>
      <c r="E4617" s="4">
        <v>-31810</v>
      </c>
      <c r="F4617" s="3" t="s">
        <v>2305</v>
      </c>
      <c r="G4617" s="3" t="s">
        <v>11914</v>
      </c>
      <c r="H4617" s="2" t="s">
        <v>21</v>
      </c>
      <c r="I4617" s="2" t="s">
        <v>11915</v>
      </c>
      <c r="J4617" s="3" t="str">
        <f>HYPERLINK("https://www.boe.es/gazeta/dias/1812/11/26/pdfs/GRE-1812-157.pdf#page=1","Abrir facsímil")</f>
        <v>Abrir facsímil</v>
      </c>
      <c r="K4617" s="3" t="s">
        <v>23</v>
      </c>
    </row>
    <row r="4618" spans="1:11" ht="42" customHeight="1">
      <c r="A4618" s="2" t="s">
        <v>11899</v>
      </c>
      <c r="B4618" s="2" t="s">
        <v>11899</v>
      </c>
      <c r="C4618" s="2" t="s">
        <v>17</v>
      </c>
      <c r="D4618" s="2" t="s">
        <v>18</v>
      </c>
      <c r="E4618" s="4">
        <v>-31805</v>
      </c>
      <c r="F4618" s="3" t="s">
        <v>4346</v>
      </c>
      <c r="G4618" s="3" t="s">
        <v>11916</v>
      </c>
      <c r="H4618" s="2" t="s">
        <v>21</v>
      </c>
      <c r="I4618" s="2" t="s">
        <v>11917</v>
      </c>
      <c r="J4618" s="3" t="str">
        <f>HYPERLINK("https://www.boe.es/gazeta/dias/1812/12/01/pdfs/GRE-1812-159.pdf#page=2","Abrir facsímil")</f>
        <v>Abrir facsímil</v>
      </c>
      <c r="K4618" s="3" t="s">
        <v>23</v>
      </c>
    </row>
    <row r="4619" spans="1:11" ht="42" customHeight="1">
      <c r="A4619" s="2" t="s">
        <v>11899</v>
      </c>
      <c r="B4619" s="2" t="s">
        <v>11899</v>
      </c>
      <c r="C4619" s="2" t="s">
        <v>26</v>
      </c>
      <c r="D4619" s="2" t="s">
        <v>27</v>
      </c>
      <c r="E4619" s="4">
        <v>-31801</v>
      </c>
      <c r="F4619" s="3" t="s">
        <v>1914</v>
      </c>
      <c r="G4619" s="3" t="s">
        <v>11918</v>
      </c>
      <c r="H4619" s="2" t="s">
        <v>21</v>
      </c>
      <c r="I4619" s="2" t="s">
        <v>11919</v>
      </c>
      <c r="J4619" s="3" t="str">
        <f>HYPERLINK("https://www.boe.es/gazeta/dias/1812/12/05/pdfs/GRE-1812-161.pdf#page=2","Abrir facsímil")</f>
        <v>Abrir facsímil</v>
      </c>
      <c r="K4619" s="3" t="s">
        <v>23</v>
      </c>
    </row>
    <row r="4620" spans="1:11" ht="42" customHeight="1">
      <c r="A4620" s="2" t="s">
        <v>11899</v>
      </c>
      <c r="B4620" s="2" t="s">
        <v>11899</v>
      </c>
      <c r="C4620" s="2" t="s">
        <v>17</v>
      </c>
      <c r="D4620" s="2" t="s">
        <v>18</v>
      </c>
      <c r="E4620" s="4">
        <v>-31786</v>
      </c>
      <c r="F4620" s="3" t="s">
        <v>7690</v>
      </c>
      <c r="G4620" s="3" t="s">
        <v>11920</v>
      </c>
      <c r="H4620" s="2" t="s">
        <v>21</v>
      </c>
      <c r="I4620" s="2" t="s">
        <v>11921</v>
      </c>
      <c r="J4620" s="3" t="str">
        <f>HYPERLINK("https://www.boe.es/gazeta/dias/1812/12/20/pdfs/GMD-1812-243.pdf#page=3","Abrir facsímil")</f>
        <v>Abrir facsímil</v>
      </c>
      <c r="K4620" s="3" t="s">
        <v>23</v>
      </c>
    </row>
    <row r="4621" spans="1:11" ht="42" customHeight="1">
      <c r="A4621" s="2" t="s">
        <v>11899</v>
      </c>
      <c r="B4621" s="2" t="s">
        <v>11899</v>
      </c>
      <c r="C4621" s="2" t="s">
        <v>26</v>
      </c>
      <c r="D4621" s="2" t="s">
        <v>27</v>
      </c>
      <c r="E4621" s="4">
        <v>-31782</v>
      </c>
      <c r="F4621" s="3" t="s">
        <v>860</v>
      </c>
      <c r="G4621" s="3" t="s">
        <v>2381</v>
      </c>
      <c r="H4621" s="2" t="s">
        <v>21</v>
      </c>
      <c r="I4621" s="2" t="s">
        <v>11922</v>
      </c>
      <c r="J4621" s="3" t="str">
        <f>HYPERLINK("https://www.boe.es/gazeta/dias/1812/12/24/pdfs/GRE-1812-169.pdf#page=4","Abrir facsímil")</f>
        <v>Abrir facsímil</v>
      </c>
      <c r="K4621" s="3" t="s">
        <v>23</v>
      </c>
    </row>
    <row r="4622" spans="1:11" ht="42" customHeight="1">
      <c r="A4622" s="2" t="s">
        <v>11899</v>
      </c>
      <c r="B4622" s="2" t="s">
        <v>11899</v>
      </c>
      <c r="C4622" s="2" t="s">
        <v>105</v>
      </c>
      <c r="D4622" s="2" t="s">
        <v>27</v>
      </c>
      <c r="E4622" s="4">
        <v>-31775</v>
      </c>
      <c r="F4622" s="3" t="s">
        <v>660</v>
      </c>
      <c r="G4622" s="3" t="s">
        <v>36</v>
      </c>
      <c r="H4622" s="2" t="s">
        <v>21</v>
      </c>
      <c r="I4622" s="2" t="s">
        <v>11923</v>
      </c>
      <c r="J4622" s="3" t="str">
        <f>HYPERLINK("https://www.boe.es/gazeta/dias/1812/12/31/pdfs/GRE-1812-172.pdf#page=3","Abrir facsímil")</f>
        <v>Abrir facsímil</v>
      </c>
      <c r="K4622" s="3" t="s">
        <v>23</v>
      </c>
    </row>
    <row r="4623" spans="1:11" ht="42" customHeight="1">
      <c r="A4623" s="2" t="s">
        <v>11899</v>
      </c>
      <c r="B4623" s="2" t="s">
        <v>11899</v>
      </c>
      <c r="C4623" s="2" t="s">
        <v>17</v>
      </c>
      <c r="D4623" s="2" t="s">
        <v>18</v>
      </c>
      <c r="E4623" s="4">
        <v>-31775</v>
      </c>
      <c r="F4623" s="3" t="s">
        <v>660</v>
      </c>
      <c r="G4623" s="3" t="s">
        <v>4071</v>
      </c>
      <c r="H4623" s="2" t="s">
        <v>21</v>
      </c>
      <c r="I4623" s="2" t="s">
        <v>11924</v>
      </c>
      <c r="J4623" s="3" t="str">
        <f>HYPERLINK("https://www.boe.es/gazeta/dias/1812/12/31/pdfs/GRE-1812-172.pdf#page=4","Abrir facsímil")</f>
        <v>Abrir facsímil</v>
      </c>
      <c r="K4623" s="3" t="s">
        <v>23</v>
      </c>
    </row>
    <row r="4624" spans="1:11" ht="42" customHeight="1">
      <c r="A4624" s="2" t="s">
        <v>11899</v>
      </c>
      <c r="B4624" s="2" t="s">
        <v>11899</v>
      </c>
      <c r="C4624" s="2" t="s">
        <v>17</v>
      </c>
      <c r="D4624" s="2" t="s">
        <v>18</v>
      </c>
      <c r="E4624" s="4">
        <v>-31775</v>
      </c>
      <c r="F4624" s="3" t="s">
        <v>660</v>
      </c>
      <c r="G4624" s="3" t="s">
        <v>1626</v>
      </c>
      <c r="H4624" s="2" t="s">
        <v>21</v>
      </c>
      <c r="I4624" s="2" t="s">
        <v>11925</v>
      </c>
      <c r="J4624" s="3" t="str">
        <f>HYPERLINK("https://www.boe.es/gazeta/dias/1812/12/31/pdfs/GRE-1812-172.pdf#page=5","Abrir facsímil")</f>
        <v>Abrir facsímil</v>
      </c>
      <c r="K4624" s="3" t="s">
        <v>23</v>
      </c>
    </row>
    <row r="4625" spans="1:11" ht="42" customHeight="1">
      <c r="A4625" s="2" t="s">
        <v>11926</v>
      </c>
      <c r="B4625" s="2" t="s">
        <v>11927</v>
      </c>
      <c r="C4625" s="2" t="s">
        <v>26</v>
      </c>
      <c r="D4625" s="2" t="s">
        <v>27</v>
      </c>
      <c r="E4625" s="4">
        <v>-32034</v>
      </c>
      <c r="F4625" s="3" t="s">
        <v>28</v>
      </c>
      <c r="G4625" s="3" t="s">
        <v>29</v>
      </c>
      <c r="H4625" s="2" t="s">
        <v>30</v>
      </c>
      <c r="I4625" s="2" t="s">
        <v>11928</v>
      </c>
      <c r="J4625" s="3" t="str">
        <f>HYPERLINK("https://www.boe.es/gazeta/dias/1812/04/16/pdfs/GMD-1812-107.pdf#page=8","Abrir facsímil")</f>
        <v>Abrir facsímil</v>
      </c>
      <c r="K4625" s="3" t="s">
        <v>32</v>
      </c>
    </row>
    <row r="4626" spans="1:11" ht="42" customHeight="1">
      <c r="A4626" s="2" t="s">
        <v>11929</v>
      </c>
      <c r="B4626" s="2" t="s">
        <v>11930</v>
      </c>
      <c r="C4626" s="2" t="s">
        <v>186</v>
      </c>
      <c r="D4626" s="2" t="s">
        <v>275</v>
      </c>
      <c r="E4626" s="4">
        <v>-31822</v>
      </c>
      <c r="F4626" s="3" t="s">
        <v>541</v>
      </c>
      <c r="G4626" s="3" t="s">
        <v>1459</v>
      </c>
      <c r="H4626" s="2" t="s">
        <v>30</v>
      </c>
      <c r="I4626" s="2" t="s">
        <v>11931</v>
      </c>
      <c r="J4626" s="3" t="str">
        <f>HYPERLINK("https://www.boe.es/gazeta/dias/1812/11/14/pdfs/GRE-1812-152.pdf#page=8","Abrir facsímil")</f>
        <v>Abrir facsímil</v>
      </c>
      <c r="K4626" s="3" t="s">
        <v>32</v>
      </c>
    </row>
    <row r="4627" spans="1:11" ht="42" customHeight="1">
      <c r="A4627" s="2" t="s">
        <v>11932</v>
      </c>
      <c r="B4627" s="2" t="s">
        <v>11933</v>
      </c>
      <c r="C4627" s="2" t="s">
        <v>26</v>
      </c>
      <c r="D4627" s="2" t="s">
        <v>27</v>
      </c>
      <c r="E4627" s="4">
        <v>-32034</v>
      </c>
      <c r="F4627" s="3" t="s">
        <v>28</v>
      </c>
      <c r="G4627" s="3" t="s">
        <v>29</v>
      </c>
      <c r="H4627" s="2" t="s">
        <v>30</v>
      </c>
      <c r="I4627" s="2" t="s">
        <v>11934</v>
      </c>
      <c r="J4627" s="3" t="str">
        <f>HYPERLINK("https://www.boe.es/gazeta/dias/1812/04/16/pdfs/GMD-1812-107.pdf#page=8","Abrir facsímil")</f>
        <v>Abrir facsímil</v>
      </c>
      <c r="K4627" s="3" t="s">
        <v>32</v>
      </c>
    </row>
    <row r="4628" spans="1:11" ht="42" customHeight="1">
      <c r="A4628" s="2" t="s">
        <v>11935</v>
      </c>
      <c r="B4628" s="2" t="s">
        <v>11936</v>
      </c>
      <c r="C4628" s="2" t="s">
        <v>26</v>
      </c>
      <c r="D4628" s="2" t="s">
        <v>27</v>
      </c>
      <c r="E4628" s="4">
        <v>-32034</v>
      </c>
      <c r="F4628" s="3" t="s">
        <v>28</v>
      </c>
      <c r="G4628" s="3" t="s">
        <v>29</v>
      </c>
      <c r="H4628" s="2" t="s">
        <v>30</v>
      </c>
      <c r="I4628" s="2" t="s">
        <v>11937</v>
      </c>
      <c r="J4628" s="3" t="str">
        <f>HYPERLINK("https://www.boe.es/gazeta/dias/1812/04/16/pdfs/GMD-1812-107.pdf#page=8","Abrir facsímil")</f>
        <v>Abrir facsímil</v>
      </c>
      <c r="K4628" s="3" t="s">
        <v>32</v>
      </c>
    </row>
    <row r="4629" spans="1:11" ht="42" customHeight="1">
      <c r="A4629" s="2" t="s">
        <v>11938</v>
      </c>
      <c r="B4629" s="2" t="s">
        <v>11939</v>
      </c>
      <c r="C4629" s="2" t="s">
        <v>26</v>
      </c>
      <c r="D4629" s="2" t="s">
        <v>27</v>
      </c>
      <c r="E4629" s="4">
        <v>-32060</v>
      </c>
      <c r="F4629" s="3" t="s">
        <v>399</v>
      </c>
      <c r="G4629" s="3" t="s">
        <v>136</v>
      </c>
      <c r="H4629" s="2" t="s">
        <v>30</v>
      </c>
      <c r="I4629" s="2" t="s">
        <v>11940</v>
      </c>
      <c r="J4629" s="3" t="str">
        <f>HYPERLINK("https://www.boe.es/gazeta/dias/1812/03/21/pdfs/GMD-1812-81.pdf#page=4","Abrir facsímil")</f>
        <v>Abrir facsímil</v>
      </c>
      <c r="K4629" s="3" t="s">
        <v>32</v>
      </c>
    </row>
    <row r="4630" spans="1:11" ht="42" customHeight="1">
      <c r="A4630" s="2" t="s">
        <v>11941</v>
      </c>
      <c r="B4630" s="2" t="s">
        <v>11942</v>
      </c>
      <c r="C4630" s="2" t="s">
        <v>186</v>
      </c>
      <c r="D4630" s="2" t="s">
        <v>27</v>
      </c>
      <c r="E4630" s="4">
        <v>-32009</v>
      </c>
      <c r="F4630" s="3" t="s">
        <v>8049</v>
      </c>
      <c r="G4630" s="3" t="s">
        <v>130</v>
      </c>
      <c r="H4630" s="2" t="s">
        <v>30</v>
      </c>
      <c r="I4630" s="2" t="s">
        <v>11943</v>
      </c>
      <c r="J4630" s="3" t="str">
        <f>HYPERLINK("https://www.boe.es/gazeta/dias/1812/05/11/pdfs/GMD-1812-132.pdf#page=4","Abrir facsímil")</f>
        <v>Abrir facsímil</v>
      </c>
      <c r="K4630" s="3" t="s">
        <v>32</v>
      </c>
    </row>
    <row r="4631" spans="1:11" ht="42" customHeight="1">
      <c r="A4631" s="2" t="s">
        <v>11944</v>
      </c>
      <c r="B4631" s="2" t="s">
        <v>11945</v>
      </c>
      <c r="C4631" s="2" t="s">
        <v>26</v>
      </c>
      <c r="D4631" s="2" t="s">
        <v>27</v>
      </c>
      <c r="E4631" s="4">
        <v>-32109</v>
      </c>
      <c r="F4631" s="3" t="s">
        <v>62</v>
      </c>
      <c r="G4631" s="3" t="s">
        <v>63</v>
      </c>
      <c r="H4631" s="2" t="s">
        <v>30</v>
      </c>
      <c r="I4631" s="2" t="s">
        <v>11946</v>
      </c>
      <c r="J4631" s="3" t="str">
        <f>HYPERLINK("https://www.boe.es/gazeta/dias/1812/02/01/pdfs/GRE-1812-14.pdf#page=10","Abrir facsímil")</f>
        <v>Abrir facsímil</v>
      </c>
      <c r="K4631" s="3" t="s">
        <v>32</v>
      </c>
    </row>
    <row r="4632" spans="1:11" ht="42" customHeight="1">
      <c r="A4632" s="2" t="s">
        <v>11947</v>
      </c>
      <c r="B4632" s="2" t="s">
        <v>11948</v>
      </c>
      <c r="C4632" s="2" t="s">
        <v>26</v>
      </c>
      <c r="D4632" s="2" t="s">
        <v>27</v>
      </c>
      <c r="E4632" s="4">
        <v>-32002</v>
      </c>
      <c r="F4632" s="3" t="s">
        <v>619</v>
      </c>
      <c r="G4632" s="3" t="s">
        <v>20</v>
      </c>
      <c r="H4632" s="2" t="s">
        <v>30</v>
      </c>
      <c r="I4632" s="2" t="s">
        <v>11949</v>
      </c>
      <c r="J4632" s="3" t="str">
        <f>HYPERLINK("https://www.boe.es/gazeta/dias/1812/05/18/pdfs/GMD-1812-139.pdf#page=3","Abrir facsímil")</f>
        <v>Abrir facsímil</v>
      </c>
      <c r="K4632" s="3" t="s">
        <v>32</v>
      </c>
    </row>
    <row r="4633" spans="1:11" ht="42" customHeight="1">
      <c r="A4633" s="2" t="s">
        <v>11950</v>
      </c>
      <c r="B4633" s="2" t="s">
        <v>11951</v>
      </c>
      <c r="C4633" s="2" t="s">
        <v>17</v>
      </c>
      <c r="D4633" s="2" t="s">
        <v>18</v>
      </c>
      <c r="E4633" s="4">
        <v>-31961</v>
      </c>
      <c r="F4633" s="3" t="s">
        <v>1193</v>
      </c>
      <c r="G4633" s="3" t="s">
        <v>644</v>
      </c>
      <c r="H4633" s="2" t="s">
        <v>30</v>
      </c>
      <c r="I4633" s="2" t="s">
        <v>11952</v>
      </c>
      <c r="J4633" s="3" t="str">
        <f>HYPERLINK("https://www.boe.es/gazeta/dias/1812/06/28/pdfs/GMD-1812-180.pdf#page=3","Abrir facsímil")</f>
        <v>Abrir facsímil</v>
      </c>
      <c r="K4633" s="3" t="s">
        <v>32</v>
      </c>
    </row>
    <row r="4634" spans="1:11" ht="42" customHeight="1">
      <c r="A4634" s="2" t="s">
        <v>11950</v>
      </c>
      <c r="B4634" s="2" t="s">
        <v>11951</v>
      </c>
      <c r="C4634" s="2" t="s">
        <v>26</v>
      </c>
      <c r="D4634" s="2" t="s">
        <v>27</v>
      </c>
      <c r="E4634" s="4">
        <v>-31936</v>
      </c>
      <c r="F4634" s="3" t="s">
        <v>603</v>
      </c>
      <c r="G4634" s="3" t="s">
        <v>196</v>
      </c>
      <c r="H4634" s="2" t="s">
        <v>30</v>
      </c>
      <c r="I4634" s="2" t="s">
        <v>11953</v>
      </c>
      <c r="J4634" s="3" t="str">
        <f>HYPERLINK("https://www.boe.es/gazeta/dias/1812/07/23/pdfs/GMD-1812-205.pdf#page=1","Abrir facsímil")</f>
        <v>Abrir facsímil</v>
      </c>
      <c r="K4634" s="3" t="s">
        <v>32</v>
      </c>
    </row>
    <row r="4635" spans="1:11" ht="42" customHeight="1">
      <c r="A4635" s="2" t="s">
        <v>11954</v>
      </c>
      <c r="B4635" s="2" t="s">
        <v>11955</v>
      </c>
      <c r="C4635" s="2" t="s">
        <v>26</v>
      </c>
      <c r="D4635" s="2" t="s">
        <v>27</v>
      </c>
      <c r="E4635" s="4">
        <v>-31940</v>
      </c>
      <c r="F4635" s="3" t="s">
        <v>187</v>
      </c>
      <c r="G4635" s="3" t="s">
        <v>404</v>
      </c>
      <c r="H4635" s="2" t="s">
        <v>30</v>
      </c>
      <c r="I4635" s="2" t="s">
        <v>11956</v>
      </c>
      <c r="J4635" s="3" t="str">
        <f>HYPERLINK("https://www.boe.es/gazeta/dias/1812/07/19/pdfs/GMD-1812-201.pdf#page=3","Abrir facsímil")</f>
        <v>Abrir facsímil</v>
      </c>
      <c r="K4635" s="3" t="s">
        <v>32</v>
      </c>
    </row>
    <row r="4636" spans="1:11" ht="42" customHeight="1">
      <c r="A4636" s="2" t="s">
        <v>11957</v>
      </c>
      <c r="B4636" s="2" t="s">
        <v>11957</v>
      </c>
      <c r="C4636" s="2" t="s">
        <v>17</v>
      </c>
      <c r="D4636" s="2" t="s">
        <v>27</v>
      </c>
      <c r="E4636" s="4">
        <v>-32136</v>
      </c>
      <c r="F4636" s="3" t="s">
        <v>2800</v>
      </c>
      <c r="G4636" s="3" t="s">
        <v>217</v>
      </c>
      <c r="H4636" s="2" t="s">
        <v>21</v>
      </c>
      <c r="I4636" s="2" t="s">
        <v>11958</v>
      </c>
      <c r="J4636" s="3" t="str">
        <f>HYPERLINK("https://www.boe.es/gazeta/dias/1812/01/05/pdfs/GMD-1812-5.pdf#page=3","Abrir facsímil")</f>
        <v>Abrir facsímil</v>
      </c>
      <c r="K4636" s="3" t="s">
        <v>23</v>
      </c>
    </row>
    <row r="4637" spans="1:11" ht="42" customHeight="1">
      <c r="A4637" s="2" t="s">
        <v>11959</v>
      </c>
      <c r="B4637" s="2" t="s">
        <v>11960</v>
      </c>
      <c r="C4637" s="2" t="s">
        <v>17</v>
      </c>
      <c r="D4637" s="2" t="s">
        <v>27</v>
      </c>
      <c r="E4637" s="4">
        <v>-32074</v>
      </c>
      <c r="F4637" s="3" t="s">
        <v>816</v>
      </c>
      <c r="G4637" s="3" t="s">
        <v>196</v>
      </c>
      <c r="H4637" s="2" t="s">
        <v>21</v>
      </c>
      <c r="I4637" s="2" t="s">
        <v>11961</v>
      </c>
      <c r="J4637" s="3" t="str">
        <f>HYPERLINK("https://www.boe.es/gazeta/dias/1812/03/07/pdfs/GRE-1812-30.pdf#page=1","Abrir facsímil")</f>
        <v>Abrir facsímil</v>
      </c>
      <c r="K4637" s="3" t="s">
        <v>23</v>
      </c>
    </row>
    <row r="4638" spans="1:11" ht="42" customHeight="1">
      <c r="A4638" s="2" t="s">
        <v>11962</v>
      </c>
      <c r="B4638" s="2" t="s">
        <v>11963</v>
      </c>
      <c r="C4638" s="2" t="s">
        <v>115</v>
      </c>
      <c r="D4638" s="2" t="s">
        <v>27</v>
      </c>
      <c r="E4638" s="4">
        <v>-31805</v>
      </c>
      <c r="F4638" s="3" t="s">
        <v>895</v>
      </c>
      <c r="G4638" s="3" t="s">
        <v>896</v>
      </c>
      <c r="H4638" s="2" t="s">
        <v>21</v>
      </c>
      <c r="I4638" s="2" t="s">
        <v>11964</v>
      </c>
      <c r="J4638" s="3" t="str">
        <f>HYPERLINK("https://www.boe.es/gazeta/dias/1812/12/01/pdfs/GMR-1812-39.pdf#page=15","Abrir facsímil")</f>
        <v>Abrir facsímil</v>
      </c>
      <c r="K4638" s="3" t="s">
        <v>23</v>
      </c>
    </row>
    <row r="4639" spans="1:11" ht="42" customHeight="1">
      <c r="A4639" s="2" t="s">
        <v>11965</v>
      </c>
      <c r="B4639" s="2" t="s">
        <v>11966</v>
      </c>
      <c r="C4639" s="2" t="s">
        <v>17</v>
      </c>
      <c r="D4639" s="2" t="s">
        <v>27</v>
      </c>
      <c r="E4639" s="4">
        <v>-32132</v>
      </c>
      <c r="F4639" s="3" t="s">
        <v>484</v>
      </c>
      <c r="G4639" s="3" t="s">
        <v>485</v>
      </c>
      <c r="H4639" s="2" t="s">
        <v>21</v>
      </c>
      <c r="I4639" s="2" t="s">
        <v>11967</v>
      </c>
      <c r="J4639" s="3" t="str">
        <f>HYPERLINK("https://www.boe.es/gazeta/dias/1812/01/09/pdfs/GEI-1812-4.pdf#page=8","Abrir facsímil")</f>
        <v>Abrir facsímil</v>
      </c>
      <c r="K4639" s="3" t="s">
        <v>23</v>
      </c>
    </row>
    <row r="4640" spans="1:11" ht="42" customHeight="1">
      <c r="A4640" s="2" t="s">
        <v>11968</v>
      </c>
      <c r="B4640" s="2" t="s">
        <v>11969</v>
      </c>
      <c r="C4640" s="2" t="s">
        <v>186</v>
      </c>
      <c r="D4640" s="2" t="s">
        <v>27</v>
      </c>
      <c r="E4640" s="4">
        <v>-32090</v>
      </c>
      <c r="F4640" s="3" t="s">
        <v>142</v>
      </c>
      <c r="G4640" s="3" t="s">
        <v>29</v>
      </c>
      <c r="H4640" s="2" t="s">
        <v>21</v>
      </c>
      <c r="I4640" s="2" t="s">
        <v>11970</v>
      </c>
      <c r="J4640" s="3" t="str">
        <f>HYPERLINK("https://www.boe.es/gazeta/dias/1812/02/20/pdfs/GRE-1812-22.pdf#page=8","Abrir facsímil")</f>
        <v>Abrir facsímil</v>
      </c>
      <c r="K4640" s="3" t="s">
        <v>23</v>
      </c>
    </row>
    <row r="4641" spans="1:11" ht="42" customHeight="1">
      <c r="A4641" s="2" t="s">
        <v>11971</v>
      </c>
      <c r="B4641" s="2" t="s">
        <v>11972</v>
      </c>
      <c r="C4641" s="2" t="s">
        <v>17</v>
      </c>
      <c r="D4641" s="2" t="s">
        <v>275</v>
      </c>
      <c r="E4641" s="4">
        <v>-31934</v>
      </c>
      <c r="F4641" s="3" t="s">
        <v>509</v>
      </c>
      <c r="G4641" s="3" t="s">
        <v>4482</v>
      </c>
      <c r="H4641" s="2" t="s">
        <v>21</v>
      </c>
      <c r="I4641" s="2" t="s">
        <v>11973</v>
      </c>
      <c r="J4641" s="3" t="str">
        <f>HYPERLINK("https://www.boe.es/gazeta/dias/1812/07/25/pdfs/GRE-1812-93.pdf#page=8","Abrir facsímil")</f>
        <v>Abrir facsímil</v>
      </c>
      <c r="K4641" s="3" t="s">
        <v>23</v>
      </c>
    </row>
    <row r="4642" spans="1:11" ht="42" customHeight="1">
      <c r="A4642" s="2" t="s">
        <v>11974</v>
      </c>
      <c r="B4642" s="2" t="s">
        <v>11975</v>
      </c>
      <c r="C4642" s="2" t="s">
        <v>26</v>
      </c>
      <c r="D4642" s="2" t="s">
        <v>27</v>
      </c>
      <c r="E4642" s="4">
        <v>-31994</v>
      </c>
      <c r="F4642" s="3" t="s">
        <v>207</v>
      </c>
      <c r="G4642" s="3" t="s">
        <v>1176</v>
      </c>
      <c r="H4642" s="2" t="s">
        <v>21</v>
      </c>
      <c r="I4642" s="2" t="s">
        <v>11976</v>
      </c>
      <c r="J4642" s="3" t="str">
        <f>HYPERLINK("https://www.boe.es/gazeta/dias/1812/05/26/pdfs/GRE-1812-65.pdf#page=8","Abrir facsímil")</f>
        <v>Abrir facsímil</v>
      </c>
      <c r="K4642" s="3" t="s">
        <v>23</v>
      </c>
    </row>
    <row r="4643" spans="1:11" ht="42" customHeight="1">
      <c r="A4643" s="2" t="s">
        <v>11977</v>
      </c>
      <c r="B4643" s="2" t="s">
        <v>11978</v>
      </c>
      <c r="C4643" s="2" t="s">
        <v>26</v>
      </c>
      <c r="D4643" s="2" t="s">
        <v>27</v>
      </c>
      <c r="E4643" s="4">
        <v>-31857</v>
      </c>
      <c r="F4643" s="3" t="s">
        <v>1000</v>
      </c>
      <c r="G4643" s="3" t="s">
        <v>136</v>
      </c>
      <c r="H4643" s="2" t="s">
        <v>21</v>
      </c>
      <c r="I4643" s="2" t="s">
        <v>11979</v>
      </c>
      <c r="J4643" s="3" t="str">
        <f>HYPERLINK("https://www.boe.es/gazeta/dias/1812/10/10/pdfs/GRE-1812-137.pdf#page=8","Abrir facsímil")</f>
        <v>Abrir facsímil</v>
      </c>
      <c r="K4643" s="3" t="s">
        <v>23</v>
      </c>
    </row>
    <row r="4644" spans="1:11" ht="42" customHeight="1">
      <c r="A4644" s="2" t="s">
        <v>11980</v>
      </c>
      <c r="B4644" s="2" t="s">
        <v>11981</v>
      </c>
      <c r="C4644" s="2" t="s">
        <v>115</v>
      </c>
      <c r="D4644" s="2" t="s">
        <v>18</v>
      </c>
      <c r="E4644" s="4">
        <v>-32050</v>
      </c>
      <c r="F4644" s="3" t="s">
        <v>864</v>
      </c>
      <c r="G4644" s="3" t="s">
        <v>3583</v>
      </c>
      <c r="H4644" s="2" t="s">
        <v>21</v>
      </c>
      <c r="I4644" s="2" t="s">
        <v>11982</v>
      </c>
      <c r="J4644" s="3" t="str">
        <f>HYPERLINK("https://www.boe.es/gazeta/dias/1812/03/31/pdfs/GRE-1812-40.pdf#page=6","Abrir facsímil")</f>
        <v>Abrir facsímil</v>
      </c>
      <c r="K4644" s="3" t="s">
        <v>23</v>
      </c>
    </row>
    <row r="4645" spans="1:11" ht="42" customHeight="1">
      <c r="A4645" s="2" t="s">
        <v>11983</v>
      </c>
      <c r="B4645" s="2" t="s">
        <v>11984</v>
      </c>
      <c r="C4645" s="2" t="s">
        <v>26</v>
      </c>
      <c r="D4645" s="2" t="s">
        <v>27</v>
      </c>
      <c r="E4645" s="4">
        <v>-31938</v>
      </c>
      <c r="F4645" s="3" t="s">
        <v>324</v>
      </c>
      <c r="G4645" s="3" t="s">
        <v>237</v>
      </c>
      <c r="H4645" s="2" t="s">
        <v>21</v>
      </c>
      <c r="I4645" s="2" t="s">
        <v>11985</v>
      </c>
      <c r="J4645" s="3" t="str">
        <f>HYPERLINK("https://www.boe.es/gazeta/dias/1812/07/21/pdfs/GMD-1812-203.pdf#page=2","Abrir facsímil")</f>
        <v>Abrir facsímil</v>
      </c>
      <c r="K4645" s="3" t="s">
        <v>23</v>
      </c>
    </row>
    <row r="4646" spans="1:11" ht="42" customHeight="1">
      <c r="A4646" s="2" t="s">
        <v>11986</v>
      </c>
      <c r="B4646" s="2" t="s">
        <v>11987</v>
      </c>
      <c r="C4646" s="2" t="s">
        <v>26</v>
      </c>
      <c r="D4646" s="2" t="s">
        <v>27</v>
      </c>
      <c r="E4646" s="4">
        <v>-31829</v>
      </c>
      <c r="F4646" s="3" t="s">
        <v>3229</v>
      </c>
      <c r="G4646" s="3" t="s">
        <v>3230</v>
      </c>
      <c r="H4646" s="2" t="s">
        <v>21</v>
      </c>
      <c r="I4646" s="2" t="s">
        <v>11988</v>
      </c>
      <c r="J4646" s="3" t="str">
        <f>HYPERLINK("https://www.boe.es/gazeta/dias/1812/11/07/pdfs/GRE-1812-149.pdf#page=5","Abrir facsímil")</f>
        <v>Abrir facsímil</v>
      </c>
      <c r="K4646" s="3" t="s">
        <v>23</v>
      </c>
    </row>
    <row r="4647" spans="1:11" ht="42" customHeight="1">
      <c r="A4647" s="2" t="s">
        <v>11989</v>
      </c>
      <c r="B4647" s="2" t="s">
        <v>11990</v>
      </c>
      <c r="C4647" s="2" t="s">
        <v>115</v>
      </c>
      <c r="D4647" s="2" t="s">
        <v>27</v>
      </c>
      <c r="E4647" s="4">
        <v>-31805</v>
      </c>
      <c r="F4647" s="3" t="s">
        <v>895</v>
      </c>
      <c r="G4647" s="3" t="s">
        <v>896</v>
      </c>
      <c r="H4647" s="2" t="s">
        <v>21</v>
      </c>
      <c r="I4647" s="2" t="s">
        <v>11991</v>
      </c>
      <c r="J4647" s="3" t="str">
        <f>HYPERLINK("https://www.boe.es/gazeta/dias/1812/12/01/pdfs/GMR-1812-39.pdf#page=15","Abrir facsímil")</f>
        <v>Abrir facsímil</v>
      </c>
      <c r="K4647" s="3" t="s">
        <v>23</v>
      </c>
    </row>
    <row r="4648" spans="1:11" ht="42" customHeight="1">
      <c r="A4648" s="2" t="s">
        <v>11992</v>
      </c>
      <c r="B4648" s="2" t="s">
        <v>11993</v>
      </c>
      <c r="C4648" s="2" t="s">
        <v>26</v>
      </c>
      <c r="D4648" s="2" t="s">
        <v>27</v>
      </c>
      <c r="E4648" s="4">
        <v>-31969</v>
      </c>
      <c r="F4648" s="3" t="s">
        <v>83</v>
      </c>
      <c r="G4648" s="3" t="s">
        <v>84</v>
      </c>
      <c r="H4648" s="2" t="s">
        <v>21</v>
      </c>
      <c r="I4648" s="2" t="s">
        <v>11994</v>
      </c>
      <c r="J4648" s="3" t="str">
        <f>HYPERLINK("https://www.boe.es/gazeta/dias/1812/06/20/pdfs/GRE-1812-76.pdf#page=8","Abrir facsímil")</f>
        <v>Abrir facsímil</v>
      </c>
      <c r="K4648" s="3" t="s">
        <v>23</v>
      </c>
    </row>
    <row r="4649" spans="1:11" ht="42" customHeight="1">
      <c r="A4649" s="2" t="s">
        <v>11995</v>
      </c>
      <c r="B4649" s="2" t="s">
        <v>11996</v>
      </c>
      <c r="C4649" s="2" t="s">
        <v>26</v>
      </c>
      <c r="D4649" s="2" t="s">
        <v>27</v>
      </c>
      <c r="E4649" s="4">
        <v>-31965</v>
      </c>
      <c r="F4649" s="3" t="s">
        <v>1180</v>
      </c>
      <c r="G4649" s="3" t="s">
        <v>777</v>
      </c>
      <c r="H4649" s="2" t="s">
        <v>21</v>
      </c>
      <c r="I4649" s="2" t="s">
        <v>11997</v>
      </c>
      <c r="J4649" s="3" t="str">
        <f>HYPERLINK("https://www.boe.es/gazeta/dias/1812/06/24/pdfs/GMD-1812-176.pdf#page=2","Abrir facsímil")</f>
        <v>Abrir facsímil</v>
      </c>
      <c r="K4649" s="3" t="s">
        <v>23</v>
      </c>
    </row>
    <row r="4650" spans="1:11" ht="42" customHeight="1">
      <c r="A4650" s="2" t="s">
        <v>11998</v>
      </c>
      <c r="B4650" s="2" t="s">
        <v>11999</v>
      </c>
      <c r="C4650" s="2" t="s">
        <v>17</v>
      </c>
      <c r="D4650" s="2" t="s">
        <v>27</v>
      </c>
      <c r="E4650" s="4">
        <v>-31824</v>
      </c>
      <c r="F4650" s="3" t="s">
        <v>3123</v>
      </c>
      <c r="G4650" s="3" t="s">
        <v>336</v>
      </c>
      <c r="H4650" s="2" t="s">
        <v>21</v>
      </c>
      <c r="I4650" s="2" t="s">
        <v>12000</v>
      </c>
      <c r="J4650" s="3" t="str">
        <f>HYPERLINK("https://www.boe.es/gazeta/dias/1812/11/12/pdfs/GRE-1812-151.pdf#page=4","Abrir facsímil")</f>
        <v>Abrir facsímil</v>
      </c>
      <c r="K4650" s="3" t="s">
        <v>23</v>
      </c>
    </row>
    <row r="4651" spans="1:11" ht="42" customHeight="1">
      <c r="A4651" s="2" t="s">
        <v>12001</v>
      </c>
      <c r="B4651" s="2" t="s">
        <v>12002</v>
      </c>
      <c r="C4651" s="2" t="s">
        <v>26</v>
      </c>
      <c r="D4651" s="2" t="s">
        <v>27</v>
      </c>
      <c r="E4651" s="4">
        <v>-31964</v>
      </c>
      <c r="F4651" s="3" t="s">
        <v>305</v>
      </c>
      <c r="G4651" s="3" t="s">
        <v>306</v>
      </c>
      <c r="H4651" s="2" t="s">
        <v>21</v>
      </c>
      <c r="I4651" s="2" t="s">
        <v>12003</v>
      </c>
      <c r="J4651" s="3" t="str">
        <f>HYPERLINK("https://www.boe.es/gazeta/dias/1812/06/25/pdfs/GMD-1812-177.pdf#page=3","Abrir facsímil")</f>
        <v>Abrir facsímil</v>
      </c>
      <c r="K4651" s="3" t="s">
        <v>23</v>
      </c>
    </row>
    <row r="4652" spans="1:11" ht="42" customHeight="1">
      <c r="A4652" s="2" t="s">
        <v>12001</v>
      </c>
      <c r="B4652" s="2" t="s">
        <v>12002</v>
      </c>
      <c r="C4652" s="2" t="s">
        <v>26</v>
      </c>
      <c r="D4652" s="2" t="s">
        <v>27</v>
      </c>
      <c r="E4652" s="4">
        <v>-31939</v>
      </c>
      <c r="F4652" s="3" t="s">
        <v>408</v>
      </c>
      <c r="G4652" s="3" t="s">
        <v>20</v>
      </c>
      <c r="H4652" s="2" t="s">
        <v>21</v>
      </c>
      <c r="I4652" s="2" t="s">
        <v>12004</v>
      </c>
      <c r="J4652" s="3" t="str">
        <f>HYPERLINK("https://www.boe.es/gazeta/dias/1812/07/20/pdfs/GMD-1812-202.pdf#page=4","Abrir facsímil")</f>
        <v>Abrir facsímil</v>
      </c>
      <c r="K4652" s="3" t="s">
        <v>23</v>
      </c>
    </row>
    <row r="4653" spans="1:11" ht="42" customHeight="1">
      <c r="A4653" s="2" t="s">
        <v>12005</v>
      </c>
      <c r="B4653" s="2" t="s">
        <v>12006</v>
      </c>
      <c r="C4653" s="2" t="s">
        <v>26</v>
      </c>
      <c r="D4653" s="2" t="s">
        <v>27</v>
      </c>
      <c r="E4653" s="4">
        <v>-31945</v>
      </c>
      <c r="F4653" s="3" t="s">
        <v>1485</v>
      </c>
      <c r="G4653" s="3" t="s">
        <v>159</v>
      </c>
      <c r="H4653" s="2" t="s">
        <v>21</v>
      </c>
      <c r="I4653" s="2" t="s">
        <v>12007</v>
      </c>
      <c r="J4653" s="3" t="str">
        <f>HYPERLINK("https://www.boe.es/gazeta/dias/1812/07/14/pdfs/GRE-1812-88.pdf#page=5","Abrir facsímil")</f>
        <v>Abrir facsímil</v>
      </c>
      <c r="K4653" s="3" t="s">
        <v>23</v>
      </c>
    </row>
    <row r="4654" spans="1:11" ht="42" customHeight="1">
      <c r="A4654" s="2" t="s">
        <v>12008</v>
      </c>
      <c r="B4654" s="2" t="s">
        <v>12009</v>
      </c>
      <c r="C4654" s="2" t="s">
        <v>49</v>
      </c>
      <c r="D4654" s="2" t="s">
        <v>27</v>
      </c>
      <c r="E4654" s="4">
        <v>-32075</v>
      </c>
      <c r="F4654" s="3" t="s">
        <v>301</v>
      </c>
      <c r="G4654" s="3" t="s">
        <v>20</v>
      </c>
      <c r="H4654" s="2" t="s">
        <v>21</v>
      </c>
      <c r="I4654" s="2" t="s">
        <v>12010</v>
      </c>
      <c r="J4654" s="3" t="str">
        <f>HYPERLINK("https://www.boe.es/gazeta/dias/1812/03/06/pdfs/GMD-1812-66.pdf#page=4","Abrir facsímil")</f>
        <v>Abrir facsímil</v>
      </c>
      <c r="K4654" s="3" t="s">
        <v>23</v>
      </c>
    </row>
    <row r="4655" spans="1:11" ht="42" customHeight="1">
      <c r="A4655" s="2" t="s">
        <v>12011</v>
      </c>
      <c r="B4655" s="2" t="s">
        <v>12012</v>
      </c>
      <c r="C4655" s="2" t="s">
        <v>26</v>
      </c>
      <c r="D4655" s="2" t="s">
        <v>27</v>
      </c>
      <c r="E4655" s="4">
        <v>-32074</v>
      </c>
      <c r="F4655" s="3" t="s">
        <v>816</v>
      </c>
      <c r="G4655" s="3" t="s">
        <v>217</v>
      </c>
      <c r="H4655" s="2" t="s">
        <v>21</v>
      </c>
      <c r="I4655" s="2" t="s">
        <v>12013</v>
      </c>
      <c r="J4655" s="3" t="str">
        <f>HYPERLINK("https://www.boe.es/gazeta/dias/1812/03/07/pdfs/GRE-1812-30.pdf#page=7","Abrir facsímil")</f>
        <v>Abrir facsímil</v>
      </c>
      <c r="K4655" s="3" t="s">
        <v>23</v>
      </c>
    </row>
    <row r="4656" spans="1:11" ht="42" customHeight="1">
      <c r="A4656" s="2" t="s">
        <v>12014</v>
      </c>
      <c r="B4656" s="2" t="s">
        <v>12015</v>
      </c>
      <c r="C4656" s="2" t="s">
        <v>26</v>
      </c>
      <c r="D4656" s="2" t="s">
        <v>27</v>
      </c>
      <c r="E4656" s="4">
        <v>-32109</v>
      </c>
      <c r="F4656" s="3" t="s">
        <v>2637</v>
      </c>
      <c r="G4656" s="3" t="s">
        <v>1380</v>
      </c>
      <c r="H4656" s="2" t="s">
        <v>21</v>
      </c>
      <c r="I4656" s="2" t="s">
        <v>12016</v>
      </c>
      <c r="J4656" s="3" t="str">
        <f>HYPERLINK("https://www.boe.es/gazeta/dias/1812/02/01/pdfs/GMD-1812-32.pdf#page=4","Abrir facsímil")</f>
        <v>Abrir facsímil</v>
      </c>
      <c r="K4656" s="3" t="s">
        <v>23</v>
      </c>
    </row>
    <row r="4657" spans="1:11" ht="42" customHeight="1">
      <c r="A4657" s="2" t="s">
        <v>12017</v>
      </c>
      <c r="B4657" s="2" t="s">
        <v>12018</v>
      </c>
      <c r="C4657" s="2" t="s">
        <v>26</v>
      </c>
      <c r="D4657" s="2" t="s">
        <v>27</v>
      </c>
      <c r="E4657" s="4">
        <v>-31927</v>
      </c>
      <c r="F4657" s="3" t="s">
        <v>1160</v>
      </c>
      <c r="G4657" s="3" t="s">
        <v>1852</v>
      </c>
      <c r="H4657" s="2" t="s">
        <v>21</v>
      </c>
      <c r="I4657" s="2" t="s">
        <v>12019</v>
      </c>
      <c r="J4657" s="3" t="str">
        <f>HYPERLINK("https://www.boe.es/gazeta/dias/1812/08/01/pdfs/GRE-1812-97.pdf#page=5","Abrir facsímil")</f>
        <v>Abrir facsímil</v>
      </c>
      <c r="K4657" s="3" t="s">
        <v>23</v>
      </c>
    </row>
    <row r="4658" spans="1:11" ht="42" customHeight="1">
      <c r="A4658" s="2" t="s">
        <v>12020</v>
      </c>
      <c r="B4658" s="2" t="s">
        <v>12021</v>
      </c>
      <c r="C4658" s="2" t="s">
        <v>26</v>
      </c>
      <c r="D4658" s="2" t="s">
        <v>27</v>
      </c>
      <c r="E4658" s="4">
        <v>-31939</v>
      </c>
      <c r="F4658" s="3" t="s">
        <v>408</v>
      </c>
      <c r="G4658" s="3" t="s">
        <v>20</v>
      </c>
      <c r="H4658" s="2" t="s">
        <v>21</v>
      </c>
      <c r="I4658" s="2" t="s">
        <v>12022</v>
      </c>
      <c r="J4658" s="3" t="str">
        <f>HYPERLINK("https://www.boe.es/gazeta/dias/1812/07/20/pdfs/GMD-1812-202.pdf#page=4","Abrir facsímil")</f>
        <v>Abrir facsímil</v>
      </c>
      <c r="K4658" s="3" t="s">
        <v>23</v>
      </c>
    </row>
    <row r="4659" spans="1:11" ht="42" customHeight="1">
      <c r="A4659" s="2" t="s">
        <v>12023</v>
      </c>
      <c r="B4659" s="2" t="s">
        <v>12024</v>
      </c>
      <c r="C4659" s="2" t="s">
        <v>26</v>
      </c>
      <c r="D4659" s="2" t="s">
        <v>27</v>
      </c>
      <c r="E4659" s="4">
        <v>-31939</v>
      </c>
      <c r="F4659" s="3" t="s">
        <v>408</v>
      </c>
      <c r="G4659" s="3" t="s">
        <v>20</v>
      </c>
      <c r="H4659" s="2" t="s">
        <v>21</v>
      </c>
      <c r="I4659" s="2" t="s">
        <v>12025</v>
      </c>
      <c r="J4659" s="3" t="str">
        <f>HYPERLINK("https://www.boe.es/gazeta/dias/1812/07/20/pdfs/GMD-1812-202.pdf#page=4","Abrir facsímil")</f>
        <v>Abrir facsímil</v>
      </c>
      <c r="K4659" s="3" t="s">
        <v>23</v>
      </c>
    </row>
    <row r="4660" spans="1:11" ht="42" customHeight="1">
      <c r="A4660" s="2" t="s">
        <v>12026</v>
      </c>
      <c r="B4660" s="2" t="s">
        <v>12027</v>
      </c>
      <c r="C4660" s="2" t="s">
        <v>26</v>
      </c>
      <c r="D4660" s="2" t="s">
        <v>27</v>
      </c>
      <c r="E4660" s="4">
        <v>-32139</v>
      </c>
      <c r="F4660" s="3" t="s">
        <v>518</v>
      </c>
      <c r="G4660" s="3" t="s">
        <v>125</v>
      </c>
      <c r="H4660" s="2" t="s">
        <v>21</v>
      </c>
      <c r="I4660" s="2" t="s">
        <v>12028</v>
      </c>
      <c r="J4660" s="3" t="str">
        <f>HYPERLINK("https://www.boe.es/gazeta/dias/1812/01/02/pdfs/GEI-1812-1.pdf#page=8","Abrir facsímil")</f>
        <v>Abrir facsímil</v>
      </c>
      <c r="K4660" s="3" t="s">
        <v>23</v>
      </c>
    </row>
    <row r="4661" spans="1:11" ht="42" customHeight="1">
      <c r="A4661" s="2" t="s">
        <v>12029</v>
      </c>
      <c r="B4661" s="2" t="s">
        <v>12030</v>
      </c>
      <c r="C4661" s="2" t="s">
        <v>26</v>
      </c>
      <c r="D4661" s="2" t="s">
        <v>27</v>
      </c>
      <c r="E4661" s="4">
        <v>-32132</v>
      </c>
      <c r="F4661" s="3" t="s">
        <v>484</v>
      </c>
      <c r="G4661" s="3" t="s">
        <v>485</v>
      </c>
      <c r="H4661" s="2" t="s">
        <v>21</v>
      </c>
      <c r="I4661" s="2" t="s">
        <v>12031</v>
      </c>
      <c r="J4661" s="3" t="str">
        <f>HYPERLINK("https://www.boe.es/gazeta/dias/1812/01/09/pdfs/GEI-1812-4.pdf#page=8","Abrir facsímil")</f>
        <v>Abrir facsímil</v>
      </c>
      <c r="K4661" s="3" t="s">
        <v>23</v>
      </c>
    </row>
    <row r="4662" spans="1:11" ht="42" customHeight="1">
      <c r="A4662" s="2" t="s">
        <v>12032</v>
      </c>
      <c r="B4662" s="2" t="s">
        <v>12033</v>
      </c>
      <c r="C4662" s="2" t="s">
        <v>105</v>
      </c>
      <c r="D4662" s="2" t="s">
        <v>27</v>
      </c>
      <c r="E4662" s="4">
        <v>-31894</v>
      </c>
      <c r="F4662" s="3" t="s">
        <v>793</v>
      </c>
      <c r="G4662" s="3" t="s">
        <v>794</v>
      </c>
      <c r="H4662" s="2" t="s">
        <v>21</v>
      </c>
      <c r="I4662" s="2" t="s">
        <v>12034</v>
      </c>
      <c r="J4662" s="3" t="str">
        <f>HYPERLINK("https://www.boe.es/gazeta/dias/1812/09/03/pdfs/GRE-1812-119.pdf#page=7","Abrir facsímil")</f>
        <v>Abrir facsímil</v>
      </c>
      <c r="K4662" s="3" t="s">
        <v>23</v>
      </c>
    </row>
    <row r="4663" spans="1:11" ht="42" customHeight="1">
      <c r="A4663" s="2" t="s">
        <v>12035</v>
      </c>
      <c r="B4663" s="2" t="s">
        <v>12036</v>
      </c>
      <c r="C4663" s="2" t="s">
        <v>105</v>
      </c>
      <c r="D4663" s="2" t="s">
        <v>134</v>
      </c>
      <c r="E4663" s="4">
        <v>-32099</v>
      </c>
      <c r="F4663" s="3" t="s">
        <v>7479</v>
      </c>
      <c r="G4663" s="3" t="s">
        <v>196</v>
      </c>
      <c r="H4663" s="2" t="s">
        <v>30</v>
      </c>
      <c r="I4663" s="2" t="s">
        <v>12037</v>
      </c>
      <c r="J4663" s="3" t="str">
        <f>HYPERLINK("https://www.boe.es/gazeta/dias/1812/02/11/pdfs/F00165-00168.pdf#page=1","Abrir facsímil")</f>
        <v>Abrir facsímil</v>
      </c>
      <c r="K4663" s="3" t="s">
        <v>32</v>
      </c>
    </row>
    <row r="4664" spans="1:11" ht="42" customHeight="1">
      <c r="A4664" s="2" t="s">
        <v>12038</v>
      </c>
      <c r="B4664" s="2" t="s">
        <v>12039</v>
      </c>
      <c r="C4664" s="2" t="s">
        <v>26</v>
      </c>
      <c r="D4664" s="2" t="s">
        <v>275</v>
      </c>
      <c r="E4664" s="4">
        <v>-31941</v>
      </c>
      <c r="F4664" s="3" t="s">
        <v>57</v>
      </c>
      <c r="G4664" s="3" t="s">
        <v>125</v>
      </c>
      <c r="H4664" s="2" t="s">
        <v>21</v>
      </c>
      <c r="I4664" s="2" t="s">
        <v>12040</v>
      </c>
      <c r="J4664" s="3" t="str">
        <f>HYPERLINK("https://www.boe.es/gazeta/dias/1812/07/18/pdfs/GMD-1812-200.pdf#page=3","Abrir facsímil")</f>
        <v>Abrir facsímil</v>
      </c>
      <c r="K4664" s="3" t="s">
        <v>23</v>
      </c>
    </row>
    <row r="4665" spans="1:11" ht="42" customHeight="1">
      <c r="A4665" s="2" t="s">
        <v>12041</v>
      </c>
      <c r="B4665" s="2" t="s">
        <v>12042</v>
      </c>
      <c r="C4665" s="2" t="s">
        <v>26</v>
      </c>
      <c r="D4665" s="2" t="s">
        <v>27</v>
      </c>
      <c r="E4665" s="4">
        <v>-32003</v>
      </c>
      <c r="F4665" s="3" t="s">
        <v>585</v>
      </c>
      <c r="G4665" s="3" t="s">
        <v>1805</v>
      </c>
      <c r="H4665" s="2" t="s">
        <v>21</v>
      </c>
      <c r="I4665" s="2" t="s">
        <v>12043</v>
      </c>
      <c r="J4665" s="3" t="str">
        <f>HYPERLINK("https://www.boe.es/gazeta/dias/1812/05/17/pdfs/GMD-1812-138.pdf#page=1","Abrir facsímil")</f>
        <v>Abrir facsímil</v>
      </c>
      <c r="K4665" s="3" t="s">
        <v>23</v>
      </c>
    </row>
    <row r="4666" spans="1:11" ht="42" customHeight="1">
      <c r="A4666" s="2" t="s">
        <v>12044</v>
      </c>
      <c r="B4666" s="2" t="s">
        <v>12045</v>
      </c>
      <c r="C4666" s="2" t="s">
        <v>26</v>
      </c>
      <c r="D4666" s="2" t="s">
        <v>275</v>
      </c>
      <c r="E4666" s="4">
        <v>-31942</v>
      </c>
      <c r="F4666" s="3" t="s">
        <v>3065</v>
      </c>
      <c r="G4666" s="3" t="s">
        <v>3066</v>
      </c>
      <c r="H4666" s="2" t="s">
        <v>21</v>
      </c>
      <c r="I4666" s="2" t="s">
        <v>12046</v>
      </c>
      <c r="J4666" s="3" t="str">
        <f>HYPERLINK("https://www.boe.es/gazeta/dias/1812/07/17/pdfs/GMD-1812-199.pdf#page=3","Abrir facsímil")</f>
        <v>Abrir facsímil</v>
      </c>
      <c r="K4666" s="3" t="s">
        <v>23</v>
      </c>
    </row>
    <row r="4667" spans="1:11" ht="42" customHeight="1">
      <c r="A4667" s="2" t="s">
        <v>12047</v>
      </c>
      <c r="B4667" s="2" t="s">
        <v>12048</v>
      </c>
      <c r="C4667" s="2" t="s">
        <v>115</v>
      </c>
      <c r="D4667" s="2" t="s">
        <v>573</v>
      </c>
      <c r="E4667" s="4">
        <v>-31900</v>
      </c>
      <c r="F4667" s="3" t="s">
        <v>276</v>
      </c>
      <c r="G4667" s="3" t="s">
        <v>277</v>
      </c>
      <c r="H4667" s="2" t="s">
        <v>21</v>
      </c>
      <c r="I4667" s="2" t="s">
        <v>12049</v>
      </c>
      <c r="J4667" s="3" t="str">
        <f>HYPERLINK("https://www.boe.es/gazeta/dias/1812/08/28/pdfs/GRE-1812-113E.pdf#page=8","Abrir facsímil")</f>
        <v>Abrir facsímil</v>
      </c>
      <c r="K4667" s="3" t="s">
        <v>23</v>
      </c>
    </row>
    <row r="4668" spans="1:11" ht="42" customHeight="1">
      <c r="A4668" s="2" t="s">
        <v>12050</v>
      </c>
      <c r="B4668" s="2" t="s">
        <v>12051</v>
      </c>
      <c r="C4668" s="2" t="s">
        <v>49</v>
      </c>
      <c r="D4668" s="2" t="s">
        <v>18</v>
      </c>
      <c r="E4668" s="4">
        <v>-31922</v>
      </c>
      <c r="F4668" s="3" t="s">
        <v>622</v>
      </c>
      <c r="G4668" s="3" t="s">
        <v>623</v>
      </c>
      <c r="H4668" s="2" t="s">
        <v>21</v>
      </c>
      <c r="I4668" s="2" t="s">
        <v>12052</v>
      </c>
      <c r="J4668" s="3" t="str">
        <f>HYPERLINK("https://www.boe.es/gazeta/dias/1812/08/06/pdfs/GMD-1812-219.pdf#page=1","Abrir facsímil")</f>
        <v>Abrir facsímil</v>
      </c>
      <c r="K4668" s="3" t="s">
        <v>23</v>
      </c>
    </row>
    <row r="4669" spans="1:11" ht="42" customHeight="1">
      <c r="A4669" s="2" t="s">
        <v>12053</v>
      </c>
      <c r="B4669" s="2" t="s">
        <v>12054</v>
      </c>
      <c r="C4669" s="2" t="s">
        <v>26</v>
      </c>
      <c r="D4669" s="2" t="s">
        <v>27</v>
      </c>
      <c r="E4669" s="4">
        <v>-31938</v>
      </c>
      <c r="F4669" s="3" t="s">
        <v>324</v>
      </c>
      <c r="G4669" s="3" t="s">
        <v>497</v>
      </c>
      <c r="H4669" s="2" t="s">
        <v>30</v>
      </c>
      <c r="I4669" s="2" t="s">
        <v>12055</v>
      </c>
      <c r="J4669" s="3" t="str">
        <f>HYPERLINK("https://www.boe.es/gazeta/dias/1812/07/21/pdfs/GMD-1812-203.pdf#page=3","Abrir facsímil")</f>
        <v>Abrir facsímil</v>
      </c>
      <c r="K4669" s="3" t="s">
        <v>32</v>
      </c>
    </row>
    <row r="4670" spans="1:11" ht="42" customHeight="1">
      <c r="A4670" s="2" t="s">
        <v>12056</v>
      </c>
      <c r="B4670" s="2" t="s">
        <v>12057</v>
      </c>
      <c r="C4670" s="2" t="s">
        <v>26</v>
      </c>
      <c r="D4670" s="2" t="s">
        <v>27</v>
      </c>
      <c r="E4670" s="4">
        <v>-32065</v>
      </c>
      <c r="F4670" s="3" t="s">
        <v>259</v>
      </c>
      <c r="G4670" s="3" t="s">
        <v>20</v>
      </c>
      <c r="H4670" s="2" t="s">
        <v>21</v>
      </c>
      <c r="I4670" s="2" t="s">
        <v>12058</v>
      </c>
      <c r="J4670" s="3" t="str">
        <f>HYPERLINK("https://www.boe.es/gazeta/dias/1812/03/16/pdfs/GMD-1812-76.pdf#page=4","Abrir facsímil")</f>
        <v>Abrir facsímil</v>
      </c>
      <c r="K4670" s="3" t="s">
        <v>23</v>
      </c>
    </row>
    <row r="4671" spans="1:11" ht="42" customHeight="1">
      <c r="A4671" s="2" t="s">
        <v>12059</v>
      </c>
      <c r="B4671" s="2" t="s">
        <v>12060</v>
      </c>
      <c r="C4671" s="2" t="s">
        <v>17</v>
      </c>
      <c r="D4671" s="2" t="s">
        <v>18</v>
      </c>
      <c r="E4671" s="4">
        <v>-31992</v>
      </c>
      <c r="F4671" s="3" t="s">
        <v>1292</v>
      </c>
      <c r="G4671" s="3" t="s">
        <v>1424</v>
      </c>
      <c r="H4671" s="2" t="s">
        <v>21</v>
      </c>
      <c r="I4671" s="2" t="s">
        <v>12061</v>
      </c>
      <c r="J4671" s="3" t="str">
        <f>HYPERLINK("https://www.boe.es/gazeta/dias/1812/05/28/pdfs/GRE-1812-66.pdf#page=5","Abrir facsímil")</f>
        <v>Abrir facsímil</v>
      </c>
      <c r="K4671" s="3" t="s">
        <v>23</v>
      </c>
    </row>
    <row r="4672" spans="1:11" ht="42" customHeight="1">
      <c r="A4672" s="2" t="s">
        <v>12062</v>
      </c>
      <c r="B4672" s="2" t="s">
        <v>12063</v>
      </c>
      <c r="C4672" s="2" t="s">
        <v>26</v>
      </c>
      <c r="D4672" s="2" t="s">
        <v>27</v>
      </c>
      <c r="E4672" s="4">
        <v>-31936</v>
      </c>
      <c r="F4672" s="3" t="s">
        <v>603</v>
      </c>
      <c r="G4672" s="3" t="s">
        <v>2410</v>
      </c>
      <c r="H4672" s="2" t="s">
        <v>21</v>
      </c>
      <c r="I4672" s="2" t="s">
        <v>12064</v>
      </c>
      <c r="J4672" s="3" t="str">
        <f>HYPERLINK("https://www.boe.es/gazeta/dias/1812/07/23/pdfs/GMD-1812-205.pdf#page=4","Abrir facsímil")</f>
        <v>Abrir facsímil</v>
      </c>
      <c r="K4672" s="3" t="s">
        <v>23</v>
      </c>
    </row>
    <row r="4673" spans="1:11" ht="42" customHeight="1">
      <c r="A4673" s="2" t="s">
        <v>12065</v>
      </c>
      <c r="B4673" s="2" t="s">
        <v>12066</v>
      </c>
      <c r="C4673" s="2" t="s">
        <v>26</v>
      </c>
      <c r="D4673" s="2" t="s">
        <v>27</v>
      </c>
      <c r="E4673" s="4">
        <v>-31965</v>
      </c>
      <c r="F4673" s="3" t="s">
        <v>1180</v>
      </c>
      <c r="G4673" s="3" t="s">
        <v>777</v>
      </c>
      <c r="H4673" s="2" t="s">
        <v>21</v>
      </c>
      <c r="I4673" s="2" t="s">
        <v>12067</v>
      </c>
      <c r="J4673" s="3" t="str">
        <f>HYPERLINK("https://www.boe.es/gazeta/dias/1812/06/24/pdfs/GMD-1812-176.pdf#page=2","Abrir facsímil")</f>
        <v>Abrir facsímil</v>
      </c>
      <c r="K4673" s="3" t="s">
        <v>23</v>
      </c>
    </row>
    <row r="4674" spans="1:11" ht="42" customHeight="1">
      <c r="A4674" s="2" t="s">
        <v>12068</v>
      </c>
      <c r="B4674" s="2" t="s">
        <v>12069</v>
      </c>
      <c r="C4674" s="2" t="s">
        <v>17</v>
      </c>
      <c r="D4674" s="2" t="s">
        <v>134</v>
      </c>
      <c r="E4674" s="4">
        <v>-31910</v>
      </c>
      <c r="F4674" s="3" t="s">
        <v>2149</v>
      </c>
      <c r="G4674" s="3" t="s">
        <v>3587</v>
      </c>
      <c r="H4674" s="2" t="s">
        <v>21</v>
      </c>
      <c r="I4674" s="2" t="s">
        <v>12070</v>
      </c>
      <c r="J4674" s="3" t="str">
        <f>HYPERLINK("https://www.boe.es/gazeta/dias/1812/08/18/pdfs/GRE-F-1812-106.pdf#page=4","Abrir facsímil")</f>
        <v>Abrir facsímil</v>
      </c>
      <c r="K4674" s="3" t="s">
        <v>23</v>
      </c>
    </row>
    <row r="4675" spans="1:11" ht="42" customHeight="1">
      <c r="A4675" s="2" t="s">
        <v>12068</v>
      </c>
      <c r="B4675" s="2" t="s">
        <v>12069</v>
      </c>
      <c r="C4675" s="2" t="s">
        <v>115</v>
      </c>
      <c r="D4675" s="2" t="s">
        <v>27</v>
      </c>
      <c r="E4675" s="4">
        <v>-31892</v>
      </c>
      <c r="F4675" s="3" t="s">
        <v>1825</v>
      </c>
      <c r="G4675" s="3" t="s">
        <v>2156</v>
      </c>
      <c r="H4675" s="2" t="s">
        <v>21</v>
      </c>
      <c r="I4675" s="2" t="s">
        <v>12071</v>
      </c>
      <c r="J4675" s="3" t="str">
        <f>HYPERLINK("https://www.boe.es/gazeta/dias/1812/09/05/pdfs/GMR-1812-10.pdf#page=10","Abrir facsímil")</f>
        <v>Abrir facsímil</v>
      </c>
      <c r="K4675" s="3" t="s">
        <v>23</v>
      </c>
    </row>
    <row r="4676" spans="1:11" ht="42" customHeight="1">
      <c r="A4676" s="2" t="s">
        <v>12072</v>
      </c>
      <c r="B4676" s="2" t="s">
        <v>12073</v>
      </c>
      <c r="C4676" s="2" t="s">
        <v>17</v>
      </c>
      <c r="D4676" s="2" t="s">
        <v>18</v>
      </c>
      <c r="E4676" s="4">
        <v>-31964</v>
      </c>
      <c r="F4676" s="3" t="s">
        <v>305</v>
      </c>
      <c r="G4676" s="3" t="s">
        <v>45</v>
      </c>
      <c r="H4676" s="2" t="s">
        <v>21</v>
      </c>
      <c r="I4676" s="2" t="s">
        <v>12074</v>
      </c>
      <c r="J4676" s="3" t="str">
        <f>HYPERLINK("https://www.boe.es/gazeta/dias/1812/06/25/pdfs/GMD-1812-177.pdf#page=1","Abrir facsímil")</f>
        <v>Abrir facsímil</v>
      </c>
      <c r="K4676" s="3" t="s">
        <v>23</v>
      </c>
    </row>
    <row r="4677" spans="1:11" ht="42" customHeight="1">
      <c r="A4677" s="2" t="s">
        <v>12075</v>
      </c>
      <c r="B4677" s="2" t="s">
        <v>12076</v>
      </c>
      <c r="C4677" s="2" t="s">
        <v>26</v>
      </c>
      <c r="D4677" s="2" t="s">
        <v>27</v>
      </c>
      <c r="E4677" s="4">
        <v>-32066</v>
      </c>
      <c r="F4677" s="3" t="s">
        <v>291</v>
      </c>
      <c r="G4677" s="3" t="s">
        <v>125</v>
      </c>
      <c r="H4677" s="2" t="s">
        <v>21</v>
      </c>
      <c r="I4677" s="2" t="s">
        <v>12077</v>
      </c>
      <c r="J4677" s="3" t="str">
        <f>HYPERLINK("https://www.boe.es/gazeta/dias/1812/03/15/pdfs/GMD-1812-75.pdf#page=4","Abrir facsímil")</f>
        <v>Abrir facsímil</v>
      </c>
      <c r="K4677" s="3" t="s">
        <v>23</v>
      </c>
    </row>
    <row r="4678" spans="1:11" ht="42" customHeight="1">
      <c r="A4678" s="2" t="s">
        <v>12078</v>
      </c>
      <c r="B4678" s="2" t="s">
        <v>12079</v>
      </c>
      <c r="C4678" s="2" t="s">
        <v>26</v>
      </c>
      <c r="D4678" s="2" t="s">
        <v>27</v>
      </c>
      <c r="E4678" s="4">
        <v>-31938</v>
      </c>
      <c r="F4678" s="3" t="s">
        <v>324</v>
      </c>
      <c r="G4678" s="3" t="s">
        <v>237</v>
      </c>
      <c r="H4678" s="2" t="s">
        <v>21</v>
      </c>
      <c r="I4678" s="2" t="s">
        <v>12080</v>
      </c>
      <c r="J4678" s="3" t="str">
        <f>HYPERLINK("https://www.boe.es/gazeta/dias/1812/07/21/pdfs/GMD-1812-203.pdf#page=2","Abrir facsímil")</f>
        <v>Abrir facsímil</v>
      </c>
      <c r="K4678" s="3" t="s">
        <v>23</v>
      </c>
    </row>
    <row r="4679" spans="1:11" ht="42" customHeight="1">
      <c r="A4679" s="2" t="s">
        <v>12081</v>
      </c>
      <c r="B4679" s="2" t="s">
        <v>12082</v>
      </c>
      <c r="C4679" s="2" t="s">
        <v>26</v>
      </c>
      <c r="D4679" s="2" t="s">
        <v>27</v>
      </c>
      <c r="E4679" s="4">
        <v>-31969</v>
      </c>
      <c r="F4679" s="3" t="s">
        <v>83</v>
      </c>
      <c r="G4679" s="3" t="s">
        <v>84</v>
      </c>
      <c r="H4679" s="2" t="s">
        <v>21</v>
      </c>
      <c r="I4679" s="2" t="s">
        <v>12083</v>
      </c>
      <c r="J4679" s="3" t="str">
        <f>HYPERLINK("https://www.boe.es/gazeta/dias/1812/06/20/pdfs/GRE-1812-76.pdf#page=8","Abrir facsímil")</f>
        <v>Abrir facsímil</v>
      </c>
      <c r="K4679" s="3" t="s">
        <v>23</v>
      </c>
    </row>
    <row r="4680" spans="1:11" ht="42" customHeight="1">
      <c r="A4680" s="2" t="s">
        <v>12084</v>
      </c>
      <c r="B4680" s="2" t="s">
        <v>12085</v>
      </c>
      <c r="C4680" s="2" t="s">
        <v>26</v>
      </c>
      <c r="D4680" s="2" t="s">
        <v>27</v>
      </c>
      <c r="E4680" s="4">
        <v>-32067</v>
      </c>
      <c r="F4680" s="3" t="s">
        <v>199</v>
      </c>
      <c r="G4680" s="3" t="s">
        <v>237</v>
      </c>
      <c r="H4680" s="2" t="s">
        <v>21</v>
      </c>
      <c r="I4680" s="2" t="s">
        <v>12086</v>
      </c>
      <c r="J4680" s="3" t="str">
        <f>HYPERLINK("https://www.boe.es/gazeta/dias/1812/03/14/pdfs/GRE-1812-33.pdf#page=8","Abrir facsímil")</f>
        <v>Abrir facsímil</v>
      </c>
      <c r="K4680" s="3" t="s">
        <v>23</v>
      </c>
    </row>
    <row r="4681" spans="1:11" ht="42" customHeight="1">
      <c r="A4681" s="2" t="s">
        <v>12087</v>
      </c>
      <c r="B4681" s="2" t="s">
        <v>12088</v>
      </c>
      <c r="C4681" s="2" t="s">
        <v>26</v>
      </c>
      <c r="D4681" s="2" t="s">
        <v>27</v>
      </c>
      <c r="E4681" s="4">
        <v>-31969</v>
      </c>
      <c r="F4681" s="3" t="s">
        <v>83</v>
      </c>
      <c r="G4681" s="3" t="s">
        <v>84</v>
      </c>
      <c r="H4681" s="2" t="s">
        <v>21</v>
      </c>
      <c r="I4681" s="2" t="s">
        <v>12089</v>
      </c>
      <c r="J4681" s="3" t="str">
        <f>HYPERLINK("https://www.boe.es/gazeta/dias/1812/06/20/pdfs/GRE-1812-76.pdf#page=8","Abrir facsímil")</f>
        <v>Abrir facsímil</v>
      </c>
      <c r="K4681" s="3" t="s">
        <v>23</v>
      </c>
    </row>
    <row r="4682" spans="1:11" ht="42" customHeight="1">
      <c r="A4682" s="2" t="s">
        <v>12090</v>
      </c>
      <c r="B4682" s="2" t="s">
        <v>12091</v>
      </c>
      <c r="C4682" s="2" t="s">
        <v>26</v>
      </c>
      <c r="D4682" s="2" t="s">
        <v>27</v>
      </c>
      <c r="E4682" s="4">
        <v>-31964</v>
      </c>
      <c r="F4682" s="3" t="s">
        <v>305</v>
      </c>
      <c r="G4682" s="3" t="s">
        <v>58</v>
      </c>
      <c r="H4682" s="2" t="s">
        <v>21</v>
      </c>
      <c r="I4682" s="2" t="s">
        <v>12092</v>
      </c>
      <c r="J4682" s="3" t="str">
        <f>HYPERLINK("https://www.boe.es/gazeta/dias/1812/06/25/pdfs/GMD-1812-177.pdf#page=2","Abrir facsímil")</f>
        <v>Abrir facsímil</v>
      </c>
      <c r="K4682" s="3" t="s">
        <v>23</v>
      </c>
    </row>
    <row r="4683" spans="1:11" ht="42" customHeight="1">
      <c r="A4683" s="2" t="s">
        <v>12093</v>
      </c>
      <c r="B4683" s="2" t="s">
        <v>12094</v>
      </c>
      <c r="C4683" s="2" t="s">
        <v>26</v>
      </c>
      <c r="D4683" s="2" t="s">
        <v>27</v>
      </c>
      <c r="E4683" s="4">
        <v>-32034</v>
      </c>
      <c r="F4683" s="3" t="s">
        <v>28</v>
      </c>
      <c r="G4683" s="3" t="s">
        <v>317</v>
      </c>
      <c r="H4683" s="2" t="s">
        <v>21</v>
      </c>
      <c r="I4683" s="2" t="s">
        <v>12095</v>
      </c>
      <c r="J4683" s="3" t="str">
        <f>HYPERLINK("https://www.boe.es/gazeta/dias/1812/04/16/pdfs/GMD-1812-107.pdf#page=6","Abrir facsímil")</f>
        <v>Abrir facsímil</v>
      </c>
      <c r="K4683" s="3" t="s">
        <v>23</v>
      </c>
    </row>
    <row r="4684" spans="1:11" ht="42" customHeight="1">
      <c r="A4684" s="2" t="s">
        <v>12096</v>
      </c>
      <c r="B4684" s="2" t="s">
        <v>12097</v>
      </c>
      <c r="C4684" s="2" t="s">
        <v>17</v>
      </c>
      <c r="D4684" s="2" t="s">
        <v>27</v>
      </c>
      <c r="E4684" s="4">
        <v>-31857</v>
      </c>
      <c r="F4684" s="3" t="s">
        <v>1000</v>
      </c>
      <c r="G4684" s="3" t="s">
        <v>136</v>
      </c>
      <c r="H4684" s="2" t="s">
        <v>21</v>
      </c>
      <c r="I4684" s="2" t="s">
        <v>12098</v>
      </c>
      <c r="J4684" s="3" t="str">
        <f>HYPERLINK("https://www.boe.es/gazeta/dias/1812/10/10/pdfs/GRE-1812-137.pdf#page=8","Abrir facsímil")</f>
        <v>Abrir facsímil</v>
      </c>
      <c r="K4684" s="3" t="s">
        <v>23</v>
      </c>
    </row>
    <row r="4685" spans="1:11" ht="42" customHeight="1">
      <c r="A4685" s="2" t="s">
        <v>12099</v>
      </c>
      <c r="B4685" s="2" t="s">
        <v>12100</v>
      </c>
      <c r="C4685" s="2" t="s">
        <v>26</v>
      </c>
      <c r="D4685" s="2" t="s">
        <v>27</v>
      </c>
      <c r="E4685" s="4">
        <v>-32036</v>
      </c>
      <c r="F4685" s="3" t="s">
        <v>781</v>
      </c>
      <c r="G4685" s="3" t="s">
        <v>782</v>
      </c>
      <c r="H4685" s="2" t="s">
        <v>21</v>
      </c>
      <c r="I4685" s="2" t="s">
        <v>12101</v>
      </c>
      <c r="J4685" s="3" t="str">
        <f>HYPERLINK("https://www.boe.es/gazeta/dias/1812/04/14/pdfs/GRE-1812-47.pdf#page=8","Abrir facsímil")</f>
        <v>Abrir facsímil</v>
      </c>
      <c r="K4685" s="3" t="s">
        <v>23</v>
      </c>
    </row>
    <row r="4686" spans="1:11" ht="42" customHeight="1">
      <c r="A4686" s="2" t="s">
        <v>12102</v>
      </c>
      <c r="B4686" s="2" t="s">
        <v>12103</v>
      </c>
      <c r="C4686" s="2" t="s">
        <v>17</v>
      </c>
      <c r="D4686" s="2" t="s">
        <v>18</v>
      </c>
      <c r="E4686" s="4">
        <v>-32061</v>
      </c>
      <c r="F4686" s="3" t="s">
        <v>798</v>
      </c>
      <c r="G4686" s="3" t="s">
        <v>36</v>
      </c>
      <c r="H4686" s="2" t="s">
        <v>21</v>
      </c>
      <c r="I4686" s="2" t="s">
        <v>12104</v>
      </c>
      <c r="J4686" s="3" t="str">
        <f>HYPERLINK("https://www.boe.es/gazeta/dias/1812/03/20/pdfs/GMD-1812-80.pdf#page=3","Abrir facsímil")</f>
        <v>Abrir facsímil</v>
      </c>
      <c r="K4686" s="3" t="s">
        <v>23</v>
      </c>
    </row>
    <row r="4687" spans="1:11" ht="42" customHeight="1">
      <c r="A4687" s="2" t="s">
        <v>12105</v>
      </c>
      <c r="B4687" s="2" t="s">
        <v>12106</v>
      </c>
      <c r="C4687" s="2" t="s">
        <v>26</v>
      </c>
      <c r="D4687" s="2" t="s">
        <v>27</v>
      </c>
      <c r="E4687" s="4">
        <v>-31943</v>
      </c>
      <c r="F4687" s="3" t="s">
        <v>2825</v>
      </c>
      <c r="G4687" s="3" t="s">
        <v>12107</v>
      </c>
      <c r="H4687" s="2" t="s">
        <v>21</v>
      </c>
      <c r="I4687" s="2" t="s">
        <v>12108</v>
      </c>
      <c r="J4687" s="3" t="str">
        <f>HYPERLINK("https://www.boe.es/gazeta/dias/1812/07/16/pdfs/GRE-1812-89.pdf#page=3","Abrir facsímil")</f>
        <v>Abrir facsímil</v>
      </c>
      <c r="K4687" s="3" t="s">
        <v>23</v>
      </c>
    </row>
    <row r="4688" spans="1:11" ht="42" customHeight="1">
      <c r="A4688" s="2" t="s">
        <v>12109</v>
      </c>
      <c r="B4688" s="2" t="s">
        <v>12110</v>
      </c>
      <c r="C4688" s="2" t="s">
        <v>26</v>
      </c>
      <c r="D4688" s="2" t="s">
        <v>275</v>
      </c>
      <c r="E4688" s="4">
        <v>-31964</v>
      </c>
      <c r="F4688" s="3" t="s">
        <v>305</v>
      </c>
      <c r="G4688" s="3" t="s">
        <v>58</v>
      </c>
      <c r="H4688" s="2" t="s">
        <v>21</v>
      </c>
      <c r="I4688" s="2" t="s">
        <v>12111</v>
      </c>
      <c r="J4688" s="3" t="str">
        <f>HYPERLINK("https://www.boe.es/gazeta/dias/1812/06/25/pdfs/GMD-1812-177.pdf#page=2","Abrir facsímil")</f>
        <v>Abrir facsímil</v>
      </c>
      <c r="K4688" s="3" t="s">
        <v>23</v>
      </c>
    </row>
    <row r="4689" spans="1:11" ht="42" customHeight="1">
      <c r="A4689" s="2" t="s">
        <v>12112</v>
      </c>
      <c r="B4689" s="2" t="s">
        <v>12113</v>
      </c>
      <c r="C4689" s="2" t="s">
        <v>26</v>
      </c>
      <c r="D4689" s="2" t="s">
        <v>27</v>
      </c>
      <c r="E4689" s="4">
        <v>-32100</v>
      </c>
      <c r="F4689" s="3" t="s">
        <v>492</v>
      </c>
      <c r="G4689" s="3" t="s">
        <v>493</v>
      </c>
      <c r="H4689" s="2" t="s">
        <v>21</v>
      </c>
      <c r="I4689" s="2" t="s">
        <v>12114</v>
      </c>
      <c r="J4689" s="3" t="str">
        <f>HYPERLINK("https://www.boe.es/gazeta/dias/1812/02/10/pdfs/GRE-1812-31.pdf#page=8","Abrir facsímil")</f>
        <v>Abrir facsímil</v>
      </c>
      <c r="K4689" s="3" t="s">
        <v>23</v>
      </c>
    </row>
    <row r="4690" spans="1:11" ht="42" customHeight="1">
      <c r="A4690" s="2" t="s">
        <v>12112</v>
      </c>
      <c r="B4690" s="2" t="s">
        <v>12113</v>
      </c>
      <c r="C4690" s="2" t="s">
        <v>26</v>
      </c>
      <c r="D4690" s="2" t="s">
        <v>27</v>
      </c>
      <c r="E4690" s="4">
        <v>-32071</v>
      </c>
      <c r="F4690" s="3" t="s">
        <v>492</v>
      </c>
      <c r="G4690" s="3" t="s">
        <v>493</v>
      </c>
      <c r="H4690" s="2" t="s">
        <v>21</v>
      </c>
      <c r="I4690" s="2" t="s">
        <v>12114</v>
      </c>
      <c r="J4690" s="3" t="str">
        <f>HYPERLINK("https://www.boe.es/gazeta/dias/1812/03/10/pdfs/GRE-1812-31.pdf#page=8","Abrir facsímil")</f>
        <v>Abrir facsímil</v>
      </c>
      <c r="K4690" s="3" t="s">
        <v>23</v>
      </c>
    </row>
    <row r="4691" spans="1:11" ht="42" customHeight="1">
      <c r="A4691" s="2" t="s">
        <v>12115</v>
      </c>
      <c r="B4691" s="2" t="s">
        <v>12116</v>
      </c>
      <c r="C4691" s="2" t="s">
        <v>26</v>
      </c>
      <c r="D4691" s="2" t="s">
        <v>27</v>
      </c>
      <c r="E4691" s="4">
        <v>-32045</v>
      </c>
      <c r="F4691" s="3" t="s">
        <v>129</v>
      </c>
      <c r="G4691" s="3" t="s">
        <v>130</v>
      </c>
      <c r="H4691" s="2" t="s">
        <v>21</v>
      </c>
      <c r="I4691" s="2" t="s">
        <v>12117</v>
      </c>
      <c r="J4691" s="3" t="str">
        <f>HYPERLINK("https://www.boe.es/gazeta/dias/1812/04/05/pdfs/GMD-1812-96.pdf#page=4","Abrir facsímil")</f>
        <v>Abrir facsímil</v>
      </c>
      <c r="K4691" s="3" t="s">
        <v>23</v>
      </c>
    </row>
    <row r="4692" spans="1:11" ht="42" customHeight="1">
      <c r="A4692" s="2" t="s">
        <v>12118</v>
      </c>
      <c r="B4692" s="2" t="s">
        <v>12119</v>
      </c>
      <c r="C4692" s="2" t="s">
        <v>186</v>
      </c>
      <c r="D4692" s="2" t="s">
        <v>275</v>
      </c>
      <c r="E4692" s="4">
        <v>-32008</v>
      </c>
      <c r="F4692" s="3" t="s">
        <v>8878</v>
      </c>
      <c r="G4692" s="3" t="s">
        <v>12120</v>
      </c>
      <c r="H4692" s="2" t="s">
        <v>21</v>
      </c>
      <c r="I4692" s="2" t="s">
        <v>12121</v>
      </c>
      <c r="J4692" s="3" t="str">
        <f>HYPERLINK("https://www.boe.es/gazeta/dias/1812/05/12/pdfs/GRE-1812-59.pdf#page=8","Abrir facsímil")</f>
        <v>Abrir facsímil</v>
      </c>
      <c r="K4692" s="3" t="s">
        <v>23</v>
      </c>
    </row>
    <row r="4693" spans="1:11" ht="42" customHeight="1">
      <c r="A4693" s="2" t="s">
        <v>12122</v>
      </c>
      <c r="B4693" s="2" t="s">
        <v>12123</v>
      </c>
      <c r="C4693" s="2" t="s">
        <v>17</v>
      </c>
      <c r="D4693" s="2" t="s">
        <v>18</v>
      </c>
      <c r="E4693" s="4">
        <v>-31966</v>
      </c>
      <c r="F4693" s="3" t="s">
        <v>3665</v>
      </c>
      <c r="G4693" s="3" t="s">
        <v>3666</v>
      </c>
      <c r="H4693" s="2" t="s">
        <v>21</v>
      </c>
      <c r="I4693" s="2" t="s">
        <v>12124</v>
      </c>
      <c r="J4693" s="3" t="str">
        <f>HYPERLINK("https://www.boe.es/gazeta/dias/1812/06/23/pdfs/GRE-1812-77.pdf#page=8","Abrir facsímil")</f>
        <v>Abrir facsímil</v>
      </c>
      <c r="K4693" s="3" t="s">
        <v>23</v>
      </c>
    </row>
    <row r="4694" spans="1:11" ht="42" customHeight="1">
      <c r="A4694" s="2" t="s">
        <v>12125</v>
      </c>
      <c r="B4694" s="2" t="s">
        <v>12126</v>
      </c>
      <c r="C4694" s="2" t="s">
        <v>17</v>
      </c>
      <c r="D4694" s="2" t="s">
        <v>275</v>
      </c>
      <c r="E4694" s="4">
        <v>-32111</v>
      </c>
      <c r="F4694" s="3" t="s">
        <v>553</v>
      </c>
      <c r="G4694" s="3" t="s">
        <v>29</v>
      </c>
      <c r="H4694" s="2" t="s">
        <v>21</v>
      </c>
      <c r="I4694" s="2" t="s">
        <v>12127</v>
      </c>
      <c r="J4694" s="3" t="str">
        <f>HYPERLINK("https://www.boe.es/gazeta/dias/1812/01/30/pdfs/GRE-1812-13.pdf#page=8","Abrir facsímil")</f>
        <v>Abrir facsímil</v>
      </c>
      <c r="K4694" s="3" t="s">
        <v>23</v>
      </c>
    </row>
    <row r="4695" spans="1:11" ht="42" customHeight="1">
      <c r="A4695" s="2" t="s">
        <v>12125</v>
      </c>
      <c r="B4695" s="2" t="s">
        <v>12126</v>
      </c>
      <c r="C4695" s="2" t="s">
        <v>67</v>
      </c>
      <c r="D4695" s="2" t="s">
        <v>275</v>
      </c>
      <c r="E4695" s="4">
        <v>-32104</v>
      </c>
      <c r="F4695" s="3" t="s">
        <v>996</v>
      </c>
      <c r="G4695" s="3" t="s">
        <v>12128</v>
      </c>
      <c r="H4695" s="2" t="s">
        <v>21</v>
      </c>
      <c r="I4695" s="2" t="s">
        <v>12129</v>
      </c>
      <c r="J4695" s="3" t="str">
        <f>HYPERLINK("https://www.boe.es/gazeta/dias/1812/02/06/pdfs/GRE-1812-16.pdf#page=5","Abrir facsímil")</f>
        <v>Abrir facsímil</v>
      </c>
      <c r="K4695" s="3" t="s">
        <v>23</v>
      </c>
    </row>
    <row r="4696" spans="1:11" ht="42" customHeight="1">
      <c r="A4696" s="2" t="s">
        <v>12125</v>
      </c>
      <c r="B4696" s="2" t="s">
        <v>12126</v>
      </c>
      <c r="C4696" s="2" t="s">
        <v>26</v>
      </c>
      <c r="D4696" s="2" t="s">
        <v>275</v>
      </c>
      <c r="E4696" s="4">
        <v>-32083</v>
      </c>
      <c r="F4696" s="3" t="s">
        <v>1496</v>
      </c>
      <c r="G4696" s="3" t="s">
        <v>237</v>
      </c>
      <c r="H4696" s="2" t="s">
        <v>21</v>
      </c>
      <c r="I4696" s="2" t="s">
        <v>12130</v>
      </c>
      <c r="J4696" s="3" t="str">
        <f>HYPERLINK("https://www.boe.es/gazeta/dias/1812/02/27/pdfs/GRE-1812-26.pdf#page=8","Abrir facsímil")</f>
        <v>Abrir facsímil</v>
      </c>
      <c r="K4696" s="3" t="s">
        <v>23</v>
      </c>
    </row>
    <row r="4697" spans="1:11" ht="42" customHeight="1">
      <c r="A4697" s="2" t="s">
        <v>12125</v>
      </c>
      <c r="B4697" s="2" t="s">
        <v>12126</v>
      </c>
      <c r="C4697" s="2" t="s">
        <v>26</v>
      </c>
      <c r="D4697" s="2" t="s">
        <v>275</v>
      </c>
      <c r="E4697" s="4">
        <v>-32020</v>
      </c>
      <c r="F4697" s="3" t="s">
        <v>2818</v>
      </c>
      <c r="G4697" s="3" t="s">
        <v>12131</v>
      </c>
      <c r="H4697" s="2" t="s">
        <v>21</v>
      </c>
      <c r="I4697" s="2" t="s">
        <v>12132</v>
      </c>
      <c r="J4697" s="3" t="str">
        <f>HYPERLINK("https://www.boe.es/gazeta/dias/1812/04/30/pdfs/GRE-1812-54.pdf#page=8","Abrir facsímil")</f>
        <v>Abrir facsímil</v>
      </c>
      <c r="K4697" s="3" t="s">
        <v>23</v>
      </c>
    </row>
    <row r="4698" spans="1:11" ht="42" customHeight="1">
      <c r="A4698" s="2" t="s">
        <v>12125</v>
      </c>
      <c r="B4698" s="2" t="s">
        <v>12126</v>
      </c>
      <c r="C4698" s="2" t="s">
        <v>26</v>
      </c>
      <c r="D4698" s="2" t="s">
        <v>275</v>
      </c>
      <c r="E4698" s="4">
        <v>-31971</v>
      </c>
      <c r="F4698" s="3" t="s">
        <v>686</v>
      </c>
      <c r="G4698" s="3" t="s">
        <v>58</v>
      </c>
      <c r="H4698" s="2" t="s">
        <v>21</v>
      </c>
      <c r="I4698" s="2" t="s">
        <v>12133</v>
      </c>
      <c r="J4698" s="3" t="str">
        <f>HYPERLINK("https://www.boe.es/gazeta/dias/1812/06/18/pdfs/GRE-1812-75.pdf#page=8","Abrir facsímil")</f>
        <v>Abrir facsímil</v>
      </c>
      <c r="K4698" s="3" t="s">
        <v>23</v>
      </c>
    </row>
    <row r="4699" spans="1:11" ht="42" customHeight="1">
      <c r="A4699" s="2" t="s">
        <v>12125</v>
      </c>
      <c r="B4699" s="2" t="s">
        <v>12126</v>
      </c>
      <c r="C4699" s="2" t="s">
        <v>67</v>
      </c>
      <c r="D4699" s="2" t="s">
        <v>27</v>
      </c>
      <c r="E4699" s="4">
        <v>-31962</v>
      </c>
      <c r="F4699" s="3" t="s">
        <v>153</v>
      </c>
      <c r="G4699" s="3" t="s">
        <v>154</v>
      </c>
      <c r="H4699" s="2" t="s">
        <v>21</v>
      </c>
      <c r="I4699" s="2" t="s">
        <v>12134</v>
      </c>
      <c r="J4699" s="3" t="str">
        <f>HYPERLINK("https://www.boe.es/gazeta/dias/1812/06/27/pdfs/GRE-1812-79.pdf#page=8","Abrir facsímil")</f>
        <v>Abrir facsímil</v>
      </c>
      <c r="K4699" s="3" t="s">
        <v>23</v>
      </c>
    </row>
    <row r="4700" spans="1:11" ht="42" customHeight="1">
      <c r="A4700" s="2" t="s">
        <v>12125</v>
      </c>
      <c r="B4700" s="2" t="s">
        <v>12126</v>
      </c>
      <c r="C4700" s="2" t="s">
        <v>17</v>
      </c>
      <c r="D4700" s="2" t="s">
        <v>275</v>
      </c>
      <c r="E4700" s="4">
        <v>-31955</v>
      </c>
      <c r="F4700" s="3" t="s">
        <v>789</v>
      </c>
      <c r="G4700" s="3" t="s">
        <v>58</v>
      </c>
      <c r="H4700" s="2" t="s">
        <v>21</v>
      </c>
      <c r="I4700" s="2" t="s">
        <v>12135</v>
      </c>
      <c r="J4700" s="3" t="str">
        <f>HYPERLINK("https://www.boe.es/gazeta/dias/1812/07/04/pdfs/GRE-1812-82.pdf#page=6","Abrir facsímil")</f>
        <v>Abrir facsímil</v>
      </c>
      <c r="K4700" s="3" t="s">
        <v>23</v>
      </c>
    </row>
    <row r="4701" spans="1:11" ht="42" customHeight="1">
      <c r="A4701" s="2" t="s">
        <v>12125</v>
      </c>
      <c r="B4701" s="2" t="s">
        <v>12126</v>
      </c>
      <c r="C4701" s="2" t="s">
        <v>105</v>
      </c>
      <c r="D4701" s="2" t="s">
        <v>573</v>
      </c>
      <c r="E4701" s="4">
        <v>-31950</v>
      </c>
      <c r="F4701" s="3" t="s">
        <v>2822</v>
      </c>
      <c r="G4701" s="3" t="s">
        <v>12136</v>
      </c>
      <c r="H4701" s="2" t="s">
        <v>21</v>
      </c>
      <c r="I4701" s="2" t="s">
        <v>12137</v>
      </c>
      <c r="J4701" s="3" t="str">
        <f>HYPERLINK("https://www.boe.es/gazeta/dias/1812/07/09/pdfs/GRE-1812-85E.pdf#page=1","Abrir facsímil")</f>
        <v>Abrir facsímil</v>
      </c>
      <c r="K4701" s="3" t="s">
        <v>23</v>
      </c>
    </row>
    <row r="4702" spans="1:11" ht="42" customHeight="1">
      <c r="A4702" s="2" t="s">
        <v>12125</v>
      </c>
      <c r="B4702" s="2" t="s">
        <v>12126</v>
      </c>
      <c r="C4702" s="2" t="s">
        <v>17</v>
      </c>
      <c r="D4702" s="2" t="s">
        <v>18</v>
      </c>
      <c r="E4702" s="4">
        <v>-31898</v>
      </c>
      <c r="F4702" s="3" t="s">
        <v>1952</v>
      </c>
      <c r="G4702" s="3" t="s">
        <v>255</v>
      </c>
      <c r="H4702" s="2" t="s">
        <v>21</v>
      </c>
      <c r="I4702" s="2" t="s">
        <v>12138</v>
      </c>
      <c r="J4702" s="3" t="str">
        <f>HYPERLINK("https://www.boe.es/gazeta/dias/1812/08/30/pdfs/GRE-1812-116E.pdf#page=1","Abrir facsímil")</f>
        <v>Abrir facsímil</v>
      </c>
      <c r="K4702" s="3" t="s">
        <v>23</v>
      </c>
    </row>
    <row r="4703" spans="1:11" ht="42" customHeight="1">
      <c r="A4703" s="2" t="s">
        <v>12125</v>
      </c>
      <c r="B4703" s="2" t="s">
        <v>12126</v>
      </c>
      <c r="C4703" s="2" t="s">
        <v>105</v>
      </c>
      <c r="D4703" s="2" t="s">
        <v>27</v>
      </c>
      <c r="E4703" s="4">
        <v>-31864</v>
      </c>
      <c r="F4703" s="3" t="s">
        <v>3014</v>
      </c>
      <c r="G4703" s="3" t="s">
        <v>8928</v>
      </c>
      <c r="H4703" s="2" t="s">
        <v>21</v>
      </c>
      <c r="I4703" s="2" t="s">
        <v>12139</v>
      </c>
      <c r="J4703" s="3" t="str">
        <f>HYPERLINK("https://www.boe.es/gazeta/dias/1812/10/03/pdfs/GRE-1812-134.pdf#page=6","Abrir facsímil")</f>
        <v>Abrir facsímil</v>
      </c>
      <c r="K4703" s="3" t="s">
        <v>23</v>
      </c>
    </row>
    <row r="4704" spans="1:11" ht="42" customHeight="1">
      <c r="A4704" s="2" t="s">
        <v>12140</v>
      </c>
      <c r="B4704" s="2" t="s">
        <v>12141</v>
      </c>
      <c r="C4704" s="2" t="s">
        <v>26</v>
      </c>
      <c r="D4704" s="2" t="s">
        <v>27</v>
      </c>
      <c r="E4704" s="4">
        <v>-31878</v>
      </c>
      <c r="F4704" s="3" t="s">
        <v>2891</v>
      </c>
      <c r="G4704" s="3" t="s">
        <v>9241</v>
      </c>
      <c r="H4704" s="2" t="s">
        <v>21</v>
      </c>
      <c r="I4704" s="2" t="s">
        <v>12142</v>
      </c>
      <c r="J4704" s="3" t="str">
        <f>HYPERLINK("https://www.boe.es/gazeta/dias/1812/09/19/pdfs/GRE-1812-127.pdf#page=7","Abrir facsímil")</f>
        <v>Abrir facsímil</v>
      </c>
      <c r="K4704" s="3" t="s">
        <v>23</v>
      </c>
    </row>
    <row r="4705" spans="1:11" ht="42" customHeight="1">
      <c r="A4705" s="2" t="s">
        <v>12143</v>
      </c>
      <c r="B4705" s="2" t="s">
        <v>12144</v>
      </c>
      <c r="C4705" s="2" t="s">
        <v>105</v>
      </c>
      <c r="D4705" s="2" t="s">
        <v>275</v>
      </c>
      <c r="E4705" s="4">
        <v>-31847</v>
      </c>
      <c r="F4705" s="3" t="s">
        <v>4133</v>
      </c>
      <c r="G4705" s="3" t="s">
        <v>58</v>
      </c>
      <c r="H4705" s="2" t="s">
        <v>21</v>
      </c>
      <c r="I4705" s="2" t="s">
        <v>12145</v>
      </c>
      <c r="J4705" s="3" t="str">
        <f>HYPERLINK("https://www.boe.es/gazeta/dias/1812/10/20/pdfs/GMR-1812-29.pdf#page=10","Abrir facsímil")</f>
        <v>Abrir facsímil</v>
      </c>
      <c r="K4705" s="3" t="s">
        <v>23</v>
      </c>
    </row>
    <row r="4706" spans="1:11" ht="42" customHeight="1">
      <c r="A4706" s="2" t="s">
        <v>12146</v>
      </c>
      <c r="B4706" s="2" t="s">
        <v>12147</v>
      </c>
      <c r="C4706" s="2" t="s">
        <v>17</v>
      </c>
      <c r="D4706" s="2" t="s">
        <v>18</v>
      </c>
      <c r="E4706" s="4">
        <v>-32050</v>
      </c>
      <c r="F4706" s="3" t="s">
        <v>864</v>
      </c>
      <c r="G4706" s="3" t="s">
        <v>8753</v>
      </c>
      <c r="H4706" s="2" t="s">
        <v>21</v>
      </c>
      <c r="I4706" s="2" t="s">
        <v>12148</v>
      </c>
      <c r="J4706" s="3" t="str">
        <f>HYPERLINK("https://www.boe.es/gazeta/dias/1812/03/31/pdfs/GRE-1812-40.pdf#page=7","Abrir facsímil")</f>
        <v>Abrir facsímil</v>
      </c>
      <c r="K4706" s="3" t="s">
        <v>23</v>
      </c>
    </row>
    <row r="4707" spans="1:11" ht="42" customHeight="1">
      <c r="A4707" s="2" t="s">
        <v>12149</v>
      </c>
      <c r="B4707" s="2" t="s">
        <v>12150</v>
      </c>
      <c r="C4707" s="2" t="s">
        <v>26</v>
      </c>
      <c r="D4707" s="2" t="s">
        <v>27</v>
      </c>
      <c r="E4707" s="4">
        <v>-31940</v>
      </c>
      <c r="F4707" s="3" t="s">
        <v>187</v>
      </c>
      <c r="G4707" s="3" t="s">
        <v>404</v>
      </c>
      <c r="H4707" s="2" t="s">
        <v>21</v>
      </c>
      <c r="I4707" s="2" t="s">
        <v>12151</v>
      </c>
      <c r="J4707" s="3" t="str">
        <f>HYPERLINK("https://www.boe.es/gazeta/dias/1812/07/19/pdfs/GMD-1812-201.pdf#page=3","Abrir facsímil")</f>
        <v>Abrir facsímil</v>
      </c>
      <c r="K4707" s="3" t="s">
        <v>23</v>
      </c>
    </row>
    <row r="4708" spans="1:11" ht="42" customHeight="1">
      <c r="A4708" s="2" t="s">
        <v>12152</v>
      </c>
      <c r="B4708" s="2" t="s">
        <v>12153</v>
      </c>
      <c r="C4708" s="2" t="s">
        <v>17</v>
      </c>
      <c r="D4708" s="2" t="s">
        <v>275</v>
      </c>
      <c r="E4708" s="4">
        <v>-31822</v>
      </c>
      <c r="F4708" s="3" t="s">
        <v>541</v>
      </c>
      <c r="G4708" s="3" t="s">
        <v>3583</v>
      </c>
      <c r="H4708" s="2" t="s">
        <v>21</v>
      </c>
      <c r="I4708" s="2" t="s">
        <v>12154</v>
      </c>
      <c r="J4708" s="3" t="str">
        <f>HYPERLINK("https://www.boe.es/gazeta/dias/1812/11/14/pdfs/GRE-1812-152.pdf#page=6","Abrir facsímil")</f>
        <v>Abrir facsímil</v>
      </c>
      <c r="K4708" s="3" t="s">
        <v>23</v>
      </c>
    </row>
    <row r="4709" spans="1:11" ht="42" customHeight="1">
      <c r="A4709" s="2" t="s">
        <v>12155</v>
      </c>
      <c r="B4709" s="2" t="s">
        <v>12156</v>
      </c>
      <c r="C4709" s="2" t="s">
        <v>115</v>
      </c>
      <c r="D4709" s="2" t="s">
        <v>18</v>
      </c>
      <c r="E4709" s="4">
        <v>-31854</v>
      </c>
      <c r="F4709" s="3" t="s">
        <v>717</v>
      </c>
      <c r="G4709" s="3" t="s">
        <v>106</v>
      </c>
      <c r="H4709" s="2" t="s">
        <v>21</v>
      </c>
      <c r="I4709" s="2" t="s">
        <v>12157</v>
      </c>
      <c r="J4709" s="3" t="str">
        <f>HYPERLINK("https://www.boe.es/gazeta/dias/1812/10/13/pdfs/GRE-1812-138.pdf#page=7","Abrir facsímil")</f>
        <v>Abrir facsímil</v>
      </c>
      <c r="K4709" s="3" t="s">
        <v>23</v>
      </c>
    </row>
    <row r="4710" spans="1:11" ht="42" customHeight="1">
      <c r="A4710" s="2" t="s">
        <v>12158</v>
      </c>
      <c r="B4710" s="2" t="s">
        <v>12159</v>
      </c>
      <c r="C4710" s="2" t="s">
        <v>26</v>
      </c>
      <c r="D4710" s="2" t="s">
        <v>27</v>
      </c>
      <c r="E4710" s="4">
        <v>-32044</v>
      </c>
      <c r="F4710" s="3" t="s">
        <v>1031</v>
      </c>
      <c r="G4710" s="3" t="s">
        <v>1873</v>
      </c>
      <c r="H4710" s="2" t="s">
        <v>21</v>
      </c>
      <c r="I4710" s="2" t="s">
        <v>12160</v>
      </c>
      <c r="J4710" s="3" t="str">
        <f>HYPERLINK("https://www.boe.es/gazeta/dias/1812/04/06/pdfs/GMD-1812-97.pdf#page=4","Abrir facsímil")</f>
        <v>Abrir facsímil</v>
      </c>
      <c r="K4710" s="3" t="s">
        <v>23</v>
      </c>
    </row>
    <row r="4711" spans="1:11" ht="42" customHeight="1">
      <c r="A4711" s="2" t="s">
        <v>12161</v>
      </c>
      <c r="B4711" s="2" t="s">
        <v>12162</v>
      </c>
      <c r="C4711" s="2" t="s">
        <v>26</v>
      </c>
      <c r="D4711" s="2" t="s">
        <v>27</v>
      </c>
      <c r="E4711" s="4">
        <v>-32125</v>
      </c>
      <c r="F4711" s="3" t="s">
        <v>335</v>
      </c>
      <c r="G4711" s="3" t="s">
        <v>336</v>
      </c>
      <c r="H4711" s="2" t="s">
        <v>21</v>
      </c>
      <c r="I4711" s="2" t="s">
        <v>12163</v>
      </c>
      <c r="J4711" s="3" t="str">
        <f>HYPERLINK("https://www.boe.es/gazeta/dias/1812/01/16/pdfs/GEI-1812-7.pdf#page=8","Abrir facsímil")</f>
        <v>Abrir facsímil</v>
      </c>
      <c r="K4711" s="3" t="s">
        <v>23</v>
      </c>
    </row>
    <row r="4712" spans="1:11" ht="42" customHeight="1">
      <c r="A4712" s="2" t="s">
        <v>12164</v>
      </c>
      <c r="B4712" s="2" t="s">
        <v>12165</v>
      </c>
      <c r="C4712" s="2" t="s">
        <v>26</v>
      </c>
      <c r="D4712" s="2" t="s">
        <v>27</v>
      </c>
      <c r="E4712" s="4">
        <v>-32010</v>
      </c>
      <c r="F4712" s="3" t="s">
        <v>243</v>
      </c>
      <c r="G4712" s="3" t="s">
        <v>45</v>
      </c>
      <c r="H4712" s="2" t="s">
        <v>21</v>
      </c>
      <c r="I4712" s="2" t="s">
        <v>12166</v>
      </c>
      <c r="J4712" s="3" t="str">
        <f>HYPERLINK("https://www.boe.es/gazeta/dias/1812/05/10/pdfs/GMD-1812-131.pdf#page=3","Abrir facsímil")</f>
        <v>Abrir facsímil</v>
      </c>
      <c r="K4712" s="3" t="s">
        <v>23</v>
      </c>
    </row>
    <row r="4713" spans="1:11" ht="42" customHeight="1">
      <c r="A4713" s="2" t="s">
        <v>12167</v>
      </c>
      <c r="B4713" s="2" t="s">
        <v>12168</v>
      </c>
      <c r="C4713" s="2" t="s">
        <v>26</v>
      </c>
      <c r="D4713" s="2" t="s">
        <v>27</v>
      </c>
      <c r="E4713" s="4">
        <v>-32109</v>
      </c>
      <c r="F4713" s="3" t="s">
        <v>62</v>
      </c>
      <c r="G4713" s="3" t="s">
        <v>106</v>
      </c>
      <c r="H4713" s="2" t="s">
        <v>21</v>
      </c>
      <c r="I4713" s="2" t="s">
        <v>12169</v>
      </c>
      <c r="J4713" s="3" t="str">
        <f>HYPERLINK("https://www.boe.es/gazeta/dias/1812/02/01/pdfs/GRE-1812-14.pdf#page=11","Abrir facsímil")</f>
        <v>Abrir facsímil</v>
      </c>
      <c r="K4713" s="3" t="s">
        <v>23</v>
      </c>
    </row>
    <row r="4714" spans="1:11" ht="42" customHeight="1">
      <c r="A4714" s="2" t="s">
        <v>12170</v>
      </c>
      <c r="B4714" s="2" t="s">
        <v>12171</v>
      </c>
      <c r="C4714" s="2" t="s">
        <v>26</v>
      </c>
      <c r="D4714" s="2" t="s">
        <v>27</v>
      </c>
      <c r="E4714" s="4">
        <v>-31964</v>
      </c>
      <c r="F4714" s="3" t="s">
        <v>305</v>
      </c>
      <c r="G4714" s="3" t="s">
        <v>306</v>
      </c>
      <c r="H4714" s="2" t="s">
        <v>21</v>
      </c>
      <c r="I4714" s="2" t="s">
        <v>12172</v>
      </c>
      <c r="J4714" s="3" t="str">
        <f>HYPERLINK("https://www.boe.es/gazeta/dias/1812/06/25/pdfs/GMD-1812-177.pdf#page=3","Abrir facsímil")</f>
        <v>Abrir facsímil</v>
      </c>
      <c r="K4714" s="3" t="s">
        <v>23</v>
      </c>
    </row>
    <row r="4715" spans="1:11" ht="42" customHeight="1">
      <c r="A4715" s="2" t="s">
        <v>12173</v>
      </c>
      <c r="B4715" s="2" t="s">
        <v>12174</v>
      </c>
      <c r="C4715" s="2" t="s">
        <v>26</v>
      </c>
      <c r="D4715" s="2" t="s">
        <v>27</v>
      </c>
      <c r="E4715" s="4">
        <v>-31938</v>
      </c>
      <c r="F4715" s="3" t="s">
        <v>324</v>
      </c>
      <c r="G4715" s="3" t="s">
        <v>497</v>
      </c>
      <c r="H4715" s="2" t="s">
        <v>21</v>
      </c>
      <c r="I4715" s="2" t="s">
        <v>12175</v>
      </c>
      <c r="J4715" s="3" t="str">
        <f>HYPERLINK("https://www.boe.es/gazeta/dias/1812/07/21/pdfs/GMD-1812-203.pdf#page=3","Abrir facsímil")</f>
        <v>Abrir facsímil</v>
      </c>
      <c r="K4715" s="3" t="s">
        <v>23</v>
      </c>
    </row>
    <row r="4716" spans="1:11" ht="42" customHeight="1">
      <c r="A4716" s="2" t="s">
        <v>12176</v>
      </c>
      <c r="B4716" s="2" t="s">
        <v>12177</v>
      </c>
      <c r="C4716" s="2" t="s">
        <v>26</v>
      </c>
      <c r="D4716" s="2" t="s">
        <v>27</v>
      </c>
      <c r="E4716" s="4">
        <v>-31974</v>
      </c>
      <c r="F4716" s="3" t="s">
        <v>2986</v>
      </c>
      <c r="G4716" s="3" t="s">
        <v>130</v>
      </c>
      <c r="H4716" s="2" t="s">
        <v>21</v>
      </c>
      <c r="I4716" s="2" t="s">
        <v>12178</v>
      </c>
      <c r="J4716" s="3" t="str">
        <f>HYPERLINK("https://www.boe.es/gazeta/dias/1812/06/15/pdfs/GMD-1812-167.pdf#page=4","Abrir facsímil")</f>
        <v>Abrir facsímil</v>
      </c>
      <c r="K4716" s="3" t="s">
        <v>23</v>
      </c>
    </row>
    <row r="4717" spans="1:11" ht="42" customHeight="1">
      <c r="A4717" s="2" t="s">
        <v>12179</v>
      </c>
      <c r="B4717" s="2" t="s">
        <v>12180</v>
      </c>
      <c r="C4717" s="2" t="s">
        <v>26</v>
      </c>
      <c r="D4717" s="2" t="s">
        <v>27</v>
      </c>
      <c r="E4717" s="4">
        <v>-31938</v>
      </c>
      <c r="F4717" s="3" t="s">
        <v>324</v>
      </c>
      <c r="G4717" s="3" t="s">
        <v>497</v>
      </c>
      <c r="H4717" s="2" t="s">
        <v>21</v>
      </c>
      <c r="I4717" s="2" t="s">
        <v>12181</v>
      </c>
      <c r="J4717" s="3" t="str">
        <f>HYPERLINK("https://www.boe.es/gazeta/dias/1812/07/21/pdfs/GMD-1812-203.pdf#page=3","Abrir facsímil")</f>
        <v>Abrir facsímil</v>
      </c>
      <c r="K4717" s="3" t="s">
        <v>23</v>
      </c>
    </row>
    <row r="4718" spans="1:11" ht="42" customHeight="1">
      <c r="A4718" s="2" t="s">
        <v>12182</v>
      </c>
      <c r="B4718" s="2" t="s">
        <v>12183</v>
      </c>
      <c r="C4718" s="2" t="s">
        <v>115</v>
      </c>
      <c r="D4718" s="2" t="s">
        <v>27</v>
      </c>
      <c r="E4718" s="4">
        <v>-32019</v>
      </c>
      <c r="F4718" s="3" t="s">
        <v>476</v>
      </c>
      <c r="G4718" s="3" t="s">
        <v>404</v>
      </c>
      <c r="H4718" s="2" t="s">
        <v>21</v>
      </c>
      <c r="I4718" s="2" t="s">
        <v>12184</v>
      </c>
      <c r="J4718" s="3" t="str">
        <f>HYPERLINK("https://www.boe.es/gazeta/dias/1812/05/01/pdfs/GMD-1812-122.pdf#page=3","Abrir facsímil")</f>
        <v>Abrir facsímil</v>
      </c>
      <c r="K4718" s="3" t="s">
        <v>23</v>
      </c>
    </row>
    <row r="4719" spans="1:11" ht="42" customHeight="1">
      <c r="A4719" s="2" t="s">
        <v>12185</v>
      </c>
      <c r="B4719" s="2" t="s">
        <v>12186</v>
      </c>
      <c r="C4719" s="2" t="s">
        <v>26</v>
      </c>
      <c r="D4719" s="2" t="s">
        <v>27</v>
      </c>
      <c r="E4719" s="4">
        <v>-31994</v>
      </c>
      <c r="F4719" s="3" t="s">
        <v>207</v>
      </c>
      <c r="G4719" s="3" t="s">
        <v>1176</v>
      </c>
      <c r="H4719" s="2" t="s">
        <v>21</v>
      </c>
      <c r="I4719" s="2" t="s">
        <v>12187</v>
      </c>
      <c r="J4719" s="3" t="str">
        <f>HYPERLINK("https://www.boe.es/gazeta/dias/1812/05/26/pdfs/GRE-1812-65.pdf#page=8","Abrir facsímil")</f>
        <v>Abrir facsímil</v>
      </c>
      <c r="K4719" s="3" t="s">
        <v>23</v>
      </c>
    </row>
    <row r="4720" spans="1:11" ht="42" customHeight="1">
      <c r="A4720" s="2" t="s">
        <v>12188</v>
      </c>
      <c r="B4720" s="2" t="s">
        <v>12189</v>
      </c>
      <c r="C4720" s="2" t="s">
        <v>26</v>
      </c>
      <c r="D4720" s="2" t="s">
        <v>27</v>
      </c>
      <c r="E4720" s="4">
        <v>-32044</v>
      </c>
      <c r="F4720" s="3" t="s">
        <v>1031</v>
      </c>
      <c r="G4720" s="3" t="s">
        <v>1873</v>
      </c>
      <c r="H4720" s="2" t="s">
        <v>21</v>
      </c>
      <c r="I4720" s="2" t="s">
        <v>12190</v>
      </c>
      <c r="J4720" s="3" t="str">
        <f>HYPERLINK("https://www.boe.es/gazeta/dias/1812/04/06/pdfs/GMD-1812-97.pdf#page=4","Abrir facsímil")</f>
        <v>Abrir facsímil</v>
      </c>
      <c r="K4720" s="3" t="s">
        <v>23</v>
      </c>
    </row>
    <row r="4721" spans="1:11" ht="42" customHeight="1">
      <c r="A4721" s="2" t="s">
        <v>12191</v>
      </c>
      <c r="B4721" s="2" t="s">
        <v>12192</v>
      </c>
      <c r="C4721" s="2" t="s">
        <v>26</v>
      </c>
      <c r="D4721" s="2" t="s">
        <v>27</v>
      </c>
      <c r="E4721" s="4">
        <v>-31913</v>
      </c>
      <c r="F4721" s="3" t="s">
        <v>450</v>
      </c>
      <c r="G4721" s="3" t="s">
        <v>451</v>
      </c>
      <c r="H4721" s="2" t="s">
        <v>21</v>
      </c>
      <c r="I4721" s="2" t="s">
        <v>12193</v>
      </c>
      <c r="J4721" s="3" t="str">
        <f>HYPERLINK("https://www.boe.es/gazeta/dias/1812/08/15/pdfs/GRE-1812-105.pdf#page=8","Abrir facsímil")</f>
        <v>Abrir facsímil</v>
      </c>
      <c r="K4721" s="3" t="s">
        <v>23</v>
      </c>
    </row>
    <row r="4722" spans="1:11" ht="42" customHeight="1">
      <c r="A4722" s="2" t="s">
        <v>12194</v>
      </c>
      <c r="B4722" s="2" t="s">
        <v>12195</v>
      </c>
      <c r="C4722" s="2" t="s">
        <v>67</v>
      </c>
      <c r="D4722" s="2" t="s">
        <v>27</v>
      </c>
      <c r="E4722" s="4">
        <v>-31982</v>
      </c>
      <c r="F4722" s="3" t="s">
        <v>1630</v>
      </c>
      <c r="G4722" s="3" t="s">
        <v>1631</v>
      </c>
      <c r="H4722" s="2" t="s">
        <v>21</v>
      </c>
      <c r="I4722" s="2" t="s">
        <v>12196</v>
      </c>
      <c r="J4722" s="3" t="str">
        <f>HYPERLINK("https://www.boe.es/gazeta/dias/1812/06/07/pdfs/GMD-1812-159.pdf#page=4","Abrir facsímil")</f>
        <v>Abrir facsímil</v>
      </c>
      <c r="K4722" s="3" t="s">
        <v>23</v>
      </c>
    </row>
    <row r="4723" spans="1:11" ht="42" customHeight="1">
      <c r="A4723" s="2" t="s">
        <v>12197</v>
      </c>
      <c r="B4723" s="2" t="s">
        <v>12198</v>
      </c>
      <c r="C4723" s="2" t="s">
        <v>26</v>
      </c>
      <c r="D4723" s="2" t="s">
        <v>27</v>
      </c>
      <c r="E4723" s="4">
        <v>-31942</v>
      </c>
      <c r="F4723" s="3" t="s">
        <v>3065</v>
      </c>
      <c r="G4723" s="3" t="s">
        <v>3066</v>
      </c>
      <c r="H4723" s="2" t="s">
        <v>21</v>
      </c>
      <c r="I4723" s="2" t="s">
        <v>12199</v>
      </c>
      <c r="J4723" s="3" t="str">
        <f>HYPERLINK("https://www.boe.es/gazeta/dias/1812/07/17/pdfs/GMD-1812-199.pdf#page=3","Abrir facsímil")</f>
        <v>Abrir facsímil</v>
      </c>
      <c r="K4723" s="3" t="s">
        <v>23</v>
      </c>
    </row>
    <row r="4724" spans="1:11" ht="42" customHeight="1">
      <c r="A4724" s="2" t="s">
        <v>12200</v>
      </c>
      <c r="B4724" s="2" t="s">
        <v>12201</v>
      </c>
      <c r="C4724" s="2" t="s">
        <v>549</v>
      </c>
      <c r="D4724" s="2" t="s">
        <v>27</v>
      </c>
      <c r="E4724" s="4">
        <v>-32069</v>
      </c>
      <c r="F4724" s="3" t="s">
        <v>445</v>
      </c>
      <c r="G4724" s="3" t="s">
        <v>623</v>
      </c>
      <c r="H4724" s="2" t="s">
        <v>21</v>
      </c>
      <c r="I4724" s="2" t="s">
        <v>12202</v>
      </c>
      <c r="J4724" s="3" t="str">
        <f>HYPERLINK("https://www.boe.es/gazeta/dias/1812/03/12/pdfs/GRE-1812-32.pdf#page=7","Abrir facsímil")</f>
        <v>Abrir facsímil</v>
      </c>
      <c r="K4724" s="3" t="s">
        <v>23</v>
      </c>
    </row>
    <row r="4725" spans="1:11" ht="42" customHeight="1">
      <c r="A4725" s="2" t="s">
        <v>12203</v>
      </c>
      <c r="B4725" s="2" t="s">
        <v>12204</v>
      </c>
      <c r="C4725" s="2" t="s">
        <v>26</v>
      </c>
      <c r="D4725" s="2" t="s">
        <v>27</v>
      </c>
      <c r="E4725" s="4">
        <v>-31938</v>
      </c>
      <c r="F4725" s="3" t="s">
        <v>324</v>
      </c>
      <c r="G4725" s="3" t="s">
        <v>497</v>
      </c>
      <c r="H4725" s="2" t="s">
        <v>21</v>
      </c>
      <c r="I4725" s="2" t="s">
        <v>12205</v>
      </c>
      <c r="J4725" s="3" t="str">
        <f>HYPERLINK("https://www.boe.es/gazeta/dias/1812/07/21/pdfs/GMD-1812-203.pdf#page=3","Abrir facsímil")</f>
        <v>Abrir facsímil</v>
      </c>
      <c r="K4725" s="3" t="s">
        <v>23</v>
      </c>
    </row>
    <row r="4726" spans="1:11" ht="42" customHeight="1">
      <c r="A4726" s="2" t="s">
        <v>12206</v>
      </c>
      <c r="B4726" s="2" t="s">
        <v>12207</v>
      </c>
      <c r="C4726" s="2" t="s">
        <v>186</v>
      </c>
      <c r="D4726" s="2" t="s">
        <v>27</v>
      </c>
      <c r="E4726" s="4">
        <v>-32044</v>
      </c>
      <c r="F4726" s="3" t="s">
        <v>1031</v>
      </c>
      <c r="G4726" s="3" t="s">
        <v>20</v>
      </c>
      <c r="H4726" s="2" t="s">
        <v>21</v>
      </c>
      <c r="I4726" s="2" t="s">
        <v>12208</v>
      </c>
      <c r="J4726" s="3" t="str">
        <f>HYPERLINK("https://www.boe.es/gazeta/dias/1812/04/06/pdfs/GMD-1812-97.pdf#page=3","Abrir facsímil")</f>
        <v>Abrir facsímil</v>
      </c>
      <c r="K4726" s="3" t="s">
        <v>23</v>
      </c>
    </row>
    <row r="4727" spans="1:11" ht="42" customHeight="1">
      <c r="A4727" s="2" t="s">
        <v>12209</v>
      </c>
      <c r="B4727" s="2" t="s">
        <v>12210</v>
      </c>
      <c r="C4727" s="2" t="s">
        <v>17</v>
      </c>
      <c r="D4727" s="2" t="s">
        <v>27</v>
      </c>
      <c r="E4727" s="4">
        <v>-31964</v>
      </c>
      <c r="F4727" s="3" t="s">
        <v>305</v>
      </c>
      <c r="G4727" s="3" t="s">
        <v>58</v>
      </c>
      <c r="H4727" s="2" t="s">
        <v>21</v>
      </c>
      <c r="I4727" s="2" t="s">
        <v>12211</v>
      </c>
      <c r="J4727" s="3" t="str">
        <f>HYPERLINK("https://www.boe.es/gazeta/dias/1812/06/25/pdfs/GMD-1812-177.pdf#page=2","Abrir facsímil")</f>
        <v>Abrir facsímil</v>
      </c>
      <c r="K4727" s="3" t="s">
        <v>23</v>
      </c>
    </row>
    <row r="4728" spans="1:11" ht="42" customHeight="1">
      <c r="A4728" s="2" t="s">
        <v>12212</v>
      </c>
      <c r="B4728" s="2" t="s">
        <v>12213</v>
      </c>
      <c r="C4728" s="2" t="s">
        <v>26</v>
      </c>
      <c r="D4728" s="2" t="s">
        <v>27</v>
      </c>
      <c r="E4728" s="4">
        <v>-31857</v>
      </c>
      <c r="F4728" s="3" t="s">
        <v>2176</v>
      </c>
      <c r="G4728" s="3" t="s">
        <v>217</v>
      </c>
      <c r="H4728" s="2" t="s">
        <v>21</v>
      </c>
      <c r="I4728" s="2" t="s">
        <v>12214</v>
      </c>
      <c r="J4728" s="3" t="str">
        <f>HYPERLINK("https://www.boe.es/gazeta/dias/1812/10/10/pdfs/GMR-1812-25.pdf#page=7","Abrir facsímil")</f>
        <v>Abrir facsímil</v>
      </c>
      <c r="K4728" s="3" t="s">
        <v>23</v>
      </c>
    </row>
    <row r="4729" spans="1:11" ht="42" customHeight="1">
      <c r="A4729" s="2" t="s">
        <v>12215</v>
      </c>
      <c r="B4729" s="2" t="s">
        <v>12216</v>
      </c>
      <c r="C4729" s="2" t="s">
        <v>17</v>
      </c>
      <c r="D4729" s="2" t="s">
        <v>27</v>
      </c>
      <c r="E4729" s="4">
        <v>-32075</v>
      </c>
      <c r="F4729" s="3" t="s">
        <v>301</v>
      </c>
      <c r="G4729" s="3" t="s">
        <v>20</v>
      </c>
      <c r="H4729" s="2" t="s">
        <v>21</v>
      </c>
      <c r="I4729" s="2" t="s">
        <v>12217</v>
      </c>
      <c r="J4729" s="3" t="str">
        <f>HYPERLINK("https://www.boe.es/gazeta/dias/1812/03/06/pdfs/GMD-1812-66.pdf#page=4","Abrir facsímil")</f>
        <v>Abrir facsímil</v>
      </c>
      <c r="K4729" s="3" t="s">
        <v>23</v>
      </c>
    </row>
    <row r="4730" spans="1:11" ht="42" customHeight="1">
      <c r="A4730" s="2" t="s">
        <v>12218</v>
      </c>
      <c r="B4730" s="2" t="s">
        <v>12219</v>
      </c>
      <c r="C4730" s="2" t="s">
        <v>26</v>
      </c>
      <c r="D4730" s="2" t="s">
        <v>27</v>
      </c>
      <c r="E4730" s="4">
        <v>-32034</v>
      </c>
      <c r="F4730" s="3" t="s">
        <v>28</v>
      </c>
      <c r="G4730" s="3" t="s">
        <v>45</v>
      </c>
      <c r="H4730" s="2" t="s">
        <v>21</v>
      </c>
      <c r="I4730" s="2" t="s">
        <v>12220</v>
      </c>
      <c r="J4730" s="3" t="str">
        <f>HYPERLINK("https://www.boe.es/gazeta/dias/1812/04/16/pdfs/GMD-1812-107.pdf#page=5","Abrir facsímil")</f>
        <v>Abrir facsímil</v>
      </c>
      <c r="K4730" s="3" t="s">
        <v>23</v>
      </c>
    </row>
    <row r="4731" spans="1:11" ht="42" customHeight="1">
      <c r="A4731" s="2" t="s">
        <v>12221</v>
      </c>
      <c r="B4731" s="2" t="s">
        <v>12222</v>
      </c>
      <c r="C4731" s="2" t="s">
        <v>26</v>
      </c>
      <c r="D4731" s="2" t="s">
        <v>573</v>
      </c>
      <c r="E4731" s="4">
        <v>-31921</v>
      </c>
      <c r="F4731" s="3" t="s">
        <v>785</v>
      </c>
      <c r="G4731" s="3" t="s">
        <v>196</v>
      </c>
      <c r="H4731" s="2" t="s">
        <v>21</v>
      </c>
      <c r="I4731" s="2" t="s">
        <v>12223</v>
      </c>
      <c r="J4731" s="3" t="str">
        <f>HYPERLINK("https://www.boe.es/gazeta/dias/1812/08/07/pdfs/GRE-1812-101E.pdf#page=1","Abrir facsímil")</f>
        <v>Abrir facsímil</v>
      </c>
      <c r="K4731" s="3" t="s">
        <v>23</v>
      </c>
    </row>
    <row r="4732" spans="1:11" ht="42" customHeight="1">
      <c r="A4732" s="2" t="s">
        <v>12224</v>
      </c>
      <c r="B4732" s="2" t="s">
        <v>12225</v>
      </c>
      <c r="C4732" s="2" t="s">
        <v>67</v>
      </c>
      <c r="D4732" s="2" t="s">
        <v>27</v>
      </c>
      <c r="E4732" s="4">
        <v>-32081</v>
      </c>
      <c r="F4732" s="3" t="s">
        <v>989</v>
      </c>
      <c r="G4732" s="3" t="s">
        <v>683</v>
      </c>
      <c r="H4732" s="2" t="s">
        <v>30</v>
      </c>
      <c r="I4732" s="2" t="s">
        <v>12226</v>
      </c>
      <c r="J4732" s="3" t="str">
        <f>HYPERLINK("https://www.boe.es/gazeta/dias/1812/02/29/pdfs/GMD-1812-60.pdf#page=4","Abrir facsímil")</f>
        <v>Abrir facsímil</v>
      </c>
      <c r="K4732" s="3" t="s">
        <v>32</v>
      </c>
    </row>
    <row r="4733" spans="1:11" ht="42" customHeight="1">
      <c r="A4733" s="2" t="s">
        <v>12227</v>
      </c>
      <c r="B4733" s="2" t="s">
        <v>12228</v>
      </c>
      <c r="C4733" s="2" t="s">
        <v>26</v>
      </c>
      <c r="D4733" s="2" t="s">
        <v>27</v>
      </c>
      <c r="E4733" s="4">
        <v>-31903</v>
      </c>
      <c r="F4733" s="3" t="s">
        <v>2720</v>
      </c>
      <c r="G4733" s="3" t="s">
        <v>794</v>
      </c>
      <c r="H4733" s="2" t="s">
        <v>21</v>
      </c>
      <c r="I4733" s="2" t="s">
        <v>12229</v>
      </c>
      <c r="J4733" s="3" t="str">
        <f>HYPERLINK("https://www.boe.es/gazeta/dias/1812/08/25/pdfs/GRE-1812-110.pdf#page=7","Abrir facsímil")</f>
        <v>Abrir facsímil</v>
      </c>
      <c r="K4733" s="3" t="s">
        <v>23</v>
      </c>
    </row>
    <row r="4734" spans="1:11" ht="42" customHeight="1">
      <c r="A4734" s="2" t="s">
        <v>12230</v>
      </c>
      <c r="B4734" s="2" t="s">
        <v>12231</v>
      </c>
      <c r="C4734" s="2" t="s">
        <v>26</v>
      </c>
      <c r="D4734" s="2" t="s">
        <v>27</v>
      </c>
      <c r="E4734" s="4">
        <v>-32041</v>
      </c>
      <c r="F4734" s="3" t="s">
        <v>12232</v>
      </c>
      <c r="G4734" s="3" t="s">
        <v>514</v>
      </c>
      <c r="H4734" s="2" t="s">
        <v>21</v>
      </c>
      <c r="I4734" s="2" t="s">
        <v>12233</v>
      </c>
      <c r="J4734" s="3" t="str">
        <f>HYPERLINK("https://www.boe.es/gazeta/dias/1812/04/09/pdfs/GMD-1812-100.pdf#page=4","Abrir facsímil")</f>
        <v>Abrir facsímil</v>
      </c>
      <c r="K4734" s="3" t="s">
        <v>23</v>
      </c>
    </row>
    <row r="4735" spans="1:11" ht="42" customHeight="1">
      <c r="A4735" s="2" t="s">
        <v>12234</v>
      </c>
      <c r="B4735" s="2" t="s">
        <v>12235</v>
      </c>
      <c r="C4735" s="2" t="s">
        <v>17</v>
      </c>
      <c r="D4735" s="2" t="s">
        <v>18</v>
      </c>
      <c r="E4735" s="4">
        <v>-31961</v>
      </c>
      <c r="F4735" s="3" t="s">
        <v>1193</v>
      </c>
      <c r="G4735" s="3" t="s">
        <v>644</v>
      </c>
      <c r="H4735" s="2" t="s">
        <v>21</v>
      </c>
      <c r="I4735" s="2" t="s">
        <v>12236</v>
      </c>
      <c r="J4735" s="3" t="str">
        <f>HYPERLINK("https://www.boe.es/gazeta/dias/1812/06/28/pdfs/GMD-1812-180.pdf#page=3","Abrir facsímil")</f>
        <v>Abrir facsímil</v>
      </c>
      <c r="K4735" s="3" t="s">
        <v>23</v>
      </c>
    </row>
    <row r="4736" spans="1:11" ht="42" customHeight="1">
      <c r="A4736" s="2" t="s">
        <v>12237</v>
      </c>
      <c r="B4736" s="2" t="s">
        <v>12238</v>
      </c>
      <c r="C4736" s="2" t="s">
        <v>186</v>
      </c>
      <c r="D4736" s="2" t="s">
        <v>27</v>
      </c>
      <c r="E4736" s="4">
        <v>-31940</v>
      </c>
      <c r="F4736" s="3" t="s">
        <v>187</v>
      </c>
      <c r="G4736" s="3" t="s">
        <v>45</v>
      </c>
      <c r="H4736" s="2" t="s">
        <v>21</v>
      </c>
      <c r="I4736" s="2" t="s">
        <v>12239</v>
      </c>
      <c r="J4736" s="3" t="str">
        <f>HYPERLINK("https://www.boe.es/gazeta/dias/1812/07/19/pdfs/GMD-1812-201.pdf#page=2","Abrir facsímil")</f>
        <v>Abrir facsímil</v>
      </c>
      <c r="K4736" s="3" t="s">
        <v>23</v>
      </c>
    </row>
    <row r="4737" spans="1:11" ht="42" customHeight="1">
      <c r="A4737" s="2" t="s">
        <v>12240</v>
      </c>
      <c r="B4737" s="2" t="s">
        <v>12241</v>
      </c>
      <c r="C4737" s="2" t="s">
        <v>26</v>
      </c>
      <c r="D4737" s="2" t="s">
        <v>27</v>
      </c>
      <c r="E4737" s="4">
        <v>-32006</v>
      </c>
      <c r="F4737" s="3" t="s">
        <v>1153</v>
      </c>
      <c r="G4737" s="3" t="s">
        <v>1154</v>
      </c>
      <c r="H4737" s="2" t="s">
        <v>21</v>
      </c>
      <c r="I4737" s="2" t="s">
        <v>12242</v>
      </c>
      <c r="J4737" s="3" t="str">
        <f>HYPERLINK("https://www.boe.es/gazeta/dias/1812/05/14/pdfs/GMD-1812-135.pdf#page=3","Abrir facsímil")</f>
        <v>Abrir facsímil</v>
      </c>
      <c r="K4737" s="3" t="s">
        <v>23</v>
      </c>
    </row>
    <row r="4738" spans="1:11" ht="42" customHeight="1">
      <c r="A4738" s="2" t="s">
        <v>12243</v>
      </c>
      <c r="B4738" s="2" t="s">
        <v>12244</v>
      </c>
      <c r="C4738" s="2" t="s">
        <v>26</v>
      </c>
      <c r="D4738" s="2" t="s">
        <v>134</v>
      </c>
      <c r="E4738" s="4">
        <v>-31983</v>
      </c>
      <c r="F4738" s="3" t="s">
        <v>1437</v>
      </c>
      <c r="G4738" s="3" t="s">
        <v>1438</v>
      </c>
      <c r="H4738" s="2" t="s">
        <v>21</v>
      </c>
      <c r="I4738" s="2" t="s">
        <v>12245</v>
      </c>
      <c r="J4738" s="3" t="str">
        <f>HYPERLINK("https://www.boe.es/gazeta/dias/1812/06/06/pdfs/GRE-F-1812-70.pdf#page=4","Abrir facsímil")</f>
        <v>Abrir facsímil</v>
      </c>
      <c r="K4738" s="3" t="s">
        <v>23</v>
      </c>
    </row>
    <row r="4739" spans="1:11" ht="42" customHeight="1">
      <c r="A4739" s="2" t="s">
        <v>12246</v>
      </c>
      <c r="B4739" s="2" t="s">
        <v>12247</v>
      </c>
      <c r="C4739" s="2" t="s">
        <v>115</v>
      </c>
      <c r="D4739" s="2" t="s">
        <v>194</v>
      </c>
      <c r="E4739" s="4">
        <v>-31964</v>
      </c>
      <c r="F4739" s="3" t="s">
        <v>305</v>
      </c>
      <c r="G4739" s="3" t="s">
        <v>306</v>
      </c>
      <c r="H4739" s="2" t="s">
        <v>21</v>
      </c>
      <c r="I4739" s="2" t="s">
        <v>12248</v>
      </c>
      <c r="J4739" s="3" t="str">
        <f>HYPERLINK("https://www.boe.es/gazeta/dias/1812/06/25/pdfs/GMD-1812-177.pdf#page=3","Abrir facsímil")</f>
        <v>Abrir facsímil</v>
      </c>
      <c r="K4739" s="3" t="s">
        <v>23</v>
      </c>
    </row>
    <row r="4740" spans="1:11" ht="42" customHeight="1">
      <c r="A4740" s="2" t="s">
        <v>12249</v>
      </c>
      <c r="B4740" s="2" t="s">
        <v>12250</v>
      </c>
      <c r="C4740" s="2" t="s">
        <v>26</v>
      </c>
      <c r="D4740" s="2" t="s">
        <v>27</v>
      </c>
      <c r="E4740" s="4">
        <v>-32085</v>
      </c>
      <c r="F4740" s="3" t="s">
        <v>3321</v>
      </c>
      <c r="G4740" s="3" t="s">
        <v>3409</v>
      </c>
      <c r="H4740" s="2" t="s">
        <v>21</v>
      </c>
      <c r="I4740" s="2" t="s">
        <v>12251</v>
      </c>
      <c r="J4740" s="3" t="str">
        <f>HYPERLINK("https://www.boe.es/gazeta/dias/1812/02/25/pdfs/GRE-1812-25.pdf#page=3","Abrir facsímil")</f>
        <v>Abrir facsímil</v>
      </c>
      <c r="K4740" s="3" t="s">
        <v>23</v>
      </c>
    </row>
    <row r="4741" spans="1:11" ht="42" customHeight="1">
      <c r="A4741" s="2" t="s">
        <v>12252</v>
      </c>
      <c r="B4741" s="2" t="s">
        <v>12253</v>
      </c>
      <c r="C4741" s="2" t="s">
        <v>26</v>
      </c>
      <c r="D4741" s="2" t="s">
        <v>27</v>
      </c>
      <c r="E4741" s="4">
        <v>-31821</v>
      </c>
      <c r="F4741" s="3" t="s">
        <v>1979</v>
      </c>
      <c r="G4741" s="3" t="s">
        <v>317</v>
      </c>
      <c r="H4741" s="2" t="s">
        <v>21</v>
      </c>
      <c r="I4741" s="2" t="s">
        <v>12254</v>
      </c>
      <c r="J4741" s="3" t="str">
        <f>HYPERLINK("https://www.boe.es/gazeta/dias/1812/11/15/pdfs/GMR-1812-34.pdf#page=6","Abrir facsímil")</f>
        <v>Abrir facsímil</v>
      </c>
      <c r="K4741" s="3" t="s">
        <v>23</v>
      </c>
    </row>
    <row r="4742" spans="1:11" ht="42" customHeight="1">
      <c r="A4742" s="2" t="s">
        <v>12255</v>
      </c>
      <c r="B4742" s="2" t="s">
        <v>12256</v>
      </c>
      <c r="C4742" s="2" t="s">
        <v>26</v>
      </c>
      <c r="D4742" s="2" t="s">
        <v>27</v>
      </c>
      <c r="E4742" s="4">
        <v>-32139</v>
      </c>
      <c r="F4742" s="3" t="s">
        <v>288</v>
      </c>
      <c r="G4742" s="3" t="s">
        <v>130</v>
      </c>
      <c r="H4742" s="2" t="s">
        <v>21</v>
      </c>
      <c r="I4742" s="2" t="s">
        <v>12257</v>
      </c>
      <c r="J4742" s="3" t="str">
        <f>HYPERLINK("https://www.boe.es/gazeta/dias/1812/01/02/pdfs/GMD-1812-2.pdf#page=4","Abrir facsímil")</f>
        <v>Abrir facsímil</v>
      </c>
      <c r="K4742" s="3" t="s">
        <v>23</v>
      </c>
    </row>
    <row r="4743" spans="1:11" ht="42" customHeight="1">
      <c r="A4743" s="2" t="s">
        <v>12258</v>
      </c>
      <c r="B4743" s="2" t="s">
        <v>12259</v>
      </c>
      <c r="C4743" s="2" t="s">
        <v>17</v>
      </c>
      <c r="D4743" s="2" t="s">
        <v>27</v>
      </c>
      <c r="E4743" s="4">
        <v>-31922</v>
      </c>
      <c r="F4743" s="3" t="s">
        <v>375</v>
      </c>
      <c r="G4743" s="3" t="s">
        <v>5327</v>
      </c>
      <c r="H4743" s="2" t="s">
        <v>21</v>
      </c>
      <c r="I4743" s="2" t="s">
        <v>12260</v>
      </c>
      <c r="J4743" s="3" t="str">
        <f>HYPERLINK("https://www.boe.es/gazeta/dias/1812/08/06/pdfs/GRE-1812-100.pdf#page=3","Abrir facsímil")</f>
        <v>Abrir facsímil</v>
      </c>
      <c r="K4743" s="3" t="s">
        <v>23</v>
      </c>
    </row>
    <row r="4744" spans="1:11" ht="42" customHeight="1">
      <c r="A4744" s="2" t="s">
        <v>12261</v>
      </c>
      <c r="B4744" s="2" t="s">
        <v>12261</v>
      </c>
      <c r="C4744" s="2" t="s">
        <v>17</v>
      </c>
      <c r="D4744" s="2" t="s">
        <v>27</v>
      </c>
      <c r="E4744" s="4">
        <v>-31899</v>
      </c>
      <c r="F4744" s="3" t="s">
        <v>8917</v>
      </c>
      <c r="G4744" s="3" t="s">
        <v>12262</v>
      </c>
      <c r="H4744" s="2" t="s">
        <v>21</v>
      </c>
      <c r="I4744" s="2" t="s">
        <v>12263</v>
      </c>
      <c r="J4744" s="3" t="str">
        <f>HYPERLINK("https://www.boe.es/gazeta/dias/1812/08/29/pdfs/GRE-1812-114.pdf#page=1","Abrir facsímil")</f>
        <v>Abrir facsímil</v>
      </c>
      <c r="K4744" s="3" t="s">
        <v>23</v>
      </c>
    </row>
    <row r="4745" spans="1:11" ht="42" customHeight="1">
      <c r="A4745" s="2" t="s">
        <v>12264</v>
      </c>
      <c r="B4745" s="2" t="s">
        <v>12265</v>
      </c>
      <c r="C4745" s="2" t="s">
        <v>26</v>
      </c>
      <c r="D4745" s="2" t="s">
        <v>27</v>
      </c>
      <c r="E4745" s="4">
        <v>-32010</v>
      </c>
      <c r="F4745" s="3" t="s">
        <v>243</v>
      </c>
      <c r="G4745" s="3" t="s">
        <v>45</v>
      </c>
      <c r="H4745" s="2" t="s">
        <v>21</v>
      </c>
      <c r="I4745" s="2" t="s">
        <v>12266</v>
      </c>
      <c r="J4745" s="3" t="str">
        <f>HYPERLINK("https://www.boe.es/gazeta/dias/1812/05/10/pdfs/GMD-1812-131.pdf#page=3","Abrir facsímil")</f>
        <v>Abrir facsímil</v>
      </c>
      <c r="K4745" s="3" t="s">
        <v>23</v>
      </c>
    </row>
    <row r="4746" spans="1:11" ht="42" customHeight="1">
      <c r="A4746" s="2" t="s">
        <v>12267</v>
      </c>
      <c r="B4746" s="2" t="s">
        <v>12268</v>
      </c>
      <c r="C4746" s="2" t="s">
        <v>82</v>
      </c>
      <c r="D4746" s="2" t="s">
        <v>27</v>
      </c>
      <c r="E4746" s="4">
        <v>-32002</v>
      </c>
      <c r="F4746" s="3" t="s">
        <v>619</v>
      </c>
      <c r="G4746" s="3" t="s">
        <v>20</v>
      </c>
      <c r="H4746" s="2" t="s">
        <v>21</v>
      </c>
      <c r="I4746" s="2" t="s">
        <v>12269</v>
      </c>
      <c r="J4746" s="3" t="str">
        <f>HYPERLINK("https://www.boe.es/gazeta/dias/1812/05/18/pdfs/GMD-1812-139.pdf#page=3","Abrir facsímil")</f>
        <v>Abrir facsímil</v>
      </c>
      <c r="K4746" s="3" t="s">
        <v>23</v>
      </c>
    </row>
    <row r="4747" spans="1:11" ht="42" customHeight="1">
      <c r="A4747" s="2" t="s">
        <v>12270</v>
      </c>
      <c r="B4747" s="2" t="s">
        <v>12271</v>
      </c>
      <c r="C4747" s="2" t="s">
        <v>26</v>
      </c>
      <c r="D4747" s="2" t="s">
        <v>27</v>
      </c>
      <c r="E4747" s="4">
        <v>-31803</v>
      </c>
      <c r="F4747" s="3" t="s">
        <v>221</v>
      </c>
      <c r="G4747" s="3" t="s">
        <v>222</v>
      </c>
      <c r="H4747" s="2" t="s">
        <v>21</v>
      </c>
      <c r="I4747" s="2" t="s">
        <v>12272</v>
      </c>
      <c r="J4747" s="3" t="str">
        <f>HYPERLINK("https://www.boe.es/gazeta/dias/1812/12/03/pdfs/GRE-1812-160.pdf#page=4","Abrir facsímil")</f>
        <v>Abrir facsímil</v>
      </c>
      <c r="K4747" s="3" t="s">
        <v>23</v>
      </c>
    </row>
    <row r="4748" spans="1:11" ht="42" customHeight="1">
      <c r="A4748" s="2" t="s">
        <v>12273</v>
      </c>
      <c r="B4748" s="2" t="s">
        <v>12273</v>
      </c>
      <c r="C4748" s="2" t="s">
        <v>17</v>
      </c>
      <c r="D4748" s="2" t="s">
        <v>27</v>
      </c>
      <c r="E4748" s="4">
        <v>-32130</v>
      </c>
      <c r="F4748" s="3" t="s">
        <v>2538</v>
      </c>
      <c r="G4748" s="3" t="s">
        <v>159</v>
      </c>
      <c r="H4748" s="2" t="s">
        <v>21</v>
      </c>
      <c r="I4748" s="2" t="s">
        <v>12274</v>
      </c>
      <c r="J4748" s="3" t="str">
        <f>HYPERLINK("https://www.boe.es/gazeta/dias/1812/01/11/pdfs/GEI-1812-5.pdf#page=3","Abrir facsímil")</f>
        <v>Abrir facsímil</v>
      </c>
      <c r="K4748" s="3" t="s">
        <v>23</v>
      </c>
    </row>
    <row r="4749" spans="1:11" ht="42" customHeight="1">
      <c r="A4749" s="2" t="s">
        <v>12275</v>
      </c>
      <c r="B4749" s="2" t="s">
        <v>12276</v>
      </c>
      <c r="C4749" s="2" t="s">
        <v>115</v>
      </c>
      <c r="D4749" s="2" t="s">
        <v>18</v>
      </c>
      <c r="E4749" s="4">
        <v>-31962</v>
      </c>
      <c r="F4749" s="3" t="s">
        <v>153</v>
      </c>
      <c r="G4749" s="3" t="s">
        <v>3010</v>
      </c>
      <c r="H4749" s="2" t="s">
        <v>21</v>
      </c>
      <c r="I4749" s="2" t="s">
        <v>12277</v>
      </c>
      <c r="J4749" s="3" t="str">
        <f>HYPERLINK("https://www.boe.es/gazeta/dias/1812/06/27/pdfs/GRE-1812-79.pdf#page=4","Abrir facsímil")</f>
        <v>Abrir facsímil</v>
      </c>
      <c r="K4749" s="3" t="s">
        <v>23</v>
      </c>
    </row>
    <row r="4750" spans="1:11" ht="42" customHeight="1">
      <c r="A4750" s="2" t="s">
        <v>12278</v>
      </c>
      <c r="B4750" s="2" t="s">
        <v>12278</v>
      </c>
      <c r="C4750" s="2" t="s">
        <v>17</v>
      </c>
      <c r="D4750" s="2" t="s">
        <v>27</v>
      </c>
      <c r="E4750" s="4">
        <v>-32120</v>
      </c>
      <c r="F4750" s="3" t="s">
        <v>522</v>
      </c>
      <c r="G4750" s="3" t="s">
        <v>404</v>
      </c>
      <c r="H4750" s="2" t="s">
        <v>21</v>
      </c>
      <c r="I4750" s="2" t="s">
        <v>12279</v>
      </c>
      <c r="J4750" s="3" t="str">
        <f>HYPERLINK("https://www.boe.es/gazeta/dias/1812/01/21/pdfs/GMD-1812-21.pdf#page=3","Abrir facsímil")</f>
        <v>Abrir facsímil</v>
      </c>
      <c r="K4750" s="3" t="s">
        <v>23</v>
      </c>
    </row>
    <row r="4751" spans="1:11" ht="42" customHeight="1">
      <c r="A4751" s="2" t="s">
        <v>12280</v>
      </c>
      <c r="B4751" s="2" t="s">
        <v>12281</v>
      </c>
      <c r="C4751" s="2" t="s">
        <v>115</v>
      </c>
      <c r="D4751" s="2" t="s">
        <v>573</v>
      </c>
      <c r="E4751" s="4">
        <v>-31900</v>
      </c>
      <c r="F4751" s="3" t="s">
        <v>276</v>
      </c>
      <c r="G4751" s="3" t="s">
        <v>277</v>
      </c>
      <c r="H4751" s="2" t="s">
        <v>21</v>
      </c>
      <c r="I4751" s="2" t="s">
        <v>12282</v>
      </c>
      <c r="J4751" s="3" t="str">
        <f>HYPERLINK("https://www.boe.es/gazeta/dias/1812/08/28/pdfs/GRE-1812-113E.pdf#page=8","Abrir facsímil")</f>
        <v>Abrir facsímil</v>
      </c>
      <c r="K4751" s="3" t="s">
        <v>23</v>
      </c>
    </row>
    <row r="4752" spans="1:11" ht="42" customHeight="1">
      <c r="A4752" s="2" t="s">
        <v>12283</v>
      </c>
      <c r="B4752" s="2" t="s">
        <v>12284</v>
      </c>
      <c r="C4752" s="2" t="s">
        <v>67</v>
      </c>
      <c r="D4752" s="2" t="s">
        <v>27</v>
      </c>
      <c r="E4752" s="4">
        <v>-32033</v>
      </c>
      <c r="F4752" s="3" t="s">
        <v>771</v>
      </c>
      <c r="G4752" s="3" t="s">
        <v>130</v>
      </c>
      <c r="H4752" s="2" t="s">
        <v>21</v>
      </c>
      <c r="I4752" s="2" t="s">
        <v>12285</v>
      </c>
      <c r="J4752" s="3" t="str">
        <f>HYPERLINK("https://www.boe.es/gazeta/dias/1812/04/17/pdfs/GMD-1812-108.pdf#page=4","Abrir facsímil")</f>
        <v>Abrir facsímil</v>
      </c>
      <c r="K4752" s="3" t="s">
        <v>23</v>
      </c>
    </row>
    <row r="4753" spans="1:11" ht="42" customHeight="1">
      <c r="A4753" s="2" t="s">
        <v>12286</v>
      </c>
      <c r="B4753" s="2" t="s">
        <v>12287</v>
      </c>
      <c r="C4753" s="2" t="s">
        <v>49</v>
      </c>
      <c r="D4753" s="2" t="s">
        <v>27</v>
      </c>
      <c r="E4753" s="4">
        <v>-31864</v>
      </c>
      <c r="F4753" s="3" t="s">
        <v>3014</v>
      </c>
      <c r="G4753" s="3" t="s">
        <v>8928</v>
      </c>
      <c r="H4753" s="2" t="s">
        <v>21</v>
      </c>
      <c r="I4753" s="2" t="s">
        <v>12288</v>
      </c>
      <c r="J4753" s="3" t="str">
        <f>HYPERLINK("https://www.boe.es/gazeta/dias/1812/10/03/pdfs/GRE-1812-134.pdf#page=6","Abrir facsímil")</f>
        <v>Abrir facsímil</v>
      </c>
      <c r="K4753" s="3" t="s">
        <v>23</v>
      </c>
    </row>
    <row r="4754" spans="1:11" ht="42" customHeight="1">
      <c r="A4754" s="2" t="s">
        <v>12289</v>
      </c>
      <c r="B4754" s="2" t="s">
        <v>12290</v>
      </c>
      <c r="C4754" s="2" t="s">
        <v>26</v>
      </c>
      <c r="D4754" s="2" t="s">
        <v>27</v>
      </c>
      <c r="E4754" s="4">
        <v>-32066</v>
      </c>
      <c r="F4754" s="3" t="s">
        <v>291</v>
      </c>
      <c r="G4754" s="3" t="s">
        <v>125</v>
      </c>
      <c r="H4754" s="2" t="s">
        <v>21</v>
      </c>
      <c r="I4754" s="2" t="s">
        <v>12291</v>
      </c>
      <c r="J4754" s="3" t="str">
        <f>HYPERLINK("https://www.boe.es/gazeta/dias/1812/03/15/pdfs/GMD-1812-75.pdf#page=4","Abrir facsímil")</f>
        <v>Abrir facsímil</v>
      </c>
      <c r="K4754" s="3" t="s">
        <v>23</v>
      </c>
    </row>
    <row r="4755" spans="1:11" ht="42" customHeight="1">
      <c r="A4755" s="2" t="s">
        <v>12292</v>
      </c>
      <c r="B4755" s="2" t="s">
        <v>12293</v>
      </c>
      <c r="C4755" s="2" t="s">
        <v>17</v>
      </c>
      <c r="D4755" s="2" t="s">
        <v>27</v>
      </c>
      <c r="E4755" s="4">
        <v>-31936</v>
      </c>
      <c r="F4755" s="3" t="s">
        <v>614</v>
      </c>
      <c r="G4755" s="3" t="s">
        <v>615</v>
      </c>
      <c r="H4755" s="2" t="s">
        <v>21</v>
      </c>
      <c r="I4755" s="2" t="s">
        <v>12294</v>
      </c>
      <c r="J4755" s="3" t="str">
        <f>HYPERLINK("https://www.boe.es/gazeta/dias/1812/07/23/pdfs/GRE-1812-92.pdf#page=8","Abrir facsímil")</f>
        <v>Abrir facsímil</v>
      </c>
      <c r="K4755" s="3" t="s">
        <v>23</v>
      </c>
    </row>
    <row r="4756" spans="1:11" ht="42" customHeight="1">
      <c r="A4756" s="2" t="s">
        <v>12295</v>
      </c>
      <c r="B4756" s="2" t="s">
        <v>12296</v>
      </c>
      <c r="C4756" s="2" t="s">
        <v>26</v>
      </c>
      <c r="D4756" s="2" t="s">
        <v>27</v>
      </c>
      <c r="E4756" s="4">
        <v>-32139</v>
      </c>
      <c r="F4756" s="3" t="s">
        <v>518</v>
      </c>
      <c r="G4756" s="3" t="s">
        <v>125</v>
      </c>
      <c r="H4756" s="2" t="s">
        <v>21</v>
      </c>
      <c r="I4756" s="2" t="s">
        <v>12297</v>
      </c>
      <c r="J4756" s="3" t="str">
        <f>HYPERLINK("https://www.boe.es/gazeta/dias/1812/01/02/pdfs/GEI-1812-1.pdf#page=8","Abrir facsímil")</f>
        <v>Abrir facsímil</v>
      </c>
      <c r="K4756" s="3" t="s">
        <v>23</v>
      </c>
    </row>
    <row r="4757" spans="1:11" ht="42" customHeight="1">
      <c r="A4757" s="2" t="s">
        <v>12298</v>
      </c>
      <c r="B4757" s="2" t="s">
        <v>12299</v>
      </c>
      <c r="C4757" s="2" t="s">
        <v>26</v>
      </c>
      <c r="D4757" s="2" t="s">
        <v>134</v>
      </c>
      <c r="E4757" s="4">
        <v>-31955</v>
      </c>
      <c r="F4757" s="3" t="s">
        <v>135</v>
      </c>
      <c r="G4757" s="3" t="s">
        <v>58</v>
      </c>
      <c r="H4757" s="2" t="s">
        <v>21</v>
      </c>
      <c r="I4757" s="2" t="s">
        <v>12300</v>
      </c>
      <c r="J4757" s="3" t="str">
        <f>HYPERLINK("https://www.boe.es/gazeta/dias/1812/07/04/pdfs/GRE-F-1812-82.pdf#page=6","Abrir facsímil")</f>
        <v>Abrir facsímil</v>
      </c>
      <c r="K4757" s="3" t="s">
        <v>23</v>
      </c>
    </row>
    <row r="4758" spans="1:11" ht="42" customHeight="1">
      <c r="A4758" s="2" t="s">
        <v>12301</v>
      </c>
      <c r="B4758" s="2" t="s">
        <v>12301</v>
      </c>
      <c r="C4758" s="2" t="s">
        <v>26</v>
      </c>
      <c r="D4758" s="2" t="s">
        <v>27</v>
      </c>
      <c r="E4758" s="4">
        <v>-32013</v>
      </c>
      <c r="F4758" s="3" t="s">
        <v>849</v>
      </c>
      <c r="G4758" s="3" t="s">
        <v>20</v>
      </c>
      <c r="H4758" s="2" t="s">
        <v>21</v>
      </c>
      <c r="I4758" s="2" t="s">
        <v>12302</v>
      </c>
      <c r="J4758" s="3" t="str">
        <f>HYPERLINK("https://www.boe.es/gazeta/dias/1812/05/07/pdfs/GRE-1812-57.pdf#page=1","Abrir facsímil")</f>
        <v>Abrir facsímil</v>
      </c>
      <c r="K4758" s="3" t="s">
        <v>23</v>
      </c>
    </row>
    <row r="4759" spans="1:11" ht="42" customHeight="1">
      <c r="A4759" s="2" t="s">
        <v>12303</v>
      </c>
      <c r="B4759" s="2" t="s">
        <v>12303</v>
      </c>
      <c r="C4759" s="2" t="s">
        <v>17</v>
      </c>
      <c r="D4759" s="2" t="s">
        <v>27</v>
      </c>
      <c r="E4759" s="4">
        <v>-31799</v>
      </c>
      <c r="F4759" s="3" t="s">
        <v>736</v>
      </c>
      <c r="G4759" s="3" t="s">
        <v>233</v>
      </c>
      <c r="H4759" s="2" t="s">
        <v>21</v>
      </c>
      <c r="I4759" s="2" t="s">
        <v>12304</v>
      </c>
      <c r="J4759" s="3" t="str">
        <f>HYPERLINK("https://www.boe.es/gazeta/dias/1812/12/07/pdfs/GMD-1812-230.pdf#page=2","Abrir facsímil")</f>
        <v>Abrir facsímil</v>
      </c>
      <c r="K4759" s="3" t="s">
        <v>23</v>
      </c>
    </row>
    <row r="4760" spans="1:11" ht="42" customHeight="1">
      <c r="A4760" s="2" t="s">
        <v>12305</v>
      </c>
      <c r="B4760" s="2" t="s">
        <v>12306</v>
      </c>
      <c r="C4760" s="2" t="s">
        <v>26</v>
      </c>
      <c r="D4760" s="2" t="s">
        <v>27</v>
      </c>
      <c r="E4760" s="4">
        <v>-31922</v>
      </c>
      <c r="F4760" s="3" t="s">
        <v>622</v>
      </c>
      <c r="G4760" s="3" t="s">
        <v>404</v>
      </c>
      <c r="H4760" s="2" t="s">
        <v>21</v>
      </c>
      <c r="I4760" s="2" t="s">
        <v>12307</v>
      </c>
      <c r="J4760" s="3" t="str">
        <f>HYPERLINK("https://www.boe.es/gazeta/dias/1812/08/06/pdfs/GMD-1812-219.pdf#page=2","Abrir facsímil")</f>
        <v>Abrir facsímil</v>
      </c>
      <c r="K4760" s="3" t="s">
        <v>23</v>
      </c>
    </row>
    <row r="4761" spans="1:11" ht="42" customHeight="1">
      <c r="A4761" s="2" t="s">
        <v>12308</v>
      </c>
      <c r="B4761" s="2" t="s">
        <v>12308</v>
      </c>
      <c r="C4761" s="2" t="s">
        <v>17</v>
      </c>
      <c r="D4761" s="2" t="s">
        <v>27</v>
      </c>
      <c r="E4761" s="4">
        <v>-32062</v>
      </c>
      <c r="F4761" s="3" t="s">
        <v>2168</v>
      </c>
      <c r="G4761" s="3" t="s">
        <v>196</v>
      </c>
      <c r="H4761" s="2" t="s">
        <v>21</v>
      </c>
      <c r="I4761" s="2" t="s">
        <v>12309</v>
      </c>
      <c r="J4761" s="3" t="str">
        <f>HYPERLINK("https://www.boe.es/gazeta/dias/1812/03/19/pdfs/GRE-1812-35.pdf#page=2","Abrir facsímil")</f>
        <v>Abrir facsímil</v>
      </c>
      <c r="K4761" s="3" t="s">
        <v>23</v>
      </c>
    </row>
    <row r="4762" spans="1:11" ht="42" customHeight="1">
      <c r="A4762" s="2" t="s">
        <v>12308</v>
      </c>
      <c r="B4762" s="2" t="s">
        <v>12308</v>
      </c>
      <c r="C4762" s="2" t="s">
        <v>17</v>
      </c>
      <c r="D4762" s="2" t="s">
        <v>27</v>
      </c>
      <c r="E4762" s="4">
        <v>-32053</v>
      </c>
      <c r="F4762" s="3" t="s">
        <v>910</v>
      </c>
      <c r="G4762" s="3" t="s">
        <v>214</v>
      </c>
      <c r="H4762" s="2" t="s">
        <v>21</v>
      </c>
      <c r="I4762" s="2" t="s">
        <v>12310</v>
      </c>
      <c r="J4762" s="3" t="str">
        <f>HYPERLINK("https://www.boe.es/gazeta/dias/1812/03/28/pdfs/GRE-1812-39.pdf#page=7","Abrir facsímil")</f>
        <v>Abrir facsímil</v>
      </c>
      <c r="K4762" s="3" t="s">
        <v>23</v>
      </c>
    </row>
    <row r="4763" spans="1:11" ht="42" customHeight="1">
      <c r="A4763" s="2" t="s">
        <v>12308</v>
      </c>
      <c r="B4763" s="2" t="s">
        <v>12308</v>
      </c>
      <c r="C4763" s="2" t="s">
        <v>17</v>
      </c>
      <c r="D4763" s="2" t="s">
        <v>27</v>
      </c>
      <c r="E4763" s="4">
        <v>-32029</v>
      </c>
      <c r="F4763" s="3" t="s">
        <v>176</v>
      </c>
      <c r="G4763" s="3" t="s">
        <v>1766</v>
      </c>
      <c r="H4763" s="2" t="s">
        <v>21</v>
      </c>
      <c r="I4763" s="2" t="s">
        <v>12311</v>
      </c>
      <c r="J4763" s="3" t="str">
        <f>HYPERLINK("https://www.boe.es/gazeta/dias/1812/04/21/pdfs/GRE-1812-50.pdf#page=1","Abrir facsímil")</f>
        <v>Abrir facsímil</v>
      </c>
      <c r="K4763" s="3" t="s">
        <v>23</v>
      </c>
    </row>
    <row r="4764" spans="1:11" ht="42" customHeight="1">
      <c r="A4764" s="2" t="s">
        <v>12308</v>
      </c>
      <c r="B4764" s="2" t="s">
        <v>12308</v>
      </c>
      <c r="C4764" s="2" t="s">
        <v>17</v>
      </c>
      <c r="D4764" s="2" t="s">
        <v>27</v>
      </c>
      <c r="E4764" s="4">
        <v>-31995</v>
      </c>
      <c r="F4764" s="3" t="s">
        <v>100</v>
      </c>
      <c r="G4764" s="3" t="s">
        <v>237</v>
      </c>
      <c r="H4764" s="2" t="s">
        <v>21</v>
      </c>
      <c r="I4764" s="2" t="s">
        <v>12312</v>
      </c>
      <c r="J4764" s="3" t="str">
        <f>HYPERLINK("https://www.boe.es/gazeta/dias/1812/05/25/pdfs/GMD-1812-146.pdf#page=3","Abrir facsímil")</f>
        <v>Abrir facsímil</v>
      </c>
      <c r="K4764" s="3" t="s">
        <v>23</v>
      </c>
    </row>
    <row r="4765" spans="1:11" ht="42" customHeight="1">
      <c r="A4765" s="2" t="s">
        <v>12308</v>
      </c>
      <c r="B4765" s="2" t="s">
        <v>12308</v>
      </c>
      <c r="C4765" s="2" t="s">
        <v>17</v>
      </c>
      <c r="D4765" s="2" t="s">
        <v>27</v>
      </c>
      <c r="E4765" s="4">
        <v>-31959</v>
      </c>
      <c r="F4765" s="3" t="s">
        <v>1035</v>
      </c>
      <c r="G4765" s="3" t="s">
        <v>4321</v>
      </c>
      <c r="H4765" s="2" t="s">
        <v>21</v>
      </c>
      <c r="I4765" s="2" t="s">
        <v>12313</v>
      </c>
      <c r="J4765" s="3" t="str">
        <f>HYPERLINK("https://www.boe.es/gazeta/dias/1812/06/30/pdfs/GRE-1812-80.pdf#page=5","Abrir facsímil")</f>
        <v>Abrir facsímil</v>
      </c>
      <c r="K4765" s="3" t="s">
        <v>23</v>
      </c>
    </row>
    <row r="4766" spans="1:11" ht="42" customHeight="1">
      <c r="A4766" s="2" t="s">
        <v>12308</v>
      </c>
      <c r="B4766" s="2" t="s">
        <v>12308</v>
      </c>
      <c r="C4766" s="2" t="s">
        <v>17</v>
      </c>
      <c r="D4766" s="2" t="s">
        <v>27</v>
      </c>
      <c r="E4766" s="4">
        <v>-31950</v>
      </c>
      <c r="F4766" s="3" t="s">
        <v>1024</v>
      </c>
      <c r="G4766" s="3" t="s">
        <v>667</v>
      </c>
      <c r="H4766" s="2" t="s">
        <v>21</v>
      </c>
      <c r="I4766" s="2" t="s">
        <v>12314</v>
      </c>
      <c r="J4766" s="3" t="str">
        <f>HYPERLINK("https://www.boe.es/gazeta/dias/1812/07/09/pdfs/GRE-1812-84.pdf#page=5","Abrir facsímil")</f>
        <v>Abrir facsímil</v>
      </c>
      <c r="K4766" s="3" t="s">
        <v>23</v>
      </c>
    </row>
    <row r="4767" spans="1:11" ht="42" customHeight="1">
      <c r="A4767" s="2" t="s">
        <v>12315</v>
      </c>
      <c r="B4767" s="2" t="s">
        <v>12316</v>
      </c>
      <c r="C4767" s="2" t="s">
        <v>17</v>
      </c>
      <c r="D4767" s="2" t="s">
        <v>27</v>
      </c>
      <c r="E4767" s="4">
        <v>-31948</v>
      </c>
      <c r="F4767" s="3" t="s">
        <v>431</v>
      </c>
      <c r="G4767" s="3" t="s">
        <v>432</v>
      </c>
      <c r="H4767" s="2" t="s">
        <v>21</v>
      </c>
      <c r="I4767" s="2" t="s">
        <v>12317</v>
      </c>
      <c r="J4767" s="3" t="str">
        <f>HYPERLINK("https://www.boe.es/gazeta/dias/1812/07/11/pdfs/GRE-1812-86.pdf#page=5","Abrir facsímil")</f>
        <v>Abrir facsímil</v>
      </c>
      <c r="K4767" s="3" t="s">
        <v>23</v>
      </c>
    </row>
    <row r="4768" spans="1:11" ht="42" customHeight="1">
      <c r="A4768" s="2" t="s">
        <v>12315</v>
      </c>
      <c r="B4768" s="2" t="s">
        <v>12316</v>
      </c>
      <c r="C4768" s="2" t="s">
        <v>17</v>
      </c>
      <c r="D4768" s="2" t="s">
        <v>18</v>
      </c>
      <c r="E4768" s="4">
        <v>-31920</v>
      </c>
      <c r="F4768" s="3" t="s">
        <v>8503</v>
      </c>
      <c r="G4768" s="3" t="s">
        <v>6742</v>
      </c>
      <c r="H4768" s="2" t="s">
        <v>21</v>
      </c>
      <c r="I4768" s="2" t="s">
        <v>12318</v>
      </c>
      <c r="J4768" s="3" t="str">
        <f>HYPERLINK("https://www.boe.es/gazeta/dias/1812/08/08/pdfs/GRE-1812-102.pdf#page=2","Abrir facsímil")</f>
        <v>Abrir facsímil</v>
      </c>
      <c r="K4768" s="3" t="s">
        <v>23</v>
      </c>
    </row>
    <row r="4769" spans="1:11" ht="42" customHeight="1">
      <c r="A4769" s="2" t="s">
        <v>12315</v>
      </c>
      <c r="B4769" s="2" t="s">
        <v>12316</v>
      </c>
      <c r="C4769" s="2" t="s">
        <v>17</v>
      </c>
      <c r="D4769" s="2" t="s">
        <v>27</v>
      </c>
      <c r="E4769" s="4">
        <v>-31892</v>
      </c>
      <c r="F4769" s="3" t="s">
        <v>2760</v>
      </c>
      <c r="G4769" s="3" t="s">
        <v>1128</v>
      </c>
      <c r="H4769" s="2" t="s">
        <v>21</v>
      </c>
      <c r="I4769" s="2" t="s">
        <v>12319</v>
      </c>
      <c r="J4769" s="3" t="str">
        <f>HYPERLINK("https://www.boe.es/gazeta/dias/1812/09/05/pdfs/GRE-1812-120.pdf#page=7","Abrir facsímil")</f>
        <v>Abrir facsímil</v>
      </c>
      <c r="K4769" s="3" t="s">
        <v>23</v>
      </c>
    </row>
    <row r="4770" spans="1:11" ht="42" customHeight="1">
      <c r="A4770" s="2" t="s">
        <v>12315</v>
      </c>
      <c r="B4770" s="2" t="s">
        <v>12316</v>
      </c>
      <c r="C4770" s="2" t="s">
        <v>17</v>
      </c>
      <c r="D4770" s="2" t="s">
        <v>27</v>
      </c>
      <c r="E4770" s="4">
        <v>-31885</v>
      </c>
      <c r="F4770" s="3" t="s">
        <v>609</v>
      </c>
      <c r="G4770" s="3" t="s">
        <v>610</v>
      </c>
      <c r="H4770" s="2" t="s">
        <v>21</v>
      </c>
      <c r="I4770" s="2" t="s">
        <v>12320</v>
      </c>
      <c r="J4770" s="3" t="str">
        <f>HYPERLINK("https://www.boe.es/gazeta/dias/1812/09/12/pdfs/GRE-1812-124.pdf#page=2","Abrir facsímil")</f>
        <v>Abrir facsímil</v>
      </c>
      <c r="K4770" s="3" t="s">
        <v>23</v>
      </c>
    </row>
    <row r="4771" spans="1:11" ht="42" customHeight="1">
      <c r="A4771" s="2" t="s">
        <v>12315</v>
      </c>
      <c r="B4771" s="2" t="s">
        <v>12316</v>
      </c>
      <c r="C4771" s="2" t="s">
        <v>17</v>
      </c>
      <c r="D4771" s="2" t="s">
        <v>27</v>
      </c>
      <c r="E4771" s="4">
        <v>-31880</v>
      </c>
      <c r="F4771" s="3" t="s">
        <v>705</v>
      </c>
      <c r="G4771" s="3" t="s">
        <v>8066</v>
      </c>
      <c r="H4771" s="2" t="s">
        <v>21</v>
      </c>
      <c r="I4771" s="2" t="s">
        <v>12321</v>
      </c>
      <c r="J4771" s="3" t="str">
        <f>HYPERLINK("https://www.boe.es/gazeta/dias/1812/09/17/pdfs/GMR-1812-15.pdf#page=5","Abrir facsímil")</f>
        <v>Abrir facsímil</v>
      </c>
      <c r="K4771" s="3" t="s">
        <v>23</v>
      </c>
    </row>
    <row r="4772" spans="1:11" ht="42" customHeight="1">
      <c r="A4772" s="2" t="s">
        <v>12322</v>
      </c>
      <c r="B4772" s="2" t="s">
        <v>12323</v>
      </c>
      <c r="C4772" s="2" t="s">
        <v>186</v>
      </c>
      <c r="D4772" s="2" t="s">
        <v>27</v>
      </c>
      <c r="E4772" s="4">
        <v>-31787</v>
      </c>
      <c r="F4772" s="3" t="s">
        <v>1560</v>
      </c>
      <c r="G4772" s="3" t="s">
        <v>404</v>
      </c>
      <c r="H4772" s="2" t="s">
        <v>21</v>
      </c>
      <c r="I4772" s="2" t="s">
        <v>12324</v>
      </c>
      <c r="J4772" s="3" t="str">
        <f>HYPERLINK("https://www.boe.es/gazeta/dias/1812/12/19/pdfs/GRE-1812-167.pdf#page=8","Abrir facsímil")</f>
        <v>Abrir facsímil</v>
      </c>
      <c r="K4772" s="3" t="s">
        <v>23</v>
      </c>
    </row>
    <row r="4773" spans="1:11" ht="42" customHeight="1">
      <c r="A4773" s="2" t="s">
        <v>12325</v>
      </c>
      <c r="B4773" s="2" t="s">
        <v>12325</v>
      </c>
      <c r="C4773" s="2" t="s">
        <v>17</v>
      </c>
      <c r="D4773" s="2" t="s">
        <v>27</v>
      </c>
      <c r="E4773" s="4">
        <v>-32060</v>
      </c>
      <c r="F4773" s="3" t="s">
        <v>399</v>
      </c>
      <c r="G4773" s="3" t="s">
        <v>801</v>
      </c>
      <c r="H4773" s="2" t="s">
        <v>21</v>
      </c>
      <c r="I4773" s="2" t="s">
        <v>12326</v>
      </c>
      <c r="J4773" s="3" t="str">
        <f>HYPERLINK("https://www.boe.es/gazeta/dias/1812/03/21/pdfs/GMD-1812-81.pdf#page=3","Abrir facsímil")</f>
        <v>Abrir facsímil</v>
      </c>
      <c r="K4773" s="3" t="s">
        <v>23</v>
      </c>
    </row>
    <row r="4774" spans="1:11" ht="42" customHeight="1">
      <c r="A4774" s="2" t="s">
        <v>12327</v>
      </c>
      <c r="B4774" s="2" t="s">
        <v>12327</v>
      </c>
      <c r="C4774" s="2" t="s">
        <v>17</v>
      </c>
      <c r="D4774" s="2" t="s">
        <v>18</v>
      </c>
      <c r="E4774" s="4">
        <v>-31905</v>
      </c>
      <c r="F4774" s="3" t="s">
        <v>855</v>
      </c>
      <c r="G4774" s="3" t="s">
        <v>1826</v>
      </c>
      <c r="H4774" s="2" t="s">
        <v>21</v>
      </c>
      <c r="I4774" s="2" t="s">
        <v>12328</v>
      </c>
      <c r="J4774" s="3" t="str">
        <f>HYPERLINK("https://www.boe.es/gazeta/dias/1812/08/23/pdfs/GMR-1812-4.pdf#page=7","Abrir facsímil")</f>
        <v>Abrir facsímil</v>
      </c>
      <c r="K4774" s="3" t="s">
        <v>23</v>
      </c>
    </row>
    <row r="4775" spans="1:11" ht="42" customHeight="1">
      <c r="A4775" s="2" t="s">
        <v>12329</v>
      </c>
      <c r="B4775" s="2" t="s">
        <v>12329</v>
      </c>
      <c r="C4775" s="2" t="s">
        <v>67</v>
      </c>
      <c r="D4775" s="2" t="s">
        <v>27</v>
      </c>
      <c r="E4775" s="4">
        <v>-32095</v>
      </c>
      <c r="F4775" s="3" t="s">
        <v>1099</v>
      </c>
      <c r="G4775" s="3" t="s">
        <v>438</v>
      </c>
      <c r="H4775" s="2" t="s">
        <v>21</v>
      </c>
      <c r="I4775" s="2" t="s">
        <v>12330</v>
      </c>
      <c r="J4775" s="3" t="str">
        <f>HYPERLINK("https://www.boe.es/gazeta/dias/1812/02/15/pdfs/GMD-1812-46.pdf#page=4","Abrir facsímil")</f>
        <v>Abrir facsímil</v>
      </c>
      <c r="K4775" s="3" t="s">
        <v>23</v>
      </c>
    </row>
    <row r="4776" spans="1:11" ht="42" customHeight="1">
      <c r="A4776" s="2" t="s">
        <v>12331</v>
      </c>
      <c r="B4776" s="2" t="s">
        <v>12332</v>
      </c>
      <c r="C4776" s="2" t="s">
        <v>17</v>
      </c>
      <c r="D4776" s="2" t="s">
        <v>18</v>
      </c>
      <c r="E4776" s="4">
        <v>-32064</v>
      </c>
      <c r="F4776" s="3" t="s">
        <v>12333</v>
      </c>
      <c r="G4776" s="3" t="s">
        <v>994</v>
      </c>
      <c r="H4776" s="2" t="s">
        <v>21</v>
      </c>
      <c r="I4776" s="2" t="s">
        <v>12334</v>
      </c>
      <c r="J4776" s="3" t="str">
        <f>HYPERLINK("https://www.boe.es/gazeta/dias/1812/03/17/pdfs/GRE-1812-34.pdf#page=8","Abrir facsímil")</f>
        <v>Abrir facsímil</v>
      </c>
      <c r="K4776" s="3" t="s">
        <v>23</v>
      </c>
    </row>
    <row r="4777" spans="1:11" ht="42" customHeight="1">
      <c r="A4777" s="2" t="s">
        <v>12335</v>
      </c>
      <c r="B4777" s="2" t="s">
        <v>12335</v>
      </c>
      <c r="C4777" s="2" t="s">
        <v>17</v>
      </c>
      <c r="D4777" s="2" t="s">
        <v>27</v>
      </c>
      <c r="E4777" s="4">
        <v>-31955</v>
      </c>
      <c r="F4777" s="3" t="s">
        <v>789</v>
      </c>
      <c r="G4777" s="3" t="s">
        <v>6696</v>
      </c>
      <c r="H4777" s="2" t="s">
        <v>21</v>
      </c>
      <c r="I4777" s="2" t="s">
        <v>12336</v>
      </c>
      <c r="J4777" s="3" t="str">
        <f>HYPERLINK("https://www.boe.es/gazeta/dias/1812/07/04/pdfs/GRE-1812-82.pdf#page=2","Abrir facsímil")</f>
        <v>Abrir facsímil</v>
      </c>
      <c r="K4777" s="3" t="s">
        <v>23</v>
      </c>
    </row>
    <row r="4778" spans="1:11" ht="42" customHeight="1">
      <c r="A4778" s="2" t="s">
        <v>12337</v>
      </c>
      <c r="B4778" s="2" t="s">
        <v>12337</v>
      </c>
      <c r="C4778" s="2" t="s">
        <v>17</v>
      </c>
      <c r="D4778" s="2" t="s">
        <v>27</v>
      </c>
      <c r="E4778" s="4">
        <v>-31992</v>
      </c>
      <c r="F4778" s="3" t="s">
        <v>1292</v>
      </c>
      <c r="G4778" s="3" t="s">
        <v>10046</v>
      </c>
      <c r="H4778" s="2" t="s">
        <v>21</v>
      </c>
      <c r="I4778" s="2" t="s">
        <v>12338</v>
      </c>
      <c r="J4778" s="3" t="str">
        <f>HYPERLINK("https://www.boe.es/gazeta/dias/1812/05/28/pdfs/GRE-1812-66.pdf#page=1","Abrir facsímil")</f>
        <v>Abrir facsímil</v>
      </c>
      <c r="K4778" s="3" t="s">
        <v>23</v>
      </c>
    </row>
    <row r="4779" spans="1:11" ht="42" customHeight="1">
      <c r="A4779" s="2" t="s">
        <v>12337</v>
      </c>
      <c r="B4779" s="2" t="s">
        <v>12337</v>
      </c>
      <c r="C4779" s="2" t="s">
        <v>17</v>
      </c>
      <c r="D4779" s="2" t="s">
        <v>27</v>
      </c>
      <c r="E4779" s="4">
        <v>-31978</v>
      </c>
      <c r="F4779" s="3" t="s">
        <v>1790</v>
      </c>
      <c r="G4779" s="3" t="s">
        <v>58</v>
      </c>
      <c r="H4779" s="2" t="s">
        <v>21</v>
      </c>
      <c r="I4779" s="2" t="s">
        <v>12339</v>
      </c>
      <c r="J4779" s="3" t="str">
        <f>HYPERLINK("https://www.boe.es/gazeta/dias/1812/06/11/pdfs/GRE-1812-72.pdf#page=6","Abrir facsímil")</f>
        <v>Abrir facsímil</v>
      </c>
      <c r="K4779" s="3" t="s">
        <v>23</v>
      </c>
    </row>
    <row r="4780" spans="1:11" ht="42" customHeight="1">
      <c r="A4780" s="2" t="s">
        <v>12340</v>
      </c>
      <c r="B4780" s="2" t="s">
        <v>12341</v>
      </c>
      <c r="C4780" s="2" t="s">
        <v>26</v>
      </c>
      <c r="D4780" s="2" t="s">
        <v>27</v>
      </c>
      <c r="E4780" s="4">
        <v>-32053</v>
      </c>
      <c r="F4780" s="3" t="s">
        <v>2877</v>
      </c>
      <c r="G4780" s="3" t="s">
        <v>965</v>
      </c>
      <c r="H4780" s="2" t="s">
        <v>21</v>
      </c>
      <c r="I4780" s="2" t="s">
        <v>12342</v>
      </c>
      <c r="J4780" s="3" t="str">
        <f>HYPERLINK("https://www.boe.es/gazeta/dias/1812/03/28/pdfs/GMD-1812-88.pdf#page=4","Abrir facsímil")</f>
        <v>Abrir facsímil</v>
      </c>
      <c r="K4780" s="3" t="s">
        <v>23</v>
      </c>
    </row>
    <row r="4781" spans="1:11" ht="42" customHeight="1">
      <c r="A4781" s="2" t="s">
        <v>12343</v>
      </c>
      <c r="B4781" s="2" t="s">
        <v>12344</v>
      </c>
      <c r="C4781" s="2" t="s">
        <v>26</v>
      </c>
      <c r="D4781" s="2" t="s">
        <v>27</v>
      </c>
      <c r="E4781" s="4">
        <v>-32095</v>
      </c>
      <c r="F4781" s="3" t="s">
        <v>1099</v>
      </c>
      <c r="G4781" s="3" t="s">
        <v>438</v>
      </c>
      <c r="H4781" s="2" t="s">
        <v>21</v>
      </c>
      <c r="I4781" s="2" t="s">
        <v>12345</v>
      </c>
      <c r="J4781" s="3" t="str">
        <f>HYPERLINK("https://www.boe.es/gazeta/dias/1812/02/15/pdfs/GMD-1812-46.pdf#page=4","Abrir facsímil")</f>
        <v>Abrir facsímil</v>
      </c>
      <c r="K4781" s="3" t="s">
        <v>23</v>
      </c>
    </row>
    <row r="4782" spans="1:11" ht="42" customHeight="1">
      <c r="A4782" s="2" t="s">
        <v>12346</v>
      </c>
      <c r="B4782" s="2" t="s">
        <v>12347</v>
      </c>
      <c r="C4782" s="2" t="s">
        <v>26</v>
      </c>
      <c r="D4782" s="2" t="s">
        <v>27</v>
      </c>
      <c r="E4782" s="4">
        <v>-32125</v>
      </c>
      <c r="F4782" s="3" t="s">
        <v>964</v>
      </c>
      <c r="G4782" s="3" t="s">
        <v>1842</v>
      </c>
      <c r="H4782" s="2" t="s">
        <v>21</v>
      </c>
      <c r="I4782" s="2" t="s">
        <v>12348</v>
      </c>
      <c r="J4782" s="3" t="str">
        <f>HYPERLINK("https://www.boe.es/gazeta/dias/1812/01/16/pdfs/GEI-H-1812-7.pdf#page=4","Abrir facsímil")</f>
        <v>Abrir facsímil</v>
      </c>
      <c r="K4782" s="3" t="s">
        <v>23</v>
      </c>
    </row>
    <row r="4783" spans="1:11" ht="42" customHeight="1">
      <c r="A4783" s="2" t="s">
        <v>12349</v>
      </c>
      <c r="B4783" s="2" t="s">
        <v>12350</v>
      </c>
      <c r="C4783" s="2" t="s">
        <v>26</v>
      </c>
      <c r="D4783" s="2" t="s">
        <v>27</v>
      </c>
      <c r="E4783" s="4">
        <v>-31955</v>
      </c>
      <c r="F4783" s="3" t="s">
        <v>789</v>
      </c>
      <c r="G4783" s="3" t="s">
        <v>237</v>
      </c>
      <c r="H4783" s="2" t="s">
        <v>21</v>
      </c>
      <c r="I4783" s="2" t="s">
        <v>12351</v>
      </c>
      <c r="J4783" s="3" t="str">
        <f>HYPERLINK("https://www.boe.es/gazeta/dias/1812/07/04/pdfs/GRE-1812-82.pdf#page=8","Abrir facsímil")</f>
        <v>Abrir facsímil</v>
      </c>
      <c r="K4783" s="3" t="s">
        <v>23</v>
      </c>
    </row>
    <row r="4784" spans="1:11" ht="42" customHeight="1">
      <c r="A4784" s="2" t="s">
        <v>12352</v>
      </c>
      <c r="B4784" s="2" t="s">
        <v>12352</v>
      </c>
      <c r="C4784" s="2" t="s">
        <v>49</v>
      </c>
      <c r="D4784" s="2" t="s">
        <v>27</v>
      </c>
      <c r="E4784" s="4">
        <v>-32020</v>
      </c>
      <c r="F4784" s="3" t="s">
        <v>1860</v>
      </c>
      <c r="G4784" s="3" t="s">
        <v>36</v>
      </c>
      <c r="H4784" s="2" t="s">
        <v>21</v>
      </c>
      <c r="I4784" s="2" t="s">
        <v>12353</v>
      </c>
      <c r="J4784" s="3" t="str">
        <f>HYPERLINK("https://www.boe.es/gazeta/dias/1812/04/30/pdfs/GMD-1812-121.pdf#page=3","Abrir facsímil")</f>
        <v>Abrir facsímil</v>
      </c>
      <c r="K4784" s="3" t="s">
        <v>23</v>
      </c>
    </row>
    <row r="4785" spans="1:11" ht="42" customHeight="1">
      <c r="A4785" s="2" t="s">
        <v>12354</v>
      </c>
      <c r="B4785" s="2" t="s">
        <v>12355</v>
      </c>
      <c r="C4785" s="2" t="s">
        <v>105</v>
      </c>
      <c r="D4785" s="2" t="s">
        <v>27</v>
      </c>
      <c r="E4785" s="4">
        <v>-32011</v>
      </c>
      <c r="F4785" s="3" t="s">
        <v>1656</v>
      </c>
      <c r="G4785" s="3" t="s">
        <v>777</v>
      </c>
      <c r="H4785" s="2" t="s">
        <v>21</v>
      </c>
      <c r="I4785" s="2" t="s">
        <v>12356</v>
      </c>
      <c r="J4785" s="3" t="str">
        <f>HYPERLINK("https://www.boe.es/gazeta/dias/1812/05/09/pdfs/GMD-1812-130.pdf#page=2","Abrir facsímil")</f>
        <v>Abrir facsímil</v>
      </c>
      <c r="K4785" s="3" t="s">
        <v>23</v>
      </c>
    </row>
    <row r="4786" spans="1:11" ht="42" customHeight="1">
      <c r="A4786" s="2" t="s">
        <v>12357</v>
      </c>
      <c r="B4786" s="2" t="s">
        <v>12358</v>
      </c>
      <c r="C4786" s="2" t="s">
        <v>26</v>
      </c>
      <c r="D4786" s="2" t="s">
        <v>27</v>
      </c>
      <c r="E4786" s="4">
        <v>-31938</v>
      </c>
      <c r="F4786" s="3" t="s">
        <v>324</v>
      </c>
      <c r="G4786" s="3" t="s">
        <v>404</v>
      </c>
      <c r="H4786" s="2" t="s">
        <v>21</v>
      </c>
      <c r="I4786" s="2" t="s">
        <v>12359</v>
      </c>
      <c r="J4786" s="3" t="str">
        <f>HYPERLINK("https://www.boe.es/gazeta/dias/1812/07/21/pdfs/GMD-1812-203.pdf#page=4","Abrir facsímil")</f>
        <v>Abrir facsímil</v>
      </c>
      <c r="K4786" s="3" t="s">
        <v>23</v>
      </c>
    </row>
    <row r="4787" spans="1:11" ht="42" customHeight="1">
      <c r="A4787" s="2" t="s">
        <v>12360</v>
      </c>
      <c r="B4787" s="2" t="s">
        <v>12361</v>
      </c>
      <c r="C4787" s="2" t="s">
        <v>17</v>
      </c>
      <c r="D4787" s="2" t="s">
        <v>27</v>
      </c>
      <c r="E4787" s="4">
        <v>-32034</v>
      </c>
      <c r="F4787" s="3" t="s">
        <v>28</v>
      </c>
      <c r="G4787" s="3" t="s">
        <v>20</v>
      </c>
      <c r="H4787" s="2" t="s">
        <v>21</v>
      </c>
      <c r="I4787" s="2" t="s">
        <v>12362</v>
      </c>
      <c r="J4787" s="3" t="str">
        <f>HYPERLINK("https://www.boe.es/gazeta/dias/1812/04/16/pdfs/GMD-1812-107.pdf#page=3","Abrir facsímil")</f>
        <v>Abrir facsímil</v>
      </c>
      <c r="K4787" s="3" t="s">
        <v>23</v>
      </c>
    </row>
    <row r="4788" spans="1:11" ht="42" customHeight="1">
      <c r="A4788" s="2" t="s">
        <v>12363</v>
      </c>
      <c r="B4788" s="2" t="s">
        <v>12364</v>
      </c>
      <c r="C4788" s="2" t="s">
        <v>17</v>
      </c>
      <c r="D4788" s="2" t="s">
        <v>27</v>
      </c>
      <c r="E4788" s="4">
        <v>-32127</v>
      </c>
      <c r="F4788" s="3" t="s">
        <v>88</v>
      </c>
      <c r="G4788" s="3" t="s">
        <v>89</v>
      </c>
      <c r="H4788" s="2" t="s">
        <v>21</v>
      </c>
      <c r="I4788" s="2" t="s">
        <v>12365</v>
      </c>
      <c r="J4788" s="3" t="str">
        <f>HYPERLINK("https://www.boe.es/gazeta/dias/1812/01/14/pdfs/GEI-1812-6.pdf#page=8","Abrir facsímil")</f>
        <v>Abrir facsímil</v>
      </c>
      <c r="K4788" s="3" t="s">
        <v>23</v>
      </c>
    </row>
    <row r="4789" spans="1:11" ht="42" customHeight="1">
      <c r="A4789" s="2" t="s">
        <v>12366</v>
      </c>
      <c r="B4789" s="2" t="s">
        <v>12367</v>
      </c>
      <c r="C4789" s="2" t="s">
        <v>26</v>
      </c>
      <c r="D4789" s="2" t="s">
        <v>27</v>
      </c>
      <c r="E4789" s="4">
        <v>-32137</v>
      </c>
      <c r="F4789" s="3" t="s">
        <v>355</v>
      </c>
      <c r="G4789" s="3" t="s">
        <v>117</v>
      </c>
      <c r="H4789" s="2" t="s">
        <v>21</v>
      </c>
      <c r="I4789" s="2" t="s">
        <v>12368</v>
      </c>
      <c r="J4789" s="3" t="str">
        <f>HYPERLINK("https://www.boe.es/gazeta/dias/1812/01/04/pdfs/GEI-1812-2.pdf#page=8","Abrir facsímil")</f>
        <v>Abrir facsímil</v>
      </c>
      <c r="K4789" s="3" t="s">
        <v>23</v>
      </c>
    </row>
    <row r="4790" spans="1:11" ht="42" customHeight="1">
      <c r="A4790" s="2" t="s">
        <v>12369</v>
      </c>
      <c r="B4790" s="2" t="s">
        <v>12370</v>
      </c>
      <c r="C4790" s="2" t="s">
        <v>26</v>
      </c>
      <c r="D4790" s="2" t="s">
        <v>27</v>
      </c>
      <c r="E4790" s="4">
        <v>-32127</v>
      </c>
      <c r="F4790" s="3" t="s">
        <v>88</v>
      </c>
      <c r="G4790" s="3" t="s">
        <v>89</v>
      </c>
      <c r="H4790" s="2" t="s">
        <v>21</v>
      </c>
      <c r="I4790" s="2" t="s">
        <v>12371</v>
      </c>
      <c r="J4790" s="3" t="str">
        <f>HYPERLINK("https://www.boe.es/gazeta/dias/1812/01/14/pdfs/GEI-1812-6.pdf#page=8","Abrir facsímil")</f>
        <v>Abrir facsímil</v>
      </c>
      <c r="K4790" s="3" t="s">
        <v>23</v>
      </c>
    </row>
    <row r="4791" spans="1:11" ht="42" customHeight="1">
      <c r="A4791" s="2" t="s">
        <v>12372</v>
      </c>
      <c r="B4791" s="2" t="s">
        <v>12373</v>
      </c>
      <c r="C4791" s="2" t="s">
        <v>105</v>
      </c>
      <c r="D4791" s="2" t="s">
        <v>27</v>
      </c>
      <c r="E4791" s="4">
        <v>-31982</v>
      </c>
      <c r="F4791" s="3" t="s">
        <v>1630</v>
      </c>
      <c r="G4791" s="3" t="s">
        <v>1631</v>
      </c>
      <c r="H4791" s="2" t="s">
        <v>21</v>
      </c>
      <c r="I4791" s="2" t="s">
        <v>12374</v>
      </c>
      <c r="J4791" s="3" t="str">
        <f>HYPERLINK("https://www.boe.es/gazeta/dias/1812/06/07/pdfs/GMD-1812-159.pdf#page=4","Abrir facsímil")</f>
        <v>Abrir facsímil</v>
      </c>
      <c r="K4791" s="3" t="s">
        <v>23</v>
      </c>
    </row>
    <row r="4792" spans="1:11" ht="42" customHeight="1">
      <c r="A4792" s="2" t="s">
        <v>12375</v>
      </c>
      <c r="B4792" s="2" t="s">
        <v>12375</v>
      </c>
      <c r="C4792" s="2" t="s">
        <v>17</v>
      </c>
      <c r="D4792" s="2" t="s">
        <v>18</v>
      </c>
      <c r="E4792" s="4">
        <v>-32120</v>
      </c>
      <c r="F4792" s="3" t="s">
        <v>522</v>
      </c>
      <c r="G4792" s="3" t="s">
        <v>404</v>
      </c>
      <c r="H4792" s="2" t="s">
        <v>21</v>
      </c>
      <c r="I4792" s="2" t="s">
        <v>12376</v>
      </c>
      <c r="J4792" s="3" t="str">
        <f>HYPERLINK("https://www.boe.es/gazeta/dias/1812/01/21/pdfs/GMD-1812-21.pdf#page=3","Abrir facsímil")</f>
        <v>Abrir facsímil</v>
      </c>
      <c r="K4792" s="3" t="s">
        <v>23</v>
      </c>
    </row>
    <row r="4793" spans="1:11" ht="42" customHeight="1">
      <c r="A4793" s="2" t="s">
        <v>12377</v>
      </c>
      <c r="B4793" s="2" t="s">
        <v>12378</v>
      </c>
      <c r="C4793" s="2" t="s">
        <v>17</v>
      </c>
      <c r="D4793" s="2" t="s">
        <v>27</v>
      </c>
      <c r="E4793" s="4">
        <v>-31922</v>
      </c>
      <c r="F4793" s="3" t="s">
        <v>375</v>
      </c>
      <c r="G4793" s="3" t="s">
        <v>5327</v>
      </c>
      <c r="H4793" s="2" t="s">
        <v>21</v>
      </c>
      <c r="I4793" s="2" t="s">
        <v>12379</v>
      </c>
      <c r="J4793" s="3" t="str">
        <f>HYPERLINK("https://www.boe.es/gazeta/dias/1812/08/06/pdfs/GRE-1812-100.pdf#page=3","Abrir facsímil")</f>
        <v>Abrir facsímil</v>
      </c>
      <c r="K4793" s="3" t="s">
        <v>23</v>
      </c>
    </row>
    <row r="4794" spans="1:11" ht="42" customHeight="1">
      <c r="A4794" s="2" t="s">
        <v>12380</v>
      </c>
      <c r="B4794" s="2" t="s">
        <v>12380</v>
      </c>
      <c r="C4794" s="2" t="s">
        <v>17</v>
      </c>
      <c r="D4794" s="2" t="s">
        <v>27</v>
      </c>
      <c r="E4794" s="4">
        <v>-32067</v>
      </c>
      <c r="F4794" s="3" t="s">
        <v>12381</v>
      </c>
      <c r="G4794" s="3" t="s">
        <v>125</v>
      </c>
      <c r="H4794" s="2" t="s">
        <v>21</v>
      </c>
      <c r="I4794" s="2" t="s">
        <v>12382</v>
      </c>
      <c r="J4794" s="3" t="str">
        <f>HYPERLINK("https://www.boe.es/gazeta/dias/1812/03/14/pdfs/GMD-1812-74.pdf#page=4","Abrir facsímil")</f>
        <v>Abrir facsímil</v>
      </c>
      <c r="K4794" s="3" t="s">
        <v>23</v>
      </c>
    </row>
    <row r="4795" spans="1:11" ht="42" customHeight="1">
      <c r="A4795" s="2" t="s">
        <v>12380</v>
      </c>
      <c r="B4795" s="2" t="s">
        <v>12380</v>
      </c>
      <c r="C4795" s="2" t="s">
        <v>17</v>
      </c>
      <c r="D4795" s="2" t="s">
        <v>18</v>
      </c>
      <c r="E4795" s="4">
        <v>-31959</v>
      </c>
      <c r="F4795" s="3" t="s">
        <v>1035</v>
      </c>
      <c r="G4795" s="3" t="s">
        <v>130</v>
      </c>
      <c r="H4795" s="2" t="s">
        <v>21</v>
      </c>
      <c r="I4795" s="2" t="s">
        <v>12383</v>
      </c>
      <c r="J4795" s="3" t="str">
        <f>HYPERLINK("https://www.boe.es/gazeta/dias/1812/06/30/pdfs/GRE-1812-80.pdf#page=4","Abrir facsímil")</f>
        <v>Abrir facsímil</v>
      </c>
      <c r="K4795" s="3" t="s">
        <v>23</v>
      </c>
    </row>
    <row r="4796" spans="1:11" ht="42" customHeight="1">
      <c r="A4796" s="2" t="s">
        <v>12384</v>
      </c>
      <c r="B4796" s="2" t="s">
        <v>12384</v>
      </c>
      <c r="C4796" s="2" t="s">
        <v>17</v>
      </c>
      <c r="D4796" s="2" t="s">
        <v>27</v>
      </c>
      <c r="E4796" s="4">
        <v>-31959</v>
      </c>
      <c r="F4796" s="3" t="s">
        <v>1035</v>
      </c>
      <c r="G4796" s="3" t="s">
        <v>4321</v>
      </c>
      <c r="H4796" s="2" t="s">
        <v>21</v>
      </c>
      <c r="I4796" s="2" t="s">
        <v>12385</v>
      </c>
      <c r="J4796" s="3" t="str">
        <f>HYPERLINK("https://www.boe.es/gazeta/dias/1812/06/30/pdfs/GRE-1812-80.pdf#page=5","Abrir facsímil")</f>
        <v>Abrir facsímil</v>
      </c>
      <c r="K4796" s="3" t="s">
        <v>23</v>
      </c>
    </row>
    <row r="4797" spans="1:11" ht="42" customHeight="1">
      <c r="A4797" s="2" t="s">
        <v>12386</v>
      </c>
      <c r="B4797" s="2" t="s">
        <v>12387</v>
      </c>
      <c r="C4797" s="2" t="s">
        <v>26</v>
      </c>
      <c r="D4797" s="2" t="s">
        <v>27</v>
      </c>
      <c r="E4797" s="4">
        <v>-31994</v>
      </c>
      <c r="F4797" s="3" t="s">
        <v>207</v>
      </c>
      <c r="G4797" s="3" t="s">
        <v>1176</v>
      </c>
      <c r="H4797" s="2" t="s">
        <v>21</v>
      </c>
      <c r="I4797" s="2" t="s">
        <v>12388</v>
      </c>
      <c r="J4797" s="3" t="str">
        <f>HYPERLINK("https://www.boe.es/gazeta/dias/1812/05/26/pdfs/GRE-1812-65.pdf#page=8","Abrir facsímil")</f>
        <v>Abrir facsímil</v>
      </c>
      <c r="K4797" s="3" t="s">
        <v>23</v>
      </c>
    </row>
    <row r="4798" spans="1:11" ht="42" customHeight="1">
      <c r="A4798" s="2" t="s">
        <v>12389</v>
      </c>
      <c r="B4798" s="2" t="s">
        <v>12389</v>
      </c>
      <c r="C4798" s="2" t="s">
        <v>17</v>
      </c>
      <c r="D4798" s="2" t="s">
        <v>27</v>
      </c>
      <c r="E4798" s="4">
        <v>-32061</v>
      </c>
      <c r="F4798" s="3" t="s">
        <v>798</v>
      </c>
      <c r="G4798" s="3" t="s">
        <v>36</v>
      </c>
      <c r="H4798" s="2" t="s">
        <v>21</v>
      </c>
      <c r="I4798" s="2" t="s">
        <v>12390</v>
      </c>
      <c r="J4798" s="3" t="str">
        <f>HYPERLINK("https://www.boe.es/gazeta/dias/1812/03/20/pdfs/GMD-1812-80.pdf#page=3","Abrir facsímil")</f>
        <v>Abrir facsímil</v>
      </c>
      <c r="K4798" s="3" t="s">
        <v>23</v>
      </c>
    </row>
    <row r="4799" spans="1:11" ht="42" customHeight="1">
      <c r="A4799" s="2" t="s">
        <v>12391</v>
      </c>
      <c r="B4799" s="2" t="s">
        <v>12392</v>
      </c>
      <c r="C4799" s="2" t="s">
        <v>17</v>
      </c>
      <c r="D4799" s="2" t="s">
        <v>27</v>
      </c>
      <c r="E4799" s="4">
        <v>-32130</v>
      </c>
      <c r="F4799" s="3" t="s">
        <v>927</v>
      </c>
      <c r="G4799" s="3" t="s">
        <v>130</v>
      </c>
      <c r="H4799" s="2" t="s">
        <v>21</v>
      </c>
      <c r="I4799" s="2" t="s">
        <v>12393</v>
      </c>
      <c r="J4799" s="3" t="str">
        <f>HYPERLINK("https://www.boe.es/gazeta/dias/1812/01/11/pdfs/GMD-1812-11.pdf#page=4","Abrir facsímil")</f>
        <v>Abrir facsímil</v>
      </c>
      <c r="K4799" s="3" t="s">
        <v>23</v>
      </c>
    </row>
    <row r="4800" spans="1:11" ht="42" customHeight="1">
      <c r="A4800" s="2" t="s">
        <v>12394</v>
      </c>
      <c r="B4800" s="2" t="s">
        <v>12394</v>
      </c>
      <c r="C4800" s="2" t="s">
        <v>26</v>
      </c>
      <c r="D4800" s="2" t="s">
        <v>27</v>
      </c>
      <c r="E4800" s="4">
        <v>-31971</v>
      </c>
      <c r="F4800" s="3" t="s">
        <v>587</v>
      </c>
      <c r="G4800" s="3" t="s">
        <v>1889</v>
      </c>
      <c r="H4800" s="2" t="s">
        <v>21</v>
      </c>
      <c r="I4800" s="2" t="s">
        <v>12395</v>
      </c>
      <c r="J4800" s="3" t="str">
        <f>HYPERLINK("https://www.boe.es/gazeta/dias/1812/06/18/pdfs/GMD-1812-170.pdf#page=2","Abrir facsímil")</f>
        <v>Abrir facsímil</v>
      </c>
      <c r="K4800" s="3" t="s">
        <v>23</v>
      </c>
    </row>
    <row r="4801" spans="1:11" ht="42" customHeight="1">
      <c r="A4801" s="2" t="s">
        <v>12396</v>
      </c>
      <c r="B4801" s="2" t="s">
        <v>12396</v>
      </c>
      <c r="C4801" s="2" t="s">
        <v>17</v>
      </c>
      <c r="D4801" s="2" t="s">
        <v>27</v>
      </c>
      <c r="E4801" s="4">
        <v>-32138</v>
      </c>
      <c r="F4801" s="3" t="s">
        <v>2714</v>
      </c>
      <c r="G4801" s="3" t="s">
        <v>1907</v>
      </c>
      <c r="H4801" s="2" t="s">
        <v>21</v>
      </c>
      <c r="I4801" s="2" t="s">
        <v>12397</v>
      </c>
      <c r="J4801" s="3" t="str">
        <f>HYPERLINK("https://www.boe.es/gazeta/dias/1812/01/03/pdfs/GMD-1812-3.pdf#page=2","Abrir facsímil")</f>
        <v>Abrir facsímil</v>
      </c>
      <c r="K4801" s="3" t="s">
        <v>23</v>
      </c>
    </row>
    <row r="4802" spans="1:11" ht="42" customHeight="1">
      <c r="A4802" s="2" t="s">
        <v>12398</v>
      </c>
      <c r="B4802" s="2" t="s">
        <v>12399</v>
      </c>
      <c r="C4802" s="2" t="s">
        <v>67</v>
      </c>
      <c r="D4802" s="2" t="s">
        <v>27</v>
      </c>
      <c r="E4802" s="4">
        <v>-32061</v>
      </c>
      <c r="F4802" s="3" t="s">
        <v>798</v>
      </c>
      <c r="G4802" s="3" t="s">
        <v>36</v>
      </c>
      <c r="H4802" s="2" t="s">
        <v>21</v>
      </c>
      <c r="I4802" s="2" t="s">
        <v>12400</v>
      </c>
      <c r="J4802" s="3" t="str">
        <f>HYPERLINK("https://www.boe.es/gazeta/dias/1812/03/20/pdfs/GMD-1812-80.pdf#page=3","Abrir facsímil")</f>
        <v>Abrir facsímil</v>
      </c>
      <c r="K4802" s="3" t="s">
        <v>23</v>
      </c>
    </row>
    <row r="4803" spans="1:11" ht="42" customHeight="1">
      <c r="A4803" s="2" t="s">
        <v>12401</v>
      </c>
      <c r="B4803" s="2" t="s">
        <v>12401</v>
      </c>
      <c r="C4803" s="2" t="s">
        <v>105</v>
      </c>
      <c r="D4803" s="2" t="s">
        <v>27</v>
      </c>
      <c r="E4803" s="4">
        <v>-32055</v>
      </c>
      <c r="F4803" s="3" t="s">
        <v>1271</v>
      </c>
      <c r="G4803" s="3" t="s">
        <v>3288</v>
      </c>
      <c r="H4803" s="2" t="s">
        <v>21</v>
      </c>
      <c r="I4803" s="2" t="s">
        <v>12402</v>
      </c>
      <c r="J4803" s="3" t="str">
        <f>HYPERLINK("https://www.boe.es/gazeta/dias/1812/03/26/pdfs/GMD-1812-86.pdf#page=1","Abrir facsímil")</f>
        <v>Abrir facsímil</v>
      </c>
      <c r="K4803" s="3" t="s">
        <v>23</v>
      </c>
    </row>
    <row r="4804" spans="1:11" ht="42" customHeight="1">
      <c r="A4804" s="2" t="s">
        <v>12401</v>
      </c>
      <c r="B4804" s="2" t="s">
        <v>12401</v>
      </c>
      <c r="C4804" s="2" t="s">
        <v>17</v>
      </c>
      <c r="D4804" s="2" t="s">
        <v>194</v>
      </c>
      <c r="E4804" s="4">
        <v>-32040</v>
      </c>
      <c r="F4804" s="3" t="s">
        <v>682</v>
      </c>
      <c r="G4804" s="3" t="s">
        <v>683</v>
      </c>
      <c r="H4804" s="2" t="s">
        <v>21</v>
      </c>
      <c r="I4804" s="2" t="s">
        <v>12403</v>
      </c>
      <c r="J4804" s="3" t="str">
        <f>HYPERLINK("https://www.boe.es/gazeta/dias/1812/04/10/pdfs/GMD-1812-101.pdf#page=1","Abrir facsímil")</f>
        <v>Abrir facsímil</v>
      </c>
      <c r="K4804" s="3" t="s">
        <v>23</v>
      </c>
    </row>
    <row r="4805" spans="1:11" ht="42" customHeight="1">
      <c r="A4805" s="2" t="s">
        <v>12401</v>
      </c>
      <c r="B4805" s="2" t="s">
        <v>12401</v>
      </c>
      <c r="C4805" s="2" t="s">
        <v>17</v>
      </c>
      <c r="D4805" s="2" t="s">
        <v>18</v>
      </c>
      <c r="E4805" s="4">
        <v>-32037</v>
      </c>
      <c r="F4805" s="3" t="s">
        <v>1866</v>
      </c>
      <c r="G4805" s="3" t="s">
        <v>10416</v>
      </c>
      <c r="H4805" s="2" t="s">
        <v>21</v>
      </c>
      <c r="I4805" s="2" t="s">
        <v>12404</v>
      </c>
      <c r="J4805" s="3" t="str">
        <f>HYPERLINK("https://www.boe.es/gazeta/dias/1812/04/13/pdfs/GMD-1812-104.pdf#page=1","Abrir facsímil")</f>
        <v>Abrir facsímil</v>
      </c>
      <c r="K4805" s="3" t="s">
        <v>23</v>
      </c>
    </row>
    <row r="4806" spans="1:11" ht="42" customHeight="1">
      <c r="A4806" s="2" t="s">
        <v>12401</v>
      </c>
      <c r="B4806" s="2" t="s">
        <v>12401</v>
      </c>
      <c r="C4806" s="2" t="s">
        <v>17</v>
      </c>
      <c r="D4806" s="2" t="s">
        <v>18</v>
      </c>
      <c r="E4806" s="4">
        <v>-32032</v>
      </c>
      <c r="F4806" s="3" t="s">
        <v>531</v>
      </c>
      <c r="G4806" s="3" t="s">
        <v>3288</v>
      </c>
      <c r="H4806" s="2" t="s">
        <v>21</v>
      </c>
      <c r="I4806" s="2" t="s">
        <v>12405</v>
      </c>
      <c r="J4806" s="3" t="str">
        <f>HYPERLINK("https://www.boe.es/gazeta/dias/1812/04/18/pdfs/GMD-1812-109.pdf#page=1","Abrir facsímil")</f>
        <v>Abrir facsímil</v>
      </c>
      <c r="K4806" s="3" t="s">
        <v>23</v>
      </c>
    </row>
    <row r="4807" spans="1:11" ht="42" customHeight="1">
      <c r="A4807" s="2" t="s">
        <v>12401</v>
      </c>
      <c r="B4807" s="2" t="s">
        <v>12401</v>
      </c>
      <c r="C4807" s="2" t="s">
        <v>17</v>
      </c>
      <c r="D4807" s="2" t="s">
        <v>18</v>
      </c>
      <c r="E4807" s="4">
        <v>-32028</v>
      </c>
      <c r="F4807" s="3" t="s">
        <v>10415</v>
      </c>
      <c r="G4807" s="3" t="s">
        <v>10416</v>
      </c>
      <c r="H4807" s="2" t="s">
        <v>21</v>
      </c>
      <c r="I4807" s="2" t="s">
        <v>12406</v>
      </c>
      <c r="J4807" s="3" t="str">
        <f>HYPERLINK("https://www.boe.es/gazeta/dias/1812/04/22/pdfs/GMD-1812-113.pdf#page=1","Abrir facsímil")</f>
        <v>Abrir facsímil</v>
      </c>
      <c r="K4807" s="3" t="s">
        <v>23</v>
      </c>
    </row>
    <row r="4808" spans="1:11" ht="42" customHeight="1">
      <c r="A4808" s="2" t="s">
        <v>12401</v>
      </c>
      <c r="B4808" s="2" t="s">
        <v>12401</v>
      </c>
      <c r="C4808" s="2" t="s">
        <v>17</v>
      </c>
      <c r="D4808" s="2" t="s">
        <v>27</v>
      </c>
      <c r="E4808" s="4">
        <v>-32026</v>
      </c>
      <c r="F4808" s="3" t="s">
        <v>7845</v>
      </c>
      <c r="G4808" s="3" t="s">
        <v>6350</v>
      </c>
      <c r="H4808" s="2" t="s">
        <v>21</v>
      </c>
      <c r="I4808" s="2" t="s">
        <v>12407</v>
      </c>
      <c r="J4808" s="3" t="str">
        <f>HYPERLINK("https://www.boe.es/gazeta/dias/1812/04/24/pdfs/GMD-1812-115.pdf#page=2","Abrir facsímil")</f>
        <v>Abrir facsímil</v>
      </c>
      <c r="K4808" s="3" t="s">
        <v>23</v>
      </c>
    </row>
    <row r="4809" spans="1:11" ht="42" customHeight="1">
      <c r="A4809" s="2" t="s">
        <v>12408</v>
      </c>
      <c r="B4809" s="2" t="s">
        <v>12409</v>
      </c>
      <c r="C4809" s="2" t="s">
        <v>17</v>
      </c>
      <c r="D4809" s="2" t="s">
        <v>18</v>
      </c>
      <c r="E4809" s="4">
        <v>-32127</v>
      </c>
      <c r="F4809" s="3" t="s">
        <v>88</v>
      </c>
      <c r="G4809" s="3" t="s">
        <v>89</v>
      </c>
      <c r="H4809" s="2" t="s">
        <v>21</v>
      </c>
      <c r="I4809" s="2" t="s">
        <v>12410</v>
      </c>
      <c r="J4809" s="3" t="str">
        <f>HYPERLINK("https://www.boe.es/gazeta/dias/1812/01/14/pdfs/GEI-1812-6.pdf#page=8","Abrir facsímil")</f>
        <v>Abrir facsímil</v>
      </c>
      <c r="K4809" s="3" t="s">
        <v>23</v>
      </c>
    </row>
    <row r="4810" spans="1:11" ht="42" customHeight="1">
      <c r="A4810" s="2" t="s">
        <v>12411</v>
      </c>
      <c r="B4810" s="2" t="s">
        <v>12411</v>
      </c>
      <c r="C4810" s="2" t="s">
        <v>17</v>
      </c>
      <c r="D4810" s="2" t="s">
        <v>27</v>
      </c>
      <c r="E4810" s="4">
        <v>-31959</v>
      </c>
      <c r="F4810" s="3" t="s">
        <v>1035</v>
      </c>
      <c r="G4810" s="3" t="s">
        <v>130</v>
      </c>
      <c r="H4810" s="2" t="s">
        <v>21</v>
      </c>
      <c r="I4810" s="2" t="s">
        <v>12412</v>
      </c>
      <c r="J4810" s="3" t="str">
        <f>HYPERLINK("https://www.boe.es/gazeta/dias/1812/06/30/pdfs/GRE-1812-80.pdf#page=4","Abrir facsímil")</f>
        <v>Abrir facsímil</v>
      </c>
      <c r="K4810" s="3" t="s">
        <v>23</v>
      </c>
    </row>
    <row r="4811" spans="1:11" ht="42" customHeight="1">
      <c r="A4811" s="2" t="s">
        <v>12413</v>
      </c>
      <c r="B4811" s="2" t="s">
        <v>12413</v>
      </c>
      <c r="C4811" s="2" t="s">
        <v>17</v>
      </c>
      <c r="D4811" s="2" t="s">
        <v>275</v>
      </c>
      <c r="E4811" s="4">
        <v>-32120</v>
      </c>
      <c r="F4811" s="3" t="s">
        <v>522</v>
      </c>
      <c r="G4811" s="3" t="s">
        <v>523</v>
      </c>
      <c r="H4811" s="2" t="s">
        <v>21</v>
      </c>
      <c r="I4811" s="2" t="s">
        <v>12414</v>
      </c>
      <c r="J4811" s="3" t="str">
        <f>HYPERLINK("https://www.boe.es/gazeta/dias/1812/01/21/pdfs/GMD-1812-21.pdf#page=4","Abrir facsímil")</f>
        <v>Abrir facsímil</v>
      </c>
      <c r="K4811" s="3" t="s">
        <v>23</v>
      </c>
    </row>
    <row r="4812" spans="1:11" ht="42" customHeight="1">
      <c r="A4812" s="2" t="s">
        <v>12415</v>
      </c>
      <c r="B4812" s="2" t="s">
        <v>12415</v>
      </c>
      <c r="C4812" s="2" t="s">
        <v>17</v>
      </c>
      <c r="D4812" s="2" t="s">
        <v>27</v>
      </c>
      <c r="E4812" s="4">
        <v>-32032</v>
      </c>
      <c r="F4812" s="3" t="s">
        <v>531</v>
      </c>
      <c r="G4812" s="3" t="s">
        <v>140</v>
      </c>
      <c r="H4812" s="2" t="s">
        <v>21</v>
      </c>
      <c r="I4812" s="2" t="s">
        <v>12416</v>
      </c>
      <c r="J4812" s="3" t="str">
        <f>HYPERLINK("https://www.boe.es/gazeta/dias/1812/04/18/pdfs/GMD-1812-109.pdf#page=2","Abrir facsímil")</f>
        <v>Abrir facsímil</v>
      </c>
      <c r="K4812" s="3" t="s">
        <v>23</v>
      </c>
    </row>
    <row r="4813" spans="1:11" ht="42" customHeight="1">
      <c r="A4813" s="2" t="s">
        <v>12417</v>
      </c>
      <c r="B4813" s="2" t="s">
        <v>12417</v>
      </c>
      <c r="C4813" s="2" t="s">
        <v>17</v>
      </c>
      <c r="D4813" s="2" t="s">
        <v>27</v>
      </c>
      <c r="E4813" s="4">
        <v>-32134</v>
      </c>
      <c r="F4813" s="3" t="s">
        <v>50</v>
      </c>
      <c r="G4813" s="3" t="s">
        <v>1907</v>
      </c>
      <c r="H4813" s="2" t="s">
        <v>21</v>
      </c>
      <c r="I4813" s="2" t="s">
        <v>12418</v>
      </c>
      <c r="J4813" s="3" t="str">
        <f>HYPERLINK("https://www.boe.es/gazeta/dias/1812/01/07/pdfs/GEI-1812-3.pdf#page=7","Abrir facsímil")</f>
        <v>Abrir facsímil</v>
      </c>
      <c r="K4813" s="3" t="s">
        <v>23</v>
      </c>
    </row>
    <row r="4814" spans="1:11" ht="42" customHeight="1">
      <c r="A4814" s="2" t="s">
        <v>12419</v>
      </c>
      <c r="B4814" s="2" t="s">
        <v>12419</v>
      </c>
      <c r="C4814" s="2" t="s">
        <v>17</v>
      </c>
      <c r="D4814" s="2" t="s">
        <v>18</v>
      </c>
      <c r="E4814" s="4">
        <v>-32032</v>
      </c>
      <c r="F4814" s="3" t="s">
        <v>531</v>
      </c>
      <c r="G4814" s="3" t="s">
        <v>3288</v>
      </c>
      <c r="H4814" s="2" t="s">
        <v>21</v>
      </c>
      <c r="I4814" s="2" t="s">
        <v>12420</v>
      </c>
      <c r="J4814" s="3" t="str">
        <f>HYPERLINK("https://www.boe.es/gazeta/dias/1812/04/18/pdfs/GMD-1812-109.pdf#page=1","Abrir facsímil")</f>
        <v>Abrir facsímil</v>
      </c>
      <c r="K4814" s="3" t="s">
        <v>23</v>
      </c>
    </row>
    <row r="4815" spans="1:11" ht="42" customHeight="1">
      <c r="A4815" s="2" t="s">
        <v>12419</v>
      </c>
      <c r="B4815" s="2" t="s">
        <v>12419</v>
      </c>
      <c r="C4815" s="2" t="s">
        <v>17</v>
      </c>
      <c r="D4815" s="2" t="s">
        <v>18</v>
      </c>
      <c r="E4815" s="4">
        <v>-32032</v>
      </c>
      <c r="F4815" s="3" t="s">
        <v>531</v>
      </c>
      <c r="G4815" s="3" t="s">
        <v>140</v>
      </c>
      <c r="H4815" s="2" t="s">
        <v>21</v>
      </c>
      <c r="I4815" s="2" t="s">
        <v>12421</v>
      </c>
      <c r="J4815" s="3" t="str">
        <f>HYPERLINK("https://www.boe.es/gazeta/dias/1812/04/18/pdfs/GMD-1812-109.pdf#page=2","Abrir facsímil")</f>
        <v>Abrir facsímil</v>
      </c>
      <c r="K4815" s="3" t="s">
        <v>23</v>
      </c>
    </row>
    <row r="4816" spans="1:11" ht="42" customHeight="1">
      <c r="A4816" s="2" t="s">
        <v>12422</v>
      </c>
      <c r="B4816" s="2" t="s">
        <v>12423</v>
      </c>
      <c r="C4816" s="2" t="s">
        <v>26</v>
      </c>
      <c r="D4816" s="2" t="s">
        <v>27</v>
      </c>
      <c r="E4816" s="4">
        <v>-32031</v>
      </c>
      <c r="F4816" s="3" t="s">
        <v>1343</v>
      </c>
      <c r="G4816" s="3" t="s">
        <v>36</v>
      </c>
      <c r="H4816" s="2" t="s">
        <v>21</v>
      </c>
      <c r="I4816" s="2" t="s">
        <v>12424</v>
      </c>
      <c r="J4816" s="3" t="str">
        <f>HYPERLINK("https://www.boe.es/gazeta/dias/1812/04/19/pdfs/GMD-1812-110.pdf#page=3","Abrir facsímil")</f>
        <v>Abrir facsímil</v>
      </c>
      <c r="K4816" s="3" t="s">
        <v>23</v>
      </c>
    </row>
    <row r="4817" spans="1:11" ht="42" customHeight="1">
      <c r="A4817" s="2" t="s">
        <v>12425</v>
      </c>
      <c r="B4817" s="2" t="s">
        <v>12426</v>
      </c>
      <c r="C4817" s="2" t="s">
        <v>26</v>
      </c>
      <c r="D4817" s="2" t="s">
        <v>27</v>
      </c>
      <c r="E4817" s="4">
        <v>-32030</v>
      </c>
      <c r="F4817" s="3" t="s">
        <v>2226</v>
      </c>
      <c r="G4817" s="3" t="s">
        <v>2650</v>
      </c>
      <c r="H4817" s="2" t="s">
        <v>21</v>
      </c>
      <c r="I4817" s="2" t="s">
        <v>12427</v>
      </c>
      <c r="J4817" s="3" t="str">
        <f>HYPERLINK("https://www.boe.es/gazeta/dias/1812/04/20/pdfs/GMD-1812-111.pdf#page=3","Abrir facsímil")</f>
        <v>Abrir facsímil</v>
      </c>
      <c r="K4817" s="3" t="s">
        <v>23</v>
      </c>
    </row>
    <row r="4818" spans="1:11" ht="42" customHeight="1">
      <c r="A4818" s="2" t="s">
        <v>12428</v>
      </c>
      <c r="B4818" s="2" t="s">
        <v>12429</v>
      </c>
      <c r="C4818" s="2" t="s">
        <v>26</v>
      </c>
      <c r="D4818" s="2" t="s">
        <v>134</v>
      </c>
      <c r="E4818" s="4">
        <v>-31983</v>
      </c>
      <c r="F4818" s="3" t="s">
        <v>1437</v>
      </c>
      <c r="G4818" s="3" t="s">
        <v>1438</v>
      </c>
      <c r="H4818" s="2" t="s">
        <v>21</v>
      </c>
      <c r="I4818" s="2" t="s">
        <v>12430</v>
      </c>
      <c r="J4818" s="3" t="str">
        <f>HYPERLINK("https://www.boe.es/gazeta/dias/1812/06/06/pdfs/GRE-F-1812-70.pdf#page=4","Abrir facsímil")</f>
        <v>Abrir facsímil</v>
      </c>
      <c r="K4818" s="3" t="s">
        <v>23</v>
      </c>
    </row>
    <row r="4819" spans="1:11" ht="42" customHeight="1">
      <c r="A4819" s="2" t="s">
        <v>12431</v>
      </c>
      <c r="B4819" s="2" t="s">
        <v>12432</v>
      </c>
      <c r="C4819" s="2" t="s">
        <v>17</v>
      </c>
      <c r="D4819" s="2" t="s">
        <v>27</v>
      </c>
      <c r="E4819" s="4">
        <v>-32109</v>
      </c>
      <c r="F4819" s="3" t="s">
        <v>62</v>
      </c>
      <c r="G4819" s="3" t="s">
        <v>472</v>
      </c>
      <c r="H4819" s="2" t="s">
        <v>21</v>
      </c>
      <c r="I4819" s="2" t="s">
        <v>12433</v>
      </c>
      <c r="J4819" s="3" t="str">
        <f>HYPERLINK("https://www.boe.es/gazeta/dias/1812/02/01/pdfs/GRE-1812-14.pdf#page=12","Abrir facsímil")</f>
        <v>Abrir facsímil</v>
      </c>
      <c r="K4819" s="3" t="s">
        <v>23</v>
      </c>
    </row>
    <row r="4820" spans="1:11" ht="42" customHeight="1">
      <c r="A4820" s="2" t="s">
        <v>12434</v>
      </c>
      <c r="B4820" s="2" t="s">
        <v>12435</v>
      </c>
      <c r="C4820" s="2" t="s">
        <v>26</v>
      </c>
      <c r="D4820" s="2" t="s">
        <v>27</v>
      </c>
      <c r="E4820" s="4">
        <v>-31940</v>
      </c>
      <c r="F4820" s="3" t="s">
        <v>187</v>
      </c>
      <c r="G4820" s="3" t="s">
        <v>404</v>
      </c>
      <c r="H4820" s="2" t="s">
        <v>21</v>
      </c>
      <c r="I4820" s="2" t="s">
        <v>12436</v>
      </c>
      <c r="J4820" s="3" t="str">
        <f>HYPERLINK("https://www.boe.es/gazeta/dias/1812/07/19/pdfs/GMD-1812-201.pdf#page=3","Abrir facsímil")</f>
        <v>Abrir facsímil</v>
      </c>
      <c r="K4820" s="3" t="s">
        <v>23</v>
      </c>
    </row>
    <row r="4821" spans="1:11" ht="42" customHeight="1">
      <c r="A4821" s="2" t="s">
        <v>12437</v>
      </c>
      <c r="B4821" s="2" t="s">
        <v>12438</v>
      </c>
      <c r="C4821" s="2" t="s">
        <v>26</v>
      </c>
      <c r="D4821" s="2" t="s">
        <v>194</v>
      </c>
      <c r="E4821" s="4">
        <v>-32044</v>
      </c>
      <c r="F4821" s="3" t="s">
        <v>1031</v>
      </c>
      <c r="G4821" s="3" t="s">
        <v>1873</v>
      </c>
      <c r="H4821" s="2" t="s">
        <v>21</v>
      </c>
      <c r="I4821" s="2" t="s">
        <v>12439</v>
      </c>
      <c r="J4821" s="3" t="str">
        <f>HYPERLINK("https://www.boe.es/gazeta/dias/1812/04/06/pdfs/GMD-1812-97.pdf#page=4","Abrir facsímil")</f>
        <v>Abrir facsímil</v>
      </c>
      <c r="K4821" s="3" t="s">
        <v>23</v>
      </c>
    </row>
    <row r="4822" spans="1:11" ht="42" customHeight="1">
      <c r="A4822" s="2" t="s">
        <v>12440</v>
      </c>
      <c r="B4822" s="2" t="s">
        <v>12441</v>
      </c>
      <c r="C4822" s="2" t="s">
        <v>26</v>
      </c>
      <c r="D4822" s="2" t="s">
        <v>27</v>
      </c>
      <c r="E4822" s="4">
        <v>-32137</v>
      </c>
      <c r="F4822" s="3" t="s">
        <v>355</v>
      </c>
      <c r="G4822" s="3" t="s">
        <v>117</v>
      </c>
      <c r="H4822" s="2" t="s">
        <v>21</v>
      </c>
      <c r="I4822" s="2" t="s">
        <v>12442</v>
      </c>
      <c r="J4822" s="3" t="str">
        <f>HYPERLINK("https://www.boe.es/gazeta/dias/1812/01/04/pdfs/GEI-1812-2.pdf#page=8","Abrir facsímil")</f>
        <v>Abrir facsímil</v>
      </c>
      <c r="K4822" s="3" t="s">
        <v>23</v>
      </c>
    </row>
    <row r="4823" spans="1:11" ht="42" customHeight="1">
      <c r="A4823" s="2" t="s">
        <v>12443</v>
      </c>
      <c r="B4823" s="2" t="s">
        <v>12444</v>
      </c>
      <c r="C4823" s="2" t="s">
        <v>26</v>
      </c>
      <c r="D4823" s="2" t="s">
        <v>27</v>
      </c>
      <c r="E4823" s="4">
        <v>-32137</v>
      </c>
      <c r="F4823" s="3" t="s">
        <v>355</v>
      </c>
      <c r="G4823" s="3" t="s">
        <v>117</v>
      </c>
      <c r="H4823" s="2" t="s">
        <v>21</v>
      </c>
      <c r="I4823" s="2" t="s">
        <v>12445</v>
      </c>
      <c r="J4823" s="3" t="str">
        <f>HYPERLINK("https://www.boe.es/gazeta/dias/1812/01/04/pdfs/GEI-1812-2.pdf#page=8","Abrir facsímil")</f>
        <v>Abrir facsímil</v>
      </c>
      <c r="K4823" s="3" t="s">
        <v>23</v>
      </c>
    </row>
    <row r="4824" spans="1:11" ht="42" customHeight="1">
      <c r="A4824" s="2" t="s">
        <v>12446</v>
      </c>
      <c r="B4824" s="2" t="s">
        <v>12447</v>
      </c>
      <c r="C4824" s="2" t="s">
        <v>17</v>
      </c>
      <c r="D4824" s="2" t="s">
        <v>27</v>
      </c>
      <c r="E4824" s="4">
        <v>-32118</v>
      </c>
      <c r="F4824" s="3" t="s">
        <v>964</v>
      </c>
      <c r="G4824" s="3" t="s">
        <v>965</v>
      </c>
      <c r="H4824" s="2" t="s">
        <v>21</v>
      </c>
      <c r="I4824" s="2" t="s">
        <v>12448</v>
      </c>
      <c r="J4824" s="3" t="str">
        <f>HYPERLINK("https://www.boe.es/gazeta/dias/1812/01/23/pdfs/GEI-H-1812-10.pdf#page=4","Abrir facsímil")</f>
        <v>Abrir facsímil</v>
      </c>
      <c r="K4824" s="3" t="s">
        <v>23</v>
      </c>
    </row>
    <row r="4825" spans="1:11" ht="42" customHeight="1">
      <c r="A4825" s="2" t="s">
        <v>12449</v>
      </c>
      <c r="B4825" s="2" t="s">
        <v>12450</v>
      </c>
      <c r="C4825" s="2" t="s">
        <v>26</v>
      </c>
      <c r="D4825" s="2" t="s">
        <v>27</v>
      </c>
      <c r="E4825" s="4">
        <v>-32069</v>
      </c>
      <c r="F4825" s="3" t="s">
        <v>445</v>
      </c>
      <c r="G4825" s="3" t="s">
        <v>446</v>
      </c>
      <c r="H4825" s="2" t="s">
        <v>21</v>
      </c>
      <c r="I4825" s="2" t="s">
        <v>12451</v>
      </c>
      <c r="J4825" s="3" t="str">
        <f>HYPERLINK("https://www.boe.es/gazeta/dias/1812/03/12/pdfs/GRE-1812-32.pdf#page=8","Abrir facsímil")</f>
        <v>Abrir facsímil</v>
      </c>
      <c r="K4825" s="3" t="s">
        <v>23</v>
      </c>
    </row>
    <row r="4826" spans="1:11" ht="42" customHeight="1">
      <c r="A4826" s="2" t="s">
        <v>12452</v>
      </c>
      <c r="B4826" s="2" t="s">
        <v>12453</v>
      </c>
      <c r="C4826" s="2" t="s">
        <v>17</v>
      </c>
      <c r="D4826" s="2" t="s">
        <v>27</v>
      </c>
      <c r="E4826" s="4">
        <v>-32127</v>
      </c>
      <c r="F4826" s="3" t="s">
        <v>88</v>
      </c>
      <c r="G4826" s="3" t="s">
        <v>89</v>
      </c>
      <c r="H4826" s="2" t="s">
        <v>21</v>
      </c>
      <c r="I4826" s="2" t="s">
        <v>12454</v>
      </c>
      <c r="J4826" s="3" t="str">
        <f>HYPERLINK("https://www.boe.es/gazeta/dias/1812/01/14/pdfs/GEI-1812-6.pdf#page=8","Abrir facsímil")</f>
        <v>Abrir facsímil</v>
      </c>
      <c r="K4826" s="3" t="s">
        <v>23</v>
      </c>
    </row>
    <row r="4827" spans="1:11" ht="42" customHeight="1">
      <c r="A4827" s="2" t="s">
        <v>12455</v>
      </c>
      <c r="B4827" s="2" t="s">
        <v>12456</v>
      </c>
      <c r="C4827" s="2" t="s">
        <v>26</v>
      </c>
      <c r="D4827" s="2" t="s">
        <v>27</v>
      </c>
      <c r="E4827" s="4">
        <v>-32065</v>
      </c>
      <c r="F4827" s="3" t="s">
        <v>259</v>
      </c>
      <c r="G4827" s="3" t="s">
        <v>20</v>
      </c>
      <c r="H4827" s="2" t="s">
        <v>21</v>
      </c>
      <c r="I4827" s="2" t="s">
        <v>12457</v>
      </c>
      <c r="J4827" s="3" t="str">
        <f>HYPERLINK("https://www.boe.es/gazeta/dias/1812/03/16/pdfs/GMD-1812-76.pdf#page=4","Abrir facsímil")</f>
        <v>Abrir facsímil</v>
      </c>
      <c r="K4827" s="3" t="s">
        <v>23</v>
      </c>
    </row>
    <row r="4828" spans="1:11" ht="42" customHeight="1">
      <c r="A4828" s="2" t="s">
        <v>12458</v>
      </c>
      <c r="B4828" s="2" t="s">
        <v>12459</v>
      </c>
      <c r="C4828" s="2" t="s">
        <v>67</v>
      </c>
      <c r="D4828" s="2" t="s">
        <v>27</v>
      </c>
      <c r="E4828" s="4">
        <v>-31857</v>
      </c>
      <c r="F4828" s="3" t="s">
        <v>2176</v>
      </c>
      <c r="G4828" s="3" t="s">
        <v>217</v>
      </c>
      <c r="H4828" s="2" t="s">
        <v>21</v>
      </c>
      <c r="I4828" s="2" t="s">
        <v>12460</v>
      </c>
      <c r="J4828" s="3" t="str">
        <f>HYPERLINK("https://www.boe.es/gazeta/dias/1812/10/10/pdfs/GMR-1812-25.pdf#page=7","Abrir facsímil")</f>
        <v>Abrir facsímil</v>
      </c>
      <c r="K4828" s="3" t="s">
        <v>23</v>
      </c>
    </row>
    <row r="4829" spans="1:11" ht="42" customHeight="1">
      <c r="A4829" s="2" t="s">
        <v>12458</v>
      </c>
      <c r="B4829" s="2" t="s">
        <v>12459</v>
      </c>
      <c r="C4829" s="2" t="s">
        <v>49</v>
      </c>
      <c r="D4829" s="2" t="s">
        <v>27</v>
      </c>
      <c r="E4829" s="4">
        <v>-31854</v>
      </c>
      <c r="F4829" s="3" t="s">
        <v>1574</v>
      </c>
      <c r="G4829" s="3" t="s">
        <v>58</v>
      </c>
      <c r="H4829" s="2" t="s">
        <v>21</v>
      </c>
      <c r="I4829" s="2" t="s">
        <v>12461</v>
      </c>
      <c r="J4829" s="3" t="str">
        <f>HYPERLINK("https://www.boe.es/gazeta/dias/1812/10/13/pdfs/GMR-1812-26.pdf#page=5","Abrir facsímil")</f>
        <v>Abrir facsímil</v>
      </c>
      <c r="K4829" s="3" t="s">
        <v>23</v>
      </c>
    </row>
    <row r="4830" spans="1:11" ht="42" customHeight="1">
      <c r="A4830" s="2" t="s">
        <v>12462</v>
      </c>
      <c r="B4830" s="2" t="s">
        <v>12463</v>
      </c>
      <c r="C4830" s="2" t="s">
        <v>26</v>
      </c>
      <c r="D4830" s="2" t="s">
        <v>573</v>
      </c>
      <c r="E4830" s="4">
        <v>-31900</v>
      </c>
      <c r="F4830" s="3" t="s">
        <v>276</v>
      </c>
      <c r="G4830" s="3" t="s">
        <v>277</v>
      </c>
      <c r="H4830" s="2" t="s">
        <v>21</v>
      </c>
      <c r="I4830" s="2" t="s">
        <v>12464</v>
      </c>
      <c r="J4830" s="3" t="str">
        <f>HYPERLINK("https://www.boe.es/gazeta/dias/1812/08/28/pdfs/GRE-1812-113E.pdf#page=8","Abrir facsímil")</f>
        <v>Abrir facsímil</v>
      </c>
      <c r="K4830" s="3" t="s">
        <v>23</v>
      </c>
    </row>
    <row r="4831" spans="1:11" ht="42" customHeight="1">
      <c r="A4831" s="2" t="s">
        <v>12465</v>
      </c>
      <c r="B4831" s="2" t="s">
        <v>12466</v>
      </c>
      <c r="C4831" s="2" t="s">
        <v>26</v>
      </c>
      <c r="D4831" s="2" t="s">
        <v>27</v>
      </c>
      <c r="E4831" s="4">
        <v>-31957</v>
      </c>
      <c r="F4831" s="3" t="s">
        <v>2173</v>
      </c>
      <c r="G4831" s="3" t="s">
        <v>3034</v>
      </c>
      <c r="H4831" s="2" t="s">
        <v>21</v>
      </c>
      <c r="I4831" s="2" t="s">
        <v>12467</v>
      </c>
      <c r="J4831" s="3" t="str">
        <f>HYPERLINK("https://www.boe.es/gazeta/dias/1812/07/02/pdfs/GRE-1812-81.pdf#page=5","Abrir facsímil")</f>
        <v>Abrir facsímil</v>
      </c>
      <c r="K4831" s="3" t="s">
        <v>23</v>
      </c>
    </row>
    <row r="4832" spans="1:11" ht="42" customHeight="1">
      <c r="A4832" s="2" t="s">
        <v>12468</v>
      </c>
      <c r="B4832" s="2" t="s">
        <v>12469</v>
      </c>
      <c r="C4832" s="2" t="s">
        <v>17</v>
      </c>
      <c r="D4832" s="2" t="s">
        <v>27</v>
      </c>
      <c r="E4832" s="4">
        <v>-32134</v>
      </c>
      <c r="F4832" s="3" t="s">
        <v>50</v>
      </c>
      <c r="G4832" s="3" t="s">
        <v>2262</v>
      </c>
      <c r="H4832" s="2" t="s">
        <v>21</v>
      </c>
      <c r="I4832" s="2" t="s">
        <v>12470</v>
      </c>
      <c r="J4832" s="3" t="str">
        <f>HYPERLINK("https://www.boe.es/gazeta/dias/1812/01/07/pdfs/GEI-1812-3.pdf#page=5","Abrir facsímil")</f>
        <v>Abrir facsímil</v>
      </c>
      <c r="K4832" s="3" t="s">
        <v>23</v>
      </c>
    </row>
    <row r="4833" spans="1:11" ht="42" customHeight="1">
      <c r="A4833" s="2" t="s">
        <v>12471</v>
      </c>
      <c r="B4833" s="2" t="s">
        <v>12472</v>
      </c>
      <c r="C4833" s="2" t="s">
        <v>26</v>
      </c>
      <c r="D4833" s="2" t="s">
        <v>134</v>
      </c>
      <c r="E4833" s="4">
        <v>-31955</v>
      </c>
      <c r="F4833" s="3" t="s">
        <v>135</v>
      </c>
      <c r="G4833" s="3" t="s">
        <v>136</v>
      </c>
      <c r="H4833" s="2" t="s">
        <v>21</v>
      </c>
      <c r="I4833" s="2" t="s">
        <v>12473</v>
      </c>
      <c r="J4833" s="3" t="str">
        <f>HYPERLINK("https://www.boe.es/gazeta/dias/1812/07/04/pdfs/GRE-F-1812-82.pdf#page=8","Abrir facsímil")</f>
        <v>Abrir facsímil</v>
      </c>
      <c r="K4833" s="3" t="s">
        <v>23</v>
      </c>
    </row>
    <row r="4834" spans="1:11" ht="42" customHeight="1">
      <c r="A4834" s="2" t="s">
        <v>12474</v>
      </c>
      <c r="B4834" s="2" t="s">
        <v>12475</v>
      </c>
      <c r="C4834" s="2" t="s">
        <v>26</v>
      </c>
      <c r="D4834" s="2" t="s">
        <v>275</v>
      </c>
      <c r="E4834" s="4">
        <v>-31940</v>
      </c>
      <c r="F4834" s="3" t="s">
        <v>187</v>
      </c>
      <c r="G4834" s="3" t="s">
        <v>45</v>
      </c>
      <c r="H4834" s="2" t="s">
        <v>21</v>
      </c>
      <c r="I4834" s="2" t="s">
        <v>12476</v>
      </c>
      <c r="J4834" s="3" t="str">
        <f>HYPERLINK("https://www.boe.es/gazeta/dias/1812/07/19/pdfs/GMD-1812-201.pdf#page=2","Abrir facsímil")</f>
        <v>Abrir facsímil</v>
      </c>
      <c r="K4834" s="3" t="s">
        <v>23</v>
      </c>
    </row>
    <row r="4835" spans="1:11" ht="42" customHeight="1">
      <c r="A4835" s="2" t="s">
        <v>12477</v>
      </c>
      <c r="B4835" s="2" t="s">
        <v>12478</v>
      </c>
      <c r="C4835" s="2" t="s">
        <v>26</v>
      </c>
      <c r="D4835" s="2" t="s">
        <v>27</v>
      </c>
      <c r="E4835" s="4">
        <v>-31936</v>
      </c>
      <c r="F4835" s="3" t="s">
        <v>603</v>
      </c>
      <c r="G4835" s="3" t="s">
        <v>2410</v>
      </c>
      <c r="H4835" s="2" t="s">
        <v>21</v>
      </c>
      <c r="I4835" s="2" t="s">
        <v>12479</v>
      </c>
      <c r="J4835" s="3" t="str">
        <f>HYPERLINK("https://www.boe.es/gazeta/dias/1812/07/23/pdfs/GMD-1812-205.pdf#page=4","Abrir facsímil")</f>
        <v>Abrir facsímil</v>
      </c>
      <c r="K4835" s="3" t="s">
        <v>23</v>
      </c>
    </row>
    <row r="4836" spans="1:11" ht="42" customHeight="1">
      <c r="A4836" s="2" t="s">
        <v>12480</v>
      </c>
      <c r="B4836" s="2" t="s">
        <v>12481</v>
      </c>
      <c r="C4836" s="2" t="s">
        <v>17</v>
      </c>
      <c r="D4836" s="2" t="s">
        <v>18</v>
      </c>
      <c r="E4836" s="4">
        <v>-31821</v>
      </c>
      <c r="F4836" s="3" t="s">
        <v>1979</v>
      </c>
      <c r="G4836" s="3" t="s">
        <v>1380</v>
      </c>
      <c r="H4836" s="2" t="s">
        <v>21</v>
      </c>
      <c r="I4836" s="2" t="s">
        <v>12482</v>
      </c>
      <c r="J4836" s="3" t="str">
        <f>HYPERLINK("https://www.boe.es/gazeta/dias/1812/11/15/pdfs/GMR-1812-34.pdf#page=8","Abrir facsímil")</f>
        <v>Abrir facsímil</v>
      </c>
      <c r="K4836" s="3" t="s">
        <v>23</v>
      </c>
    </row>
    <row r="4837" spans="1:11" ht="42" customHeight="1">
      <c r="A4837" s="2" t="s">
        <v>12483</v>
      </c>
      <c r="B4837" s="2" t="s">
        <v>12484</v>
      </c>
      <c r="C4837" s="2" t="s">
        <v>26</v>
      </c>
      <c r="D4837" s="2" t="s">
        <v>27</v>
      </c>
      <c r="E4837" s="4">
        <v>-32034</v>
      </c>
      <c r="F4837" s="3" t="s">
        <v>28</v>
      </c>
      <c r="G4837" s="3" t="s">
        <v>794</v>
      </c>
      <c r="H4837" s="2" t="s">
        <v>21</v>
      </c>
      <c r="I4837" s="2" t="s">
        <v>12485</v>
      </c>
      <c r="J4837" s="3" t="str">
        <f>HYPERLINK("https://www.boe.es/gazeta/dias/1812/04/16/pdfs/GMD-1812-107.pdf#page=7","Abrir facsímil")</f>
        <v>Abrir facsímil</v>
      </c>
      <c r="K4837" s="3" t="s">
        <v>23</v>
      </c>
    </row>
    <row r="4838" spans="1:11" ht="42" customHeight="1">
      <c r="A4838" s="2" t="s">
        <v>12486</v>
      </c>
      <c r="B4838" s="2" t="s">
        <v>12486</v>
      </c>
      <c r="C4838" s="2" t="s">
        <v>17</v>
      </c>
      <c r="D4838" s="2" t="s">
        <v>18</v>
      </c>
      <c r="E4838" s="4">
        <v>-32111</v>
      </c>
      <c r="F4838" s="3" t="s">
        <v>951</v>
      </c>
      <c r="G4838" s="3" t="s">
        <v>45</v>
      </c>
      <c r="H4838" s="2" t="s">
        <v>21</v>
      </c>
      <c r="I4838" s="2" t="s">
        <v>12487</v>
      </c>
      <c r="J4838" s="3" t="str">
        <f>HYPERLINK("https://www.boe.es/gazeta/dias/1812/01/30/pdfs/GMD-1812-30.pdf#page=4","Abrir facsímil")</f>
        <v>Abrir facsímil</v>
      </c>
      <c r="K4838" s="3" t="s">
        <v>23</v>
      </c>
    </row>
    <row r="4839" spans="1:11" ht="42" customHeight="1">
      <c r="A4839" s="2" t="s">
        <v>12488</v>
      </c>
      <c r="B4839" s="2" t="s">
        <v>12489</v>
      </c>
      <c r="C4839" s="2" t="s">
        <v>26</v>
      </c>
      <c r="D4839" s="2" t="s">
        <v>27</v>
      </c>
      <c r="E4839" s="4">
        <v>-31980</v>
      </c>
      <c r="F4839" s="3" t="s">
        <v>40</v>
      </c>
      <c r="G4839" s="3" t="s">
        <v>41</v>
      </c>
      <c r="H4839" s="2" t="s">
        <v>21</v>
      </c>
      <c r="I4839" s="2" t="s">
        <v>12490</v>
      </c>
      <c r="J4839" s="3" t="str">
        <f>HYPERLINK("https://www.boe.es/gazeta/dias/1812/06/09/pdfs/GRE-1812-71.pdf#page=6","Abrir facsímil")</f>
        <v>Abrir facsímil</v>
      </c>
      <c r="K4839" s="3" t="s">
        <v>23</v>
      </c>
    </row>
    <row r="4840" spans="1:11" ht="42" customHeight="1">
      <c r="A4840" s="2" t="s">
        <v>12491</v>
      </c>
      <c r="B4840" s="2" t="s">
        <v>12492</v>
      </c>
      <c r="C4840" s="2" t="s">
        <v>17</v>
      </c>
      <c r="D4840" s="2" t="s">
        <v>18</v>
      </c>
      <c r="E4840" s="4">
        <v>-31964</v>
      </c>
      <c r="F4840" s="3" t="s">
        <v>93</v>
      </c>
      <c r="G4840" s="3" t="s">
        <v>4894</v>
      </c>
      <c r="H4840" s="2" t="s">
        <v>21</v>
      </c>
      <c r="I4840" s="2" t="s">
        <v>12493</v>
      </c>
      <c r="J4840" s="3" t="str">
        <f>HYPERLINK("https://www.boe.es/gazeta/dias/1812/06/25/pdfs/GRE-1812-78.pdf#page=6","Abrir facsímil")</f>
        <v>Abrir facsímil</v>
      </c>
      <c r="K4840" s="3" t="s">
        <v>23</v>
      </c>
    </row>
    <row r="4841" spans="1:11" ht="42" customHeight="1">
      <c r="A4841" s="2" t="s">
        <v>12494</v>
      </c>
      <c r="B4841" s="2" t="s">
        <v>12494</v>
      </c>
      <c r="C4841" s="2" t="s">
        <v>17</v>
      </c>
      <c r="D4841" s="2" t="s">
        <v>18</v>
      </c>
      <c r="E4841" s="4">
        <v>-31783</v>
      </c>
      <c r="F4841" s="3" t="s">
        <v>2074</v>
      </c>
      <c r="G4841" s="3" t="s">
        <v>4078</v>
      </c>
      <c r="H4841" s="2" t="s">
        <v>21</v>
      </c>
      <c r="I4841" s="2" t="s">
        <v>12495</v>
      </c>
      <c r="J4841" s="3" t="str">
        <f>HYPERLINK("https://www.boe.es/gazeta/dias/1812/12/23/pdfs/GMD-1812-246.pdf#page=2","Abrir facsímil")</f>
        <v>Abrir facsímil</v>
      </c>
      <c r="K4841" s="3" t="s">
        <v>23</v>
      </c>
    </row>
    <row r="4842" spans="1:11" ht="42" customHeight="1">
      <c r="A4842" s="2" t="s">
        <v>12496</v>
      </c>
      <c r="B4842" s="2" t="s">
        <v>12496</v>
      </c>
      <c r="C4842" s="2" t="s">
        <v>17</v>
      </c>
      <c r="D4842" s="2" t="s">
        <v>27</v>
      </c>
      <c r="E4842" s="4">
        <v>-31889</v>
      </c>
      <c r="F4842" s="3" t="s">
        <v>699</v>
      </c>
      <c r="G4842" s="3" t="s">
        <v>117</v>
      </c>
      <c r="H4842" s="2" t="s">
        <v>21</v>
      </c>
      <c r="I4842" s="2" t="s">
        <v>12497</v>
      </c>
      <c r="J4842" s="3" t="str">
        <f>HYPERLINK("https://www.boe.es/gazeta/dias/1812/09/08/pdfs/GMR-1812-11.pdf#page=6","Abrir facsímil")</f>
        <v>Abrir facsímil</v>
      </c>
      <c r="K4842" s="3" t="s">
        <v>23</v>
      </c>
    </row>
    <row r="4843" spans="1:11" ht="42" customHeight="1">
      <c r="A4843" s="2" t="s">
        <v>12496</v>
      </c>
      <c r="B4843" s="2" t="s">
        <v>12496</v>
      </c>
      <c r="C4843" s="2" t="s">
        <v>17</v>
      </c>
      <c r="D4843" s="2" t="s">
        <v>194</v>
      </c>
      <c r="E4843" s="4">
        <v>-31801</v>
      </c>
      <c r="F4843" s="3" t="s">
        <v>632</v>
      </c>
      <c r="G4843" s="3" t="s">
        <v>237</v>
      </c>
      <c r="H4843" s="2" t="s">
        <v>21</v>
      </c>
      <c r="I4843" s="2" t="s">
        <v>12498</v>
      </c>
      <c r="J4843" s="3" t="str">
        <f>HYPERLINK("https://www.boe.es/gazeta/dias/1812/12/05/pdfs/GMD-1812-228.pdf#page=2","Abrir facsímil")</f>
        <v>Abrir facsímil</v>
      </c>
      <c r="K4843" s="3" t="s">
        <v>23</v>
      </c>
    </row>
    <row r="4844" spans="1:11" ht="42" customHeight="1">
      <c r="A4844" s="2" t="s">
        <v>12499</v>
      </c>
      <c r="B4844" s="2" t="s">
        <v>12499</v>
      </c>
      <c r="C4844" s="2" t="s">
        <v>17</v>
      </c>
      <c r="D4844" s="2" t="s">
        <v>27</v>
      </c>
      <c r="E4844" s="4">
        <v>-31800</v>
      </c>
      <c r="F4844" s="3" t="s">
        <v>593</v>
      </c>
      <c r="G4844" s="3" t="s">
        <v>140</v>
      </c>
      <c r="H4844" s="2" t="s">
        <v>21</v>
      </c>
      <c r="I4844" s="2" t="s">
        <v>12500</v>
      </c>
      <c r="J4844" s="3" t="str">
        <f>HYPERLINK("https://www.boe.es/gazeta/dias/1812/12/06/pdfs/GMD-1812-229.pdf#page=2","Abrir facsímil")</f>
        <v>Abrir facsímil</v>
      </c>
      <c r="K4844" s="3" t="s">
        <v>23</v>
      </c>
    </row>
    <row r="4845" spans="1:11" ht="42" customHeight="1">
      <c r="A4845" s="2" t="s">
        <v>12501</v>
      </c>
      <c r="B4845" s="2" t="s">
        <v>12501</v>
      </c>
      <c r="C4845" s="2" t="s">
        <v>17</v>
      </c>
      <c r="D4845" s="2" t="s">
        <v>27</v>
      </c>
      <c r="E4845" s="4">
        <v>-31777</v>
      </c>
      <c r="F4845" s="3" t="s">
        <v>960</v>
      </c>
      <c r="G4845" s="3" t="s">
        <v>172</v>
      </c>
      <c r="H4845" s="2" t="s">
        <v>21</v>
      </c>
      <c r="I4845" s="2" t="s">
        <v>12502</v>
      </c>
      <c r="J4845" s="3" t="str">
        <f>HYPERLINK("https://www.boe.es/gazeta/dias/1812/12/29/pdfs/GMD-1812-252.pdf#page=4","Abrir facsímil")</f>
        <v>Abrir facsímil</v>
      </c>
      <c r="K4845" s="3" t="s">
        <v>23</v>
      </c>
    </row>
    <row r="4846" spans="1:11" ht="42" customHeight="1">
      <c r="A4846" s="2" t="s">
        <v>12503</v>
      </c>
      <c r="B4846" s="2" t="s">
        <v>12503</v>
      </c>
      <c r="C4846" s="2" t="s">
        <v>26</v>
      </c>
      <c r="D4846" s="2" t="s">
        <v>27</v>
      </c>
      <c r="E4846" s="4">
        <v>-31974</v>
      </c>
      <c r="F4846" s="3" t="s">
        <v>2986</v>
      </c>
      <c r="G4846" s="3" t="s">
        <v>58</v>
      </c>
      <c r="H4846" s="2" t="s">
        <v>21</v>
      </c>
      <c r="I4846" s="2" t="s">
        <v>12504</v>
      </c>
      <c r="J4846" s="3" t="str">
        <f>HYPERLINK("https://www.boe.es/gazeta/dias/1812/06/15/pdfs/GMD-1812-167.pdf#page=3","Abrir facsímil")</f>
        <v>Abrir facsímil</v>
      </c>
      <c r="K4846" s="3" t="s">
        <v>23</v>
      </c>
    </row>
    <row r="4847" spans="1:11" ht="42" customHeight="1">
      <c r="A4847" s="2" t="s">
        <v>12505</v>
      </c>
      <c r="B4847" s="2" t="s">
        <v>12506</v>
      </c>
      <c r="C4847" s="2" t="s">
        <v>17</v>
      </c>
      <c r="D4847" s="2" t="s">
        <v>27</v>
      </c>
      <c r="E4847" s="4">
        <v>-32137</v>
      </c>
      <c r="F4847" s="3" t="s">
        <v>355</v>
      </c>
      <c r="G4847" s="3" t="s">
        <v>117</v>
      </c>
      <c r="H4847" s="2" t="s">
        <v>21</v>
      </c>
      <c r="I4847" s="2" t="s">
        <v>12507</v>
      </c>
      <c r="J4847" s="3" t="str">
        <f>HYPERLINK("https://www.boe.es/gazeta/dias/1812/01/04/pdfs/GEI-1812-2.pdf#page=8","Abrir facsímil")</f>
        <v>Abrir facsímil</v>
      </c>
      <c r="K4847" s="3" t="s">
        <v>23</v>
      </c>
    </row>
    <row r="4848" spans="1:11" ht="42" customHeight="1">
      <c r="A4848" s="2" t="s">
        <v>12508</v>
      </c>
      <c r="B4848" s="2" t="s">
        <v>12509</v>
      </c>
      <c r="C4848" s="2" t="s">
        <v>26</v>
      </c>
      <c r="D4848" s="2" t="s">
        <v>27</v>
      </c>
      <c r="E4848" s="4">
        <v>-32015</v>
      </c>
      <c r="F4848" s="3" t="s">
        <v>77</v>
      </c>
      <c r="G4848" s="3" t="s">
        <v>78</v>
      </c>
      <c r="H4848" s="2" t="s">
        <v>21</v>
      </c>
      <c r="I4848" s="2" t="s">
        <v>12510</v>
      </c>
      <c r="J4848" s="3" t="str">
        <f>HYPERLINK("https://www.boe.es/gazeta/dias/1812/05/05/pdfs/GRE-1812-56.pdf#page=8","Abrir facsímil")</f>
        <v>Abrir facsímil</v>
      </c>
      <c r="K4848" s="3" t="s">
        <v>23</v>
      </c>
    </row>
    <row r="4849" spans="1:11" ht="42" customHeight="1">
      <c r="A4849" s="2" t="s">
        <v>12511</v>
      </c>
      <c r="B4849" s="2" t="s">
        <v>12511</v>
      </c>
      <c r="C4849" s="2" t="s">
        <v>105</v>
      </c>
      <c r="D4849" s="2" t="s">
        <v>27</v>
      </c>
      <c r="E4849" s="4">
        <v>-31906</v>
      </c>
      <c r="F4849" s="3" t="s">
        <v>1815</v>
      </c>
      <c r="G4849" s="3" t="s">
        <v>136</v>
      </c>
      <c r="H4849" s="2" t="s">
        <v>21</v>
      </c>
      <c r="I4849" s="2" t="s">
        <v>12512</v>
      </c>
      <c r="J4849" s="3" t="str">
        <f>HYPERLINK("https://www.boe.es/gazeta/dias/1812/08/22/pdfs/GMR-1812-3.pdf#page=4","Abrir facsímil")</f>
        <v>Abrir facsímil</v>
      </c>
      <c r="K4849" s="3" t="s">
        <v>23</v>
      </c>
    </row>
    <row r="4850" spans="1:11" ht="42" customHeight="1">
      <c r="A4850" s="2" t="s">
        <v>12513</v>
      </c>
      <c r="B4850" s="2" t="s">
        <v>12513</v>
      </c>
      <c r="C4850" s="2" t="s">
        <v>17</v>
      </c>
      <c r="D4850" s="2" t="s">
        <v>27</v>
      </c>
      <c r="E4850" s="4">
        <v>-31786</v>
      </c>
      <c r="F4850" s="3" t="s">
        <v>7690</v>
      </c>
      <c r="G4850" s="3" t="s">
        <v>11920</v>
      </c>
      <c r="H4850" s="2" t="s">
        <v>21</v>
      </c>
      <c r="I4850" s="2" t="s">
        <v>12514</v>
      </c>
      <c r="J4850" s="3" t="str">
        <f>HYPERLINK("https://www.boe.es/gazeta/dias/1812/12/20/pdfs/GMD-1812-243.pdf#page=3","Abrir facsímil")</f>
        <v>Abrir facsímil</v>
      </c>
      <c r="K4850" s="3" t="s">
        <v>23</v>
      </c>
    </row>
    <row r="4851" spans="1:11" ht="42" customHeight="1">
      <c r="A4851" s="2" t="s">
        <v>12515</v>
      </c>
      <c r="B4851" s="2" t="s">
        <v>12515</v>
      </c>
      <c r="C4851" s="2" t="s">
        <v>17</v>
      </c>
      <c r="D4851" s="2" t="s">
        <v>27</v>
      </c>
      <c r="E4851" s="4">
        <v>-31980</v>
      </c>
      <c r="F4851" s="3" t="s">
        <v>40</v>
      </c>
      <c r="G4851" s="3" t="s">
        <v>1813</v>
      </c>
      <c r="H4851" s="2" t="s">
        <v>21</v>
      </c>
      <c r="I4851" s="2" t="s">
        <v>12516</v>
      </c>
      <c r="J4851" s="3" t="str">
        <f>HYPERLINK("https://www.boe.es/gazeta/dias/1812/06/09/pdfs/GRE-1812-71.pdf#page=2","Abrir facsímil")</f>
        <v>Abrir facsímil</v>
      </c>
      <c r="K4851" s="3" t="s">
        <v>23</v>
      </c>
    </row>
    <row r="4852" spans="1:11" ht="42" customHeight="1">
      <c r="A4852" s="2" t="s">
        <v>12515</v>
      </c>
      <c r="B4852" s="2" t="s">
        <v>12515</v>
      </c>
      <c r="C4852" s="2" t="s">
        <v>105</v>
      </c>
      <c r="D4852" s="2" t="s">
        <v>27</v>
      </c>
      <c r="E4852" s="4">
        <v>-31903</v>
      </c>
      <c r="F4852" s="3" t="s">
        <v>626</v>
      </c>
      <c r="G4852" s="3" t="s">
        <v>2650</v>
      </c>
      <c r="H4852" s="2" t="s">
        <v>21</v>
      </c>
      <c r="I4852" s="2" t="s">
        <v>12517</v>
      </c>
      <c r="J4852" s="3" t="str">
        <f>HYPERLINK("https://www.boe.es/gazeta/dias/1812/08/25/pdfs/GMR-1812-5.pdf#page=3","Abrir facsímil")</f>
        <v>Abrir facsímil</v>
      </c>
      <c r="K4852" s="3" t="s">
        <v>23</v>
      </c>
    </row>
    <row r="4853" spans="1:11" ht="42" customHeight="1">
      <c r="A4853" s="2" t="s">
        <v>12515</v>
      </c>
      <c r="B4853" s="2" t="s">
        <v>12515</v>
      </c>
      <c r="C4853" s="2" t="s">
        <v>17</v>
      </c>
      <c r="D4853" s="2" t="s">
        <v>27</v>
      </c>
      <c r="E4853" s="4">
        <v>-31786</v>
      </c>
      <c r="F4853" s="3" t="s">
        <v>7690</v>
      </c>
      <c r="G4853" s="3" t="s">
        <v>1958</v>
      </c>
      <c r="H4853" s="2" t="s">
        <v>21</v>
      </c>
      <c r="I4853" s="2" t="s">
        <v>12518</v>
      </c>
      <c r="J4853" s="3" t="str">
        <f>HYPERLINK("https://www.boe.es/gazeta/dias/1812/12/20/pdfs/GMD-1812-243.pdf#page=4","Abrir facsímil")</f>
        <v>Abrir facsímil</v>
      </c>
      <c r="K4853" s="3" t="s">
        <v>23</v>
      </c>
    </row>
    <row r="4854" spans="1:11" ht="42" customHeight="1">
      <c r="A4854" s="2" t="s">
        <v>12519</v>
      </c>
      <c r="B4854" s="2" t="s">
        <v>12520</v>
      </c>
      <c r="C4854" s="2" t="s">
        <v>26</v>
      </c>
      <c r="D4854" s="2" t="s">
        <v>27</v>
      </c>
      <c r="E4854" s="4">
        <v>-32034</v>
      </c>
      <c r="F4854" s="3" t="s">
        <v>1008</v>
      </c>
      <c r="G4854" s="3" t="s">
        <v>1009</v>
      </c>
      <c r="H4854" s="2" t="s">
        <v>21</v>
      </c>
      <c r="I4854" s="2" t="s">
        <v>12521</v>
      </c>
      <c r="J4854" s="3" t="str">
        <f>HYPERLINK("https://www.boe.es/gazeta/dias/1812/04/16/pdfs/GRE-1812-48.pdf#page=8","Abrir facsímil")</f>
        <v>Abrir facsímil</v>
      </c>
      <c r="K4854" s="3" t="s">
        <v>23</v>
      </c>
    </row>
    <row r="4855" spans="1:11" ht="42" customHeight="1">
      <c r="A4855" s="2" t="s">
        <v>12522</v>
      </c>
      <c r="B4855" s="2" t="s">
        <v>12522</v>
      </c>
      <c r="C4855" s="2" t="s">
        <v>17</v>
      </c>
      <c r="D4855" s="2" t="s">
        <v>27</v>
      </c>
      <c r="E4855" s="4">
        <v>-31985</v>
      </c>
      <c r="F4855" s="3" t="s">
        <v>1942</v>
      </c>
      <c r="G4855" s="3" t="s">
        <v>12523</v>
      </c>
      <c r="H4855" s="2" t="s">
        <v>21</v>
      </c>
      <c r="I4855" s="2" t="s">
        <v>12524</v>
      </c>
      <c r="J4855" s="3" t="str">
        <f>HYPERLINK("https://www.boe.es/gazeta/dias/1812/06/04/pdfs/GRE-1812-69.pdf#page=5","Abrir facsímil")</f>
        <v>Abrir facsímil</v>
      </c>
      <c r="K4855" s="3" t="s">
        <v>23</v>
      </c>
    </row>
    <row r="4856" spans="1:11" ht="42" customHeight="1">
      <c r="A4856" s="2" t="s">
        <v>12525</v>
      </c>
      <c r="B4856" s="2" t="s">
        <v>12525</v>
      </c>
      <c r="C4856" s="2" t="s">
        <v>17</v>
      </c>
      <c r="D4856" s="2" t="s">
        <v>27</v>
      </c>
      <c r="E4856" s="4">
        <v>-31789</v>
      </c>
      <c r="F4856" s="3" t="s">
        <v>873</v>
      </c>
      <c r="G4856" s="3" t="s">
        <v>1883</v>
      </c>
      <c r="H4856" s="2" t="s">
        <v>21</v>
      </c>
      <c r="I4856" s="2" t="s">
        <v>12526</v>
      </c>
      <c r="J4856" s="3" t="str">
        <f>HYPERLINK("https://www.boe.es/gazeta/dias/1812/12/17/pdfs/GMD-1812-240.pdf#page=2","Abrir facsímil")</f>
        <v>Abrir facsímil</v>
      </c>
      <c r="K4856" s="3" t="s">
        <v>23</v>
      </c>
    </row>
    <row r="4857" spans="1:11" ht="42" customHeight="1">
      <c r="A4857" s="2" t="s">
        <v>12527</v>
      </c>
      <c r="B4857" s="2" t="s">
        <v>12528</v>
      </c>
      <c r="C4857" s="2" t="s">
        <v>67</v>
      </c>
      <c r="D4857" s="2" t="s">
        <v>275</v>
      </c>
      <c r="E4857" s="4">
        <v>-31941</v>
      </c>
      <c r="F4857" s="3" t="s">
        <v>2048</v>
      </c>
      <c r="G4857" s="3" t="s">
        <v>20</v>
      </c>
      <c r="H4857" s="2" t="s">
        <v>21</v>
      </c>
      <c r="I4857" s="2" t="s">
        <v>12529</v>
      </c>
      <c r="J4857" s="3" t="str">
        <f>HYPERLINK("https://www.boe.es/gazeta/dias/1812/07/18/pdfs/GRE-1812-90.pdf#page=8","Abrir facsímil")</f>
        <v>Abrir facsímil</v>
      </c>
      <c r="K4857" s="3" t="s">
        <v>23</v>
      </c>
    </row>
    <row r="4858" spans="1:11" ht="42" customHeight="1">
      <c r="A4858" s="2" t="s">
        <v>12530</v>
      </c>
      <c r="B4858" s="2" t="s">
        <v>12531</v>
      </c>
      <c r="C4858" s="2" t="s">
        <v>26</v>
      </c>
      <c r="D4858" s="2" t="s">
        <v>27</v>
      </c>
      <c r="E4858" s="4">
        <v>-31833</v>
      </c>
      <c r="F4858" s="3" t="s">
        <v>267</v>
      </c>
      <c r="G4858" s="3" t="s">
        <v>268</v>
      </c>
      <c r="H4858" s="2" t="s">
        <v>21</v>
      </c>
      <c r="I4858" s="2" t="s">
        <v>12532</v>
      </c>
      <c r="J4858" s="3" t="str">
        <f>HYPERLINK("https://www.boe.es/gazeta/dias/1812/11/03/pdfs/GRE-1812-147.pdf#page=8","Abrir facsímil")</f>
        <v>Abrir facsímil</v>
      </c>
      <c r="K4858" s="3" t="s">
        <v>23</v>
      </c>
    </row>
    <row r="4859" spans="1:11" ht="42" customHeight="1">
      <c r="A4859" s="2" t="s">
        <v>12530</v>
      </c>
      <c r="B4859" s="2" t="s">
        <v>12531</v>
      </c>
      <c r="C4859" s="2" t="s">
        <v>26</v>
      </c>
      <c r="D4859" s="2" t="s">
        <v>27</v>
      </c>
      <c r="E4859" s="4">
        <v>-31816</v>
      </c>
      <c r="F4859" s="3" t="s">
        <v>270</v>
      </c>
      <c r="G4859" s="3" t="s">
        <v>271</v>
      </c>
      <c r="H4859" s="2" t="s">
        <v>21</v>
      </c>
      <c r="I4859" s="2" t="s">
        <v>12533</v>
      </c>
      <c r="J4859" s="3" t="str">
        <f>HYPERLINK("https://www.boe.es/gazeta/dias/1812/11/20/pdfs/GMR-1812-36.pdf#page=6","Abrir facsímil")</f>
        <v>Abrir facsímil</v>
      </c>
      <c r="K4859" s="3" t="s">
        <v>23</v>
      </c>
    </row>
    <row r="4860" spans="1:11" ht="42" customHeight="1">
      <c r="A4860" s="2" t="s">
        <v>12534</v>
      </c>
      <c r="B4860" s="2" t="s">
        <v>12535</v>
      </c>
      <c r="C4860" s="2" t="s">
        <v>26</v>
      </c>
      <c r="D4860" s="2" t="s">
        <v>27</v>
      </c>
      <c r="E4860" s="4">
        <v>-32034</v>
      </c>
      <c r="F4860" s="3" t="s">
        <v>28</v>
      </c>
      <c r="G4860" s="3" t="s">
        <v>130</v>
      </c>
      <c r="H4860" s="2" t="s">
        <v>21</v>
      </c>
      <c r="I4860" s="2" t="s">
        <v>12536</v>
      </c>
      <c r="J4860" s="3" t="str">
        <f>HYPERLINK("https://www.boe.es/gazeta/dias/1812/04/16/pdfs/GMD-1812-107.pdf#page=4","Abrir facsímil")</f>
        <v>Abrir facsímil</v>
      </c>
      <c r="K4860" s="3" t="s">
        <v>23</v>
      </c>
    </row>
    <row r="4861" spans="1:11" ht="42" customHeight="1">
      <c r="A4861" s="2" t="s">
        <v>12537</v>
      </c>
      <c r="B4861" s="2" t="s">
        <v>12538</v>
      </c>
      <c r="C4861" s="2" t="s">
        <v>17</v>
      </c>
      <c r="D4861" s="2" t="s">
        <v>27</v>
      </c>
      <c r="E4861" s="4">
        <v>-31929</v>
      </c>
      <c r="F4861" s="3" t="s">
        <v>1148</v>
      </c>
      <c r="G4861" s="3" t="s">
        <v>1301</v>
      </c>
      <c r="H4861" s="2" t="s">
        <v>21</v>
      </c>
      <c r="I4861" s="2" t="s">
        <v>12539</v>
      </c>
      <c r="J4861" s="3" t="str">
        <f>HYPERLINK("https://www.boe.es/gazeta/dias/1812/07/30/pdfs/GRE-1812-95.pdf#page=8","Abrir facsímil")</f>
        <v>Abrir facsímil</v>
      </c>
      <c r="K4861" s="3" t="s">
        <v>23</v>
      </c>
    </row>
    <row r="4862" spans="1:11" ht="42" customHeight="1">
      <c r="A4862" s="2" t="s">
        <v>12540</v>
      </c>
      <c r="B4862" s="2" t="s">
        <v>12541</v>
      </c>
      <c r="C4862" s="2" t="s">
        <v>26</v>
      </c>
      <c r="D4862" s="2" t="s">
        <v>27</v>
      </c>
      <c r="E4862" s="4">
        <v>-31922</v>
      </c>
      <c r="F4862" s="3" t="s">
        <v>622</v>
      </c>
      <c r="G4862" s="3" t="s">
        <v>623</v>
      </c>
      <c r="H4862" s="2" t="s">
        <v>21</v>
      </c>
      <c r="I4862" s="2" t="s">
        <v>12542</v>
      </c>
      <c r="J4862" s="3" t="str">
        <f>HYPERLINK("https://www.boe.es/gazeta/dias/1812/08/06/pdfs/GMD-1812-219.pdf#page=1","Abrir facsímil")</f>
        <v>Abrir facsímil</v>
      </c>
      <c r="K4862" s="3" t="s">
        <v>23</v>
      </c>
    </row>
    <row r="4863" spans="1:11" ht="42" customHeight="1">
      <c r="A4863" s="2" t="s">
        <v>12543</v>
      </c>
      <c r="B4863" s="2" t="s">
        <v>12544</v>
      </c>
      <c r="C4863" s="2" t="s">
        <v>26</v>
      </c>
      <c r="D4863" s="2" t="s">
        <v>27</v>
      </c>
      <c r="E4863" s="4">
        <v>-32034</v>
      </c>
      <c r="F4863" s="3" t="s">
        <v>28</v>
      </c>
      <c r="G4863" s="3" t="s">
        <v>794</v>
      </c>
      <c r="H4863" s="2" t="s">
        <v>21</v>
      </c>
      <c r="I4863" s="2" t="s">
        <v>12545</v>
      </c>
      <c r="J4863" s="3" t="str">
        <f>HYPERLINK("https://www.boe.es/gazeta/dias/1812/04/16/pdfs/GMD-1812-107.pdf#page=7","Abrir facsímil")</f>
        <v>Abrir facsímil</v>
      </c>
      <c r="K4863" s="3" t="s">
        <v>23</v>
      </c>
    </row>
    <row r="4864" spans="1:11" ht="42" customHeight="1">
      <c r="A4864" s="2" t="s">
        <v>12546</v>
      </c>
      <c r="B4864" s="2" t="s">
        <v>12546</v>
      </c>
      <c r="C4864" s="2" t="s">
        <v>17</v>
      </c>
      <c r="D4864" s="2" t="s">
        <v>134</v>
      </c>
      <c r="E4864" s="4">
        <v>-32025</v>
      </c>
      <c r="F4864" s="3" t="s">
        <v>1122</v>
      </c>
      <c r="G4864" s="3" t="s">
        <v>1123</v>
      </c>
      <c r="H4864" s="2" t="s">
        <v>21</v>
      </c>
      <c r="I4864" s="2" t="s">
        <v>12547</v>
      </c>
      <c r="J4864" s="3" t="str">
        <f>HYPERLINK("https://www.boe.es/gazeta/dias/1812/04/25/pdfs/GRE-F-1812-52.pdf#page=3","Abrir facsímil")</f>
        <v>Abrir facsímil</v>
      </c>
      <c r="K4864" s="3" t="s">
        <v>23</v>
      </c>
    </row>
    <row r="4865" spans="1:11" ht="42" customHeight="1">
      <c r="A4865" s="2" t="s">
        <v>12548</v>
      </c>
      <c r="B4865" s="2" t="s">
        <v>12548</v>
      </c>
      <c r="C4865" s="2" t="s">
        <v>17</v>
      </c>
      <c r="D4865" s="2" t="s">
        <v>134</v>
      </c>
      <c r="E4865" s="4">
        <v>-32025</v>
      </c>
      <c r="F4865" s="3" t="s">
        <v>1122</v>
      </c>
      <c r="G4865" s="3" t="s">
        <v>1123</v>
      </c>
      <c r="H4865" s="2" t="s">
        <v>21</v>
      </c>
      <c r="I4865" s="2" t="s">
        <v>12549</v>
      </c>
      <c r="J4865" s="3" t="str">
        <f>HYPERLINK("https://www.boe.es/gazeta/dias/1812/04/25/pdfs/GRE-F-1812-52.pdf#page=3","Abrir facsímil")</f>
        <v>Abrir facsímil</v>
      </c>
      <c r="K4865" s="3" t="s">
        <v>23</v>
      </c>
    </row>
    <row r="4866" spans="1:11" ht="42" customHeight="1">
      <c r="A4866" s="2" t="s">
        <v>12548</v>
      </c>
      <c r="B4866" s="2" t="s">
        <v>12548</v>
      </c>
      <c r="C4866" s="2" t="s">
        <v>17</v>
      </c>
      <c r="D4866" s="2" t="s">
        <v>134</v>
      </c>
      <c r="E4866" s="4">
        <v>-32025</v>
      </c>
      <c r="F4866" s="3" t="s">
        <v>1122</v>
      </c>
      <c r="G4866" s="3" t="s">
        <v>1125</v>
      </c>
      <c r="H4866" s="2" t="s">
        <v>21</v>
      </c>
      <c r="I4866" s="2" t="s">
        <v>12550</v>
      </c>
      <c r="J4866" s="3" t="str">
        <f>HYPERLINK("https://www.boe.es/gazeta/dias/1812/04/25/pdfs/GRE-F-1812-52.pdf#page=4","Abrir facsímil")</f>
        <v>Abrir facsímil</v>
      </c>
      <c r="K4866" s="3" t="s">
        <v>23</v>
      </c>
    </row>
    <row r="4867" spans="1:11" ht="42" customHeight="1">
      <c r="A4867" s="2" t="s">
        <v>12548</v>
      </c>
      <c r="B4867" s="2" t="s">
        <v>12548</v>
      </c>
      <c r="C4867" s="2" t="s">
        <v>17</v>
      </c>
      <c r="D4867" s="2" t="s">
        <v>573</v>
      </c>
      <c r="E4867" s="4">
        <v>-31921</v>
      </c>
      <c r="F4867" s="3" t="s">
        <v>785</v>
      </c>
      <c r="G4867" s="3" t="s">
        <v>1128</v>
      </c>
      <c r="H4867" s="2" t="s">
        <v>21</v>
      </c>
      <c r="I4867" s="2" t="s">
        <v>12551</v>
      </c>
      <c r="J4867" s="3" t="str">
        <f>HYPERLINK("https://www.boe.es/gazeta/dias/1812/08/07/pdfs/GRE-1812-101E.pdf#page=7","Abrir facsímil")</f>
        <v>Abrir facsímil</v>
      </c>
      <c r="K4867" s="3" t="s">
        <v>23</v>
      </c>
    </row>
    <row r="4868" spans="1:11" ht="42" customHeight="1">
      <c r="A4868" s="2" t="s">
        <v>12552</v>
      </c>
      <c r="B4868" s="2" t="s">
        <v>12552</v>
      </c>
      <c r="C4868" s="2" t="s">
        <v>17</v>
      </c>
      <c r="D4868" s="2" t="s">
        <v>573</v>
      </c>
      <c r="E4868" s="4">
        <v>-31921</v>
      </c>
      <c r="F4868" s="3" t="s">
        <v>785</v>
      </c>
      <c r="G4868" s="3" t="s">
        <v>45</v>
      </c>
      <c r="H4868" s="2" t="s">
        <v>21</v>
      </c>
      <c r="I4868" s="2" t="s">
        <v>12553</v>
      </c>
      <c r="J4868" s="3" t="str">
        <f>HYPERLINK("https://www.boe.es/gazeta/dias/1812/08/07/pdfs/GRE-1812-101E.pdf#page=5","Abrir facsímil")</f>
        <v>Abrir facsímil</v>
      </c>
      <c r="K4868" s="3" t="s">
        <v>23</v>
      </c>
    </row>
    <row r="4869" spans="1:11" ht="42" customHeight="1">
      <c r="A4869" s="2" t="s">
        <v>12554</v>
      </c>
      <c r="B4869" s="2" t="s">
        <v>12554</v>
      </c>
      <c r="C4869" s="2" t="s">
        <v>17</v>
      </c>
      <c r="D4869" s="2" t="s">
        <v>134</v>
      </c>
      <c r="E4869" s="4">
        <v>-32025</v>
      </c>
      <c r="F4869" s="3" t="s">
        <v>1122</v>
      </c>
      <c r="G4869" s="3" t="s">
        <v>1125</v>
      </c>
      <c r="H4869" s="2" t="s">
        <v>21</v>
      </c>
      <c r="I4869" s="2" t="s">
        <v>12555</v>
      </c>
      <c r="J4869" s="3" t="str">
        <f>HYPERLINK("https://www.boe.es/gazeta/dias/1812/04/25/pdfs/GRE-F-1812-52.pdf#page=4","Abrir facsímil")</f>
        <v>Abrir facsímil</v>
      </c>
      <c r="K4869" s="3" t="s">
        <v>23</v>
      </c>
    </row>
    <row r="4870" spans="1:11" ht="42" customHeight="1">
      <c r="A4870" s="2" t="s">
        <v>12556</v>
      </c>
      <c r="B4870" s="2" t="s">
        <v>12556</v>
      </c>
      <c r="C4870" s="2" t="s">
        <v>17</v>
      </c>
      <c r="D4870" s="2" t="s">
        <v>18</v>
      </c>
      <c r="E4870" s="4">
        <v>-32013</v>
      </c>
      <c r="F4870" s="3" t="s">
        <v>849</v>
      </c>
      <c r="G4870" s="3" t="s">
        <v>850</v>
      </c>
      <c r="H4870" s="2" t="s">
        <v>21</v>
      </c>
      <c r="I4870" s="2" t="s">
        <v>12557</v>
      </c>
      <c r="J4870" s="3" t="str">
        <f>HYPERLINK("https://www.boe.es/gazeta/dias/1812/05/07/pdfs/GRE-1812-57.pdf#page=2","Abrir facsímil")</f>
        <v>Abrir facsímil</v>
      </c>
      <c r="K4870" s="3" t="s">
        <v>23</v>
      </c>
    </row>
    <row r="4871" spans="1:11" ht="42" customHeight="1">
      <c r="A4871" s="2" t="s">
        <v>12558</v>
      </c>
      <c r="B4871" s="2" t="s">
        <v>12558</v>
      </c>
      <c r="C4871" s="2" t="s">
        <v>17</v>
      </c>
      <c r="D4871" s="2" t="s">
        <v>27</v>
      </c>
      <c r="E4871" s="4">
        <v>-32025</v>
      </c>
      <c r="F4871" s="3" t="s">
        <v>2323</v>
      </c>
      <c r="G4871" s="3" t="s">
        <v>45</v>
      </c>
      <c r="H4871" s="2" t="s">
        <v>21</v>
      </c>
      <c r="I4871" s="2" t="s">
        <v>12559</v>
      </c>
      <c r="J4871" s="3" t="str">
        <f>HYPERLINK("https://www.boe.es/gazeta/dias/1812/04/25/pdfs/GRE-1812-52.pdf#page=6","Abrir facsímil")</f>
        <v>Abrir facsímil</v>
      </c>
      <c r="K4871" s="3" t="s">
        <v>23</v>
      </c>
    </row>
    <row r="4872" spans="1:11" ht="42" customHeight="1">
      <c r="A4872" s="2" t="s">
        <v>12560</v>
      </c>
      <c r="B4872" s="2" t="s">
        <v>12560</v>
      </c>
      <c r="C4872" s="2" t="s">
        <v>17</v>
      </c>
      <c r="D4872" s="2" t="s">
        <v>27</v>
      </c>
      <c r="E4872" s="4">
        <v>-31864</v>
      </c>
      <c r="F4872" s="3" t="s">
        <v>4258</v>
      </c>
      <c r="G4872" s="3" t="s">
        <v>36</v>
      </c>
      <c r="H4872" s="2" t="s">
        <v>21</v>
      </c>
      <c r="I4872" s="2" t="s">
        <v>12561</v>
      </c>
      <c r="J4872" s="3" t="str">
        <f>HYPERLINK("https://www.boe.es/gazeta/dias/1812/10/03/pdfs/GMR-1812-22.pdf#page=3","Abrir facsímil")</f>
        <v>Abrir facsímil</v>
      </c>
      <c r="K4872" s="3" t="s">
        <v>23</v>
      </c>
    </row>
    <row r="4873" spans="1:11" ht="42" customHeight="1">
      <c r="A4873" s="2" t="s">
        <v>12562</v>
      </c>
      <c r="B4873" s="2" t="s">
        <v>12563</v>
      </c>
      <c r="C4873" s="2" t="s">
        <v>17</v>
      </c>
      <c r="D4873" s="2" t="s">
        <v>27</v>
      </c>
      <c r="E4873" s="4">
        <v>-31931</v>
      </c>
      <c r="F4873" s="3" t="s">
        <v>2350</v>
      </c>
      <c r="G4873" s="3" t="s">
        <v>2351</v>
      </c>
      <c r="H4873" s="2" t="s">
        <v>21</v>
      </c>
      <c r="I4873" s="2" t="s">
        <v>12564</v>
      </c>
      <c r="J4873" s="3" t="str">
        <f>HYPERLINK("https://www.boe.es/gazeta/dias/1812/07/28/pdfs/GMD-1812-210.pdf#page=2","Abrir facsímil")</f>
        <v>Abrir facsímil</v>
      </c>
      <c r="K4873" s="3" t="s">
        <v>23</v>
      </c>
    </row>
    <row r="4874" spans="1:11" ht="42" customHeight="1">
      <c r="A4874" s="2" t="s">
        <v>12565</v>
      </c>
      <c r="B4874" s="2" t="s">
        <v>12566</v>
      </c>
      <c r="C4874" s="2" t="s">
        <v>115</v>
      </c>
      <c r="D4874" s="2" t="s">
        <v>27</v>
      </c>
      <c r="E4874" s="4">
        <v>-32062</v>
      </c>
      <c r="F4874" s="3" t="s">
        <v>280</v>
      </c>
      <c r="G4874" s="3" t="s">
        <v>20</v>
      </c>
      <c r="H4874" s="2" t="s">
        <v>21</v>
      </c>
      <c r="I4874" s="2" t="s">
        <v>12567</v>
      </c>
      <c r="J4874" s="3" t="str">
        <f>HYPERLINK("https://www.boe.es/gazeta/dias/1812/03/19/pdfs/GMD-1812-79.pdf#page=4","Abrir facsímil")</f>
        <v>Abrir facsímil</v>
      </c>
      <c r="K4874" s="3" t="s">
        <v>23</v>
      </c>
    </row>
    <row r="4875" spans="1:11" ht="42" customHeight="1">
      <c r="A4875" s="2" t="s">
        <v>12568</v>
      </c>
      <c r="B4875" s="2" t="s">
        <v>12568</v>
      </c>
      <c r="C4875" s="2" t="s">
        <v>17</v>
      </c>
      <c r="D4875" s="2" t="s">
        <v>18</v>
      </c>
      <c r="E4875" s="4">
        <v>-31978</v>
      </c>
      <c r="F4875" s="3" t="s">
        <v>1790</v>
      </c>
      <c r="G4875" s="3" t="s">
        <v>130</v>
      </c>
      <c r="H4875" s="2" t="s">
        <v>21</v>
      </c>
      <c r="I4875" s="2" t="s">
        <v>12569</v>
      </c>
      <c r="J4875" s="3" t="str">
        <f>HYPERLINK("https://www.boe.es/gazeta/dias/1812/06/11/pdfs/GRE-1812-72.pdf#page=4","Abrir facsímil")</f>
        <v>Abrir facsímil</v>
      </c>
      <c r="K4875" s="3" t="s">
        <v>23</v>
      </c>
    </row>
    <row r="4876" spans="1:11" ht="42" customHeight="1">
      <c r="A4876" s="2" t="s">
        <v>12570</v>
      </c>
      <c r="B4876" s="2" t="s">
        <v>12571</v>
      </c>
      <c r="C4876" s="2" t="s">
        <v>26</v>
      </c>
      <c r="D4876" s="2" t="s">
        <v>275</v>
      </c>
      <c r="E4876" s="4">
        <v>-31964</v>
      </c>
      <c r="F4876" s="3" t="s">
        <v>305</v>
      </c>
      <c r="G4876" s="3" t="s">
        <v>58</v>
      </c>
      <c r="H4876" s="2" t="s">
        <v>21</v>
      </c>
      <c r="I4876" s="2" t="s">
        <v>12572</v>
      </c>
      <c r="J4876" s="3" t="str">
        <f>HYPERLINK("https://www.boe.es/gazeta/dias/1812/06/25/pdfs/GMD-1812-177.pdf#page=2","Abrir facsímil")</f>
        <v>Abrir facsímil</v>
      </c>
      <c r="K4876" s="3" t="s">
        <v>23</v>
      </c>
    </row>
    <row r="4877" spans="1:11" ht="42" customHeight="1">
      <c r="A4877" s="2" t="s">
        <v>12573</v>
      </c>
      <c r="B4877" s="2" t="s">
        <v>12574</v>
      </c>
      <c r="C4877" s="2" t="s">
        <v>49</v>
      </c>
      <c r="D4877" s="2" t="s">
        <v>18</v>
      </c>
      <c r="E4877" s="4">
        <v>-31957</v>
      </c>
      <c r="F4877" s="3" t="s">
        <v>2173</v>
      </c>
      <c r="G4877" s="3" t="s">
        <v>3034</v>
      </c>
      <c r="H4877" s="2" t="s">
        <v>21</v>
      </c>
      <c r="I4877" s="2" t="s">
        <v>12575</v>
      </c>
      <c r="J4877" s="3" t="str">
        <f>HYPERLINK("https://www.boe.es/gazeta/dias/1812/07/02/pdfs/GRE-1812-81.pdf#page=5","Abrir facsímil")</f>
        <v>Abrir facsímil</v>
      </c>
      <c r="K4877" s="3" t="s">
        <v>23</v>
      </c>
    </row>
    <row r="4878" spans="1:11" ht="42" customHeight="1">
      <c r="A4878" s="2" t="s">
        <v>12576</v>
      </c>
      <c r="B4878" s="2" t="s">
        <v>12577</v>
      </c>
      <c r="C4878" s="2" t="s">
        <v>26</v>
      </c>
      <c r="D4878" s="2" t="s">
        <v>27</v>
      </c>
      <c r="E4878" s="4">
        <v>-31936</v>
      </c>
      <c r="F4878" s="3" t="s">
        <v>614</v>
      </c>
      <c r="G4878" s="3" t="s">
        <v>615</v>
      </c>
      <c r="H4878" s="2" t="s">
        <v>21</v>
      </c>
      <c r="I4878" s="2" t="s">
        <v>12578</v>
      </c>
      <c r="J4878" s="3" t="str">
        <f>HYPERLINK("https://www.boe.es/gazeta/dias/1812/07/23/pdfs/GRE-1812-92.pdf#page=8","Abrir facsímil")</f>
        <v>Abrir facsímil</v>
      </c>
      <c r="K4878" s="3" t="s">
        <v>23</v>
      </c>
    </row>
    <row r="4879" spans="1:11" ht="42" customHeight="1">
      <c r="A4879" s="2" t="s">
        <v>12579</v>
      </c>
      <c r="B4879" s="2" t="s">
        <v>12579</v>
      </c>
      <c r="C4879" s="2" t="s">
        <v>17</v>
      </c>
      <c r="D4879" s="2" t="s">
        <v>27</v>
      </c>
      <c r="E4879" s="4">
        <v>-31861</v>
      </c>
      <c r="F4879" s="3" t="s">
        <v>1080</v>
      </c>
      <c r="G4879" s="3" t="s">
        <v>3975</v>
      </c>
      <c r="H4879" s="2" t="s">
        <v>21</v>
      </c>
      <c r="I4879" s="2" t="s">
        <v>12580</v>
      </c>
      <c r="J4879" s="3" t="str">
        <f>HYPERLINK("https://www.boe.es/gazeta/dias/1812/10/06/pdfs/GMR-1812-23.pdf#page=9","Abrir facsímil")</f>
        <v>Abrir facsímil</v>
      </c>
      <c r="K4879" s="3" t="s">
        <v>23</v>
      </c>
    </row>
    <row r="4880" spans="1:11" ht="42" customHeight="1">
      <c r="A4880" s="2" t="s">
        <v>12581</v>
      </c>
      <c r="B4880" s="2" t="s">
        <v>12581</v>
      </c>
      <c r="C4880" s="2" t="s">
        <v>17</v>
      </c>
      <c r="D4880" s="2" t="s">
        <v>27</v>
      </c>
      <c r="E4880" s="4">
        <v>-31838</v>
      </c>
      <c r="F4880" s="3" t="s">
        <v>1452</v>
      </c>
      <c r="G4880" s="3" t="s">
        <v>237</v>
      </c>
      <c r="H4880" s="2" t="s">
        <v>21</v>
      </c>
      <c r="I4880" s="2" t="s">
        <v>12582</v>
      </c>
      <c r="J4880" s="3" t="str">
        <f>HYPERLINK("https://www.boe.es/gazeta/dias/1812/10/29/pdfs/GMR-1812-33.pdf#page=3","Abrir facsímil")</f>
        <v>Abrir facsímil</v>
      </c>
      <c r="K4880" s="3" t="s">
        <v>23</v>
      </c>
    </row>
    <row r="4881" spans="1:11" ht="42" customHeight="1">
      <c r="A4881" s="2" t="s">
        <v>12583</v>
      </c>
      <c r="B4881" s="2" t="s">
        <v>12584</v>
      </c>
      <c r="C4881" s="2" t="s">
        <v>17</v>
      </c>
      <c r="D4881" s="2" t="s">
        <v>27</v>
      </c>
      <c r="E4881" s="4">
        <v>-31779</v>
      </c>
      <c r="F4881" s="3" t="s">
        <v>11039</v>
      </c>
      <c r="G4881" s="3" t="s">
        <v>20</v>
      </c>
      <c r="H4881" s="2" t="s">
        <v>21</v>
      </c>
      <c r="I4881" s="2" t="s">
        <v>12585</v>
      </c>
      <c r="J4881" s="3" t="str">
        <f>HYPERLINK("https://www.boe.es/gazeta/dias/1812/12/27/pdfs/GMD-1812-250.pdf#page=2","Abrir facsímil")</f>
        <v>Abrir facsímil</v>
      </c>
      <c r="K4881" s="3" t="s">
        <v>23</v>
      </c>
    </row>
    <row r="4882" spans="1:11" ht="42" customHeight="1">
      <c r="A4882" s="2" t="s">
        <v>12586</v>
      </c>
      <c r="B4882" s="2" t="s">
        <v>12586</v>
      </c>
      <c r="C4882" s="2" t="s">
        <v>17</v>
      </c>
      <c r="D4882" s="2" t="s">
        <v>27</v>
      </c>
      <c r="E4882" s="4">
        <v>-31934</v>
      </c>
      <c r="F4882" s="3" t="s">
        <v>509</v>
      </c>
      <c r="G4882" s="3" t="s">
        <v>9062</v>
      </c>
      <c r="H4882" s="2" t="s">
        <v>21</v>
      </c>
      <c r="I4882" s="2" t="s">
        <v>12587</v>
      </c>
      <c r="J4882" s="3" t="str">
        <f>HYPERLINK("https://www.boe.es/gazeta/dias/1812/07/25/pdfs/GRE-1812-93.pdf#page=1","Abrir facsímil")</f>
        <v>Abrir facsímil</v>
      </c>
      <c r="K4882" s="3" t="s">
        <v>23</v>
      </c>
    </row>
    <row r="4883" spans="1:11" ht="42" customHeight="1">
      <c r="A4883" s="2" t="s">
        <v>12588</v>
      </c>
      <c r="B4883" s="2" t="s">
        <v>12589</v>
      </c>
      <c r="C4883" s="2" t="s">
        <v>17</v>
      </c>
      <c r="D4883" s="2" t="s">
        <v>18</v>
      </c>
      <c r="E4883" s="4">
        <v>-32101</v>
      </c>
      <c r="F4883" s="3" t="s">
        <v>228</v>
      </c>
      <c r="G4883" s="3" t="s">
        <v>58</v>
      </c>
      <c r="H4883" s="2" t="s">
        <v>21</v>
      </c>
      <c r="I4883" s="2" t="s">
        <v>12590</v>
      </c>
      <c r="J4883" s="3" t="str">
        <f>HYPERLINK("https://www.boe.es/gazeta/dias/1812/02/09/pdfs/GMD-1812-40.pdf#page=4","Abrir facsímil")</f>
        <v>Abrir facsímil</v>
      </c>
      <c r="K4883" s="3" t="s">
        <v>23</v>
      </c>
    </row>
    <row r="4884" spans="1:11" ht="42" customHeight="1">
      <c r="A4884" s="2" t="s">
        <v>12591</v>
      </c>
      <c r="B4884" s="2" t="s">
        <v>12591</v>
      </c>
      <c r="C4884" s="2" t="s">
        <v>17</v>
      </c>
      <c r="D4884" s="2" t="s">
        <v>27</v>
      </c>
      <c r="E4884" s="4">
        <v>-32101</v>
      </c>
      <c r="F4884" s="3" t="s">
        <v>228</v>
      </c>
      <c r="G4884" s="3" t="s">
        <v>58</v>
      </c>
      <c r="H4884" s="2" t="s">
        <v>21</v>
      </c>
      <c r="I4884" s="2" t="s">
        <v>12592</v>
      </c>
      <c r="J4884" s="3" t="str">
        <f>HYPERLINK("https://www.boe.es/gazeta/dias/1812/02/09/pdfs/GMD-1812-40.pdf#page=4","Abrir facsímil")</f>
        <v>Abrir facsímil</v>
      </c>
      <c r="K4884" s="3" t="s">
        <v>23</v>
      </c>
    </row>
    <row r="4885" spans="1:11" ht="42" customHeight="1">
      <c r="A4885" s="2" t="s">
        <v>12593</v>
      </c>
      <c r="B4885" s="2" t="s">
        <v>12593</v>
      </c>
      <c r="C4885" s="2" t="s">
        <v>17</v>
      </c>
      <c r="D4885" s="2" t="s">
        <v>573</v>
      </c>
      <c r="E4885" s="4">
        <v>-31898</v>
      </c>
      <c r="F4885" s="3" t="s">
        <v>1952</v>
      </c>
      <c r="G4885" s="3" t="s">
        <v>1631</v>
      </c>
      <c r="H4885" s="2" t="s">
        <v>21</v>
      </c>
      <c r="I4885" s="2" t="s">
        <v>12594</v>
      </c>
      <c r="J4885" s="3" t="str">
        <f>HYPERLINK("https://www.boe.es/gazeta/dias/1812/08/30/pdfs/GRE-1812-116E.pdf#page=6","Abrir facsímil")</f>
        <v>Abrir facsímil</v>
      </c>
      <c r="K4885" s="3" t="s">
        <v>23</v>
      </c>
    </row>
    <row r="4886" spans="1:11" ht="42" customHeight="1">
      <c r="A4886" s="2" t="s">
        <v>12595</v>
      </c>
      <c r="B4886" s="2" t="s">
        <v>12595</v>
      </c>
      <c r="C4886" s="2" t="s">
        <v>17</v>
      </c>
      <c r="D4886" s="2" t="s">
        <v>18</v>
      </c>
      <c r="E4886" s="4">
        <v>-31798</v>
      </c>
      <c r="F4886" s="3" t="s">
        <v>1849</v>
      </c>
      <c r="G4886" s="3" t="s">
        <v>237</v>
      </c>
      <c r="H4886" s="2" t="s">
        <v>21</v>
      </c>
      <c r="I4886" s="2" t="s">
        <v>12596</v>
      </c>
      <c r="J4886" s="3" t="str">
        <f>HYPERLINK("https://www.boe.es/gazeta/dias/1812/12/08/pdfs/GMD-1812-231.pdf#page=2","Abrir facsímil")</f>
        <v>Abrir facsímil</v>
      </c>
      <c r="K4886" s="3" t="s">
        <v>23</v>
      </c>
    </row>
    <row r="4887" spans="1:11" ht="42" customHeight="1">
      <c r="A4887" s="2" t="s">
        <v>12595</v>
      </c>
      <c r="B4887" s="2" t="s">
        <v>12595</v>
      </c>
      <c r="C4887" s="2" t="s">
        <v>17</v>
      </c>
      <c r="D4887" s="2" t="s">
        <v>27</v>
      </c>
      <c r="E4887" s="4">
        <v>-31777</v>
      </c>
      <c r="F4887" s="3" t="s">
        <v>960</v>
      </c>
      <c r="G4887" s="3" t="s">
        <v>125</v>
      </c>
      <c r="H4887" s="2" t="s">
        <v>21</v>
      </c>
      <c r="I4887" s="2" t="s">
        <v>12597</v>
      </c>
      <c r="J4887" s="3" t="str">
        <f>HYPERLINK("https://www.boe.es/gazeta/dias/1812/12/29/pdfs/GMD-1812-252.pdf#page=3","Abrir facsímil")</f>
        <v>Abrir facsímil</v>
      </c>
      <c r="K4887" s="3" t="s">
        <v>23</v>
      </c>
    </row>
    <row r="4888" spans="1:11" ht="42" customHeight="1">
      <c r="A4888" s="2" t="s">
        <v>12595</v>
      </c>
      <c r="B4888" s="2" t="s">
        <v>12595</v>
      </c>
      <c r="C4888" s="2" t="s">
        <v>17</v>
      </c>
      <c r="D4888" s="2" t="s">
        <v>27</v>
      </c>
      <c r="E4888" s="4">
        <v>-31777</v>
      </c>
      <c r="F4888" s="3" t="s">
        <v>960</v>
      </c>
      <c r="G4888" s="3" t="s">
        <v>172</v>
      </c>
      <c r="H4888" s="2" t="s">
        <v>21</v>
      </c>
      <c r="I4888" s="2" t="s">
        <v>12598</v>
      </c>
      <c r="J4888" s="3" t="str">
        <f>HYPERLINK("https://www.boe.es/gazeta/dias/1812/12/29/pdfs/GMD-1812-252.pdf#page=4","Abrir facsímil")</f>
        <v>Abrir facsímil</v>
      </c>
      <c r="K4888" s="3" t="s">
        <v>23</v>
      </c>
    </row>
    <row r="4889" spans="1:11" ht="42" customHeight="1">
      <c r="A4889" s="2" t="s">
        <v>12599</v>
      </c>
      <c r="B4889" s="2" t="s">
        <v>12599</v>
      </c>
      <c r="C4889" s="2" t="s">
        <v>17</v>
      </c>
      <c r="D4889" s="2" t="s">
        <v>18</v>
      </c>
      <c r="E4889" s="4">
        <v>-31783</v>
      </c>
      <c r="F4889" s="3" t="s">
        <v>2074</v>
      </c>
      <c r="G4889" s="3" t="s">
        <v>4078</v>
      </c>
      <c r="H4889" s="2" t="s">
        <v>21</v>
      </c>
      <c r="I4889" s="2" t="s">
        <v>12600</v>
      </c>
      <c r="J4889" s="3" t="str">
        <f>HYPERLINK("https://www.boe.es/gazeta/dias/1812/12/23/pdfs/GMD-1812-246.pdf#page=2","Abrir facsímil")</f>
        <v>Abrir facsímil</v>
      </c>
      <c r="K4889" s="3" t="s">
        <v>23</v>
      </c>
    </row>
    <row r="4890" spans="1:11" ht="42" customHeight="1">
      <c r="A4890" s="2" t="s">
        <v>12601</v>
      </c>
      <c r="B4890" s="2" t="s">
        <v>12602</v>
      </c>
      <c r="C4890" s="2" t="s">
        <v>105</v>
      </c>
      <c r="D4890" s="2" t="s">
        <v>27</v>
      </c>
      <c r="E4890" s="4">
        <v>-31922</v>
      </c>
      <c r="F4890" s="3" t="s">
        <v>622</v>
      </c>
      <c r="G4890" s="3" t="s">
        <v>623</v>
      </c>
      <c r="H4890" s="2" t="s">
        <v>21</v>
      </c>
      <c r="I4890" s="2" t="s">
        <v>12603</v>
      </c>
      <c r="J4890" s="3" t="str">
        <f>HYPERLINK("https://www.boe.es/gazeta/dias/1812/08/06/pdfs/GMD-1812-219.pdf#page=1","Abrir facsímil")</f>
        <v>Abrir facsímil</v>
      </c>
      <c r="K4890" s="3" t="s">
        <v>23</v>
      </c>
    </row>
    <row r="4891" spans="1:11" ht="42" customHeight="1">
      <c r="A4891" s="2" t="s">
        <v>12604</v>
      </c>
      <c r="B4891" s="2" t="s">
        <v>12604</v>
      </c>
      <c r="C4891" s="2" t="s">
        <v>17</v>
      </c>
      <c r="D4891" s="2" t="s">
        <v>18</v>
      </c>
      <c r="E4891" s="4">
        <v>-32025</v>
      </c>
      <c r="F4891" s="3" t="s">
        <v>2323</v>
      </c>
      <c r="G4891" s="3" t="s">
        <v>130</v>
      </c>
      <c r="H4891" s="2" t="s">
        <v>21</v>
      </c>
      <c r="I4891" s="2" t="s">
        <v>12605</v>
      </c>
      <c r="J4891" s="3" t="str">
        <f>HYPERLINK("https://www.boe.es/gazeta/dias/1812/04/25/pdfs/GRE-1812-52.pdf#page=4","Abrir facsímil")</f>
        <v>Abrir facsímil</v>
      </c>
      <c r="K4891" s="3" t="s">
        <v>23</v>
      </c>
    </row>
    <row r="4892" spans="1:11" ht="42" customHeight="1">
      <c r="A4892" s="2" t="s">
        <v>12604</v>
      </c>
      <c r="B4892" s="2" t="s">
        <v>12604</v>
      </c>
      <c r="C4892" s="2" t="s">
        <v>17</v>
      </c>
      <c r="D4892" s="2" t="s">
        <v>27</v>
      </c>
      <c r="E4892" s="4">
        <v>-32025</v>
      </c>
      <c r="F4892" s="3" t="s">
        <v>2323</v>
      </c>
      <c r="G4892" s="3" t="s">
        <v>2445</v>
      </c>
      <c r="H4892" s="2" t="s">
        <v>21</v>
      </c>
      <c r="I4892" s="2" t="s">
        <v>12606</v>
      </c>
      <c r="J4892" s="3" t="str">
        <f>HYPERLINK("https://www.boe.es/gazeta/dias/1812/04/25/pdfs/GRE-1812-52.pdf#page=5","Abrir facsímil")</f>
        <v>Abrir facsímil</v>
      </c>
      <c r="K4892" s="3" t="s">
        <v>23</v>
      </c>
    </row>
    <row r="4893" spans="1:11" ht="42" customHeight="1">
      <c r="A4893" s="2" t="s">
        <v>12604</v>
      </c>
      <c r="B4893" s="2" t="s">
        <v>12604</v>
      </c>
      <c r="C4893" s="2" t="s">
        <v>17</v>
      </c>
      <c r="D4893" s="2" t="s">
        <v>18</v>
      </c>
      <c r="E4893" s="4">
        <v>-32025</v>
      </c>
      <c r="F4893" s="3" t="s">
        <v>2323</v>
      </c>
      <c r="G4893" s="3" t="s">
        <v>45</v>
      </c>
      <c r="H4893" s="2" t="s">
        <v>21</v>
      </c>
      <c r="I4893" s="2" t="s">
        <v>12607</v>
      </c>
      <c r="J4893" s="3" t="str">
        <f>HYPERLINK("https://www.boe.es/gazeta/dias/1812/04/25/pdfs/GRE-1812-52.pdf#page=6","Abrir facsímil")</f>
        <v>Abrir facsímil</v>
      </c>
      <c r="K4893" s="3" t="s">
        <v>23</v>
      </c>
    </row>
    <row r="4894" spans="1:11" ht="42" customHeight="1">
      <c r="A4894" s="2" t="s">
        <v>12604</v>
      </c>
      <c r="B4894" s="2" t="s">
        <v>12604</v>
      </c>
      <c r="C4894" s="2" t="s">
        <v>17</v>
      </c>
      <c r="D4894" s="2" t="s">
        <v>18</v>
      </c>
      <c r="E4894" s="4">
        <v>-31921</v>
      </c>
      <c r="F4894" s="3" t="s">
        <v>785</v>
      </c>
      <c r="G4894" s="3" t="s">
        <v>130</v>
      </c>
      <c r="H4894" s="2" t="s">
        <v>21</v>
      </c>
      <c r="I4894" s="2" t="s">
        <v>12608</v>
      </c>
      <c r="J4894" s="3" t="str">
        <f>HYPERLINK("https://www.boe.es/gazeta/dias/1812/08/07/pdfs/GRE-1812-101E.pdf#page=4","Abrir facsímil")</f>
        <v>Abrir facsímil</v>
      </c>
      <c r="K4894" s="3" t="s">
        <v>23</v>
      </c>
    </row>
    <row r="4895" spans="1:11" ht="42" customHeight="1">
      <c r="A4895" s="2" t="s">
        <v>12604</v>
      </c>
      <c r="B4895" s="2" t="s">
        <v>12604</v>
      </c>
      <c r="C4895" s="2" t="s">
        <v>17</v>
      </c>
      <c r="D4895" s="2" t="s">
        <v>573</v>
      </c>
      <c r="E4895" s="4">
        <v>-31921</v>
      </c>
      <c r="F4895" s="3" t="s">
        <v>785</v>
      </c>
      <c r="G4895" s="3" t="s">
        <v>45</v>
      </c>
      <c r="H4895" s="2" t="s">
        <v>21</v>
      </c>
      <c r="I4895" s="2" t="s">
        <v>12609</v>
      </c>
      <c r="J4895" s="3" t="str">
        <f>HYPERLINK("https://www.boe.es/gazeta/dias/1812/08/07/pdfs/GRE-1812-101E.pdf#page=5","Abrir facsímil")</f>
        <v>Abrir facsímil</v>
      </c>
      <c r="K4895" s="3" t="s">
        <v>23</v>
      </c>
    </row>
    <row r="4896" spans="1:11" ht="42" customHeight="1">
      <c r="A4896" s="2" t="s">
        <v>12604</v>
      </c>
      <c r="B4896" s="2" t="s">
        <v>12604</v>
      </c>
      <c r="C4896" s="2" t="s">
        <v>17</v>
      </c>
      <c r="D4896" s="2" t="s">
        <v>194</v>
      </c>
      <c r="E4896" s="4">
        <v>-31921</v>
      </c>
      <c r="F4896" s="3" t="s">
        <v>785</v>
      </c>
      <c r="G4896" s="3" t="s">
        <v>1128</v>
      </c>
      <c r="H4896" s="2" t="s">
        <v>21</v>
      </c>
      <c r="I4896" s="2" t="s">
        <v>12610</v>
      </c>
      <c r="J4896" s="3" t="str">
        <f>HYPERLINK("https://www.boe.es/gazeta/dias/1812/08/07/pdfs/GRE-1812-101E.pdf#page=7","Abrir facsímil")</f>
        <v>Abrir facsímil</v>
      </c>
      <c r="K4896" s="3" t="s">
        <v>23</v>
      </c>
    </row>
    <row r="4897" spans="1:11" ht="42" customHeight="1">
      <c r="A4897" s="2" t="s">
        <v>12604</v>
      </c>
      <c r="B4897" s="2" t="s">
        <v>12604</v>
      </c>
      <c r="C4897" s="2" t="s">
        <v>17</v>
      </c>
      <c r="D4897" s="2" t="s">
        <v>18</v>
      </c>
      <c r="E4897" s="4">
        <v>-31909</v>
      </c>
      <c r="F4897" s="3" t="s">
        <v>2735</v>
      </c>
      <c r="G4897" s="3" t="s">
        <v>20</v>
      </c>
      <c r="H4897" s="2" t="s">
        <v>21</v>
      </c>
      <c r="I4897" s="2" t="s">
        <v>12611</v>
      </c>
      <c r="J4897" s="3" t="str">
        <f>HYPERLINK("https://www.boe.es/gazeta/dias/1812/08/19/pdfs/GMR-1812-2.pdf#page=6","Abrir facsímil")</f>
        <v>Abrir facsímil</v>
      </c>
      <c r="K4897" s="3" t="s">
        <v>23</v>
      </c>
    </row>
    <row r="4898" spans="1:11" ht="42" customHeight="1">
      <c r="A4898" s="2" t="s">
        <v>12604</v>
      </c>
      <c r="B4898" s="2" t="s">
        <v>12604</v>
      </c>
      <c r="C4898" s="2" t="s">
        <v>17</v>
      </c>
      <c r="D4898" s="2" t="s">
        <v>27</v>
      </c>
      <c r="E4898" s="4">
        <v>-31905</v>
      </c>
      <c r="F4898" s="3" t="s">
        <v>855</v>
      </c>
      <c r="G4898" s="3" t="s">
        <v>2708</v>
      </c>
      <c r="H4898" s="2" t="s">
        <v>21</v>
      </c>
      <c r="I4898" s="2" t="s">
        <v>12612</v>
      </c>
      <c r="J4898" s="3" t="str">
        <f>HYPERLINK("https://www.boe.es/gazeta/dias/1812/08/23/pdfs/GMR-1812-4.pdf#page=4","Abrir facsímil")</f>
        <v>Abrir facsímil</v>
      </c>
      <c r="K4898" s="3" t="s">
        <v>23</v>
      </c>
    </row>
    <row r="4899" spans="1:11" ht="42" customHeight="1">
      <c r="A4899" s="2" t="s">
        <v>12604</v>
      </c>
      <c r="B4899" s="2" t="s">
        <v>12604</v>
      </c>
      <c r="C4899" s="2" t="s">
        <v>17</v>
      </c>
      <c r="D4899" s="2" t="s">
        <v>27</v>
      </c>
      <c r="E4899" s="4">
        <v>-31905</v>
      </c>
      <c r="F4899" s="3" t="s">
        <v>855</v>
      </c>
      <c r="G4899" s="3" t="s">
        <v>1650</v>
      </c>
      <c r="H4899" s="2" t="s">
        <v>21</v>
      </c>
      <c r="I4899" s="2" t="s">
        <v>12613</v>
      </c>
      <c r="J4899" s="3" t="str">
        <f>HYPERLINK("https://www.boe.es/gazeta/dias/1812/08/23/pdfs/GMR-1812-4.pdf#page=5","Abrir facsímil")</f>
        <v>Abrir facsímil</v>
      </c>
      <c r="K4899" s="3" t="s">
        <v>23</v>
      </c>
    </row>
    <row r="4900" spans="1:11" ht="42" customHeight="1">
      <c r="A4900" s="2" t="s">
        <v>12614</v>
      </c>
      <c r="B4900" s="2" t="s">
        <v>12614</v>
      </c>
      <c r="C4900" s="2" t="s">
        <v>17</v>
      </c>
      <c r="D4900" s="2" t="s">
        <v>27</v>
      </c>
      <c r="E4900" s="4">
        <v>-31905</v>
      </c>
      <c r="F4900" s="3" t="s">
        <v>855</v>
      </c>
      <c r="G4900" s="3" t="s">
        <v>317</v>
      </c>
      <c r="H4900" s="2" t="s">
        <v>21</v>
      </c>
      <c r="I4900" s="2" t="s">
        <v>12615</v>
      </c>
      <c r="J4900" s="3" t="str">
        <f>HYPERLINK("https://www.boe.es/gazeta/dias/1812/08/23/pdfs/GMR-1812-4.pdf#page=6","Abrir facsímil")</f>
        <v>Abrir facsímil</v>
      </c>
      <c r="K4900" s="3" t="s">
        <v>23</v>
      </c>
    </row>
    <row r="4901" spans="1:11" ht="42" customHeight="1">
      <c r="A4901" s="2" t="s">
        <v>12604</v>
      </c>
      <c r="B4901" s="2" t="s">
        <v>12604</v>
      </c>
      <c r="C4901" s="2" t="s">
        <v>17</v>
      </c>
      <c r="D4901" s="2" t="s">
        <v>18</v>
      </c>
      <c r="E4901" s="4">
        <v>-31905</v>
      </c>
      <c r="F4901" s="3" t="s">
        <v>855</v>
      </c>
      <c r="G4901" s="3" t="s">
        <v>1826</v>
      </c>
      <c r="H4901" s="2" t="s">
        <v>21</v>
      </c>
      <c r="I4901" s="2" t="s">
        <v>12616</v>
      </c>
      <c r="J4901" s="3" t="str">
        <f>HYPERLINK("https://www.boe.es/gazeta/dias/1812/08/23/pdfs/GMR-1812-4.pdf#page=7","Abrir facsímil")</f>
        <v>Abrir facsímil</v>
      </c>
      <c r="K4901" s="3" t="s">
        <v>23</v>
      </c>
    </row>
    <row r="4902" spans="1:11" ht="42" customHeight="1">
      <c r="A4902" s="2" t="s">
        <v>12617</v>
      </c>
      <c r="B4902" s="2" t="s">
        <v>12617</v>
      </c>
      <c r="C4902" s="2" t="s">
        <v>115</v>
      </c>
      <c r="D4902" s="2" t="s">
        <v>18</v>
      </c>
      <c r="E4902" s="4">
        <v>-31850</v>
      </c>
      <c r="F4902" s="3" t="s">
        <v>719</v>
      </c>
      <c r="G4902" s="3" t="s">
        <v>721</v>
      </c>
      <c r="H4902" s="2" t="s">
        <v>21</v>
      </c>
      <c r="I4902" s="2" t="s">
        <v>12618</v>
      </c>
      <c r="J4902" s="3" t="str">
        <f>HYPERLINK("https://www.boe.es/gazeta/dias/1812/10/17/pdfs/GMR-1812-28.pdf#page=2","Abrir facsímil")</f>
        <v>Abrir facsímil</v>
      </c>
      <c r="K4902" s="3" t="s">
        <v>23</v>
      </c>
    </row>
    <row r="4903" spans="1:11" ht="42" customHeight="1">
      <c r="A4903" s="2" t="s">
        <v>12619</v>
      </c>
      <c r="B4903" s="2" t="s">
        <v>12619</v>
      </c>
      <c r="C4903" s="2" t="s">
        <v>17</v>
      </c>
      <c r="D4903" s="2" t="s">
        <v>18</v>
      </c>
      <c r="E4903" s="4">
        <v>-32137</v>
      </c>
      <c r="F4903" s="3" t="s">
        <v>355</v>
      </c>
      <c r="G4903" s="3" t="s">
        <v>106</v>
      </c>
      <c r="H4903" s="2" t="s">
        <v>21</v>
      </c>
      <c r="I4903" s="2" t="s">
        <v>12620</v>
      </c>
      <c r="J4903" s="3" t="str">
        <f>HYPERLINK("https://www.boe.es/gazeta/dias/1812/01/04/pdfs/GEI-1812-2.pdf#page=5","Abrir facsímil")</f>
        <v>Abrir facsímil</v>
      </c>
      <c r="K4903" s="3" t="s">
        <v>23</v>
      </c>
    </row>
    <row r="4904" spans="1:11" ht="42" customHeight="1">
      <c r="A4904" s="2" t="s">
        <v>12621</v>
      </c>
      <c r="B4904" s="2" t="s">
        <v>12622</v>
      </c>
      <c r="C4904" s="2" t="s">
        <v>49</v>
      </c>
      <c r="D4904" s="2" t="s">
        <v>18</v>
      </c>
      <c r="E4904" s="4">
        <v>-31843</v>
      </c>
      <c r="F4904" s="3" t="s">
        <v>6436</v>
      </c>
      <c r="G4904" s="3" t="s">
        <v>6439</v>
      </c>
      <c r="H4904" s="2" t="s">
        <v>21</v>
      </c>
      <c r="I4904" s="2" t="s">
        <v>12623</v>
      </c>
      <c r="J4904" s="3" t="str">
        <f>HYPERLINK("https://www.boe.es/gazeta/dias/1812/10/24/pdfs/GRE-1812-143.pdf#page=8","Abrir facsímil")</f>
        <v>Abrir facsímil</v>
      </c>
      <c r="K4904" s="3" t="s">
        <v>23</v>
      </c>
    </row>
    <row r="4905" spans="1:11" ht="42" customHeight="1">
      <c r="A4905" s="2" t="s">
        <v>12624</v>
      </c>
      <c r="B4905" s="2" t="s">
        <v>12625</v>
      </c>
      <c r="C4905" s="2" t="s">
        <v>26</v>
      </c>
      <c r="D4905" s="2" t="s">
        <v>27</v>
      </c>
      <c r="E4905" s="4">
        <v>-32034</v>
      </c>
      <c r="F4905" s="3" t="s">
        <v>1008</v>
      </c>
      <c r="G4905" s="3" t="s">
        <v>1009</v>
      </c>
      <c r="H4905" s="2" t="s">
        <v>21</v>
      </c>
      <c r="I4905" s="2" t="s">
        <v>12626</v>
      </c>
      <c r="J4905" s="3" t="str">
        <f>HYPERLINK("https://www.boe.es/gazeta/dias/1812/04/16/pdfs/GRE-1812-48.pdf#page=8","Abrir facsímil")</f>
        <v>Abrir facsímil</v>
      </c>
      <c r="K4905" s="3" t="s">
        <v>23</v>
      </c>
    </row>
    <row r="4906" spans="1:11" ht="42" customHeight="1">
      <c r="A4906" s="2" t="s">
        <v>12627</v>
      </c>
      <c r="B4906" s="2" t="s">
        <v>12628</v>
      </c>
      <c r="C4906" s="2" t="s">
        <v>26</v>
      </c>
      <c r="D4906" s="2" t="s">
        <v>27</v>
      </c>
      <c r="E4906" s="4">
        <v>-32113</v>
      </c>
      <c r="F4906" s="3" t="s">
        <v>121</v>
      </c>
      <c r="G4906" s="3" t="s">
        <v>2655</v>
      </c>
      <c r="H4906" s="2" t="s">
        <v>21</v>
      </c>
      <c r="I4906" s="2" t="s">
        <v>12629</v>
      </c>
      <c r="J4906" s="3" t="str">
        <f>HYPERLINK("https://www.boe.es/gazeta/dias/1812/01/28/pdfs/GRE-1812-12.pdf#page=8","Abrir facsímil")</f>
        <v>Abrir facsímil</v>
      </c>
      <c r="K4906" s="3" t="s">
        <v>23</v>
      </c>
    </row>
    <row r="4907" spans="1:11" ht="42" customHeight="1">
      <c r="A4907" s="2" t="s">
        <v>12630</v>
      </c>
      <c r="B4907" s="2" t="s">
        <v>12630</v>
      </c>
      <c r="C4907" s="2" t="s">
        <v>26</v>
      </c>
      <c r="D4907" s="2" t="s">
        <v>27</v>
      </c>
      <c r="E4907" s="4">
        <v>-32006</v>
      </c>
      <c r="F4907" s="3" t="s">
        <v>1153</v>
      </c>
      <c r="G4907" s="3" t="s">
        <v>12631</v>
      </c>
      <c r="H4907" s="2" t="s">
        <v>21</v>
      </c>
      <c r="I4907" s="2" t="s">
        <v>12632</v>
      </c>
      <c r="J4907" s="3" t="str">
        <f>HYPERLINK("https://www.boe.es/gazeta/dias/1812/05/14/pdfs/GMD-1812-135.pdf#page=4","Abrir facsímil")</f>
        <v>Abrir facsímil</v>
      </c>
      <c r="K4907" s="3" t="s">
        <v>23</v>
      </c>
    </row>
    <row r="4908" spans="1:11" ht="42" customHeight="1">
      <c r="A4908" s="2" t="s">
        <v>12630</v>
      </c>
      <c r="B4908" s="2" t="s">
        <v>12630</v>
      </c>
      <c r="C4908" s="2" t="s">
        <v>17</v>
      </c>
      <c r="D4908" s="2" t="s">
        <v>18</v>
      </c>
      <c r="E4908" s="4">
        <v>-31952</v>
      </c>
      <c r="F4908" s="3" t="s">
        <v>694</v>
      </c>
      <c r="G4908" s="3" t="s">
        <v>2895</v>
      </c>
      <c r="H4908" s="2" t="s">
        <v>21</v>
      </c>
      <c r="I4908" s="2" t="s">
        <v>12633</v>
      </c>
      <c r="J4908" s="3" t="str">
        <f>HYPERLINK("https://www.boe.es/gazeta/dias/1812/07/07/pdfs/GMD-1812-189.pdf#page=4","Abrir facsímil")</f>
        <v>Abrir facsímil</v>
      </c>
      <c r="K4908" s="3" t="s">
        <v>23</v>
      </c>
    </row>
    <row r="4909" spans="1:11" ht="42" customHeight="1">
      <c r="A4909" s="2" t="s">
        <v>12634</v>
      </c>
      <c r="B4909" s="2" t="s">
        <v>12635</v>
      </c>
      <c r="C4909" s="2" t="s">
        <v>26</v>
      </c>
      <c r="D4909" s="2" t="s">
        <v>27</v>
      </c>
      <c r="E4909" s="4">
        <v>-32100</v>
      </c>
      <c r="F4909" s="3" t="s">
        <v>492</v>
      </c>
      <c r="G4909" s="3" t="s">
        <v>493</v>
      </c>
      <c r="H4909" s="2" t="s">
        <v>21</v>
      </c>
      <c r="I4909" s="2" t="s">
        <v>12636</v>
      </c>
      <c r="J4909" s="3" t="str">
        <f>HYPERLINK("https://www.boe.es/gazeta/dias/1812/02/10/pdfs/GRE-1812-31.pdf#page=8","Abrir facsímil")</f>
        <v>Abrir facsímil</v>
      </c>
      <c r="K4909" s="3" t="s">
        <v>23</v>
      </c>
    </row>
    <row r="4910" spans="1:11" ht="42" customHeight="1">
      <c r="A4910" s="2" t="s">
        <v>12634</v>
      </c>
      <c r="B4910" s="2" t="s">
        <v>12635</v>
      </c>
      <c r="C4910" s="2" t="s">
        <v>26</v>
      </c>
      <c r="D4910" s="2" t="s">
        <v>27</v>
      </c>
      <c r="E4910" s="4">
        <v>-32071</v>
      </c>
      <c r="F4910" s="3" t="s">
        <v>492</v>
      </c>
      <c r="G4910" s="3" t="s">
        <v>493</v>
      </c>
      <c r="H4910" s="2" t="s">
        <v>21</v>
      </c>
      <c r="I4910" s="2" t="s">
        <v>12636</v>
      </c>
      <c r="J4910" s="3" t="str">
        <f>HYPERLINK("https://www.boe.es/gazeta/dias/1812/03/10/pdfs/GRE-1812-31.pdf#page=8","Abrir facsímil")</f>
        <v>Abrir facsímil</v>
      </c>
      <c r="K4910" s="3" t="s">
        <v>23</v>
      </c>
    </row>
    <row r="4911" spans="1:11" ht="42" customHeight="1">
      <c r="A4911" s="2" t="s">
        <v>12634</v>
      </c>
      <c r="B4911" s="2" t="s">
        <v>12635</v>
      </c>
      <c r="C4911" s="2" t="s">
        <v>17</v>
      </c>
      <c r="D4911" s="2" t="s">
        <v>18</v>
      </c>
      <c r="E4911" s="4">
        <v>-32022</v>
      </c>
      <c r="F4911" s="3" t="s">
        <v>1186</v>
      </c>
      <c r="G4911" s="3" t="s">
        <v>336</v>
      </c>
      <c r="H4911" s="2" t="s">
        <v>21</v>
      </c>
      <c r="I4911" s="2" t="s">
        <v>12637</v>
      </c>
      <c r="J4911" s="3" t="str">
        <f>HYPERLINK("https://www.boe.es/gazeta/dias/1812/04/28/pdfs/GRE-1812-53.pdf#page=8","Abrir facsímil")</f>
        <v>Abrir facsímil</v>
      </c>
      <c r="K4911" s="3" t="s">
        <v>23</v>
      </c>
    </row>
    <row r="4912" spans="1:11" ht="42" customHeight="1">
      <c r="A4912" s="2" t="s">
        <v>12638</v>
      </c>
      <c r="B4912" s="2" t="s">
        <v>12639</v>
      </c>
      <c r="C4912" s="2" t="s">
        <v>26</v>
      </c>
      <c r="D4912" s="2" t="s">
        <v>27</v>
      </c>
      <c r="E4912" s="4">
        <v>-31938</v>
      </c>
      <c r="F4912" s="3" t="s">
        <v>324</v>
      </c>
      <c r="G4912" s="3" t="s">
        <v>237</v>
      </c>
      <c r="H4912" s="2" t="s">
        <v>21</v>
      </c>
      <c r="I4912" s="2" t="s">
        <v>12640</v>
      </c>
      <c r="J4912" s="3" t="str">
        <f>HYPERLINK("https://www.boe.es/gazeta/dias/1812/07/21/pdfs/GMD-1812-203.pdf#page=2","Abrir facsímil")</f>
        <v>Abrir facsímil</v>
      </c>
      <c r="K4912" s="3" t="s">
        <v>23</v>
      </c>
    </row>
    <row r="4913" spans="1:11" ht="42" customHeight="1">
      <c r="A4913" s="2" t="s">
        <v>12641</v>
      </c>
      <c r="B4913" s="2" t="s">
        <v>12642</v>
      </c>
      <c r="C4913" s="2" t="s">
        <v>26</v>
      </c>
      <c r="D4913" s="2" t="s">
        <v>27</v>
      </c>
      <c r="E4913" s="4">
        <v>-32081</v>
      </c>
      <c r="F4913" s="3" t="s">
        <v>232</v>
      </c>
      <c r="G4913" s="3" t="s">
        <v>233</v>
      </c>
      <c r="H4913" s="2" t="s">
        <v>21</v>
      </c>
      <c r="I4913" s="2" t="s">
        <v>12643</v>
      </c>
      <c r="J4913" s="3" t="str">
        <f>HYPERLINK("https://www.boe.es/gazeta/dias/1812/02/29/pdfs/GRE-1812-27.pdf#page=8","Abrir facsímil")</f>
        <v>Abrir facsímil</v>
      </c>
      <c r="K4913" s="3" t="s">
        <v>23</v>
      </c>
    </row>
    <row r="4914" spans="1:11" ht="42" customHeight="1">
      <c r="A4914" s="2" t="s">
        <v>12644</v>
      </c>
      <c r="B4914" s="2" t="s">
        <v>12645</v>
      </c>
      <c r="C4914" s="2" t="s">
        <v>186</v>
      </c>
      <c r="D4914" s="2" t="s">
        <v>194</v>
      </c>
      <c r="E4914" s="4">
        <v>-32044</v>
      </c>
      <c r="F4914" s="3" t="s">
        <v>1031</v>
      </c>
      <c r="G4914" s="3" t="s">
        <v>1873</v>
      </c>
      <c r="H4914" s="2" t="s">
        <v>21</v>
      </c>
      <c r="I4914" s="2" t="s">
        <v>12646</v>
      </c>
      <c r="J4914" s="3" t="str">
        <f>HYPERLINK("https://www.boe.es/gazeta/dias/1812/04/06/pdfs/GMD-1812-97.pdf#page=4","Abrir facsímil")</f>
        <v>Abrir facsímil</v>
      </c>
      <c r="K4914" s="3" t="s">
        <v>23</v>
      </c>
    </row>
    <row r="4915" spans="1:11" ht="42" customHeight="1">
      <c r="A4915" s="2" t="s">
        <v>12647</v>
      </c>
      <c r="B4915" s="2" t="s">
        <v>12648</v>
      </c>
      <c r="C4915" s="2" t="s">
        <v>105</v>
      </c>
      <c r="D4915" s="2" t="s">
        <v>27</v>
      </c>
      <c r="E4915" s="4">
        <v>-32060</v>
      </c>
      <c r="F4915" s="3" t="s">
        <v>399</v>
      </c>
      <c r="G4915" s="3" t="s">
        <v>136</v>
      </c>
      <c r="H4915" s="2" t="s">
        <v>21</v>
      </c>
      <c r="I4915" s="2" t="s">
        <v>12649</v>
      </c>
      <c r="J4915" s="3" t="str">
        <f>HYPERLINK("https://www.boe.es/gazeta/dias/1812/03/21/pdfs/GMD-1812-81.pdf#page=4","Abrir facsímil")</f>
        <v>Abrir facsímil</v>
      </c>
      <c r="K4915" s="3" t="s">
        <v>23</v>
      </c>
    </row>
    <row r="4916" spans="1:11" ht="42" customHeight="1">
      <c r="A4916" s="2" t="s">
        <v>12650</v>
      </c>
      <c r="B4916" s="2" t="s">
        <v>12651</v>
      </c>
      <c r="C4916" s="2" t="s">
        <v>26</v>
      </c>
      <c r="D4916" s="2" t="s">
        <v>27</v>
      </c>
      <c r="E4916" s="4">
        <v>-31964</v>
      </c>
      <c r="F4916" s="3" t="s">
        <v>93</v>
      </c>
      <c r="G4916" s="3" t="s">
        <v>1722</v>
      </c>
      <c r="H4916" s="2" t="s">
        <v>21</v>
      </c>
      <c r="I4916" s="2" t="s">
        <v>12652</v>
      </c>
      <c r="J4916" s="3" t="str">
        <f>HYPERLINK("https://www.boe.es/gazeta/dias/1812/06/25/pdfs/GRE-1812-78.pdf#page=8","Abrir facsímil")</f>
        <v>Abrir facsímil</v>
      </c>
      <c r="K4916" s="3" t="s">
        <v>23</v>
      </c>
    </row>
    <row r="4917" spans="1:11" ht="42" customHeight="1">
      <c r="A4917" s="2" t="s">
        <v>12653</v>
      </c>
      <c r="B4917" s="2" t="s">
        <v>12654</v>
      </c>
      <c r="C4917" s="2" t="s">
        <v>26</v>
      </c>
      <c r="D4917" s="2" t="s">
        <v>27</v>
      </c>
      <c r="E4917" s="4">
        <v>-32060</v>
      </c>
      <c r="F4917" s="3" t="s">
        <v>399</v>
      </c>
      <c r="G4917" s="3" t="s">
        <v>136</v>
      </c>
      <c r="H4917" s="2" t="s">
        <v>21</v>
      </c>
      <c r="I4917" s="2" t="s">
        <v>12655</v>
      </c>
      <c r="J4917" s="3" t="str">
        <f>HYPERLINK("https://www.boe.es/gazeta/dias/1812/03/21/pdfs/GMD-1812-81.pdf#page=4","Abrir facsímil")</f>
        <v>Abrir facsímil</v>
      </c>
      <c r="K4917" s="3" t="s">
        <v>23</v>
      </c>
    </row>
    <row r="4918" spans="1:11" ht="42" customHeight="1">
      <c r="A4918" s="2" t="s">
        <v>12656</v>
      </c>
      <c r="B4918" s="2" t="s">
        <v>12657</v>
      </c>
      <c r="C4918" s="2" t="s">
        <v>26</v>
      </c>
      <c r="D4918" s="2" t="s">
        <v>275</v>
      </c>
      <c r="E4918" s="4">
        <v>-32139</v>
      </c>
      <c r="F4918" s="3" t="s">
        <v>288</v>
      </c>
      <c r="G4918" s="3" t="s">
        <v>130</v>
      </c>
      <c r="H4918" s="2" t="s">
        <v>21</v>
      </c>
      <c r="I4918" s="2" t="s">
        <v>12658</v>
      </c>
      <c r="J4918" s="3" t="str">
        <f>HYPERLINK("https://www.boe.es/gazeta/dias/1812/01/02/pdfs/GMD-1812-2.pdf#page=4","Abrir facsímil")</f>
        <v>Abrir facsímil</v>
      </c>
      <c r="K4918" s="3" t="s">
        <v>23</v>
      </c>
    </row>
    <row r="4919" spans="1:11" ht="42" customHeight="1">
      <c r="A4919" s="2" t="s">
        <v>12659</v>
      </c>
      <c r="B4919" s="2" t="s">
        <v>12660</v>
      </c>
      <c r="C4919" s="2" t="s">
        <v>26</v>
      </c>
      <c r="D4919" s="2" t="s">
        <v>573</v>
      </c>
      <c r="E4919" s="4">
        <v>-31900</v>
      </c>
      <c r="F4919" s="3" t="s">
        <v>276</v>
      </c>
      <c r="G4919" s="3" t="s">
        <v>277</v>
      </c>
      <c r="H4919" s="2" t="s">
        <v>21</v>
      </c>
      <c r="I4919" s="2" t="s">
        <v>12661</v>
      </c>
      <c r="J4919" s="3" t="str">
        <f>HYPERLINK("https://www.boe.es/gazeta/dias/1812/08/28/pdfs/GRE-1812-113E.pdf#page=8","Abrir facsímil")</f>
        <v>Abrir facsímil</v>
      </c>
      <c r="K4919" s="3" t="s">
        <v>23</v>
      </c>
    </row>
    <row r="4920" spans="1:11" ht="42" customHeight="1">
      <c r="A4920" s="2" t="s">
        <v>12662</v>
      </c>
      <c r="B4920" s="2" t="s">
        <v>12663</v>
      </c>
      <c r="C4920" s="2" t="s">
        <v>17</v>
      </c>
      <c r="D4920" s="2" t="s">
        <v>27</v>
      </c>
      <c r="E4920" s="4">
        <v>-31950</v>
      </c>
      <c r="F4920" s="3" t="s">
        <v>1024</v>
      </c>
      <c r="G4920" s="3" t="s">
        <v>1025</v>
      </c>
      <c r="H4920" s="2" t="s">
        <v>21</v>
      </c>
      <c r="I4920" s="2" t="s">
        <v>12664</v>
      </c>
      <c r="J4920" s="3" t="str">
        <f>HYPERLINK("https://www.boe.es/gazeta/dias/1812/07/09/pdfs/GRE-1812-84.pdf#page=7","Abrir facsímil")</f>
        <v>Abrir facsímil</v>
      </c>
      <c r="K4920" s="3" t="s">
        <v>23</v>
      </c>
    </row>
    <row r="4921" spans="1:11" ht="42" customHeight="1">
      <c r="A4921" s="2" t="s">
        <v>12665</v>
      </c>
      <c r="B4921" s="2" t="s">
        <v>12666</v>
      </c>
      <c r="C4921" s="2" t="s">
        <v>49</v>
      </c>
      <c r="D4921" s="2" t="s">
        <v>27</v>
      </c>
      <c r="E4921" s="4">
        <v>-32053</v>
      </c>
      <c r="F4921" s="3" t="s">
        <v>910</v>
      </c>
      <c r="G4921" s="3" t="s">
        <v>911</v>
      </c>
      <c r="H4921" s="2" t="s">
        <v>21</v>
      </c>
      <c r="I4921" s="2" t="s">
        <v>12667</v>
      </c>
      <c r="J4921" s="3" t="str">
        <f>HYPERLINK("https://www.boe.es/gazeta/dias/1812/03/28/pdfs/GRE-1812-39.pdf#page=8","Abrir facsímil")</f>
        <v>Abrir facsímil</v>
      </c>
      <c r="K4921" s="3" t="s">
        <v>23</v>
      </c>
    </row>
    <row r="4922" spans="1:11" ht="42" customHeight="1">
      <c r="A4922" s="2" t="s">
        <v>12668</v>
      </c>
      <c r="B4922" s="2" t="s">
        <v>12669</v>
      </c>
      <c r="C4922" s="2" t="s">
        <v>105</v>
      </c>
      <c r="D4922" s="2" t="s">
        <v>27</v>
      </c>
      <c r="E4922" s="4">
        <v>-32015</v>
      </c>
      <c r="F4922" s="3" t="s">
        <v>77</v>
      </c>
      <c r="G4922" s="3" t="s">
        <v>78</v>
      </c>
      <c r="H4922" s="2" t="s">
        <v>21</v>
      </c>
      <c r="I4922" s="2" t="s">
        <v>12670</v>
      </c>
      <c r="J4922" s="3" t="str">
        <f>HYPERLINK("https://www.boe.es/gazeta/dias/1812/05/05/pdfs/GRE-1812-56.pdf#page=8","Abrir facsímil")</f>
        <v>Abrir facsímil</v>
      </c>
      <c r="K4922" s="3" t="s">
        <v>23</v>
      </c>
    </row>
    <row r="4923" spans="1:11" ht="42" customHeight="1">
      <c r="A4923" s="2" t="s">
        <v>12671</v>
      </c>
      <c r="B4923" s="2" t="s">
        <v>12671</v>
      </c>
      <c r="C4923" s="2" t="s">
        <v>49</v>
      </c>
      <c r="D4923" s="2" t="s">
        <v>18</v>
      </c>
      <c r="E4923" s="4">
        <v>-31805</v>
      </c>
      <c r="F4923" s="3" t="s">
        <v>895</v>
      </c>
      <c r="G4923" s="3" t="s">
        <v>1413</v>
      </c>
      <c r="H4923" s="2" t="s">
        <v>21</v>
      </c>
      <c r="I4923" s="2" t="s">
        <v>12672</v>
      </c>
      <c r="J4923" s="3" t="str">
        <f>HYPERLINK("https://www.boe.es/gazeta/dias/1812/12/01/pdfs/GMR-1812-39.pdf#page=2","Abrir facsímil")</f>
        <v>Abrir facsímil</v>
      </c>
      <c r="K4923" s="3" t="s">
        <v>23</v>
      </c>
    </row>
    <row r="4924" spans="1:11" ht="42" customHeight="1">
      <c r="A4924" s="2" t="s">
        <v>12673</v>
      </c>
      <c r="B4924" s="2" t="s">
        <v>12673</v>
      </c>
      <c r="C4924" s="2" t="s">
        <v>26</v>
      </c>
      <c r="D4924" s="2" t="s">
        <v>27</v>
      </c>
      <c r="E4924" s="4">
        <v>-31958</v>
      </c>
      <c r="F4924" s="3" t="s">
        <v>12674</v>
      </c>
      <c r="G4924" s="3" t="s">
        <v>36</v>
      </c>
      <c r="H4924" s="2" t="s">
        <v>21</v>
      </c>
      <c r="I4924" s="2" t="s">
        <v>12675</v>
      </c>
      <c r="J4924" s="3" t="str">
        <f>HYPERLINK("https://www.boe.es/gazeta/dias/1812/07/01/pdfs/GMD-1812-183.pdf#page=3","Abrir facsímil")</f>
        <v>Abrir facsímil</v>
      </c>
      <c r="K4924" s="3" t="s">
        <v>23</v>
      </c>
    </row>
    <row r="4925" spans="1:11" ht="42" customHeight="1">
      <c r="A4925" s="2" t="s">
        <v>12676</v>
      </c>
      <c r="B4925" s="2" t="s">
        <v>12676</v>
      </c>
      <c r="C4925" s="2" t="s">
        <v>17</v>
      </c>
      <c r="D4925" s="2" t="s">
        <v>27</v>
      </c>
      <c r="E4925" s="4">
        <v>-32120</v>
      </c>
      <c r="F4925" s="3" t="s">
        <v>3524</v>
      </c>
      <c r="G4925" s="3" t="s">
        <v>2262</v>
      </c>
      <c r="H4925" s="2" t="s">
        <v>21</v>
      </c>
      <c r="I4925" s="2" t="s">
        <v>12677</v>
      </c>
      <c r="J4925" s="3" t="str">
        <f>HYPERLINK("https://www.boe.es/gazeta/dias/1812/01/21/pdfs/GEI-1812-9.pdf#page=5","Abrir facsímil")</f>
        <v>Abrir facsímil</v>
      </c>
      <c r="K4925" s="3" t="s">
        <v>23</v>
      </c>
    </row>
    <row r="4926" spans="1:11" ht="42" customHeight="1">
      <c r="A4926" s="2" t="s">
        <v>12676</v>
      </c>
      <c r="B4926" s="2" t="s">
        <v>12676</v>
      </c>
      <c r="C4926" s="2" t="s">
        <v>17</v>
      </c>
      <c r="D4926" s="2" t="s">
        <v>27</v>
      </c>
      <c r="E4926" s="4">
        <v>-32059</v>
      </c>
      <c r="F4926" s="3" t="s">
        <v>2531</v>
      </c>
      <c r="G4926" s="3" t="s">
        <v>2532</v>
      </c>
      <c r="H4926" s="2" t="s">
        <v>21</v>
      </c>
      <c r="I4926" s="2" t="s">
        <v>12678</v>
      </c>
      <c r="J4926" s="3" t="str">
        <f>HYPERLINK("https://www.boe.es/gazeta/dias/1812/03/22/pdfs/GMD-1812-82.pdf#page=4","Abrir facsímil")</f>
        <v>Abrir facsímil</v>
      </c>
      <c r="K4926" s="3" t="s">
        <v>23</v>
      </c>
    </row>
    <row r="4927" spans="1:11" ht="42" customHeight="1">
      <c r="A4927" s="2" t="s">
        <v>12676</v>
      </c>
      <c r="B4927" s="2" t="s">
        <v>12676</v>
      </c>
      <c r="C4927" s="2" t="s">
        <v>17</v>
      </c>
      <c r="D4927" s="2" t="s">
        <v>18</v>
      </c>
      <c r="E4927" s="4">
        <v>-31910</v>
      </c>
      <c r="F4927" s="3" t="s">
        <v>2149</v>
      </c>
      <c r="G4927" s="3" t="s">
        <v>196</v>
      </c>
      <c r="H4927" s="2" t="s">
        <v>21</v>
      </c>
      <c r="I4927" s="2" t="s">
        <v>12679</v>
      </c>
      <c r="J4927" s="3" t="str">
        <f>HYPERLINK("https://www.boe.es/gazeta/dias/1812/08/18/pdfs/GRE-F-1812-106.pdf#page=1","Abrir facsímil")</f>
        <v>Abrir facsímil</v>
      </c>
      <c r="K4927" s="3" t="s">
        <v>23</v>
      </c>
    </row>
    <row r="4928" spans="1:11" ht="42" customHeight="1">
      <c r="A4928" s="2" t="s">
        <v>12676</v>
      </c>
      <c r="B4928" s="2" t="s">
        <v>12676</v>
      </c>
      <c r="C4928" s="2" t="s">
        <v>17</v>
      </c>
      <c r="D4928" s="2" t="s">
        <v>134</v>
      </c>
      <c r="E4928" s="4">
        <v>-31910</v>
      </c>
      <c r="F4928" s="3" t="s">
        <v>2149</v>
      </c>
      <c r="G4928" s="3" t="s">
        <v>140</v>
      </c>
      <c r="H4928" s="2" t="s">
        <v>21</v>
      </c>
      <c r="I4928" s="2" t="s">
        <v>12680</v>
      </c>
      <c r="J4928" s="3" t="str">
        <f>HYPERLINK("https://www.boe.es/gazeta/dias/1812/08/18/pdfs/GRE-F-1812-106.pdf#page=2","Abrir facsímil")</f>
        <v>Abrir facsímil</v>
      </c>
      <c r="K4928" s="3" t="s">
        <v>23</v>
      </c>
    </row>
    <row r="4929" spans="1:11" ht="42" customHeight="1">
      <c r="A4929" s="2" t="s">
        <v>12676</v>
      </c>
      <c r="B4929" s="2" t="s">
        <v>12676</v>
      </c>
      <c r="C4929" s="2" t="s">
        <v>17</v>
      </c>
      <c r="D4929" s="2" t="s">
        <v>18</v>
      </c>
      <c r="E4929" s="4">
        <v>-31892</v>
      </c>
      <c r="F4929" s="3" t="s">
        <v>1825</v>
      </c>
      <c r="G4929" s="3" t="s">
        <v>1955</v>
      </c>
      <c r="H4929" s="2" t="s">
        <v>21</v>
      </c>
      <c r="I4929" s="2" t="s">
        <v>12681</v>
      </c>
      <c r="J4929" s="3" t="str">
        <f>HYPERLINK("https://www.boe.es/gazeta/dias/1812/09/05/pdfs/GMR-1812-10.pdf#page=8","Abrir facsímil")</f>
        <v>Abrir facsímil</v>
      </c>
      <c r="K4929" s="3" t="s">
        <v>23</v>
      </c>
    </row>
    <row r="4930" spans="1:11" ht="42" customHeight="1">
      <c r="A4930" s="2" t="s">
        <v>12676</v>
      </c>
      <c r="B4930" s="2" t="s">
        <v>12676</v>
      </c>
      <c r="C4930" s="2" t="s">
        <v>17</v>
      </c>
      <c r="D4930" s="2" t="s">
        <v>27</v>
      </c>
      <c r="E4930" s="4">
        <v>-31892</v>
      </c>
      <c r="F4930" s="3" t="s">
        <v>1825</v>
      </c>
      <c r="G4930" s="3" t="s">
        <v>3975</v>
      </c>
      <c r="H4930" s="2" t="s">
        <v>21</v>
      </c>
      <c r="I4930" s="2" t="s">
        <v>12682</v>
      </c>
      <c r="J4930" s="3" t="str">
        <f>HYPERLINK("https://www.boe.es/gazeta/dias/1812/09/05/pdfs/GMR-1812-10.pdf#page=9","Abrir facsímil")</f>
        <v>Abrir facsímil</v>
      </c>
      <c r="K4930" s="3" t="s">
        <v>23</v>
      </c>
    </row>
    <row r="4931" spans="1:11" ht="42" customHeight="1">
      <c r="A4931" s="2" t="s">
        <v>12676</v>
      </c>
      <c r="B4931" s="2" t="s">
        <v>12676</v>
      </c>
      <c r="C4931" s="2" t="s">
        <v>17</v>
      </c>
      <c r="D4931" s="2" t="s">
        <v>27</v>
      </c>
      <c r="E4931" s="4">
        <v>-31882</v>
      </c>
      <c r="F4931" s="3" t="s">
        <v>1798</v>
      </c>
      <c r="G4931" s="3" t="s">
        <v>237</v>
      </c>
      <c r="H4931" s="2" t="s">
        <v>21</v>
      </c>
      <c r="I4931" s="2" t="s">
        <v>12683</v>
      </c>
      <c r="J4931" s="3" t="str">
        <f>HYPERLINK("https://www.boe.es/gazeta/dias/1812/09/15/pdfs/GMR-1812-14.pdf#page=8","Abrir facsímil")</f>
        <v>Abrir facsímil</v>
      </c>
      <c r="K4931" s="3" t="s">
        <v>23</v>
      </c>
    </row>
    <row r="4932" spans="1:11" ht="42" customHeight="1">
      <c r="A4932" s="2" t="s">
        <v>12684</v>
      </c>
      <c r="B4932" s="2" t="s">
        <v>12684</v>
      </c>
      <c r="C4932" s="2" t="s">
        <v>17</v>
      </c>
      <c r="D4932" s="2" t="s">
        <v>18</v>
      </c>
      <c r="E4932" s="4">
        <v>-31795</v>
      </c>
      <c r="F4932" s="3" t="s">
        <v>2344</v>
      </c>
      <c r="G4932" s="3" t="s">
        <v>2156</v>
      </c>
      <c r="H4932" s="2" t="s">
        <v>21</v>
      </c>
      <c r="I4932" s="2" t="s">
        <v>12685</v>
      </c>
      <c r="J4932" s="3" t="str">
        <f>HYPERLINK("https://www.boe.es/gazeta/dias/1812/12/11/pdfs/GMD-1812-234.pdf#page=2","Abrir facsímil")</f>
        <v>Abrir facsímil</v>
      </c>
      <c r="K4932" s="3" t="s">
        <v>23</v>
      </c>
    </row>
    <row r="4933" spans="1:11" ht="42" customHeight="1">
      <c r="A4933" s="2" t="s">
        <v>12686</v>
      </c>
      <c r="B4933" s="2" t="s">
        <v>12686</v>
      </c>
      <c r="C4933" s="2" t="s">
        <v>17</v>
      </c>
      <c r="D4933" s="2" t="s">
        <v>27</v>
      </c>
      <c r="E4933" s="4">
        <v>-31787</v>
      </c>
      <c r="F4933" s="3" t="s">
        <v>1560</v>
      </c>
      <c r="G4933" s="3" t="s">
        <v>514</v>
      </c>
      <c r="H4933" s="2" t="s">
        <v>21</v>
      </c>
      <c r="I4933" s="2" t="s">
        <v>12687</v>
      </c>
      <c r="J4933" s="3" t="str">
        <f>HYPERLINK("https://www.boe.es/gazeta/dias/1812/12/19/pdfs/GRE-1812-167.pdf#page=3","Abrir facsímil")</f>
        <v>Abrir facsímil</v>
      </c>
      <c r="K4933" s="3" t="s">
        <v>23</v>
      </c>
    </row>
    <row r="4934" spans="1:11" ht="42" customHeight="1">
      <c r="A4934" s="2" t="s">
        <v>12688</v>
      </c>
      <c r="B4934" s="2" t="s">
        <v>12688</v>
      </c>
      <c r="C4934" s="2" t="s">
        <v>26</v>
      </c>
      <c r="D4934" s="2" t="s">
        <v>27</v>
      </c>
      <c r="E4934" s="4">
        <v>-31805</v>
      </c>
      <c r="F4934" s="3" t="s">
        <v>4346</v>
      </c>
      <c r="G4934" s="3" t="s">
        <v>4773</v>
      </c>
      <c r="H4934" s="2" t="s">
        <v>21</v>
      </c>
      <c r="I4934" s="2" t="s">
        <v>12689</v>
      </c>
      <c r="J4934" s="3" t="str">
        <f>HYPERLINK("https://www.boe.es/gazeta/dias/1812/12/01/pdfs/GRE-1812-159.pdf#page=8","Abrir facsímil")</f>
        <v>Abrir facsímil</v>
      </c>
      <c r="K4934" s="3" t="s">
        <v>23</v>
      </c>
    </row>
    <row r="4935" spans="1:11" ht="42" customHeight="1">
      <c r="A4935" s="2" t="s">
        <v>12690</v>
      </c>
      <c r="B4935" s="2" t="s">
        <v>12691</v>
      </c>
      <c r="C4935" s="2" t="s">
        <v>26</v>
      </c>
      <c r="D4935" s="2" t="s">
        <v>27</v>
      </c>
      <c r="E4935" s="4">
        <v>-32109</v>
      </c>
      <c r="F4935" s="3" t="s">
        <v>62</v>
      </c>
      <c r="G4935" s="3" t="s">
        <v>472</v>
      </c>
      <c r="H4935" s="2" t="s">
        <v>21</v>
      </c>
      <c r="I4935" s="2" t="s">
        <v>12692</v>
      </c>
      <c r="J4935" s="3" t="str">
        <f>HYPERLINK("https://www.boe.es/gazeta/dias/1812/02/01/pdfs/GRE-1812-14.pdf#page=12","Abrir facsímil")</f>
        <v>Abrir facsímil</v>
      </c>
      <c r="K4935" s="3" t="s">
        <v>23</v>
      </c>
    </row>
    <row r="4936" spans="1:11" ht="42" customHeight="1">
      <c r="A4936" s="2" t="s">
        <v>12693</v>
      </c>
      <c r="B4936" s="2" t="s">
        <v>12694</v>
      </c>
      <c r="C4936" s="2" t="s">
        <v>49</v>
      </c>
      <c r="D4936" s="2" t="s">
        <v>27</v>
      </c>
      <c r="E4936" s="4">
        <v>-32050</v>
      </c>
      <c r="F4936" s="3" t="s">
        <v>864</v>
      </c>
      <c r="G4936" s="3" t="s">
        <v>29</v>
      </c>
      <c r="H4936" s="2" t="s">
        <v>21</v>
      </c>
      <c r="I4936" s="2" t="s">
        <v>12695</v>
      </c>
      <c r="J4936" s="3" t="str">
        <f>HYPERLINK("https://www.boe.es/gazeta/dias/1812/03/31/pdfs/GRE-1812-40.pdf#page=8","Abrir facsímil")</f>
        <v>Abrir facsímil</v>
      </c>
      <c r="K4936" s="3" t="s">
        <v>23</v>
      </c>
    </row>
    <row r="4937" spans="1:11" ht="42" customHeight="1">
      <c r="A4937" s="2" t="s">
        <v>12696</v>
      </c>
      <c r="B4937" s="2" t="s">
        <v>12697</v>
      </c>
      <c r="C4937" s="2" t="s">
        <v>17</v>
      </c>
      <c r="D4937" s="2" t="s">
        <v>18</v>
      </c>
      <c r="E4937" s="4">
        <v>-31956</v>
      </c>
      <c r="F4937" s="3" t="s">
        <v>19</v>
      </c>
      <c r="G4937" s="3" t="s">
        <v>20</v>
      </c>
      <c r="H4937" s="2" t="s">
        <v>21</v>
      </c>
      <c r="I4937" s="2" t="s">
        <v>12698</v>
      </c>
      <c r="J4937" s="3" t="str">
        <f>HYPERLINK("https://www.boe.es/gazeta/dias/1812/07/03/pdfs/GMD-1812-185.pdf#page=2","Abrir facsímil")</f>
        <v>Abrir facsímil</v>
      </c>
      <c r="K4937" s="3" t="s">
        <v>23</v>
      </c>
    </row>
    <row r="4938" spans="1:11" ht="42" customHeight="1">
      <c r="A4938" s="2" t="s">
        <v>12699</v>
      </c>
      <c r="B4938" s="2" t="s">
        <v>12700</v>
      </c>
      <c r="C4938" s="2" t="s">
        <v>17</v>
      </c>
      <c r="D4938" s="2" t="s">
        <v>134</v>
      </c>
      <c r="E4938" s="4">
        <v>-31955</v>
      </c>
      <c r="F4938" s="3" t="s">
        <v>135</v>
      </c>
      <c r="G4938" s="3" t="s">
        <v>514</v>
      </c>
      <c r="H4938" s="2" t="s">
        <v>21</v>
      </c>
      <c r="I4938" s="2" t="s">
        <v>12701</v>
      </c>
      <c r="J4938" s="3" t="str">
        <f>HYPERLINK("https://www.boe.es/gazeta/dias/1812/07/04/pdfs/GRE-F-1812-82.pdf#page=7","Abrir facsímil")</f>
        <v>Abrir facsímil</v>
      </c>
      <c r="K4938" s="3" t="s">
        <v>23</v>
      </c>
    </row>
    <row r="4939" spans="1:11" ht="42" customHeight="1">
      <c r="A4939" s="2" t="s">
        <v>12702</v>
      </c>
      <c r="B4939" s="2" t="s">
        <v>12703</v>
      </c>
      <c r="C4939" s="2" t="s">
        <v>17</v>
      </c>
      <c r="D4939" s="2" t="s">
        <v>18</v>
      </c>
      <c r="E4939" s="4">
        <v>-32108</v>
      </c>
      <c r="F4939" s="3" t="s">
        <v>1143</v>
      </c>
      <c r="G4939" s="3" t="s">
        <v>45</v>
      </c>
      <c r="H4939" s="2" t="s">
        <v>21</v>
      </c>
      <c r="I4939" s="2" t="s">
        <v>12704</v>
      </c>
      <c r="J4939" s="3" t="str">
        <f>HYPERLINK("https://www.boe.es/gazeta/dias/1812/02/02/pdfs/GMD-1812-33.pdf#page=4","Abrir facsímil")</f>
        <v>Abrir facsímil</v>
      </c>
      <c r="K4939" s="3" t="s">
        <v>23</v>
      </c>
    </row>
    <row r="4940" spans="1:11" ht="42" customHeight="1">
      <c r="A4940" s="2" t="s">
        <v>12705</v>
      </c>
      <c r="B4940" s="2" t="s">
        <v>12706</v>
      </c>
      <c r="C4940" s="2" t="s">
        <v>26</v>
      </c>
      <c r="D4940" s="2" t="s">
        <v>27</v>
      </c>
      <c r="E4940" s="4">
        <v>-31945</v>
      </c>
      <c r="F4940" s="3" t="s">
        <v>1485</v>
      </c>
      <c r="G4940" s="3" t="s">
        <v>2905</v>
      </c>
      <c r="H4940" s="2" t="s">
        <v>21</v>
      </c>
      <c r="I4940" s="2" t="s">
        <v>12707</v>
      </c>
      <c r="J4940" s="3" t="str">
        <f>HYPERLINK("https://www.boe.es/gazeta/dias/1812/07/14/pdfs/GRE-1812-88.pdf#page=2","Abrir facsímil")</f>
        <v>Abrir facsímil</v>
      </c>
      <c r="K4940" s="3" t="s">
        <v>23</v>
      </c>
    </row>
    <row r="4941" spans="1:11" ht="42" customHeight="1">
      <c r="A4941" s="2" t="s">
        <v>12708</v>
      </c>
      <c r="B4941" s="2" t="s">
        <v>12709</v>
      </c>
      <c r="C4941" s="2" t="s">
        <v>26</v>
      </c>
      <c r="D4941" s="2" t="s">
        <v>27</v>
      </c>
      <c r="E4941" s="4">
        <v>-32034</v>
      </c>
      <c r="F4941" s="3" t="s">
        <v>28</v>
      </c>
      <c r="G4941" s="3" t="s">
        <v>317</v>
      </c>
      <c r="H4941" s="2" t="s">
        <v>21</v>
      </c>
      <c r="I4941" s="2" t="s">
        <v>12710</v>
      </c>
      <c r="J4941" s="3" t="str">
        <f>HYPERLINK("https://www.boe.es/gazeta/dias/1812/04/16/pdfs/GMD-1812-107.pdf#page=6","Abrir facsímil")</f>
        <v>Abrir facsímil</v>
      </c>
      <c r="K4941" s="3" t="s">
        <v>23</v>
      </c>
    </row>
    <row r="4942" spans="1:11" ht="42" customHeight="1">
      <c r="A4942" s="2" t="s">
        <v>12711</v>
      </c>
      <c r="B4942" s="2" t="s">
        <v>12712</v>
      </c>
      <c r="C4942" s="2" t="s">
        <v>26</v>
      </c>
      <c r="D4942" s="2" t="s">
        <v>27</v>
      </c>
      <c r="E4942" s="4">
        <v>-32036</v>
      </c>
      <c r="F4942" s="3" t="s">
        <v>781</v>
      </c>
      <c r="G4942" s="3" t="s">
        <v>782</v>
      </c>
      <c r="H4942" s="2" t="s">
        <v>21</v>
      </c>
      <c r="I4942" s="2" t="s">
        <v>12713</v>
      </c>
      <c r="J4942" s="3" t="str">
        <f>HYPERLINK("https://www.boe.es/gazeta/dias/1812/04/14/pdfs/GRE-1812-47.pdf#page=8","Abrir facsímil")</f>
        <v>Abrir facsímil</v>
      </c>
      <c r="K4942" s="3" t="s">
        <v>23</v>
      </c>
    </row>
    <row r="4943" spans="1:11" ht="42" customHeight="1">
      <c r="A4943" s="2" t="s">
        <v>12714</v>
      </c>
      <c r="B4943" s="2" t="s">
        <v>12715</v>
      </c>
      <c r="C4943" s="2" t="s">
        <v>186</v>
      </c>
      <c r="D4943" s="2" t="s">
        <v>27</v>
      </c>
      <c r="E4943" s="4">
        <v>-32053</v>
      </c>
      <c r="F4943" s="3" t="s">
        <v>2877</v>
      </c>
      <c r="G4943" s="3" t="s">
        <v>965</v>
      </c>
      <c r="H4943" s="2" t="s">
        <v>21</v>
      </c>
      <c r="I4943" s="2" t="s">
        <v>12716</v>
      </c>
      <c r="J4943" s="3" t="str">
        <f>HYPERLINK("https://www.boe.es/gazeta/dias/1812/03/28/pdfs/GMD-1812-88.pdf#page=4","Abrir facsímil")</f>
        <v>Abrir facsímil</v>
      </c>
      <c r="K4943" s="3" t="s">
        <v>23</v>
      </c>
    </row>
    <row r="4944" spans="1:11" ht="42" customHeight="1">
      <c r="A4944" s="2" t="s">
        <v>12717</v>
      </c>
      <c r="B4944" s="2" t="s">
        <v>12717</v>
      </c>
      <c r="C4944" s="2" t="s">
        <v>17</v>
      </c>
      <c r="D4944" s="2" t="s">
        <v>18</v>
      </c>
      <c r="E4944" s="4">
        <v>-31964</v>
      </c>
      <c r="F4944" s="3" t="s">
        <v>93</v>
      </c>
      <c r="G4944" s="3" t="s">
        <v>4894</v>
      </c>
      <c r="H4944" s="2" t="s">
        <v>21</v>
      </c>
      <c r="I4944" s="2" t="s">
        <v>12718</v>
      </c>
      <c r="J4944" s="3" t="str">
        <f>HYPERLINK("https://www.boe.es/gazeta/dias/1812/06/25/pdfs/GRE-1812-78.pdf#page=6","Abrir facsímil")</f>
        <v>Abrir facsímil</v>
      </c>
      <c r="K4944" s="3" t="s">
        <v>23</v>
      </c>
    </row>
    <row r="4945" spans="1:11" ht="42" customHeight="1">
      <c r="A4945" s="2" t="s">
        <v>12719</v>
      </c>
      <c r="B4945" s="2" t="s">
        <v>12720</v>
      </c>
      <c r="C4945" s="2" t="s">
        <v>105</v>
      </c>
      <c r="D4945" s="2" t="s">
        <v>27</v>
      </c>
      <c r="E4945" s="4">
        <v>-31833</v>
      </c>
      <c r="F4945" s="3" t="s">
        <v>267</v>
      </c>
      <c r="G4945" s="3" t="s">
        <v>268</v>
      </c>
      <c r="H4945" s="2" t="s">
        <v>21</v>
      </c>
      <c r="I4945" s="2" t="s">
        <v>12721</v>
      </c>
      <c r="J4945" s="3" t="str">
        <f>HYPERLINK("https://www.boe.es/gazeta/dias/1812/11/03/pdfs/GRE-1812-147.pdf#page=8","Abrir facsímil")</f>
        <v>Abrir facsímil</v>
      </c>
      <c r="K4945" s="3" t="s">
        <v>23</v>
      </c>
    </row>
    <row r="4946" spans="1:11" ht="42" customHeight="1">
      <c r="A4946" s="2" t="s">
        <v>12722</v>
      </c>
      <c r="B4946" s="2" t="s">
        <v>12723</v>
      </c>
      <c r="C4946" s="2" t="s">
        <v>17</v>
      </c>
      <c r="D4946" s="2" t="s">
        <v>18</v>
      </c>
      <c r="E4946" s="4">
        <v>-32053</v>
      </c>
      <c r="F4946" s="3" t="s">
        <v>910</v>
      </c>
      <c r="G4946" s="3" t="s">
        <v>911</v>
      </c>
      <c r="H4946" s="2" t="s">
        <v>21</v>
      </c>
      <c r="I4946" s="2" t="s">
        <v>12724</v>
      </c>
      <c r="J4946" s="3" t="str">
        <f>HYPERLINK("https://www.boe.es/gazeta/dias/1812/03/28/pdfs/GRE-1812-39.pdf#page=8","Abrir facsímil")</f>
        <v>Abrir facsímil</v>
      </c>
      <c r="K4946" s="3" t="s">
        <v>23</v>
      </c>
    </row>
    <row r="4947" spans="1:11" ht="42" customHeight="1">
      <c r="A4947" s="2" t="s">
        <v>12725</v>
      </c>
      <c r="B4947" s="2" t="s">
        <v>12725</v>
      </c>
      <c r="C4947" s="2" t="s">
        <v>17</v>
      </c>
      <c r="D4947" s="2" t="s">
        <v>18</v>
      </c>
      <c r="E4947" s="4">
        <v>-32063</v>
      </c>
      <c r="F4947" s="3" t="s">
        <v>384</v>
      </c>
      <c r="G4947" s="3" t="s">
        <v>20</v>
      </c>
      <c r="H4947" s="2" t="s">
        <v>21</v>
      </c>
      <c r="I4947" s="2" t="s">
        <v>12726</v>
      </c>
      <c r="J4947" s="3" t="str">
        <f>HYPERLINK("https://www.boe.es/gazeta/dias/1812/03/18/pdfs/GMD-1812-78.pdf#page=4","Abrir facsímil")</f>
        <v>Abrir facsímil</v>
      </c>
      <c r="K4947" s="3" t="s">
        <v>23</v>
      </c>
    </row>
    <row r="4948" spans="1:11" ht="42" customHeight="1">
      <c r="A4948" s="2" t="s">
        <v>12727</v>
      </c>
      <c r="B4948" s="2" t="s">
        <v>12728</v>
      </c>
      <c r="C4948" s="2" t="s">
        <v>26</v>
      </c>
      <c r="D4948" s="2" t="s">
        <v>27</v>
      </c>
      <c r="E4948" s="4">
        <v>-31940</v>
      </c>
      <c r="F4948" s="3" t="s">
        <v>187</v>
      </c>
      <c r="G4948" s="3" t="s">
        <v>404</v>
      </c>
      <c r="H4948" s="2" t="s">
        <v>21</v>
      </c>
      <c r="I4948" s="2" t="s">
        <v>12729</v>
      </c>
      <c r="J4948" s="3" t="str">
        <f>HYPERLINK("https://www.boe.es/gazeta/dias/1812/07/19/pdfs/GMD-1812-201.pdf#page=3","Abrir facsímil")</f>
        <v>Abrir facsímil</v>
      </c>
      <c r="K4948" s="3" t="s">
        <v>23</v>
      </c>
    </row>
    <row r="4949" spans="1:11" ht="42" customHeight="1">
      <c r="A4949" s="2" t="s">
        <v>12730</v>
      </c>
      <c r="B4949" s="2" t="s">
        <v>12730</v>
      </c>
      <c r="C4949" s="2" t="s">
        <v>17</v>
      </c>
      <c r="D4949" s="2" t="s">
        <v>27</v>
      </c>
      <c r="E4949" s="4">
        <v>-32026</v>
      </c>
      <c r="F4949" s="3" t="s">
        <v>7845</v>
      </c>
      <c r="G4949" s="3" t="s">
        <v>204</v>
      </c>
      <c r="H4949" s="2" t="s">
        <v>21</v>
      </c>
      <c r="I4949" s="2" t="s">
        <v>12731</v>
      </c>
      <c r="J4949" s="3" t="str">
        <f>HYPERLINK("https://www.boe.es/gazeta/dias/1812/04/24/pdfs/GMD-1812-115.pdf#page=1","Abrir facsímil")</f>
        <v>Abrir facsímil</v>
      </c>
      <c r="K4949" s="3" t="s">
        <v>23</v>
      </c>
    </row>
    <row r="4950" spans="1:11" ht="42" customHeight="1">
      <c r="A4950" s="2" t="s">
        <v>12732</v>
      </c>
      <c r="B4950" s="2" t="s">
        <v>12733</v>
      </c>
      <c r="C4950" s="2" t="s">
        <v>17</v>
      </c>
      <c r="D4950" s="2" t="s">
        <v>27</v>
      </c>
      <c r="E4950" s="4">
        <v>-31784</v>
      </c>
      <c r="F4950" s="3" t="s">
        <v>1648</v>
      </c>
      <c r="G4950" s="3" t="s">
        <v>45</v>
      </c>
      <c r="H4950" s="2" t="s">
        <v>21</v>
      </c>
      <c r="I4950" s="2" t="s">
        <v>12734</v>
      </c>
      <c r="J4950" s="3" t="str">
        <f>HYPERLINK("https://www.boe.es/gazeta/dias/1812/12/22/pdfs/GMD-1812-245.pdf#page=3","Abrir facsímil")</f>
        <v>Abrir facsímil</v>
      </c>
      <c r="K4950" s="3" t="s">
        <v>23</v>
      </c>
    </row>
    <row r="4951" spans="1:11" ht="42" customHeight="1">
      <c r="A4951" s="2" t="s">
        <v>12735</v>
      </c>
      <c r="B4951" s="2" t="s">
        <v>12735</v>
      </c>
      <c r="C4951" s="2" t="s">
        <v>17</v>
      </c>
      <c r="D4951" s="2" t="s">
        <v>27</v>
      </c>
      <c r="E4951" s="4">
        <v>-31777</v>
      </c>
      <c r="F4951" s="3" t="s">
        <v>960</v>
      </c>
      <c r="G4951" s="3" t="s">
        <v>172</v>
      </c>
      <c r="H4951" s="2" t="s">
        <v>21</v>
      </c>
      <c r="I4951" s="2" t="s">
        <v>12736</v>
      </c>
      <c r="J4951" s="3" t="str">
        <f>HYPERLINK("https://www.boe.es/gazeta/dias/1812/12/29/pdfs/GMD-1812-252.pdf#page=4","Abrir facsímil")</f>
        <v>Abrir facsímil</v>
      </c>
      <c r="K4951" s="3" t="s">
        <v>23</v>
      </c>
    </row>
    <row r="4952" spans="1:11" ht="42" customHeight="1">
      <c r="A4952" s="2" t="s">
        <v>12737</v>
      </c>
      <c r="B4952" s="2" t="s">
        <v>12737</v>
      </c>
      <c r="C4952" s="2" t="s">
        <v>17</v>
      </c>
      <c r="D4952" s="2" t="s">
        <v>573</v>
      </c>
      <c r="E4952" s="4">
        <v>-31921</v>
      </c>
      <c r="F4952" s="3" t="s">
        <v>785</v>
      </c>
      <c r="G4952" s="3" t="s">
        <v>1128</v>
      </c>
      <c r="H4952" s="2" t="s">
        <v>21</v>
      </c>
      <c r="I4952" s="2" t="s">
        <v>12738</v>
      </c>
      <c r="J4952" s="3" t="str">
        <f>HYPERLINK("https://www.boe.es/gazeta/dias/1812/08/07/pdfs/GRE-1812-101E.pdf#page=7","Abrir facsímil")</f>
        <v>Abrir facsímil</v>
      </c>
      <c r="K4952" s="3" t="s">
        <v>23</v>
      </c>
    </row>
    <row r="4953" spans="1:11" ht="42" customHeight="1">
      <c r="A4953" s="2" t="s">
        <v>12739</v>
      </c>
      <c r="B4953" s="2" t="s">
        <v>12740</v>
      </c>
      <c r="C4953" s="2" t="s">
        <v>17</v>
      </c>
      <c r="D4953" s="2" t="s">
        <v>18</v>
      </c>
      <c r="E4953" s="4">
        <v>-31992</v>
      </c>
      <c r="F4953" s="3" t="s">
        <v>1292</v>
      </c>
      <c r="G4953" s="3" t="s">
        <v>1424</v>
      </c>
      <c r="H4953" s="2" t="s">
        <v>21</v>
      </c>
      <c r="I4953" s="2" t="s">
        <v>12741</v>
      </c>
      <c r="J4953" s="3" t="str">
        <f>HYPERLINK("https://www.boe.es/gazeta/dias/1812/05/28/pdfs/GRE-1812-66.pdf#page=5","Abrir facsímil")</f>
        <v>Abrir facsímil</v>
      </c>
      <c r="K4953" s="3" t="s">
        <v>23</v>
      </c>
    </row>
    <row r="4954" spans="1:11" ht="42" customHeight="1">
      <c r="A4954" s="2" t="s">
        <v>12742</v>
      </c>
      <c r="B4954" s="2" t="s">
        <v>12743</v>
      </c>
      <c r="C4954" s="2" t="s">
        <v>26</v>
      </c>
      <c r="D4954" s="2" t="s">
        <v>573</v>
      </c>
      <c r="E4954" s="4">
        <v>-31900</v>
      </c>
      <c r="F4954" s="3" t="s">
        <v>276</v>
      </c>
      <c r="G4954" s="3" t="s">
        <v>277</v>
      </c>
      <c r="H4954" s="2" t="s">
        <v>21</v>
      </c>
      <c r="I4954" s="2" t="s">
        <v>12744</v>
      </c>
      <c r="J4954" s="3" t="str">
        <f>HYPERLINK("https://www.boe.es/gazeta/dias/1812/08/28/pdfs/GRE-1812-113E.pdf#page=8","Abrir facsímil")</f>
        <v>Abrir facsímil</v>
      </c>
      <c r="K4954" s="3" t="s">
        <v>23</v>
      </c>
    </row>
    <row r="4955" spans="1:11" ht="42" customHeight="1">
      <c r="A4955" s="2" t="s">
        <v>12745</v>
      </c>
      <c r="B4955" s="2" t="s">
        <v>12746</v>
      </c>
      <c r="C4955" s="2" t="s">
        <v>17</v>
      </c>
      <c r="D4955" s="2" t="s">
        <v>134</v>
      </c>
      <c r="E4955" s="4">
        <v>-31955</v>
      </c>
      <c r="F4955" s="3" t="s">
        <v>135</v>
      </c>
      <c r="G4955" s="3" t="s">
        <v>58</v>
      </c>
      <c r="H4955" s="2" t="s">
        <v>21</v>
      </c>
      <c r="I4955" s="2" t="s">
        <v>12747</v>
      </c>
      <c r="J4955" s="3" t="str">
        <f>HYPERLINK("https://www.boe.es/gazeta/dias/1812/07/04/pdfs/GRE-F-1812-82.pdf#page=6","Abrir facsímil")</f>
        <v>Abrir facsímil</v>
      </c>
      <c r="K4955" s="3" t="s">
        <v>23</v>
      </c>
    </row>
    <row r="4956" spans="1:11" ht="42" customHeight="1">
      <c r="A4956" s="2" t="s">
        <v>12748</v>
      </c>
      <c r="B4956" s="2" t="s">
        <v>12749</v>
      </c>
      <c r="C4956" s="2" t="s">
        <v>17</v>
      </c>
      <c r="D4956" s="2" t="s">
        <v>27</v>
      </c>
      <c r="E4956" s="4">
        <v>-32009</v>
      </c>
      <c r="F4956" s="3" t="s">
        <v>8049</v>
      </c>
      <c r="G4956" s="3" t="s">
        <v>130</v>
      </c>
      <c r="H4956" s="2" t="s">
        <v>21</v>
      </c>
      <c r="I4956" s="2" t="s">
        <v>12750</v>
      </c>
      <c r="J4956" s="3" t="str">
        <f>HYPERLINK("https://www.boe.es/gazeta/dias/1812/05/11/pdfs/GMD-1812-132.pdf#page=4","Abrir facsímil")</f>
        <v>Abrir facsímil</v>
      </c>
      <c r="K4956" s="3" t="s">
        <v>23</v>
      </c>
    </row>
    <row r="4957" spans="1:11" ht="42" customHeight="1">
      <c r="A4957" s="2" t="s">
        <v>12751</v>
      </c>
      <c r="B4957" s="2" t="s">
        <v>12751</v>
      </c>
      <c r="C4957" s="2" t="s">
        <v>105</v>
      </c>
      <c r="D4957" s="2" t="s">
        <v>27</v>
      </c>
      <c r="E4957" s="4">
        <v>-31982</v>
      </c>
      <c r="F4957" s="3" t="s">
        <v>1630</v>
      </c>
      <c r="G4957" s="3" t="s">
        <v>5792</v>
      </c>
      <c r="H4957" s="2" t="s">
        <v>21</v>
      </c>
      <c r="I4957" s="2" t="s">
        <v>12752</v>
      </c>
      <c r="J4957" s="3" t="str">
        <f>HYPERLINK("https://www.boe.es/gazeta/dias/1812/06/07/pdfs/GMD-1812-159.pdf#page=2","Abrir facsímil")</f>
        <v>Abrir facsímil</v>
      </c>
      <c r="K4957" s="3" t="s">
        <v>23</v>
      </c>
    </row>
    <row r="4958" spans="1:11" ht="42" customHeight="1">
      <c r="A4958" s="2" t="s">
        <v>12753</v>
      </c>
      <c r="B4958" s="2" t="s">
        <v>12754</v>
      </c>
      <c r="C4958" s="2" t="s">
        <v>49</v>
      </c>
      <c r="D4958" s="2" t="s">
        <v>18</v>
      </c>
      <c r="E4958" s="4">
        <v>-31982</v>
      </c>
      <c r="F4958" s="3" t="s">
        <v>1630</v>
      </c>
      <c r="G4958" s="3" t="s">
        <v>1631</v>
      </c>
      <c r="H4958" s="2" t="s">
        <v>21</v>
      </c>
      <c r="I4958" s="2" t="s">
        <v>12755</v>
      </c>
      <c r="J4958" s="3" t="str">
        <f>HYPERLINK("https://www.boe.es/gazeta/dias/1812/06/07/pdfs/GMD-1812-159.pdf#page=4","Abrir facsímil")</f>
        <v>Abrir facsímil</v>
      </c>
      <c r="K4958" s="3" t="s">
        <v>23</v>
      </c>
    </row>
    <row r="4959" spans="1:11" ht="42" customHeight="1">
      <c r="A4959" s="2" t="s">
        <v>12756</v>
      </c>
      <c r="B4959" s="2" t="s">
        <v>12757</v>
      </c>
      <c r="C4959" s="2" t="s">
        <v>26</v>
      </c>
      <c r="D4959" s="2" t="s">
        <v>27</v>
      </c>
      <c r="E4959" s="4">
        <v>-32015</v>
      </c>
      <c r="F4959" s="3" t="s">
        <v>77</v>
      </c>
      <c r="G4959" s="3" t="s">
        <v>202</v>
      </c>
      <c r="H4959" s="2" t="s">
        <v>21</v>
      </c>
      <c r="I4959" s="2" t="s">
        <v>12758</v>
      </c>
      <c r="J4959" s="3" t="str">
        <f>HYPERLINK("https://www.boe.es/gazeta/dias/1812/05/05/pdfs/GRE-1812-56.pdf#page=2","Abrir facsímil")</f>
        <v>Abrir facsímil</v>
      </c>
      <c r="K4959" s="3" t="s">
        <v>23</v>
      </c>
    </row>
    <row r="4960" spans="1:11" ht="42" customHeight="1">
      <c r="A4960" s="2" t="s">
        <v>12759</v>
      </c>
      <c r="B4960" s="2" t="s">
        <v>12759</v>
      </c>
      <c r="C4960" s="2" t="s">
        <v>67</v>
      </c>
      <c r="D4960" s="2" t="s">
        <v>27</v>
      </c>
      <c r="E4960" s="4">
        <v>-32050</v>
      </c>
      <c r="F4960" s="3" t="s">
        <v>2028</v>
      </c>
      <c r="G4960" s="3" t="s">
        <v>58</v>
      </c>
      <c r="H4960" s="2" t="s">
        <v>21</v>
      </c>
      <c r="I4960" s="2" t="s">
        <v>12760</v>
      </c>
      <c r="J4960" s="3" t="str">
        <f>HYPERLINK("https://www.boe.es/gazeta/dias/1812/03/31/pdfs/GMD-1812-91.pdf#page=8","Abrir facsímil")</f>
        <v>Abrir facsímil</v>
      </c>
      <c r="K4960" s="3" t="s">
        <v>23</v>
      </c>
    </row>
    <row r="4961" spans="1:11" ht="42" customHeight="1">
      <c r="A4961" s="2" t="s">
        <v>12761</v>
      </c>
      <c r="B4961" s="2" t="s">
        <v>12762</v>
      </c>
      <c r="C4961" s="2" t="s">
        <v>26</v>
      </c>
      <c r="D4961" s="2" t="s">
        <v>27</v>
      </c>
      <c r="E4961" s="4">
        <v>-32013</v>
      </c>
      <c r="F4961" s="3" t="s">
        <v>849</v>
      </c>
      <c r="G4961" s="3" t="s">
        <v>6831</v>
      </c>
      <c r="H4961" s="2" t="s">
        <v>21</v>
      </c>
      <c r="I4961" s="2" t="s">
        <v>12763</v>
      </c>
      <c r="J4961" s="3" t="str">
        <f>HYPERLINK("https://www.boe.es/gazeta/dias/1812/05/07/pdfs/GRE-1812-57.pdf#page=3","Abrir facsímil")</f>
        <v>Abrir facsímil</v>
      </c>
      <c r="K4961" s="3" t="s">
        <v>23</v>
      </c>
    </row>
    <row r="4962" spans="1:11" ht="42" customHeight="1">
      <c r="A4962" s="2" t="s">
        <v>12764</v>
      </c>
      <c r="B4962" s="2" t="s">
        <v>12765</v>
      </c>
      <c r="C4962" s="2" t="s">
        <v>105</v>
      </c>
      <c r="D4962" s="2" t="s">
        <v>27</v>
      </c>
      <c r="E4962" s="4">
        <v>-32125</v>
      </c>
      <c r="F4962" s="3" t="s">
        <v>335</v>
      </c>
      <c r="G4962" s="3" t="s">
        <v>336</v>
      </c>
      <c r="H4962" s="2" t="s">
        <v>21</v>
      </c>
      <c r="I4962" s="2" t="s">
        <v>12766</v>
      </c>
      <c r="J4962" s="3" t="str">
        <f>HYPERLINK("https://www.boe.es/gazeta/dias/1812/01/16/pdfs/GEI-1812-7.pdf#page=8","Abrir facsímil")</f>
        <v>Abrir facsímil</v>
      </c>
      <c r="K4962" s="3" t="s">
        <v>23</v>
      </c>
    </row>
    <row r="4963" spans="1:11" ht="42" customHeight="1">
      <c r="A4963" s="2" t="s">
        <v>12767</v>
      </c>
      <c r="B4963" s="2" t="s">
        <v>12768</v>
      </c>
      <c r="C4963" s="2" t="s">
        <v>49</v>
      </c>
      <c r="D4963" s="2" t="s">
        <v>27</v>
      </c>
      <c r="E4963" s="4">
        <v>-32109</v>
      </c>
      <c r="F4963" s="3" t="s">
        <v>62</v>
      </c>
      <c r="G4963" s="3" t="s">
        <v>63</v>
      </c>
      <c r="H4963" s="2" t="s">
        <v>21</v>
      </c>
      <c r="I4963" s="2" t="s">
        <v>12769</v>
      </c>
      <c r="J4963" s="3" t="str">
        <f>HYPERLINK("https://www.boe.es/gazeta/dias/1812/02/01/pdfs/GRE-1812-14.pdf#page=10","Abrir facsímil")</f>
        <v>Abrir facsímil</v>
      </c>
      <c r="K4963" s="3" t="s">
        <v>23</v>
      </c>
    </row>
    <row r="4964" spans="1:11" ht="42" customHeight="1">
      <c r="A4964" s="2" t="s">
        <v>12770</v>
      </c>
      <c r="B4964" s="2" t="s">
        <v>12771</v>
      </c>
      <c r="C4964" s="2" t="s">
        <v>26</v>
      </c>
      <c r="D4964" s="2" t="s">
        <v>27</v>
      </c>
      <c r="E4964" s="4">
        <v>-31978</v>
      </c>
      <c r="F4964" s="3" t="s">
        <v>1790</v>
      </c>
      <c r="G4964" s="3" t="s">
        <v>1791</v>
      </c>
      <c r="H4964" s="2" t="s">
        <v>21</v>
      </c>
      <c r="I4964" s="2" t="s">
        <v>12772</v>
      </c>
      <c r="J4964" s="3" t="str">
        <f>HYPERLINK("https://www.boe.es/gazeta/dias/1812/06/11/pdfs/GRE-1812-72.pdf#page=8","Abrir facsímil")</f>
        <v>Abrir facsímil</v>
      </c>
      <c r="K4964" s="3" t="s">
        <v>23</v>
      </c>
    </row>
    <row r="4965" spans="1:11" ht="42" customHeight="1">
      <c r="A4965" s="2" t="s">
        <v>12773</v>
      </c>
      <c r="B4965" s="2" t="s">
        <v>12774</v>
      </c>
      <c r="C4965" s="2" t="s">
        <v>26</v>
      </c>
      <c r="D4965" s="2" t="s">
        <v>27</v>
      </c>
      <c r="E4965" s="4">
        <v>-31976</v>
      </c>
      <c r="F4965" s="3" t="s">
        <v>54</v>
      </c>
      <c r="G4965" s="3" t="s">
        <v>55</v>
      </c>
      <c r="H4965" s="2" t="s">
        <v>30</v>
      </c>
      <c r="I4965" s="2" t="s">
        <v>12775</v>
      </c>
      <c r="J4965" s="3" t="str">
        <f>HYPERLINK("https://www.boe.es/gazeta/dias/1812/06/13/pdfs/GRE-1812-73.pdf#page=6","Abrir facsímil")</f>
        <v>Abrir facsímil</v>
      </c>
      <c r="K4965" s="3" t="s">
        <v>32</v>
      </c>
    </row>
    <row r="4966" spans="1:11" ht="42" customHeight="1">
      <c r="A4966" s="2" t="s">
        <v>12776</v>
      </c>
      <c r="B4966" s="2" t="s">
        <v>12776</v>
      </c>
      <c r="C4966" s="2" t="s">
        <v>105</v>
      </c>
      <c r="D4966" s="2" t="s">
        <v>27</v>
      </c>
      <c r="E4966" s="4">
        <v>-32007</v>
      </c>
      <c r="F4966" s="3" t="s">
        <v>11855</v>
      </c>
      <c r="G4966" s="3" t="s">
        <v>140</v>
      </c>
      <c r="H4966" s="2" t="s">
        <v>21</v>
      </c>
      <c r="I4966" s="2" t="s">
        <v>12777</v>
      </c>
      <c r="J4966" s="3" t="str">
        <f>HYPERLINK("https://www.boe.es/gazeta/dias/1812/05/13/pdfs/GMD-1812-134.pdf#page=2","Abrir facsímil")</f>
        <v>Abrir facsímil</v>
      </c>
      <c r="K4966" s="3" t="s">
        <v>23</v>
      </c>
    </row>
    <row r="4967" spans="1:11" ht="42" customHeight="1">
      <c r="A4967" s="2" t="s">
        <v>12778</v>
      </c>
      <c r="B4967" s="2" t="s">
        <v>12778</v>
      </c>
      <c r="C4967" s="2" t="s">
        <v>17</v>
      </c>
      <c r="D4967" s="2" t="s">
        <v>27</v>
      </c>
      <c r="E4967" s="4">
        <v>-32089</v>
      </c>
      <c r="F4967" s="3" t="s">
        <v>1918</v>
      </c>
      <c r="G4967" s="3" t="s">
        <v>58</v>
      </c>
      <c r="H4967" s="2" t="s">
        <v>21</v>
      </c>
      <c r="I4967" s="2" t="s">
        <v>12779</v>
      </c>
      <c r="J4967" s="3" t="str">
        <f>HYPERLINK("https://www.boe.es/gazeta/dias/1812/02/21/pdfs/GMD-1812-52.pdf#page=2","Abrir facsímil")</f>
        <v>Abrir facsímil</v>
      </c>
      <c r="K4967" s="3" t="s">
        <v>23</v>
      </c>
    </row>
    <row r="4968" spans="1:11" ht="42" customHeight="1">
      <c r="A4968" s="2" t="s">
        <v>12780</v>
      </c>
      <c r="B4968" s="2" t="s">
        <v>12780</v>
      </c>
      <c r="C4968" s="2" t="s">
        <v>17</v>
      </c>
      <c r="D4968" s="2" t="s">
        <v>27</v>
      </c>
      <c r="E4968" s="4">
        <v>-32089</v>
      </c>
      <c r="F4968" s="3" t="s">
        <v>1918</v>
      </c>
      <c r="G4968" s="3" t="s">
        <v>1919</v>
      </c>
      <c r="H4968" s="2" t="s">
        <v>21</v>
      </c>
      <c r="I4968" s="2" t="s">
        <v>12781</v>
      </c>
      <c r="J4968" s="3" t="str">
        <f>HYPERLINK("https://www.boe.es/gazeta/dias/1812/02/21/pdfs/GMD-1812-52.pdf#page=3","Abrir facsímil")</f>
        <v>Abrir facsímil</v>
      </c>
      <c r="K4968" s="3" t="s">
        <v>23</v>
      </c>
    </row>
    <row r="4969" spans="1:11" ht="42" customHeight="1">
      <c r="A4969" s="2" t="s">
        <v>12782</v>
      </c>
      <c r="B4969" s="2" t="s">
        <v>12783</v>
      </c>
      <c r="C4969" s="2" t="s">
        <v>17</v>
      </c>
      <c r="D4969" s="2" t="s">
        <v>27</v>
      </c>
      <c r="E4969" s="4">
        <v>-31875</v>
      </c>
      <c r="F4969" s="3" t="s">
        <v>110</v>
      </c>
      <c r="G4969" s="3" t="s">
        <v>636</v>
      </c>
      <c r="H4969" s="2" t="s">
        <v>21</v>
      </c>
      <c r="I4969" s="2" t="s">
        <v>12784</v>
      </c>
      <c r="J4969" s="3" t="str">
        <f>HYPERLINK("https://www.boe.es/gazeta/dias/1812/09/22/pdfs/GRE-1812-128.pdf#page=7","Abrir facsímil")</f>
        <v>Abrir facsímil</v>
      </c>
      <c r="K4969" s="3" t="s">
        <v>23</v>
      </c>
    </row>
    <row r="4970" spans="1:11" ht="42" customHeight="1">
      <c r="A4970" s="2" t="s">
        <v>12785</v>
      </c>
      <c r="B4970" s="2" t="s">
        <v>12785</v>
      </c>
      <c r="C4970" s="2" t="s">
        <v>26</v>
      </c>
      <c r="D4970" s="2" t="s">
        <v>27</v>
      </c>
      <c r="E4970" s="4">
        <v>-32106</v>
      </c>
      <c r="F4970" s="3" t="s">
        <v>166</v>
      </c>
      <c r="G4970" s="3" t="s">
        <v>167</v>
      </c>
      <c r="H4970" s="2" t="s">
        <v>21</v>
      </c>
      <c r="I4970" s="2" t="s">
        <v>12786</v>
      </c>
      <c r="J4970" s="3" t="str">
        <f>HYPERLINK("https://www.boe.es/gazeta/dias/1812/02/04/pdfs/GRE-1812-15.pdf#page=5","Abrir facsímil")</f>
        <v>Abrir facsímil</v>
      </c>
      <c r="K4970" s="3" t="s">
        <v>23</v>
      </c>
    </row>
    <row r="4971" spans="1:11" ht="42" customHeight="1">
      <c r="A4971" s="2" t="s">
        <v>12785</v>
      </c>
      <c r="B4971" s="2" t="s">
        <v>12785</v>
      </c>
      <c r="C4971" s="2" t="s">
        <v>26</v>
      </c>
      <c r="D4971" s="2" t="s">
        <v>27</v>
      </c>
      <c r="E4971" s="4">
        <v>-32079</v>
      </c>
      <c r="F4971" s="3" t="s">
        <v>11654</v>
      </c>
      <c r="G4971" s="3" t="s">
        <v>715</v>
      </c>
      <c r="H4971" s="2" t="s">
        <v>21</v>
      </c>
      <c r="I4971" s="2" t="s">
        <v>12787</v>
      </c>
      <c r="J4971" s="3" t="str">
        <f>HYPERLINK("https://www.boe.es/gazeta/dias/1812/03/02/pdfs/GMD-1812-62.pdf#page=4","Abrir facsímil")</f>
        <v>Abrir facsímil</v>
      </c>
      <c r="K4971" s="3" t="s">
        <v>23</v>
      </c>
    </row>
    <row r="4972" spans="1:11" ht="42" customHeight="1">
      <c r="A4972" s="2" t="s">
        <v>12788</v>
      </c>
      <c r="B4972" s="2" t="s">
        <v>12788</v>
      </c>
      <c r="C4972" s="2" t="s">
        <v>67</v>
      </c>
      <c r="D4972" s="2" t="s">
        <v>27</v>
      </c>
      <c r="E4972" s="4">
        <v>-32126</v>
      </c>
      <c r="F4972" s="3" t="s">
        <v>5107</v>
      </c>
      <c r="G4972" s="3" t="s">
        <v>58</v>
      </c>
      <c r="H4972" s="2" t="s">
        <v>21</v>
      </c>
      <c r="I4972" s="2" t="s">
        <v>12789</v>
      </c>
      <c r="J4972" s="3" t="str">
        <f>HYPERLINK("https://www.boe.es/gazeta/dias/1812/01/15/pdfs/GMD-1812-15.pdf#page=4","Abrir facsímil")</f>
        <v>Abrir facsímil</v>
      </c>
      <c r="K4972" s="3" t="s">
        <v>23</v>
      </c>
    </row>
    <row r="4973" spans="1:11" ht="42" customHeight="1">
      <c r="A4973" s="2" t="s">
        <v>12790</v>
      </c>
      <c r="B4973" s="2" t="s">
        <v>12791</v>
      </c>
      <c r="C4973" s="2" t="s">
        <v>105</v>
      </c>
      <c r="D4973" s="2" t="s">
        <v>27</v>
      </c>
      <c r="E4973" s="4">
        <v>-31816</v>
      </c>
      <c r="F4973" s="3" t="s">
        <v>270</v>
      </c>
      <c r="G4973" s="3" t="s">
        <v>271</v>
      </c>
      <c r="H4973" s="2" t="s">
        <v>21</v>
      </c>
      <c r="I4973" s="2" t="s">
        <v>12792</v>
      </c>
      <c r="J4973" s="3" t="str">
        <f>HYPERLINK("https://www.boe.es/gazeta/dias/1812/11/20/pdfs/GMR-1812-36.pdf#page=6","Abrir facsímil")</f>
        <v>Abrir facsímil</v>
      </c>
      <c r="K4973" s="3" t="s">
        <v>23</v>
      </c>
    </row>
    <row r="4974" spans="1:11" ht="42" customHeight="1">
      <c r="A4974" s="2" t="s">
        <v>12793</v>
      </c>
      <c r="B4974" s="2" t="s">
        <v>12794</v>
      </c>
      <c r="C4974" s="2" t="s">
        <v>26</v>
      </c>
      <c r="D4974" s="2" t="s">
        <v>194</v>
      </c>
      <c r="E4974" s="4">
        <v>-32012</v>
      </c>
      <c r="F4974" s="3" t="s">
        <v>1090</v>
      </c>
      <c r="G4974" s="3" t="s">
        <v>45</v>
      </c>
      <c r="H4974" s="2" t="s">
        <v>21</v>
      </c>
      <c r="I4974" s="2" t="s">
        <v>12795</v>
      </c>
      <c r="J4974" s="3" t="str">
        <f>HYPERLINK("https://www.boe.es/gazeta/dias/1812/05/08/pdfs/GMD-1812-129.pdf#page=4","Abrir facsímil")</f>
        <v>Abrir facsímil</v>
      </c>
      <c r="K4974" s="3" t="s">
        <v>23</v>
      </c>
    </row>
    <row r="4975" spans="1:11" ht="42" customHeight="1">
      <c r="A4975" s="2" t="s">
        <v>12796</v>
      </c>
      <c r="B4975" s="2" t="s">
        <v>12797</v>
      </c>
      <c r="C4975" s="2" t="s">
        <v>17</v>
      </c>
      <c r="D4975" s="2" t="s">
        <v>27</v>
      </c>
      <c r="E4975" s="4">
        <v>-32095</v>
      </c>
      <c r="F4975" s="3" t="s">
        <v>1099</v>
      </c>
      <c r="G4975" s="3" t="s">
        <v>438</v>
      </c>
      <c r="H4975" s="2" t="s">
        <v>21</v>
      </c>
      <c r="I4975" s="2" t="s">
        <v>12798</v>
      </c>
      <c r="J4975" s="3" t="str">
        <f>HYPERLINK("https://www.boe.es/gazeta/dias/1812/02/15/pdfs/GMD-1812-46.pdf#page=4","Abrir facsímil")</f>
        <v>Abrir facsímil</v>
      </c>
      <c r="K4975" s="3" t="s">
        <v>23</v>
      </c>
    </row>
    <row r="4976" spans="1:11" ht="42" customHeight="1">
      <c r="A4976" s="2" t="s">
        <v>12796</v>
      </c>
      <c r="B4976" s="2" t="s">
        <v>12797</v>
      </c>
      <c r="C4976" s="2" t="s">
        <v>26</v>
      </c>
      <c r="D4976" s="2" t="s">
        <v>27</v>
      </c>
      <c r="E4976" s="4">
        <v>-32005</v>
      </c>
      <c r="F4976" s="3" t="s">
        <v>2696</v>
      </c>
      <c r="G4976" s="3" t="s">
        <v>1293</v>
      </c>
      <c r="H4976" s="2" t="s">
        <v>21</v>
      </c>
      <c r="I4976" s="2" t="s">
        <v>12799</v>
      </c>
      <c r="J4976" s="3" t="str">
        <f>HYPERLINK("https://www.boe.es/gazeta/dias/1812/05/15/pdfs/GMD-1812-136.pdf#page=1","Abrir facsímil")</f>
        <v>Abrir facsímil</v>
      </c>
      <c r="K4976" s="3" t="s">
        <v>23</v>
      </c>
    </row>
    <row r="4977" spans="1:11" ht="42" customHeight="1">
      <c r="A4977" s="2" t="s">
        <v>12796</v>
      </c>
      <c r="B4977" s="2" t="s">
        <v>12797</v>
      </c>
      <c r="C4977" s="2" t="s">
        <v>82</v>
      </c>
      <c r="D4977" s="2" t="s">
        <v>27</v>
      </c>
      <c r="E4977" s="4">
        <v>-32004</v>
      </c>
      <c r="F4977" s="3" t="s">
        <v>5305</v>
      </c>
      <c r="G4977" s="3" t="s">
        <v>140</v>
      </c>
      <c r="H4977" s="2" t="s">
        <v>21</v>
      </c>
      <c r="I4977" s="2" t="s">
        <v>12800</v>
      </c>
      <c r="J4977" s="3" t="str">
        <f>HYPERLINK("https://www.boe.es/gazeta/dias/1812/05/16/pdfs/GMD-1812-137.pdf#page=2","Abrir facsímil")</f>
        <v>Abrir facsímil</v>
      </c>
      <c r="K4977" s="3" t="s">
        <v>23</v>
      </c>
    </row>
    <row r="4978" spans="1:11" ht="42" customHeight="1">
      <c r="A4978" s="2" t="s">
        <v>12801</v>
      </c>
      <c r="B4978" s="2" t="s">
        <v>12802</v>
      </c>
      <c r="C4978" s="2" t="s">
        <v>26</v>
      </c>
      <c r="D4978" s="2" t="s">
        <v>27</v>
      </c>
      <c r="E4978" s="4">
        <v>-32109</v>
      </c>
      <c r="F4978" s="3" t="s">
        <v>62</v>
      </c>
      <c r="G4978" s="3" t="s">
        <v>63</v>
      </c>
      <c r="H4978" s="2" t="s">
        <v>21</v>
      </c>
      <c r="I4978" s="2" t="s">
        <v>12803</v>
      </c>
      <c r="J4978" s="3" t="str">
        <f>HYPERLINK("https://www.boe.es/gazeta/dias/1812/02/01/pdfs/GRE-1812-14.pdf#page=10","Abrir facsímil")</f>
        <v>Abrir facsímil</v>
      </c>
      <c r="K4978" s="3" t="s">
        <v>23</v>
      </c>
    </row>
    <row r="4979" spans="1:11" ht="42" customHeight="1">
      <c r="A4979" s="2" t="s">
        <v>12804</v>
      </c>
      <c r="B4979" s="2" t="s">
        <v>12805</v>
      </c>
      <c r="C4979" s="2" t="s">
        <v>26</v>
      </c>
      <c r="D4979" s="2" t="s">
        <v>27</v>
      </c>
      <c r="E4979" s="4">
        <v>-32055</v>
      </c>
      <c r="F4979" s="3" t="s">
        <v>1271</v>
      </c>
      <c r="G4979" s="3" t="s">
        <v>130</v>
      </c>
      <c r="H4979" s="2" t="s">
        <v>21</v>
      </c>
      <c r="I4979" s="2" t="s">
        <v>12806</v>
      </c>
      <c r="J4979" s="3" t="str">
        <f>HYPERLINK("https://www.boe.es/gazeta/dias/1812/03/26/pdfs/GMD-1812-86.pdf#page=4","Abrir facsímil")</f>
        <v>Abrir facsímil</v>
      </c>
      <c r="K4979" s="3" t="s">
        <v>23</v>
      </c>
    </row>
    <row r="4980" spans="1:11" ht="42" customHeight="1">
      <c r="A4980" s="2" t="s">
        <v>12804</v>
      </c>
      <c r="B4980" s="2" t="s">
        <v>12805</v>
      </c>
      <c r="C4980" s="2" t="s">
        <v>26</v>
      </c>
      <c r="D4980" s="2" t="s">
        <v>27</v>
      </c>
      <c r="E4980" s="4">
        <v>-32044</v>
      </c>
      <c r="F4980" s="3" t="s">
        <v>1031</v>
      </c>
      <c r="G4980" s="3" t="s">
        <v>20</v>
      </c>
      <c r="H4980" s="2" t="s">
        <v>21</v>
      </c>
      <c r="I4980" s="2" t="s">
        <v>12807</v>
      </c>
      <c r="J4980" s="3" t="str">
        <f>HYPERLINK("https://www.boe.es/gazeta/dias/1812/04/06/pdfs/GMD-1812-97.pdf#page=3","Abrir facsímil")</f>
        <v>Abrir facsímil</v>
      </c>
      <c r="K4980" s="3" t="s">
        <v>23</v>
      </c>
    </row>
    <row r="4981" spans="1:11" ht="42" customHeight="1">
      <c r="A4981" s="2" t="s">
        <v>12808</v>
      </c>
      <c r="B4981" s="2" t="s">
        <v>12809</v>
      </c>
      <c r="C4981" s="2" t="s">
        <v>17</v>
      </c>
      <c r="D4981" s="2" t="s">
        <v>18</v>
      </c>
      <c r="E4981" s="4">
        <v>-31824</v>
      </c>
      <c r="F4981" s="3" t="s">
        <v>3123</v>
      </c>
      <c r="G4981" s="3" t="s">
        <v>3528</v>
      </c>
      <c r="H4981" s="2" t="s">
        <v>21</v>
      </c>
      <c r="I4981" s="2" t="s">
        <v>12810</v>
      </c>
      <c r="J4981" s="3" t="str">
        <f>HYPERLINK("https://www.boe.es/gazeta/dias/1812/11/12/pdfs/GRE-1812-151.pdf#page=2","Abrir facsímil")</f>
        <v>Abrir facsímil</v>
      </c>
      <c r="K4981" s="3" t="s">
        <v>23</v>
      </c>
    </row>
    <row r="4982" spans="1:11" ht="42" customHeight="1">
      <c r="A4982" s="2" t="s">
        <v>12811</v>
      </c>
      <c r="B4982" s="2" t="s">
        <v>12812</v>
      </c>
      <c r="C4982" s="2" t="s">
        <v>26</v>
      </c>
      <c r="D4982" s="2" t="s">
        <v>27</v>
      </c>
      <c r="E4982" s="4">
        <v>-32134</v>
      </c>
      <c r="F4982" s="3" t="s">
        <v>50</v>
      </c>
      <c r="G4982" s="3" t="s">
        <v>233</v>
      </c>
      <c r="H4982" s="2" t="s">
        <v>21</v>
      </c>
      <c r="I4982" s="2" t="s">
        <v>12813</v>
      </c>
      <c r="J4982" s="3" t="str">
        <f>HYPERLINK("https://www.boe.es/gazeta/dias/1812/01/07/pdfs/GEI-1812-3.pdf#page=8","Abrir facsímil")</f>
        <v>Abrir facsímil</v>
      </c>
      <c r="K4982" s="3" t="s">
        <v>23</v>
      </c>
    </row>
    <row r="4983" spans="1:11" ht="42" customHeight="1">
      <c r="A4983" s="2" t="s">
        <v>12814</v>
      </c>
      <c r="B4983" s="2" t="s">
        <v>12815</v>
      </c>
      <c r="C4983" s="2" t="s">
        <v>26</v>
      </c>
      <c r="D4983" s="2" t="s">
        <v>27</v>
      </c>
      <c r="E4983" s="4">
        <v>-32032</v>
      </c>
      <c r="F4983" s="3" t="s">
        <v>531</v>
      </c>
      <c r="G4983" s="3" t="s">
        <v>4086</v>
      </c>
      <c r="H4983" s="2" t="s">
        <v>21</v>
      </c>
      <c r="I4983" s="2" t="s">
        <v>12816</v>
      </c>
      <c r="J4983" s="3" t="str">
        <f>HYPERLINK("https://www.boe.es/gazeta/dias/1812/04/18/pdfs/GMD-1812-109.pdf#page=3","Abrir facsímil")</f>
        <v>Abrir facsímil</v>
      </c>
      <c r="K4983" s="3" t="s">
        <v>23</v>
      </c>
    </row>
    <row r="4984" spans="1:11" ht="42" customHeight="1">
      <c r="A4984" s="2" t="s">
        <v>12817</v>
      </c>
      <c r="B4984" s="2" t="s">
        <v>12818</v>
      </c>
      <c r="C4984" s="2" t="s">
        <v>186</v>
      </c>
      <c r="D4984" s="2" t="s">
        <v>27</v>
      </c>
      <c r="E4984" s="4">
        <v>-31945</v>
      </c>
      <c r="F4984" s="3" t="s">
        <v>1485</v>
      </c>
      <c r="G4984" s="3" t="s">
        <v>159</v>
      </c>
      <c r="H4984" s="2" t="s">
        <v>21</v>
      </c>
      <c r="I4984" s="2" t="s">
        <v>12819</v>
      </c>
      <c r="J4984" s="3" t="str">
        <f>HYPERLINK("https://www.boe.es/gazeta/dias/1812/07/14/pdfs/GRE-1812-88.pdf#page=5","Abrir facsímil")</f>
        <v>Abrir facsímil</v>
      </c>
      <c r="K4984" s="3" t="s">
        <v>23</v>
      </c>
    </row>
    <row r="4985" spans="1:11" ht="42" customHeight="1">
      <c r="A4985" s="2" t="s">
        <v>12820</v>
      </c>
      <c r="B4985" s="2" t="s">
        <v>12821</v>
      </c>
      <c r="C4985" s="2" t="s">
        <v>26</v>
      </c>
      <c r="D4985" s="2" t="s">
        <v>27</v>
      </c>
      <c r="E4985" s="4">
        <v>-31934</v>
      </c>
      <c r="F4985" s="3" t="s">
        <v>6490</v>
      </c>
      <c r="G4985" s="3" t="s">
        <v>233</v>
      </c>
      <c r="H4985" s="2" t="s">
        <v>21</v>
      </c>
      <c r="I4985" s="2" t="s">
        <v>12822</v>
      </c>
      <c r="J4985" s="3" t="str">
        <f>HYPERLINK("https://www.boe.es/gazeta/dias/1812/07/25/pdfs/GMD-1812-207.pdf#page=2","Abrir facsímil")</f>
        <v>Abrir facsímil</v>
      </c>
      <c r="K4985" s="3" t="s">
        <v>23</v>
      </c>
    </row>
    <row r="4986" spans="1:11" ht="42" customHeight="1">
      <c r="A4986" s="2" t="s">
        <v>12823</v>
      </c>
      <c r="B4986" s="2" t="s">
        <v>12824</v>
      </c>
      <c r="C4986" s="2" t="s">
        <v>17</v>
      </c>
      <c r="D4986" s="2" t="s">
        <v>18</v>
      </c>
      <c r="E4986" s="4">
        <v>-32069</v>
      </c>
      <c r="F4986" s="3" t="s">
        <v>445</v>
      </c>
      <c r="G4986" s="3" t="s">
        <v>446</v>
      </c>
      <c r="H4986" s="2" t="s">
        <v>21</v>
      </c>
      <c r="I4986" s="2" t="s">
        <v>12825</v>
      </c>
      <c r="J4986" s="3" t="str">
        <f>HYPERLINK("https://www.boe.es/gazeta/dias/1812/03/12/pdfs/GRE-1812-32.pdf#page=8","Abrir facsímil")</f>
        <v>Abrir facsímil</v>
      </c>
      <c r="K4986" s="3" t="s">
        <v>23</v>
      </c>
    </row>
    <row r="4987" spans="1:11" ht="42" customHeight="1">
      <c r="A4987" s="2" t="s">
        <v>12826</v>
      </c>
      <c r="B4987" s="2" t="s">
        <v>12827</v>
      </c>
      <c r="C4987" s="2" t="s">
        <v>186</v>
      </c>
      <c r="D4987" s="2" t="s">
        <v>275</v>
      </c>
      <c r="E4987" s="4">
        <v>-32134</v>
      </c>
      <c r="F4987" s="3" t="s">
        <v>50</v>
      </c>
      <c r="G4987" s="3" t="s">
        <v>233</v>
      </c>
      <c r="H4987" s="2" t="s">
        <v>21</v>
      </c>
      <c r="I4987" s="2" t="s">
        <v>12828</v>
      </c>
      <c r="J4987" s="3" t="str">
        <f>HYPERLINK("https://www.boe.es/gazeta/dias/1812/01/07/pdfs/GEI-1812-3.pdf#page=8","Abrir facsímil")</f>
        <v>Abrir facsímil</v>
      </c>
      <c r="K4987" s="3" t="s">
        <v>23</v>
      </c>
    </row>
    <row r="4988" spans="1:11" ht="42" customHeight="1">
      <c r="A4988" s="2" t="s">
        <v>12829</v>
      </c>
      <c r="B4988" s="2" t="s">
        <v>12830</v>
      </c>
      <c r="C4988" s="2" t="s">
        <v>105</v>
      </c>
      <c r="D4988" s="2" t="s">
        <v>27</v>
      </c>
      <c r="E4988" s="4">
        <v>-32055</v>
      </c>
      <c r="F4988" s="3" t="s">
        <v>459</v>
      </c>
      <c r="G4988" s="3" t="s">
        <v>20</v>
      </c>
      <c r="H4988" s="2" t="s">
        <v>21</v>
      </c>
      <c r="I4988" s="2" t="s">
        <v>12831</v>
      </c>
      <c r="J4988" s="3" t="str">
        <f>HYPERLINK("https://www.boe.es/gazeta/dias/1812/03/26/pdfs/GRE-1812-38.pdf#page=8","Abrir facsímil")</f>
        <v>Abrir facsímil</v>
      </c>
      <c r="K4988" s="3" t="s">
        <v>23</v>
      </c>
    </row>
    <row r="4989" spans="1:11" ht="42" customHeight="1">
      <c r="A4989" s="2" t="s">
        <v>12832</v>
      </c>
      <c r="B4989" s="2" t="s">
        <v>12833</v>
      </c>
      <c r="C4989" s="2" t="s">
        <v>105</v>
      </c>
      <c r="D4989" s="2" t="s">
        <v>27</v>
      </c>
      <c r="E4989" s="4">
        <v>-32055</v>
      </c>
      <c r="F4989" s="3" t="s">
        <v>459</v>
      </c>
      <c r="G4989" s="3" t="s">
        <v>20</v>
      </c>
      <c r="H4989" s="2" t="s">
        <v>21</v>
      </c>
      <c r="I4989" s="2" t="s">
        <v>12834</v>
      </c>
      <c r="J4989" s="3" t="str">
        <f>HYPERLINK("https://www.boe.es/gazeta/dias/1812/03/26/pdfs/GRE-1812-38.pdf#page=8","Abrir facsímil")</f>
        <v>Abrir facsímil</v>
      </c>
      <c r="K4989" s="3" t="s">
        <v>23</v>
      </c>
    </row>
    <row r="4990" spans="1:11" ht="42" customHeight="1">
      <c r="A4990" s="2" t="s">
        <v>12835</v>
      </c>
      <c r="B4990" s="2" t="s">
        <v>12836</v>
      </c>
      <c r="C4990" s="2" t="s">
        <v>17</v>
      </c>
      <c r="D4990" s="2" t="s">
        <v>18</v>
      </c>
      <c r="E4990" s="4">
        <v>-31966</v>
      </c>
      <c r="F4990" s="3" t="s">
        <v>387</v>
      </c>
      <c r="G4990" s="3" t="s">
        <v>388</v>
      </c>
      <c r="H4990" s="2" t="s">
        <v>30</v>
      </c>
      <c r="I4990" s="2" t="s">
        <v>12837</v>
      </c>
      <c r="J4990" s="3" t="str">
        <f>HYPERLINK("https://www.boe.es/gazeta/dias/1812/06/23/pdfs/GMD-1812-175.pdf#page=2","Abrir facsímil")</f>
        <v>Abrir facsímil</v>
      </c>
      <c r="K4990" s="3" t="s">
        <v>32</v>
      </c>
    </row>
    <row r="4991" spans="1:11" ht="42" customHeight="1">
      <c r="A4991" s="2" t="s">
        <v>12838</v>
      </c>
      <c r="B4991" s="2" t="s">
        <v>12838</v>
      </c>
      <c r="C4991" s="2" t="s">
        <v>26</v>
      </c>
      <c r="D4991" s="2" t="s">
        <v>27</v>
      </c>
      <c r="E4991" s="4">
        <v>-32063</v>
      </c>
      <c r="F4991" s="3" t="s">
        <v>384</v>
      </c>
      <c r="G4991" s="3" t="s">
        <v>125</v>
      </c>
      <c r="H4991" s="2" t="s">
        <v>21</v>
      </c>
      <c r="I4991" s="2" t="s">
        <v>12839</v>
      </c>
      <c r="J4991" s="3" t="str">
        <f>HYPERLINK("https://www.boe.es/gazeta/dias/1812/03/18/pdfs/GMD-1812-78.pdf#page=3","Abrir facsímil")</f>
        <v>Abrir facsímil</v>
      </c>
      <c r="K4991" s="3" t="s">
        <v>23</v>
      </c>
    </row>
    <row r="4992" spans="1:11" ht="42" customHeight="1">
      <c r="A4992" s="2" t="s">
        <v>12840</v>
      </c>
      <c r="B4992" s="2" t="s">
        <v>12840</v>
      </c>
      <c r="C4992" s="2" t="s">
        <v>186</v>
      </c>
      <c r="D4992" s="2" t="s">
        <v>27</v>
      </c>
      <c r="E4992" s="4">
        <v>-32090</v>
      </c>
      <c r="F4992" s="3" t="s">
        <v>12841</v>
      </c>
      <c r="G4992" s="3" t="s">
        <v>196</v>
      </c>
      <c r="H4992" s="2" t="s">
        <v>21</v>
      </c>
      <c r="I4992" s="2" t="s">
        <v>12842</v>
      </c>
      <c r="J4992" s="3" t="str">
        <f>HYPERLINK("https://www.boe.es/gazeta/dias/1812/02/20/pdfs/GMD-1812-51.pdf#page=1","Abrir facsímil")</f>
        <v>Abrir facsímil</v>
      </c>
      <c r="K4992" s="3" t="s">
        <v>23</v>
      </c>
    </row>
    <row r="4993" spans="1:11" ht="42" customHeight="1">
      <c r="A4993" s="2" t="s">
        <v>12840</v>
      </c>
      <c r="B4993" s="2" t="s">
        <v>12840</v>
      </c>
      <c r="C4993" s="2" t="s">
        <v>17</v>
      </c>
      <c r="D4993" s="2" t="s">
        <v>18</v>
      </c>
      <c r="E4993" s="4">
        <v>-31885</v>
      </c>
      <c r="F4993" s="3" t="s">
        <v>750</v>
      </c>
      <c r="G4993" s="3" t="s">
        <v>36</v>
      </c>
      <c r="H4993" s="2" t="s">
        <v>21</v>
      </c>
      <c r="I4993" s="2" t="s">
        <v>12843</v>
      </c>
      <c r="J4993" s="3" t="str">
        <f>HYPERLINK("https://www.boe.es/gazeta/dias/1812/09/12/pdfs/GMR-1812-13.pdf#page=3","Abrir facsímil")</f>
        <v>Abrir facsímil</v>
      </c>
      <c r="K4993" s="3" t="s">
        <v>23</v>
      </c>
    </row>
    <row r="4994" spans="1:11" ht="42" customHeight="1">
      <c r="A4994" s="2" t="s">
        <v>12844</v>
      </c>
      <c r="B4994" s="2" t="s">
        <v>12844</v>
      </c>
      <c r="C4994" s="2" t="s">
        <v>17</v>
      </c>
      <c r="D4994" s="2" t="s">
        <v>27</v>
      </c>
      <c r="E4994" s="4">
        <v>-32036</v>
      </c>
      <c r="F4994" s="3" t="s">
        <v>781</v>
      </c>
      <c r="G4994" s="3" t="s">
        <v>2895</v>
      </c>
      <c r="H4994" s="2" t="s">
        <v>21</v>
      </c>
      <c r="I4994" s="2" t="s">
        <v>12845</v>
      </c>
      <c r="J4994" s="3" t="str">
        <f>HYPERLINK("https://www.boe.es/gazeta/dias/1812/04/14/pdfs/GRE-1812-47.pdf#page=4","Abrir facsímil")</f>
        <v>Abrir facsímil</v>
      </c>
      <c r="K4994" s="3" t="s">
        <v>23</v>
      </c>
    </row>
    <row r="4995" spans="1:11" ht="42" customHeight="1">
      <c r="A4995" s="2" t="s">
        <v>12844</v>
      </c>
      <c r="B4995" s="2" t="s">
        <v>12844</v>
      </c>
      <c r="C4995" s="2" t="s">
        <v>17</v>
      </c>
      <c r="D4995" s="2" t="s">
        <v>18</v>
      </c>
      <c r="E4995" s="4">
        <v>-31969</v>
      </c>
      <c r="F4995" s="3" t="s">
        <v>83</v>
      </c>
      <c r="G4995" s="3" t="s">
        <v>1570</v>
      </c>
      <c r="H4995" s="2" t="s">
        <v>21</v>
      </c>
      <c r="I4995" s="2" t="s">
        <v>12846</v>
      </c>
      <c r="J4995" s="3" t="str">
        <f>HYPERLINK("https://www.boe.es/gazeta/dias/1812/06/20/pdfs/GRE-1812-76.pdf#page=4","Abrir facsímil")</f>
        <v>Abrir facsímil</v>
      </c>
      <c r="K4995" s="3" t="s">
        <v>23</v>
      </c>
    </row>
    <row r="4996" spans="1:11" ht="42" customHeight="1">
      <c r="A4996" s="2" t="s">
        <v>12844</v>
      </c>
      <c r="B4996" s="2" t="s">
        <v>12844</v>
      </c>
      <c r="C4996" s="2" t="s">
        <v>17</v>
      </c>
      <c r="D4996" s="2" t="s">
        <v>18</v>
      </c>
      <c r="E4996" s="4">
        <v>-31794</v>
      </c>
      <c r="F4996" s="3" t="s">
        <v>3308</v>
      </c>
      <c r="G4996" s="3" t="s">
        <v>9191</v>
      </c>
      <c r="H4996" s="2" t="s">
        <v>21</v>
      </c>
      <c r="I4996" s="2" t="s">
        <v>12847</v>
      </c>
      <c r="J4996" s="3" t="str">
        <f>HYPERLINK("https://www.boe.es/gazeta/dias/1812/12/12/pdfs/GRE-1812-164.pdf#page=1","Abrir facsímil")</f>
        <v>Abrir facsímil</v>
      </c>
      <c r="K4996" s="3" t="s">
        <v>23</v>
      </c>
    </row>
    <row r="4997" spans="1:11" ht="42" customHeight="1">
      <c r="A4997" s="2" t="s">
        <v>12844</v>
      </c>
      <c r="B4997" s="2" t="s">
        <v>12844</v>
      </c>
      <c r="C4997" s="2" t="s">
        <v>17</v>
      </c>
      <c r="D4997" s="2" t="s">
        <v>27</v>
      </c>
      <c r="E4997" s="4">
        <v>-31794</v>
      </c>
      <c r="F4997" s="3" t="s">
        <v>3308</v>
      </c>
      <c r="G4997" s="3" t="s">
        <v>3309</v>
      </c>
      <c r="H4997" s="2" t="s">
        <v>21</v>
      </c>
      <c r="I4997" s="2" t="s">
        <v>12848</v>
      </c>
      <c r="J4997" s="3" t="str">
        <f>HYPERLINK("https://www.boe.es/gazeta/dias/1812/12/12/pdfs/GRE-1812-164.pdf#page=2","Abrir facsímil")</f>
        <v>Abrir facsímil</v>
      </c>
      <c r="K4997" s="3" t="s">
        <v>23</v>
      </c>
    </row>
    <row r="4998" spans="1:11" ht="42" customHeight="1">
      <c r="A4998" s="2" t="s">
        <v>12849</v>
      </c>
      <c r="B4998" s="2" t="s">
        <v>12850</v>
      </c>
      <c r="C4998" s="2" t="s">
        <v>17</v>
      </c>
      <c r="D4998" s="2" t="s">
        <v>27</v>
      </c>
      <c r="E4998" s="4">
        <v>-32085</v>
      </c>
      <c r="F4998" s="3" t="s">
        <v>1877</v>
      </c>
      <c r="G4998" s="3" t="s">
        <v>196</v>
      </c>
      <c r="H4998" s="2" t="s">
        <v>21</v>
      </c>
      <c r="I4998" s="2" t="s">
        <v>12851</v>
      </c>
      <c r="J4998" s="3" t="str">
        <f>HYPERLINK("https://www.boe.es/gazeta/dias/1812/02/25/pdfs/GMD-1812-56.pdf#page=1","Abrir facsímil")</f>
        <v>Abrir facsímil</v>
      </c>
      <c r="K4998" s="3" t="s">
        <v>23</v>
      </c>
    </row>
    <row r="4999" spans="1:11" ht="42" customHeight="1">
      <c r="A4999" s="2" t="s">
        <v>12852</v>
      </c>
      <c r="B4999" s="2" t="s">
        <v>12852</v>
      </c>
      <c r="C4999" s="2" t="s">
        <v>17</v>
      </c>
      <c r="D4999" s="2" t="s">
        <v>27</v>
      </c>
      <c r="E4999" s="4">
        <v>-31878</v>
      </c>
      <c r="F4999" s="3" t="s">
        <v>2891</v>
      </c>
      <c r="G4999" s="3" t="s">
        <v>3846</v>
      </c>
      <c r="H4999" s="2" t="s">
        <v>21</v>
      </c>
      <c r="I4999" s="2" t="s">
        <v>12853</v>
      </c>
      <c r="J4999" s="3" t="str">
        <f>HYPERLINK("https://www.boe.es/gazeta/dias/1812/09/19/pdfs/GRE-1812-127.pdf#page=2","Abrir facsímil")</f>
        <v>Abrir facsímil</v>
      </c>
      <c r="K4999" s="3" t="s">
        <v>23</v>
      </c>
    </row>
    <row r="5000" spans="1:11" ht="42" customHeight="1">
      <c r="A5000" s="2" t="s">
        <v>12854</v>
      </c>
      <c r="B5000" s="2" t="s">
        <v>12855</v>
      </c>
      <c r="C5000" s="2" t="s">
        <v>17</v>
      </c>
      <c r="D5000" s="2" t="s">
        <v>27</v>
      </c>
      <c r="E5000" s="4">
        <v>-32111</v>
      </c>
      <c r="F5000" s="3" t="s">
        <v>553</v>
      </c>
      <c r="G5000" s="3" t="s">
        <v>5613</v>
      </c>
      <c r="H5000" s="2" t="s">
        <v>21</v>
      </c>
      <c r="I5000" s="2" t="s">
        <v>12856</v>
      </c>
      <c r="J5000" s="3" t="str">
        <f>HYPERLINK("https://www.boe.es/gazeta/dias/1812/01/30/pdfs/GRE-1812-13.pdf#page=6","Abrir facsímil")</f>
        <v>Abrir facsímil</v>
      </c>
      <c r="K5000" s="3" t="s">
        <v>23</v>
      </c>
    </row>
    <row r="5001" spans="1:11" ht="42" customHeight="1">
      <c r="A5001" s="2" t="s">
        <v>12854</v>
      </c>
      <c r="B5001" s="2" t="s">
        <v>12855</v>
      </c>
      <c r="C5001" s="2" t="s">
        <v>49</v>
      </c>
      <c r="D5001" s="2" t="s">
        <v>27</v>
      </c>
      <c r="E5001" s="4">
        <v>-31955</v>
      </c>
      <c r="F5001" s="3" t="s">
        <v>789</v>
      </c>
      <c r="G5001" s="3" t="s">
        <v>58</v>
      </c>
      <c r="H5001" s="2" t="s">
        <v>21</v>
      </c>
      <c r="I5001" s="2" t="s">
        <v>12857</v>
      </c>
      <c r="J5001" s="3" t="str">
        <f>HYPERLINK("https://www.boe.es/gazeta/dias/1812/07/04/pdfs/GRE-1812-82.pdf#page=3","Abrir facsímil")</f>
        <v>Abrir facsímil</v>
      </c>
      <c r="K5001" s="3" t="s">
        <v>23</v>
      </c>
    </row>
    <row r="5002" spans="1:11" ht="42" customHeight="1">
      <c r="A5002" s="2" t="s">
        <v>12854</v>
      </c>
      <c r="B5002" s="2" t="s">
        <v>12855</v>
      </c>
      <c r="C5002" s="2" t="s">
        <v>26</v>
      </c>
      <c r="D5002" s="2" t="s">
        <v>27</v>
      </c>
      <c r="E5002" s="4">
        <v>-31941</v>
      </c>
      <c r="F5002" s="3" t="s">
        <v>2048</v>
      </c>
      <c r="G5002" s="3" t="s">
        <v>2584</v>
      </c>
      <c r="H5002" s="2" t="s">
        <v>21</v>
      </c>
      <c r="I5002" s="2" t="s">
        <v>12858</v>
      </c>
      <c r="J5002" s="3" t="str">
        <f>HYPERLINK("https://www.boe.es/gazeta/dias/1812/07/18/pdfs/GRE-1812-90.pdf#page=1","Abrir facsímil")</f>
        <v>Abrir facsímil</v>
      </c>
      <c r="K5002" s="3" t="s">
        <v>23</v>
      </c>
    </row>
    <row r="5003" spans="1:11" ht="42" customHeight="1">
      <c r="A5003" s="2" t="s">
        <v>12859</v>
      </c>
      <c r="B5003" s="2" t="s">
        <v>12859</v>
      </c>
      <c r="C5003" s="2" t="s">
        <v>17</v>
      </c>
      <c r="D5003" s="2" t="s">
        <v>27</v>
      </c>
      <c r="E5003" s="4">
        <v>-32111</v>
      </c>
      <c r="F5003" s="3" t="s">
        <v>553</v>
      </c>
      <c r="G5003" s="3" t="s">
        <v>196</v>
      </c>
      <c r="H5003" s="2" t="s">
        <v>21</v>
      </c>
      <c r="I5003" s="2" t="s">
        <v>12860</v>
      </c>
      <c r="J5003" s="3" t="str">
        <f>HYPERLINK("https://www.boe.es/gazeta/dias/1812/01/30/pdfs/GRE-1812-13.pdf#page=5","Abrir facsímil")</f>
        <v>Abrir facsímil</v>
      </c>
      <c r="K5003" s="3" t="s">
        <v>23</v>
      </c>
    </row>
    <row r="5004" spans="1:11" ht="42" customHeight="1">
      <c r="A5004" s="2" t="s">
        <v>12861</v>
      </c>
      <c r="B5004" s="2" t="s">
        <v>12862</v>
      </c>
      <c r="C5004" s="2" t="s">
        <v>105</v>
      </c>
      <c r="D5004" s="2" t="s">
        <v>27</v>
      </c>
      <c r="E5004" s="4">
        <v>-31880</v>
      </c>
      <c r="F5004" s="3" t="s">
        <v>3148</v>
      </c>
      <c r="G5004" s="3" t="s">
        <v>12863</v>
      </c>
      <c r="H5004" s="2" t="s">
        <v>21</v>
      </c>
      <c r="I5004" s="2" t="s">
        <v>12864</v>
      </c>
      <c r="J5004" s="3" t="str">
        <f>HYPERLINK("https://www.boe.es/gazeta/dias/1812/09/17/pdfs/GRE-1812-126.pdf#page=6","Abrir facsímil")</f>
        <v>Abrir facsímil</v>
      </c>
      <c r="K5004" s="3" t="s">
        <v>23</v>
      </c>
    </row>
    <row r="5005" spans="1:11" ht="42" customHeight="1">
      <c r="A5005" s="2" t="s">
        <v>12865</v>
      </c>
      <c r="B5005" s="2" t="s">
        <v>12866</v>
      </c>
      <c r="C5005" s="2" t="s">
        <v>26</v>
      </c>
      <c r="D5005" s="2" t="s">
        <v>27</v>
      </c>
      <c r="E5005" s="4">
        <v>-32095</v>
      </c>
      <c r="F5005" s="3" t="s">
        <v>1099</v>
      </c>
      <c r="G5005" s="3" t="s">
        <v>438</v>
      </c>
      <c r="H5005" s="2" t="s">
        <v>21</v>
      </c>
      <c r="I5005" s="2" t="s">
        <v>12867</v>
      </c>
      <c r="J5005" s="3" t="str">
        <f>HYPERLINK("https://www.boe.es/gazeta/dias/1812/02/15/pdfs/GMD-1812-46.pdf#page=4","Abrir facsímil")</f>
        <v>Abrir facsímil</v>
      </c>
      <c r="K5005" s="3" t="s">
        <v>23</v>
      </c>
    </row>
    <row r="5006" spans="1:11" ht="42" customHeight="1">
      <c r="A5006" s="2" t="s">
        <v>12868</v>
      </c>
      <c r="B5006" s="2" t="s">
        <v>12869</v>
      </c>
      <c r="C5006" s="2" t="s">
        <v>26</v>
      </c>
      <c r="D5006" s="2" t="s">
        <v>27</v>
      </c>
      <c r="E5006" s="4">
        <v>-32109</v>
      </c>
      <c r="F5006" s="3" t="s">
        <v>62</v>
      </c>
      <c r="G5006" s="3" t="s">
        <v>106</v>
      </c>
      <c r="H5006" s="2" t="s">
        <v>21</v>
      </c>
      <c r="I5006" s="2" t="s">
        <v>12870</v>
      </c>
      <c r="J5006" s="3" t="str">
        <f>HYPERLINK("https://www.boe.es/gazeta/dias/1812/02/01/pdfs/GRE-1812-14.pdf#page=11","Abrir facsímil")</f>
        <v>Abrir facsímil</v>
      </c>
      <c r="K5006" s="3" t="s">
        <v>23</v>
      </c>
    </row>
    <row r="5007" spans="1:11" ht="42" customHeight="1">
      <c r="A5007" s="2" t="s">
        <v>12871</v>
      </c>
      <c r="B5007" s="2" t="s">
        <v>12871</v>
      </c>
      <c r="C5007" s="2" t="s">
        <v>49</v>
      </c>
      <c r="D5007" s="2" t="s">
        <v>27</v>
      </c>
      <c r="E5007" s="4">
        <v>-32120</v>
      </c>
      <c r="F5007" s="3" t="s">
        <v>3524</v>
      </c>
      <c r="G5007" s="3" t="s">
        <v>2262</v>
      </c>
      <c r="H5007" s="2" t="s">
        <v>21</v>
      </c>
      <c r="I5007" s="2" t="s">
        <v>12872</v>
      </c>
      <c r="J5007" s="3" t="str">
        <f>HYPERLINK("https://www.boe.es/gazeta/dias/1812/01/21/pdfs/GEI-1812-9.pdf#page=5","Abrir facsímil")</f>
        <v>Abrir facsímil</v>
      </c>
      <c r="K5007" s="3" t="s">
        <v>23</v>
      </c>
    </row>
    <row r="5008" spans="1:11" ht="42" customHeight="1">
      <c r="A5008" s="2" t="s">
        <v>12873</v>
      </c>
      <c r="B5008" s="2" t="s">
        <v>12874</v>
      </c>
      <c r="C5008" s="2" t="s">
        <v>26</v>
      </c>
      <c r="D5008" s="2" t="s">
        <v>27</v>
      </c>
      <c r="E5008" s="4">
        <v>-32109</v>
      </c>
      <c r="F5008" s="3" t="s">
        <v>62</v>
      </c>
      <c r="G5008" s="3" t="s">
        <v>63</v>
      </c>
      <c r="H5008" s="2" t="s">
        <v>21</v>
      </c>
      <c r="I5008" s="2" t="s">
        <v>12875</v>
      </c>
      <c r="J5008" s="3" t="str">
        <f>HYPERLINK("https://www.boe.es/gazeta/dias/1812/02/01/pdfs/GRE-1812-14.pdf#page=10","Abrir facsímil")</f>
        <v>Abrir facsímil</v>
      </c>
      <c r="K5008" s="3" t="s">
        <v>23</v>
      </c>
    </row>
    <row r="5009" spans="1:11" ht="42" customHeight="1">
      <c r="A5009" s="2" t="s">
        <v>12876</v>
      </c>
      <c r="B5009" s="2" t="s">
        <v>12877</v>
      </c>
      <c r="C5009" s="2" t="s">
        <v>26</v>
      </c>
      <c r="D5009" s="2" t="s">
        <v>27</v>
      </c>
      <c r="E5009" s="4">
        <v>-32127</v>
      </c>
      <c r="F5009" s="3" t="s">
        <v>88</v>
      </c>
      <c r="G5009" s="3" t="s">
        <v>89</v>
      </c>
      <c r="H5009" s="2" t="s">
        <v>21</v>
      </c>
      <c r="I5009" s="2" t="s">
        <v>12878</v>
      </c>
      <c r="J5009" s="3" t="str">
        <f>HYPERLINK("https://www.boe.es/gazeta/dias/1812/01/14/pdfs/GEI-1812-6.pdf#page=8","Abrir facsímil")</f>
        <v>Abrir facsímil</v>
      </c>
      <c r="K5009" s="3" t="s">
        <v>23</v>
      </c>
    </row>
    <row r="5010" spans="1:11" ht="42" customHeight="1">
      <c r="A5010" s="2" t="s">
        <v>12879</v>
      </c>
      <c r="B5010" s="2" t="s">
        <v>12880</v>
      </c>
      <c r="C5010" s="2" t="s">
        <v>26</v>
      </c>
      <c r="D5010" s="2" t="s">
        <v>27</v>
      </c>
      <c r="E5010" s="4">
        <v>-32034</v>
      </c>
      <c r="F5010" s="3" t="s">
        <v>28</v>
      </c>
      <c r="G5010" s="3" t="s">
        <v>317</v>
      </c>
      <c r="H5010" s="2" t="s">
        <v>21</v>
      </c>
      <c r="I5010" s="2" t="s">
        <v>12881</v>
      </c>
      <c r="J5010" s="3" t="str">
        <f>HYPERLINK("https://www.boe.es/gazeta/dias/1812/04/16/pdfs/GMD-1812-107.pdf#page=6","Abrir facsímil")</f>
        <v>Abrir facsímil</v>
      </c>
      <c r="K5010" s="3" t="s">
        <v>23</v>
      </c>
    </row>
    <row r="5011" spans="1:11" ht="42" customHeight="1">
      <c r="A5011" s="2" t="s">
        <v>12882</v>
      </c>
      <c r="B5011" s="2" t="s">
        <v>12883</v>
      </c>
      <c r="C5011" s="2" t="s">
        <v>26</v>
      </c>
      <c r="D5011" s="2" t="s">
        <v>27</v>
      </c>
      <c r="E5011" s="4">
        <v>-31976</v>
      </c>
      <c r="F5011" s="3" t="s">
        <v>54</v>
      </c>
      <c r="G5011" s="3" t="s">
        <v>55</v>
      </c>
      <c r="H5011" s="2" t="s">
        <v>21</v>
      </c>
      <c r="I5011" s="2" t="s">
        <v>12884</v>
      </c>
      <c r="J5011" s="3" t="str">
        <f>HYPERLINK("https://www.boe.es/gazeta/dias/1812/06/13/pdfs/GRE-1812-73.pdf#page=6","Abrir facsímil")</f>
        <v>Abrir facsímil</v>
      </c>
      <c r="K5011" s="3" t="s">
        <v>23</v>
      </c>
    </row>
    <row r="5012" spans="1:11" ht="42" customHeight="1">
      <c r="A5012" s="2" t="s">
        <v>12885</v>
      </c>
      <c r="B5012" s="2" t="s">
        <v>12886</v>
      </c>
      <c r="C5012" s="2" t="s">
        <v>26</v>
      </c>
      <c r="D5012" s="2" t="s">
        <v>27</v>
      </c>
      <c r="E5012" s="4">
        <v>-31936</v>
      </c>
      <c r="F5012" s="3" t="s">
        <v>614</v>
      </c>
      <c r="G5012" s="3" t="s">
        <v>615</v>
      </c>
      <c r="H5012" s="2" t="s">
        <v>21</v>
      </c>
      <c r="I5012" s="2" t="s">
        <v>12887</v>
      </c>
      <c r="J5012" s="3" t="str">
        <f>HYPERLINK("https://www.boe.es/gazeta/dias/1812/07/23/pdfs/GRE-1812-92.pdf#page=8","Abrir facsímil")</f>
        <v>Abrir facsímil</v>
      </c>
      <c r="K5012" s="3" t="s">
        <v>23</v>
      </c>
    </row>
    <row r="5013" spans="1:11" ht="42" customHeight="1">
      <c r="A5013" s="2" t="s">
        <v>12888</v>
      </c>
      <c r="B5013" s="2" t="s">
        <v>12889</v>
      </c>
      <c r="C5013" s="2" t="s">
        <v>26</v>
      </c>
      <c r="D5013" s="2" t="s">
        <v>275</v>
      </c>
      <c r="E5013" s="4">
        <v>-31964</v>
      </c>
      <c r="F5013" s="3" t="s">
        <v>305</v>
      </c>
      <c r="G5013" s="3" t="s">
        <v>58</v>
      </c>
      <c r="H5013" s="2" t="s">
        <v>21</v>
      </c>
      <c r="I5013" s="2" t="s">
        <v>12890</v>
      </c>
      <c r="J5013" s="3" t="str">
        <f>HYPERLINK("https://www.boe.es/gazeta/dias/1812/06/25/pdfs/GMD-1812-177.pdf#page=2","Abrir facsímil")</f>
        <v>Abrir facsímil</v>
      </c>
      <c r="K5013" s="3" t="s">
        <v>23</v>
      </c>
    </row>
    <row r="5014" spans="1:11" ht="42" customHeight="1">
      <c r="A5014" s="2" t="s">
        <v>12891</v>
      </c>
      <c r="B5014" s="2" t="s">
        <v>12892</v>
      </c>
      <c r="C5014" s="2" t="s">
        <v>26</v>
      </c>
      <c r="D5014" s="2" t="s">
        <v>27</v>
      </c>
      <c r="E5014" s="4">
        <v>-32127</v>
      </c>
      <c r="F5014" s="3" t="s">
        <v>88</v>
      </c>
      <c r="G5014" s="3" t="s">
        <v>89</v>
      </c>
      <c r="H5014" s="2" t="s">
        <v>21</v>
      </c>
      <c r="I5014" s="2" t="s">
        <v>12893</v>
      </c>
      <c r="J5014" s="3" t="str">
        <f>HYPERLINK("https://www.boe.es/gazeta/dias/1812/01/14/pdfs/GEI-1812-6.pdf#page=8","Abrir facsímil")</f>
        <v>Abrir facsímil</v>
      </c>
      <c r="K5014" s="3" t="s">
        <v>23</v>
      </c>
    </row>
    <row r="5015" spans="1:11" ht="42" customHeight="1">
      <c r="A5015" s="2" t="s">
        <v>12894</v>
      </c>
      <c r="B5015" s="2" t="s">
        <v>12895</v>
      </c>
      <c r="C5015" s="2" t="s">
        <v>26</v>
      </c>
      <c r="D5015" s="2" t="s">
        <v>27</v>
      </c>
      <c r="E5015" s="4">
        <v>-31940</v>
      </c>
      <c r="F5015" s="3" t="s">
        <v>187</v>
      </c>
      <c r="G5015" s="3" t="s">
        <v>404</v>
      </c>
      <c r="H5015" s="2" t="s">
        <v>21</v>
      </c>
      <c r="I5015" s="2" t="s">
        <v>12896</v>
      </c>
      <c r="J5015" s="3" t="str">
        <f>HYPERLINK("https://www.boe.es/gazeta/dias/1812/07/19/pdfs/GMD-1812-201.pdf#page=3","Abrir facsímil")</f>
        <v>Abrir facsímil</v>
      </c>
      <c r="K5015" s="3" t="s">
        <v>23</v>
      </c>
    </row>
    <row r="5016" spans="1:11" ht="42" customHeight="1">
      <c r="A5016" s="2" t="s">
        <v>12894</v>
      </c>
      <c r="B5016" s="2" t="s">
        <v>12895</v>
      </c>
      <c r="C5016" s="2" t="s">
        <v>105</v>
      </c>
      <c r="D5016" s="2" t="s">
        <v>27</v>
      </c>
      <c r="E5016" s="4">
        <v>-31938</v>
      </c>
      <c r="F5016" s="3" t="s">
        <v>324</v>
      </c>
      <c r="G5016" s="3" t="s">
        <v>237</v>
      </c>
      <c r="H5016" s="2" t="s">
        <v>21</v>
      </c>
      <c r="I5016" s="2" t="s">
        <v>12897</v>
      </c>
      <c r="J5016" s="3" t="str">
        <f>HYPERLINK("https://www.boe.es/gazeta/dias/1812/07/21/pdfs/GMD-1812-203.pdf#page=2","Abrir facsímil")</f>
        <v>Abrir facsímil</v>
      </c>
      <c r="K5016" s="3" t="s">
        <v>23</v>
      </c>
    </row>
    <row r="5017" spans="1:11" ht="42" customHeight="1">
      <c r="A5017" s="2" t="s">
        <v>12898</v>
      </c>
      <c r="B5017" s="2" t="s">
        <v>12899</v>
      </c>
      <c r="C5017" s="2" t="s">
        <v>49</v>
      </c>
      <c r="D5017" s="2" t="s">
        <v>27</v>
      </c>
      <c r="E5017" s="4">
        <v>-32114</v>
      </c>
      <c r="F5017" s="3" t="s">
        <v>480</v>
      </c>
      <c r="G5017" s="3" t="s">
        <v>481</v>
      </c>
      <c r="H5017" s="2" t="s">
        <v>21</v>
      </c>
      <c r="I5017" s="2" t="s">
        <v>12900</v>
      </c>
      <c r="J5017" s="3" t="str">
        <f>HYPERLINK("https://www.boe.es/gazeta/dias/1812/01/27/pdfs/GMD-1812-27.pdf#page=4","Abrir facsímil")</f>
        <v>Abrir facsímil</v>
      </c>
      <c r="K5017" s="3" t="s">
        <v>23</v>
      </c>
    </row>
    <row r="5018" spans="1:11" ht="42" customHeight="1">
      <c r="A5018" s="2" t="s">
        <v>12901</v>
      </c>
      <c r="B5018" s="2" t="s">
        <v>12902</v>
      </c>
      <c r="C5018" s="2" t="s">
        <v>17</v>
      </c>
      <c r="D5018" s="2" t="s">
        <v>18</v>
      </c>
      <c r="E5018" s="4">
        <v>-32067</v>
      </c>
      <c r="F5018" s="3" t="s">
        <v>199</v>
      </c>
      <c r="G5018" s="3" t="s">
        <v>140</v>
      </c>
      <c r="H5018" s="2" t="s">
        <v>21</v>
      </c>
      <c r="I5018" s="2" t="s">
        <v>12903</v>
      </c>
      <c r="J5018" s="3" t="str">
        <f>HYPERLINK("https://www.boe.es/gazeta/dias/1812/03/14/pdfs/GRE-1812-33.pdf#page=2","Abrir facsímil")</f>
        <v>Abrir facsímil</v>
      </c>
      <c r="K5018" s="3" t="s">
        <v>23</v>
      </c>
    </row>
    <row r="5019" spans="1:11" ht="42" customHeight="1">
      <c r="A5019" s="2" t="s">
        <v>12904</v>
      </c>
      <c r="B5019" s="2" t="s">
        <v>12905</v>
      </c>
      <c r="C5019" s="2" t="s">
        <v>26</v>
      </c>
      <c r="D5019" s="2" t="s">
        <v>27</v>
      </c>
      <c r="E5019" s="4">
        <v>-31939</v>
      </c>
      <c r="F5019" s="3" t="s">
        <v>408</v>
      </c>
      <c r="G5019" s="3" t="s">
        <v>20</v>
      </c>
      <c r="H5019" s="2" t="s">
        <v>21</v>
      </c>
      <c r="I5019" s="2" t="s">
        <v>12906</v>
      </c>
      <c r="J5019" s="3" t="str">
        <f>HYPERLINK("https://www.boe.es/gazeta/dias/1812/07/20/pdfs/GMD-1812-202.pdf#page=4","Abrir facsímil")</f>
        <v>Abrir facsímil</v>
      </c>
      <c r="K5019" s="3" t="s">
        <v>23</v>
      </c>
    </row>
    <row r="5020" spans="1:11" ht="42" customHeight="1">
      <c r="A5020" s="2" t="s">
        <v>12904</v>
      </c>
      <c r="B5020" s="2" t="s">
        <v>12905</v>
      </c>
      <c r="C5020" s="2" t="s">
        <v>26</v>
      </c>
      <c r="D5020" s="2" t="s">
        <v>27</v>
      </c>
      <c r="E5020" s="4">
        <v>-31938</v>
      </c>
      <c r="F5020" s="3" t="s">
        <v>324</v>
      </c>
      <c r="G5020" s="3" t="s">
        <v>497</v>
      </c>
      <c r="H5020" s="2" t="s">
        <v>21</v>
      </c>
      <c r="I5020" s="2" t="s">
        <v>12907</v>
      </c>
      <c r="J5020" s="3" t="str">
        <f>HYPERLINK("https://www.boe.es/gazeta/dias/1812/07/21/pdfs/GMD-1812-203.pdf#page=3","Abrir facsímil")</f>
        <v>Abrir facsímil</v>
      </c>
      <c r="K5020" s="3" t="s">
        <v>23</v>
      </c>
    </row>
    <row r="5021" spans="1:11" ht="42" customHeight="1">
      <c r="A5021" s="2" t="s">
        <v>12908</v>
      </c>
      <c r="B5021" s="2" t="s">
        <v>12909</v>
      </c>
      <c r="C5021" s="2" t="s">
        <v>26</v>
      </c>
      <c r="D5021" s="2" t="s">
        <v>27</v>
      </c>
      <c r="E5021" s="4">
        <v>-32097</v>
      </c>
      <c r="F5021" s="3" t="s">
        <v>3797</v>
      </c>
      <c r="G5021" s="3" t="s">
        <v>196</v>
      </c>
      <c r="H5021" s="2" t="s">
        <v>21</v>
      </c>
      <c r="I5021" s="2" t="s">
        <v>12910</v>
      </c>
      <c r="J5021" s="3" t="str">
        <f>HYPERLINK("https://www.boe.es/gazeta/dias/1812/02/13/pdfs/GRE-1812-19.pdf#page=1","Abrir facsímil")</f>
        <v>Abrir facsímil</v>
      </c>
      <c r="K5021" s="3" t="s">
        <v>23</v>
      </c>
    </row>
    <row r="5022" spans="1:11" ht="42" customHeight="1">
      <c r="A5022" s="2" t="s">
        <v>12908</v>
      </c>
      <c r="B5022" s="2" t="s">
        <v>12909</v>
      </c>
      <c r="C5022" s="2" t="s">
        <v>26</v>
      </c>
      <c r="D5022" s="2" t="s">
        <v>27</v>
      </c>
      <c r="E5022" s="4">
        <v>-32034</v>
      </c>
      <c r="F5022" s="3" t="s">
        <v>28</v>
      </c>
      <c r="G5022" s="3" t="s">
        <v>45</v>
      </c>
      <c r="H5022" s="2" t="s">
        <v>21</v>
      </c>
      <c r="I5022" s="2" t="s">
        <v>12911</v>
      </c>
      <c r="J5022" s="3" t="str">
        <f>HYPERLINK("https://www.boe.es/gazeta/dias/1812/04/16/pdfs/GMD-1812-107.pdf#page=5","Abrir facsímil")</f>
        <v>Abrir facsímil</v>
      </c>
      <c r="K5022" s="3" t="s">
        <v>23</v>
      </c>
    </row>
    <row r="5023" spans="1:11" ht="42" customHeight="1">
      <c r="A5023" s="2" t="s">
        <v>12908</v>
      </c>
      <c r="B5023" s="2" t="s">
        <v>12909</v>
      </c>
      <c r="C5023" s="2" t="s">
        <v>186</v>
      </c>
      <c r="D5023" s="2" t="s">
        <v>275</v>
      </c>
      <c r="E5023" s="4">
        <v>-31959</v>
      </c>
      <c r="F5023" s="3" t="s">
        <v>9160</v>
      </c>
      <c r="G5023" s="3" t="s">
        <v>801</v>
      </c>
      <c r="H5023" s="2" t="s">
        <v>21</v>
      </c>
      <c r="I5023" s="2" t="s">
        <v>12912</v>
      </c>
      <c r="J5023" s="3" t="str">
        <f>HYPERLINK("https://www.boe.es/gazeta/dias/1812/06/30/pdfs/GMD-1812-182.pdf#page=4","Abrir facsímil")</f>
        <v>Abrir facsímil</v>
      </c>
      <c r="K5023" s="3" t="s">
        <v>23</v>
      </c>
    </row>
    <row r="5024" spans="1:11" ht="42" customHeight="1">
      <c r="A5024" s="2" t="s">
        <v>12913</v>
      </c>
      <c r="B5024" s="2" t="s">
        <v>12914</v>
      </c>
      <c r="C5024" s="2" t="s">
        <v>67</v>
      </c>
      <c r="D5024" s="2" t="s">
        <v>27</v>
      </c>
      <c r="E5024" s="4">
        <v>-32071</v>
      </c>
      <c r="F5024" s="3" t="s">
        <v>3601</v>
      </c>
      <c r="G5024" s="3" t="s">
        <v>2708</v>
      </c>
      <c r="H5024" s="2" t="s">
        <v>21</v>
      </c>
      <c r="I5024" s="2" t="s">
        <v>12915</v>
      </c>
      <c r="J5024" s="3" t="str">
        <f>HYPERLINK("https://www.boe.es/gazeta/dias/1812/03/10/pdfs/GMD-1812-70.pdf#page=4","Abrir facsímil")</f>
        <v>Abrir facsímil</v>
      </c>
      <c r="K5024" s="3" t="s">
        <v>23</v>
      </c>
    </row>
    <row r="5025" spans="1:11" ht="42" customHeight="1">
      <c r="A5025" s="2" t="s">
        <v>12916</v>
      </c>
      <c r="B5025" s="2" t="s">
        <v>12917</v>
      </c>
      <c r="C5025" s="2" t="s">
        <v>26</v>
      </c>
      <c r="D5025" s="2" t="s">
        <v>27</v>
      </c>
      <c r="E5025" s="4">
        <v>-32134</v>
      </c>
      <c r="F5025" s="3" t="s">
        <v>50</v>
      </c>
      <c r="G5025" s="3" t="s">
        <v>233</v>
      </c>
      <c r="H5025" s="2" t="s">
        <v>21</v>
      </c>
      <c r="I5025" s="2" t="s">
        <v>12918</v>
      </c>
      <c r="J5025" s="3" t="str">
        <f>HYPERLINK("https://www.boe.es/gazeta/dias/1812/01/07/pdfs/GEI-1812-3.pdf#page=8","Abrir facsímil")</f>
        <v>Abrir facsímil</v>
      </c>
      <c r="K5025" s="3" t="s">
        <v>23</v>
      </c>
    </row>
    <row r="5026" spans="1:11" ht="42" customHeight="1">
      <c r="A5026" s="2" t="s">
        <v>12919</v>
      </c>
      <c r="B5026" s="2" t="s">
        <v>12920</v>
      </c>
      <c r="C5026" s="2" t="s">
        <v>26</v>
      </c>
      <c r="D5026" s="2" t="s">
        <v>27</v>
      </c>
      <c r="E5026" s="4">
        <v>-32034</v>
      </c>
      <c r="F5026" s="3" t="s">
        <v>28</v>
      </c>
      <c r="G5026" s="3" t="s">
        <v>317</v>
      </c>
      <c r="H5026" s="2" t="s">
        <v>21</v>
      </c>
      <c r="I5026" s="2" t="s">
        <v>12921</v>
      </c>
      <c r="J5026" s="3" t="str">
        <f>HYPERLINK("https://www.boe.es/gazeta/dias/1812/04/16/pdfs/GMD-1812-107.pdf#page=6","Abrir facsímil")</f>
        <v>Abrir facsímil</v>
      </c>
      <c r="K5026" s="3" t="s">
        <v>23</v>
      </c>
    </row>
    <row r="5027" spans="1:11" ht="42" customHeight="1">
      <c r="A5027" s="2" t="s">
        <v>12922</v>
      </c>
      <c r="B5027" s="2" t="s">
        <v>12923</v>
      </c>
      <c r="C5027" s="2" t="s">
        <v>26</v>
      </c>
      <c r="D5027" s="2" t="s">
        <v>27</v>
      </c>
      <c r="E5027" s="4">
        <v>-31939</v>
      </c>
      <c r="F5027" s="3" t="s">
        <v>408</v>
      </c>
      <c r="G5027" s="3" t="s">
        <v>20</v>
      </c>
      <c r="H5027" s="2" t="s">
        <v>21</v>
      </c>
      <c r="I5027" s="2" t="s">
        <v>12924</v>
      </c>
      <c r="J5027" s="3" t="str">
        <f>HYPERLINK("https://www.boe.es/gazeta/dias/1812/07/20/pdfs/GMD-1812-202.pdf#page=4","Abrir facsímil")</f>
        <v>Abrir facsímil</v>
      </c>
      <c r="K5027" s="3" t="s">
        <v>23</v>
      </c>
    </row>
    <row r="5028" spans="1:11" ht="42" customHeight="1">
      <c r="A5028" s="2" t="s">
        <v>12925</v>
      </c>
      <c r="B5028" s="2" t="s">
        <v>12926</v>
      </c>
      <c r="C5028" s="2" t="s">
        <v>26</v>
      </c>
      <c r="D5028" s="2" t="s">
        <v>27</v>
      </c>
      <c r="E5028" s="4">
        <v>-32034</v>
      </c>
      <c r="F5028" s="3" t="s">
        <v>28</v>
      </c>
      <c r="G5028" s="3" t="s">
        <v>45</v>
      </c>
      <c r="H5028" s="2" t="s">
        <v>21</v>
      </c>
      <c r="I5028" s="2" t="s">
        <v>12927</v>
      </c>
      <c r="J5028" s="3" t="str">
        <f>HYPERLINK("https://www.boe.es/gazeta/dias/1812/04/16/pdfs/GMD-1812-107.pdf#page=5","Abrir facsímil")</f>
        <v>Abrir facsímil</v>
      </c>
      <c r="K5028" s="3" t="s">
        <v>23</v>
      </c>
    </row>
    <row r="5029" spans="1:11" ht="42" customHeight="1">
      <c r="A5029" s="2" t="s">
        <v>12928</v>
      </c>
      <c r="B5029" s="2" t="s">
        <v>12929</v>
      </c>
      <c r="C5029" s="2" t="s">
        <v>17</v>
      </c>
      <c r="D5029" s="2" t="s">
        <v>18</v>
      </c>
      <c r="E5029" s="4">
        <v>-32101</v>
      </c>
      <c r="F5029" s="3" t="s">
        <v>228</v>
      </c>
      <c r="G5029" s="3" t="s">
        <v>58</v>
      </c>
      <c r="H5029" s="2" t="s">
        <v>21</v>
      </c>
      <c r="I5029" s="2" t="s">
        <v>12930</v>
      </c>
      <c r="J5029" s="3" t="str">
        <f>HYPERLINK("https://www.boe.es/gazeta/dias/1812/02/09/pdfs/GMD-1812-40.pdf#page=4","Abrir facsímil")</f>
        <v>Abrir facsímil</v>
      </c>
      <c r="K5029" s="3" t="s">
        <v>23</v>
      </c>
    </row>
    <row r="5030" spans="1:11" ht="42" customHeight="1">
      <c r="A5030" s="2" t="s">
        <v>12928</v>
      </c>
      <c r="B5030" s="2" t="s">
        <v>12929</v>
      </c>
      <c r="C5030" s="2" t="s">
        <v>26</v>
      </c>
      <c r="D5030" s="2" t="s">
        <v>275</v>
      </c>
      <c r="E5030" s="4">
        <v>-31965</v>
      </c>
      <c r="F5030" s="3" t="s">
        <v>1180</v>
      </c>
      <c r="G5030" s="3" t="s">
        <v>777</v>
      </c>
      <c r="H5030" s="2" t="s">
        <v>21</v>
      </c>
      <c r="I5030" s="2" t="s">
        <v>12931</v>
      </c>
      <c r="J5030" s="3" t="str">
        <f>HYPERLINK("https://www.boe.es/gazeta/dias/1812/06/24/pdfs/GMD-1812-176.pdf#page=2","Abrir facsímil")</f>
        <v>Abrir facsímil</v>
      </c>
      <c r="K5030" s="3" t="s">
        <v>23</v>
      </c>
    </row>
    <row r="5031" spans="1:11" ht="42" customHeight="1">
      <c r="A5031" s="2" t="s">
        <v>12932</v>
      </c>
      <c r="B5031" s="2" t="s">
        <v>12933</v>
      </c>
      <c r="C5031" s="2" t="s">
        <v>17</v>
      </c>
      <c r="D5031" s="2" t="s">
        <v>27</v>
      </c>
      <c r="E5031" s="4">
        <v>-32083</v>
      </c>
      <c r="F5031" s="3" t="s">
        <v>1496</v>
      </c>
      <c r="G5031" s="3" t="s">
        <v>237</v>
      </c>
      <c r="H5031" s="2" t="s">
        <v>21</v>
      </c>
      <c r="I5031" s="2" t="s">
        <v>12934</v>
      </c>
      <c r="J5031" s="3" t="str">
        <f>HYPERLINK("https://www.boe.es/gazeta/dias/1812/02/27/pdfs/GRE-1812-26.pdf#page=3","Abrir facsímil")</f>
        <v>Abrir facsímil</v>
      </c>
      <c r="K5031" s="3" t="s">
        <v>23</v>
      </c>
    </row>
    <row r="5032" spans="1:11" ht="42" customHeight="1">
      <c r="A5032" s="2" t="s">
        <v>12935</v>
      </c>
      <c r="B5032" s="2" t="s">
        <v>12936</v>
      </c>
      <c r="C5032" s="2" t="s">
        <v>17</v>
      </c>
      <c r="D5032" s="2" t="s">
        <v>18</v>
      </c>
      <c r="E5032" s="4">
        <v>-31952</v>
      </c>
      <c r="F5032" s="3" t="s">
        <v>694</v>
      </c>
      <c r="G5032" s="3" t="s">
        <v>2895</v>
      </c>
      <c r="H5032" s="2" t="s">
        <v>21</v>
      </c>
      <c r="I5032" s="2" t="s">
        <v>12937</v>
      </c>
      <c r="J5032" s="3" t="str">
        <f>HYPERLINK("https://www.boe.es/gazeta/dias/1812/07/07/pdfs/GMD-1812-189.pdf#page=4","Abrir facsímil")</f>
        <v>Abrir facsímil</v>
      </c>
      <c r="K5032" s="3" t="s">
        <v>23</v>
      </c>
    </row>
    <row r="5033" spans="1:11" ht="42" customHeight="1">
      <c r="A5033" s="2" t="s">
        <v>12938</v>
      </c>
      <c r="B5033" s="2" t="s">
        <v>12939</v>
      </c>
      <c r="C5033" s="2" t="s">
        <v>17</v>
      </c>
      <c r="D5033" s="2" t="s">
        <v>18</v>
      </c>
      <c r="E5033" s="4">
        <v>-32069</v>
      </c>
      <c r="F5033" s="3" t="s">
        <v>445</v>
      </c>
      <c r="G5033" s="3" t="s">
        <v>446</v>
      </c>
      <c r="H5033" s="2" t="s">
        <v>21</v>
      </c>
      <c r="I5033" s="2" t="s">
        <v>12940</v>
      </c>
      <c r="J5033" s="3" t="str">
        <f>HYPERLINK("https://www.boe.es/gazeta/dias/1812/03/12/pdfs/GRE-1812-32.pdf#page=8","Abrir facsímil")</f>
        <v>Abrir facsímil</v>
      </c>
      <c r="K5033" s="3" t="s">
        <v>23</v>
      </c>
    </row>
    <row r="5034" spans="1:11" ht="42" customHeight="1">
      <c r="A5034" s="2" t="s">
        <v>12941</v>
      </c>
      <c r="B5034" s="2" t="s">
        <v>12942</v>
      </c>
      <c r="C5034" s="2" t="s">
        <v>26</v>
      </c>
      <c r="D5034" s="2" t="s">
        <v>27</v>
      </c>
      <c r="E5034" s="4">
        <v>-32062</v>
      </c>
      <c r="F5034" s="3" t="s">
        <v>280</v>
      </c>
      <c r="G5034" s="3" t="s">
        <v>20</v>
      </c>
      <c r="H5034" s="2" t="s">
        <v>21</v>
      </c>
      <c r="I5034" s="2" t="s">
        <v>12943</v>
      </c>
      <c r="J5034" s="3" t="str">
        <f>HYPERLINK("https://www.boe.es/gazeta/dias/1812/03/19/pdfs/GMD-1812-79.pdf#page=4","Abrir facsímil")</f>
        <v>Abrir facsímil</v>
      </c>
      <c r="K5034" s="3" t="s">
        <v>23</v>
      </c>
    </row>
    <row r="5035" spans="1:11" ht="42" customHeight="1">
      <c r="A5035" s="2" t="s">
        <v>12944</v>
      </c>
      <c r="B5035" s="2" t="s">
        <v>12945</v>
      </c>
      <c r="C5035" s="2" t="s">
        <v>26</v>
      </c>
      <c r="D5035" s="2" t="s">
        <v>27</v>
      </c>
      <c r="E5035" s="4">
        <v>-32137</v>
      </c>
      <c r="F5035" s="3" t="s">
        <v>355</v>
      </c>
      <c r="G5035" s="3" t="s">
        <v>117</v>
      </c>
      <c r="H5035" s="2" t="s">
        <v>21</v>
      </c>
      <c r="I5035" s="2" t="s">
        <v>12946</v>
      </c>
      <c r="J5035" s="3" t="str">
        <f>HYPERLINK("https://www.boe.es/gazeta/dias/1812/01/04/pdfs/GEI-1812-2.pdf#page=8","Abrir facsímil")</f>
        <v>Abrir facsímil</v>
      </c>
      <c r="K5035" s="3" t="s">
        <v>23</v>
      </c>
    </row>
    <row r="5036" spans="1:11" ht="42" customHeight="1">
      <c r="A5036" s="2" t="s">
        <v>12947</v>
      </c>
      <c r="B5036" s="2" t="s">
        <v>12948</v>
      </c>
      <c r="C5036" s="2" t="s">
        <v>105</v>
      </c>
      <c r="D5036" s="2" t="s">
        <v>27</v>
      </c>
      <c r="E5036" s="4">
        <v>-32034</v>
      </c>
      <c r="F5036" s="3" t="s">
        <v>28</v>
      </c>
      <c r="G5036" s="3" t="s">
        <v>20</v>
      </c>
      <c r="H5036" s="2" t="s">
        <v>21</v>
      </c>
      <c r="I5036" s="2" t="s">
        <v>12949</v>
      </c>
      <c r="J5036" s="3" t="str">
        <f>HYPERLINK("https://www.boe.es/gazeta/dias/1812/04/16/pdfs/GMD-1812-107.pdf#page=3","Abrir facsímil")</f>
        <v>Abrir facsímil</v>
      </c>
      <c r="K5036" s="3" t="s">
        <v>23</v>
      </c>
    </row>
    <row r="5037" spans="1:11" ht="42" customHeight="1">
      <c r="A5037" s="2" t="s">
        <v>12950</v>
      </c>
      <c r="B5037" s="2" t="s">
        <v>12951</v>
      </c>
      <c r="C5037" s="2" t="s">
        <v>26</v>
      </c>
      <c r="D5037" s="2" t="s">
        <v>27</v>
      </c>
      <c r="E5037" s="4">
        <v>-31983</v>
      </c>
      <c r="F5037" s="3" t="s">
        <v>809</v>
      </c>
      <c r="G5037" s="3" t="s">
        <v>6646</v>
      </c>
      <c r="H5037" s="2" t="s">
        <v>21</v>
      </c>
      <c r="I5037" s="2" t="s">
        <v>12952</v>
      </c>
      <c r="J5037" s="3" t="str">
        <f>HYPERLINK("https://www.boe.es/gazeta/dias/1812/06/06/pdfs/GRE-1812-70.pdf#page=2","Abrir facsímil")</f>
        <v>Abrir facsímil</v>
      </c>
      <c r="K5037" s="3" t="s">
        <v>23</v>
      </c>
    </row>
    <row r="5038" spans="1:11" ht="42" customHeight="1">
      <c r="A5038" s="2" t="s">
        <v>12953</v>
      </c>
      <c r="B5038" s="2" t="s">
        <v>12954</v>
      </c>
      <c r="C5038" s="2" t="s">
        <v>26</v>
      </c>
      <c r="D5038" s="2" t="s">
        <v>27</v>
      </c>
      <c r="E5038" s="4">
        <v>-31948</v>
      </c>
      <c r="F5038" s="3" t="s">
        <v>6870</v>
      </c>
      <c r="G5038" s="3" t="s">
        <v>172</v>
      </c>
      <c r="H5038" s="2" t="s">
        <v>21</v>
      </c>
      <c r="I5038" s="2" t="s">
        <v>12955</v>
      </c>
      <c r="J5038" s="3" t="str">
        <f>HYPERLINK("https://www.boe.es/gazeta/dias/1812/07/11/pdfs/GMD-1812-193.pdf#page=4","Abrir facsímil")</f>
        <v>Abrir facsímil</v>
      </c>
      <c r="K5038" s="3" t="s">
        <v>23</v>
      </c>
    </row>
    <row r="5039" spans="1:11" ht="42" customHeight="1">
      <c r="A5039" s="2" t="s">
        <v>12956</v>
      </c>
      <c r="B5039" s="2" t="s">
        <v>12956</v>
      </c>
      <c r="C5039" s="2" t="s">
        <v>17</v>
      </c>
      <c r="D5039" s="2" t="s">
        <v>18</v>
      </c>
      <c r="E5039" s="4">
        <v>-31955</v>
      </c>
      <c r="F5039" s="3" t="s">
        <v>135</v>
      </c>
      <c r="G5039" s="3" t="s">
        <v>172</v>
      </c>
      <c r="H5039" s="2" t="s">
        <v>21</v>
      </c>
      <c r="I5039" s="2" t="s">
        <v>12957</v>
      </c>
      <c r="J5039" s="3" t="str">
        <f>HYPERLINK("https://www.boe.es/gazeta/dias/1812/07/04/pdfs/GRE-F-1812-82.pdf#page=1","Abrir facsímil")</f>
        <v>Abrir facsímil</v>
      </c>
      <c r="K5039" s="3" t="s">
        <v>23</v>
      </c>
    </row>
    <row r="5040" spans="1:11" ht="42" customHeight="1">
      <c r="A5040" s="2" t="s">
        <v>12958</v>
      </c>
      <c r="B5040" s="2" t="s">
        <v>12959</v>
      </c>
      <c r="C5040" s="2" t="s">
        <v>26</v>
      </c>
      <c r="D5040" s="2" t="s">
        <v>27</v>
      </c>
      <c r="E5040" s="4">
        <v>-32017</v>
      </c>
      <c r="F5040" s="3" t="s">
        <v>3446</v>
      </c>
      <c r="G5040" s="3" t="s">
        <v>404</v>
      </c>
      <c r="H5040" s="2" t="s">
        <v>21</v>
      </c>
      <c r="I5040" s="2" t="s">
        <v>12960</v>
      </c>
      <c r="J5040" s="3" t="str">
        <f>HYPERLINK("https://www.boe.es/gazeta/dias/1812/05/03/pdfs/GMD-1812-124.pdf#page=3","Abrir facsímil")</f>
        <v>Abrir facsímil</v>
      </c>
      <c r="K5040" s="3" t="s">
        <v>23</v>
      </c>
    </row>
    <row r="5041" spans="1:11" ht="42" customHeight="1">
      <c r="A5041" s="2" t="s">
        <v>12961</v>
      </c>
      <c r="B5041" s="2" t="s">
        <v>12961</v>
      </c>
      <c r="C5041" s="2" t="s">
        <v>26</v>
      </c>
      <c r="D5041" s="2" t="s">
        <v>27</v>
      </c>
      <c r="E5041" s="4">
        <v>-32020</v>
      </c>
      <c r="F5041" s="3" t="s">
        <v>2818</v>
      </c>
      <c r="G5041" s="3" t="s">
        <v>5110</v>
      </c>
      <c r="H5041" s="2" t="s">
        <v>21</v>
      </c>
      <c r="I5041" s="2" t="s">
        <v>12962</v>
      </c>
      <c r="J5041" s="3" t="str">
        <f>HYPERLINK("https://www.boe.es/gazeta/dias/1812/04/30/pdfs/GRE-1812-54.pdf#page=3","Abrir facsímil")</f>
        <v>Abrir facsímil</v>
      </c>
      <c r="K5041" s="3" t="s">
        <v>23</v>
      </c>
    </row>
    <row r="5042" spans="1:11" ht="42" customHeight="1">
      <c r="A5042" s="2" t="s">
        <v>12963</v>
      </c>
      <c r="B5042" s="2" t="s">
        <v>12963</v>
      </c>
      <c r="C5042" s="2" t="s">
        <v>549</v>
      </c>
      <c r="D5042" s="2" t="s">
        <v>27</v>
      </c>
      <c r="E5042" s="4">
        <v>-31955</v>
      </c>
      <c r="F5042" s="3" t="s">
        <v>789</v>
      </c>
      <c r="G5042" s="3" t="s">
        <v>237</v>
      </c>
      <c r="H5042" s="2" t="s">
        <v>21</v>
      </c>
      <c r="I5042" s="2" t="s">
        <v>12964</v>
      </c>
      <c r="J5042" s="3" t="str">
        <f>HYPERLINK("https://www.boe.es/gazeta/dias/1812/07/04/pdfs/GRE-1812-82.pdf#page=8","Abrir facsímil")</f>
        <v>Abrir facsímil</v>
      </c>
      <c r="K5042" s="3" t="s">
        <v>23</v>
      </c>
    </row>
    <row r="5043" spans="1:11" ht="42" customHeight="1">
      <c r="A5043" s="2" t="s">
        <v>12965</v>
      </c>
      <c r="B5043" s="2" t="s">
        <v>12965</v>
      </c>
      <c r="C5043" s="2" t="s">
        <v>26</v>
      </c>
      <c r="D5043" s="2" t="s">
        <v>27</v>
      </c>
      <c r="E5043" s="4">
        <v>-32019</v>
      </c>
      <c r="F5043" s="3" t="s">
        <v>476</v>
      </c>
      <c r="G5043" s="3" t="s">
        <v>404</v>
      </c>
      <c r="H5043" s="2" t="s">
        <v>21</v>
      </c>
      <c r="I5043" s="2" t="s">
        <v>12966</v>
      </c>
      <c r="J5043" s="3" t="str">
        <f>HYPERLINK("https://www.boe.es/gazeta/dias/1812/05/01/pdfs/GMD-1812-122.pdf#page=3","Abrir facsímil")</f>
        <v>Abrir facsímil</v>
      </c>
      <c r="K5043" s="3" t="s">
        <v>23</v>
      </c>
    </row>
    <row r="5044" spans="1:11" ht="42" customHeight="1">
      <c r="A5044" s="2" t="s">
        <v>12965</v>
      </c>
      <c r="B5044" s="2" t="s">
        <v>12965</v>
      </c>
      <c r="C5044" s="2" t="s">
        <v>26</v>
      </c>
      <c r="D5044" s="2" t="s">
        <v>27</v>
      </c>
      <c r="E5044" s="4">
        <v>-31815</v>
      </c>
      <c r="F5044" s="3" t="s">
        <v>1167</v>
      </c>
      <c r="G5044" s="3" t="s">
        <v>1168</v>
      </c>
      <c r="H5044" s="2" t="s">
        <v>21</v>
      </c>
      <c r="I5044" s="2" t="s">
        <v>12967</v>
      </c>
      <c r="J5044" s="3" t="str">
        <f>HYPERLINK("https://www.boe.es/gazeta/dias/1812/11/21/pdfs/GRE-1812-155.pdf#page=1","Abrir facsímil")</f>
        <v>Abrir facsímil</v>
      </c>
      <c r="K5044" s="3" t="s">
        <v>23</v>
      </c>
    </row>
    <row r="5045" spans="1:11" ht="42" customHeight="1">
      <c r="A5045" s="2" t="s">
        <v>12968</v>
      </c>
      <c r="B5045" s="2" t="s">
        <v>12969</v>
      </c>
      <c r="C5045" s="2" t="s">
        <v>26</v>
      </c>
      <c r="D5045" s="2" t="s">
        <v>27</v>
      </c>
      <c r="E5045" s="4">
        <v>-32066</v>
      </c>
      <c r="F5045" s="3" t="s">
        <v>291</v>
      </c>
      <c r="G5045" s="3" t="s">
        <v>1413</v>
      </c>
      <c r="H5045" s="2" t="s">
        <v>21</v>
      </c>
      <c r="I5045" s="2" t="s">
        <v>12970</v>
      </c>
      <c r="J5045" s="3" t="str">
        <f>HYPERLINK("https://www.boe.es/gazeta/dias/1812/03/15/pdfs/GMD-1812-75.pdf#page=3","Abrir facsímil")</f>
        <v>Abrir facsímil</v>
      </c>
      <c r="K5045" s="3" t="s">
        <v>23</v>
      </c>
    </row>
    <row r="5046" spans="1:11" ht="42" customHeight="1">
      <c r="A5046" s="2" t="s">
        <v>12971</v>
      </c>
      <c r="B5046" s="2" t="s">
        <v>12972</v>
      </c>
      <c r="C5046" s="2" t="s">
        <v>105</v>
      </c>
      <c r="D5046" s="2" t="s">
        <v>27</v>
      </c>
      <c r="E5046" s="4">
        <v>-31939</v>
      </c>
      <c r="F5046" s="3" t="s">
        <v>408</v>
      </c>
      <c r="G5046" s="3" t="s">
        <v>20</v>
      </c>
      <c r="H5046" s="2" t="s">
        <v>21</v>
      </c>
      <c r="I5046" s="2" t="s">
        <v>12973</v>
      </c>
      <c r="J5046" s="3" t="str">
        <f>HYPERLINK("https://www.boe.es/gazeta/dias/1812/07/20/pdfs/GMD-1812-202.pdf#page=4","Abrir facsímil")</f>
        <v>Abrir facsímil</v>
      </c>
      <c r="K5046" s="3" t="s">
        <v>23</v>
      </c>
    </row>
    <row r="5047" spans="1:11" ht="42" customHeight="1">
      <c r="A5047" s="2" t="s">
        <v>12974</v>
      </c>
      <c r="B5047" s="2" t="s">
        <v>12975</v>
      </c>
      <c r="C5047" s="2" t="s">
        <v>105</v>
      </c>
      <c r="D5047" s="2" t="s">
        <v>27</v>
      </c>
      <c r="E5047" s="4">
        <v>-31938</v>
      </c>
      <c r="F5047" s="3" t="s">
        <v>324</v>
      </c>
      <c r="G5047" s="3" t="s">
        <v>237</v>
      </c>
      <c r="H5047" s="2" t="s">
        <v>21</v>
      </c>
      <c r="I5047" s="2" t="s">
        <v>12976</v>
      </c>
      <c r="J5047" s="3" t="str">
        <f>HYPERLINK("https://www.boe.es/gazeta/dias/1812/07/21/pdfs/GMD-1812-203.pdf#page=2","Abrir facsímil")</f>
        <v>Abrir facsímil</v>
      </c>
      <c r="K5047" s="3" t="s">
        <v>23</v>
      </c>
    </row>
    <row r="5048" spans="1:11" ht="42" customHeight="1">
      <c r="A5048" s="2" t="s">
        <v>12977</v>
      </c>
      <c r="B5048" s="2" t="s">
        <v>12978</v>
      </c>
      <c r="C5048" s="2" t="s">
        <v>105</v>
      </c>
      <c r="D5048" s="2" t="s">
        <v>27</v>
      </c>
      <c r="E5048" s="4">
        <v>-31922</v>
      </c>
      <c r="F5048" s="3" t="s">
        <v>375</v>
      </c>
      <c r="G5048" s="3" t="s">
        <v>986</v>
      </c>
      <c r="H5048" s="2" t="s">
        <v>21</v>
      </c>
      <c r="I5048" s="2" t="s">
        <v>12979</v>
      </c>
      <c r="J5048" s="3" t="str">
        <f>HYPERLINK("https://www.boe.es/gazeta/dias/1812/08/06/pdfs/GRE-1812-100.pdf#page=8","Abrir facsímil")</f>
        <v>Abrir facsímil</v>
      </c>
      <c r="K5048" s="3" t="s">
        <v>23</v>
      </c>
    </row>
    <row r="5049" spans="1:11" ht="42" customHeight="1">
      <c r="A5049" s="2" t="s">
        <v>12980</v>
      </c>
      <c r="B5049" s="2" t="s">
        <v>12981</v>
      </c>
      <c r="C5049" s="2" t="s">
        <v>26</v>
      </c>
      <c r="D5049" s="2" t="s">
        <v>27</v>
      </c>
      <c r="E5049" s="4">
        <v>-31939</v>
      </c>
      <c r="F5049" s="3" t="s">
        <v>408</v>
      </c>
      <c r="G5049" s="3" t="s">
        <v>20</v>
      </c>
      <c r="H5049" s="2" t="s">
        <v>21</v>
      </c>
      <c r="I5049" s="2" t="s">
        <v>12982</v>
      </c>
      <c r="J5049" s="3" t="str">
        <f>HYPERLINK("https://www.boe.es/gazeta/dias/1812/07/20/pdfs/GMD-1812-202.pdf#page=4","Abrir facsímil")</f>
        <v>Abrir facsímil</v>
      </c>
      <c r="K5049" s="3" t="s">
        <v>23</v>
      </c>
    </row>
    <row r="5050" spans="1:11" ht="42" customHeight="1">
      <c r="A5050" s="2" t="s">
        <v>12983</v>
      </c>
      <c r="B5050" s="2" t="s">
        <v>12984</v>
      </c>
      <c r="C5050" s="2" t="s">
        <v>26</v>
      </c>
      <c r="D5050" s="2" t="s">
        <v>573</v>
      </c>
      <c r="E5050" s="4">
        <v>-31900</v>
      </c>
      <c r="F5050" s="3" t="s">
        <v>276</v>
      </c>
      <c r="G5050" s="3" t="s">
        <v>277</v>
      </c>
      <c r="H5050" s="2" t="s">
        <v>21</v>
      </c>
      <c r="I5050" s="2" t="s">
        <v>12985</v>
      </c>
      <c r="J5050" s="3" t="str">
        <f>HYPERLINK("https://www.boe.es/gazeta/dias/1812/08/28/pdfs/GRE-1812-113E.pdf#page=8","Abrir facsímil")</f>
        <v>Abrir facsímil</v>
      </c>
      <c r="K5050" s="3" t="s">
        <v>23</v>
      </c>
    </row>
    <row r="5051" spans="1:11" ht="42" customHeight="1">
      <c r="A5051" s="2" t="s">
        <v>12986</v>
      </c>
      <c r="B5051" s="2" t="s">
        <v>12987</v>
      </c>
      <c r="C5051" s="2" t="s">
        <v>26</v>
      </c>
      <c r="D5051" s="2" t="s">
        <v>27</v>
      </c>
      <c r="E5051" s="4">
        <v>-32109</v>
      </c>
      <c r="F5051" s="3" t="s">
        <v>62</v>
      </c>
      <c r="G5051" s="3" t="s">
        <v>472</v>
      </c>
      <c r="H5051" s="2" t="s">
        <v>21</v>
      </c>
      <c r="I5051" s="2" t="s">
        <v>12988</v>
      </c>
      <c r="J5051" s="3" t="str">
        <f>HYPERLINK("https://www.boe.es/gazeta/dias/1812/02/01/pdfs/GRE-1812-14.pdf#page=12","Abrir facsímil")</f>
        <v>Abrir facsímil</v>
      </c>
      <c r="K5051" s="3" t="s">
        <v>23</v>
      </c>
    </row>
    <row r="5052" spans="1:11" ht="42" customHeight="1">
      <c r="A5052" s="2" t="s">
        <v>12989</v>
      </c>
      <c r="B5052" s="2" t="s">
        <v>12990</v>
      </c>
      <c r="C5052" s="2" t="s">
        <v>26</v>
      </c>
      <c r="D5052" s="2" t="s">
        <v>27</v>
      </c>
      <c r="E5052" s="4">
        <v>-32044</v>
      </c>
      <c r="F5052" s="3" t="s">
        <v>1031</v>
      </c>
      <c r="G5052" s="3" t="s">
        <v>20</v>
      </c>
      <c r="H5052" s="2" t="s">
        <v>21</v>
      </c>
      <c r="I5052" s="2" t="s">
        <v>12991</v>
      </c>
      <c r="J5052" s="3" t="str">
        <f>HYPERLINK("https://www.boe.es/gazeta/dias/1812/04/06/pdfs/GMD-1812-97.pdf#page=3","Abrir facsímil")</f>
        <v>Abrir facsímil</v>
      </c>
      <c r="K5052" s="3" t="s">
        <v>23</v>
      </c>
    </row>
    <row r="5053" spans="1:11" ht="42" customHeight="1">
      <c r="A5053" s="2" t="s">
        <v>12992</v>
      </c>
      <c r="B5053" s="2" t="s">
        <v>12992</v>
      </c>
      <c r="C5053" s="2" t="s">
        <v>17</v>
      </c>
      <c r="D5053" s="2" t="s">
        <v>27</v>
      </c>
      <c r="E5053" s="4">
        <v>-32116</v>
      </c>
      <c r="F5053" s="3" t="s">
        <v>964</v>
      </c>
      <c r="G5053" s="3" t="s">
        <v>2391</v>
      </c>
      <c r="H5053" s="2" t="s">
        <v>21</v>
      </c>
      <c r="I5053" s="2" t="s">
        <v>12993</v>
      </c>
      <c r="J5053" s="3" t="str">
        <f>HYPERLINK("https://www.boe.es/gazeta/dias/1812/01/25/pdfs/GEI-H-1812-11.pdf#page=2","Abrir facsímil")</f>
        <v>Abrir facsímil</v>
      </c>
      <c r="K5053" s="3" t="s">
        <v>23</v>
      </c>
    </row>
    <row r="5054" spans="1:11" ht="42" customHeight="1">
      <c r="A5054" s="2" t="s">
        <v>12994</v>
      </c>
      <c r="B5054" s="2" t="s">
        <v>12994</v>
      </c>
      <c r="C5054" s="2" t="s">
        <v>17</v>
      </c>
      <c r="D5054" s="2" t="s">
        <v>18</v>
      </c>
      <c r="E5054" s="4">
        <v>-32132</v>
      </c>
      <c r="F5054" s="3" t="s">
        <v>484</v>
      </c>
      <c r="G5054" s="3" t="s">
        <v>857</v>
      </c>
      <c r="H5054" s="2" t="s">
        <v>21</v>
      </c>
      <c r="I5054" s="2" t="s">
        <v>12995</v>
      </c>
      <c r="J5054" s="3" t="str">
        <f>HYPERLINK("https://www.boe.es/gazeta/dias/1812/01/09/pdfs/GEI-1812-4.pdf#page=3","Abrir facsímil")</f>
        <v>Abrir facsímil</v>
      </c>
      <c r="K5054" s="3" t="s">
        <v>23</v>
      </c>
    </row>
    <row r="5055" spans="1:11" ht="42" customHeight="1">
      <c r="A5055" s="2" t="s">
        <v>12994</v>
      </c>
      <c r="B5055" s="2" t="s">
        <v>12994</v>
      </c>
      <c r="C5055" s="2" t="s">
        <v>17</v>
      </c>
      <c r="D5055" s="2" t="s">
        <v>27</v>
      </c>
      <c r="E5055" s="4">
        <v>-32013</v>
      </c>
      <c r="F5055" s="3" t="s">
        <v>849</v>
      </c>
      <c r="G5055" s="3" t="s">
        <v>1154</v>
      </c>
      <c r="H5055" s="2" t="s">
        <v>21</v>
      </c>
      <c r="I5055" s="2" t="s">
        <v>12996</v>
      </c>
      <c r="J5055" s="3" t="str">
        <f>HYPERLINK("https://www.boe.es/gazeta/dias/1812/05/07/pdfs/GRE-1812-57.pdf#page=6","Abrir facsímil")</f>
        <v>Abrir facsímil</v>
      </c>
      <c r="K5055" s="3" t="s">
        <v>23</v>
      </c>
    </row>
    <row r="5056" spans="1:11" ht="42" customHeight="1">
      <c r="A5056" s="2" t="s">
        <v>12997</v>
      </c>
      <c r="B5056" s="2" t="s">
        <v>12997</v>
      </c>
      <c r="C5056" s="2" t="s">
        <v>17</v>
      </c>
      <c r="D5056" s="2" t="s">
        <v>27</v>
      </c>
      <c r="E5056" s="4">
        <v>-32137</v>
      </c>
      <c r="F5056" s="3" t="s">
        <v>355</v>
      </c>
      <c r="G5056" s="3" t="s">
        <v>620</v>
      </c>
      <c r="H5056" s="2" t="s">
        <v>21</v>
      </c>
      <c r="I5056" s="2" t="s">
        <v>12998</v>
      </c>
      <c r="J5056" s="3" t="str">
        <f>HYPERLINK("https://www.boe.es/gazeta/dias/1812/01/04/pdfs/GEI-1812-2.pdf#page=3","Abrir facsímil")</f>
        <v>Abrir facsímil</v>
      </c>
      <c r="K5056" s="3" t="s">
        <v>23</v>
      </c>
    </row>
    <row r="5057" spans="1:11" ht="42" customHeight="1">
      <c r="A5057" s="2" t="s">
        <v>12999</v>
      </c>
      <c r="B5057" s="2" t="s">
        <v>12999</v>
      </c>
      <c r="C5057" s="2" t="s">
        <v>17</v>
      </c>
      <c r="D5057" s="2" t="s">
        <v>18</v>
      </c>
      <c r="E5057" s="4">
        <v>-32006</v>
      </c>
      <c r="F5057" s="3" t="s">
        <v>1153</v>
      </c>
      <c r="G5057" s="3" t="s">
        <v>5912</v>
      </c>
      <c r="H5057" s="2" t="s">
        <v>21</v>
      </c>
      <c r="I5057" s="2" t="s">
        <v>13000</v>
      </c>
      <c r="J5057" s="3" t="str">
        <f>HYPERLINK("https://www.boe.es/gazeta/dias/1812/05/14/pdfs/GMD-1812-135.pdf#page=1","Abrir facsímil")</f>
        <v>Abrir facsímil</v>
      </c>
      <c r="K5057" s="3" t="s">
        <v>23</v>
      </c>
    </row>
    <row r="5058" spans="1:11" ht="42" customHeight="1">
      <c r="A5058" s="2" t="s">
        <v>13001</v>
      </c>
      <c r="B5058" s="2" t="s">
        <v>13002</v>
      </c>
      <c r="C5058" s="2" t="s">
        <v>17</v>
      </c>
      <c r="D5058" s="2" t="s">
        <v>27</v>
      </c>
      <c r="E5058" s="4">
        <v>-31945</v>
      </c>
      <c r="F5058" s="3" t="s">
        <v>1485</v>
      </c>
      <c r="G5058" s="3" t="s">
        <v>1486</v>
      </c>
      <c r="H5058" s="2" t="s">
        <v>21</v>
      </c>
      <c r="I5058" s="2" t="s">
        <v>13003</v>
      </c>
      <c r="J5058" s="3" t="str">
        <f>HYPERLINK("https://www.boe.es/gazeta/dias/1812/07/14/pdfs/GRE-1812-88.pdf#page=1","Abrir facsímil")</f>
        <v>Abrir facsímil</v>
      </c>
      <c r="K5058" s="3" t="s">
        <v>23</v>
      </c>
    </row>
    <row r="5059" spans="1:11" ht="42" customHeight="1">
      <c r="A5059" s="2" t="s">
        <v>13004</v>
      </c>
      <c r="B5059" s="2" t="s">
        <v>13004</v>
      </c>
      <c r="C5059" s="2" t="s">
        <v>17</v>
      </c>
      <c r="D5059" s="2" t="s">
        <v>18</v>
      </c>
      <c r="E5059" s="4">
        <v>-31843</v>
      </c>
      <c r="F5059" s="3" t="s">
        <v>3493</v>
      </c>
      <c r="G5059" s="3" t="s">
        <v>125</v>
      </c>
      <c r="H5059" s="2" t="s">
        <v>21</v>
      </c>
      <c r="I5059" s="2" t="s">
        <v>13005</v>
      </c>
      <c r="J5059" s="3" t="str">
        <f>HYPERLINK("https://www.boe.es/gazeta/dias/1812/10/24/pdfs/GMR-1812-31.pdf#page=2","Abrir facsímil")</f>
        <v>Abrir facsímil</v>
      </c>
      <c r="K5059" s="3" t="s">
        <v>23</v>
      </c>
    </row>
    <row r="5060" spans="1:11" ht="42" customHeight="1">
      <c r="A5060" s="2" t="s">
        <v>13006</v>
      </c>
      <c r="B5060" s="2" t="s">
        <v>13006</v>
      </c>
      <c r="C5060" s="2" t="s">
        <v>26</v>
      </c>
      <c r="D5060" s="2" t="s">
        <v>27</v>
      </c>
      <c r="E5060" s="4">
        <v>-31970</v>
      </c>
      <c r="F5060" s="3" t="s">
        <v>10445</v>
      </c>
      <c r="G5060" s="3" t="s">
        <v>45</v>
      </c>
      <c r="H5060" s="2" t="s">
        <v>21</v>
      </c>
      <c r="I5060" s="2" t="s">
        <v>13007</v>
      </c>
      <c r="J5060" s="3" t="str">
        <f>HYPERLINK("https://www.boe.es/gazeta/dias/1812/06/19/pdfs/GMD-1812-171.pdf#page=3","Abrir facsímil")</f>
        <v>Abrir facsímil</v>
      </c>
      <c r="K5060" s="3" t="s">
        <v>23</v>
      </c>
    </row>
    <row r="5061" spans="1:11" ht="42" customHeight="1">
      <c r="A5061" s="2" t="s">
        <v>13008</v>
      </c>
      <c r="B5061" s="2" t="s">
        <v>13009</v>
      </c>
      <c r="C5061" s="2" t="s">
        <v>26</v>
      </c>
      <c r="D5061" s="2" t="s">
        <v>27</v>
      </c>
      <c r="E5061" s="4">
        <v>-31922</v>
      </c>
      <c r="F5061" s="3" t="s">
        <v>622</v>
      </c>
      <c r="G5061" s="3" t="s">
        <v>623</v>
      </c>
      <c r="H5061" s="2" t="s">
        <v>21</v>
      </c>
      <c r="I5061" s="2" t="s">
        <v>13010</v>
      </c>
      <c r="J5061" s="3" t="str">
        <f>HYPERLINK("https://www.boe.es/gazeta/dias/1812/08/06/pdfs/GMD-1812-219.pdf#page=1","Abrir facsímil")</f>
        <v>Abrir facsímil</v>
      </c>
      <c r="K5061" s="3" t="s">
        <v>23</v>
      </c>
    </row>
    <row r="5062" spans="1:11" ht="42" customHeight="1">
      <c r="A5062" s="2" t="s">
        <v>13011</v>
      </c>
      <c r="B5062" s="2" t="s">
        <v>13012</v>
      </c>
      <c r="C5062" s="2" t="s">
        <v>26</v>
      </c>
      <c r="D5062" s="2" t="s">
        <v>27</v>
      </c>
      <c r="E5062" s="4">
        <v>-31922</v>
      </c>
      <c r="F5062" s="3" t="s">
        <v>375</v>
      </c>
      <c r="G5062" s="3" t="s">
        <v>986</v>
      </c>
      <c r="H5062" s="2" t="s">
        <v>21</v>
      </c>
      <c r="I5062" s="2" t="s">
        <v>13013</v>
      </c>
      <c r="J5062" s="3" t="str">
        <f>HYPERLINK("https://www.boe.es/gazeta/dias/1812/08/06/pdfs/GRE-1812-100.pdf#page=8","Abrir facsímil")</f>
        <v>Abrir facsímil</v>
      </c>
      <c r="K5062" s="3" t="s">
        <v>23</v>
      </c>
    </row>
    <row r="5063" spans="1:11" ht="42" customHeight="1">
      <c r="A5063" s="2" t="s">
        <v>13014</v>
      </c>
      <c r="B5063" s="2" t="s">
        <v>13015</v>
      </c>
      <c r="C5063" s="2" t="s">
        <v>17</v>
      </c>
      <c r="D5063" s="2" t="s">
        <v>27</v>
      </c>
      <c r="E5063" s="4">
        <v>-31940</v>
      </c>
      <c r="F5063" s="3" t="s">
        <v>187</v>
      </c>
      <c r="G5063" s="3" t="s">
        <v>45</v>
      </c>
      <c r="H5063" s="2" t="s">
        <v>21</v>
      </c>
      <c r="I5063" s="2" t="s">
        <v>13016</v>
      </c>
      <c r="J5063" s="3" t="str">
        <f>HYPERLINK("https://www.boe.es/gazeta/dias/1812/07/19/pdfs/GMD-1812-201.pdf#page=2","Abrir facsímil")</f>
        <v>Abrir facsímil</v>
      </c>
      <c r="K5063" s="3" t="s">
        <v>23</v>
      </c>
    </row>
    <row r="5064" spans="1:11" ht="42" customHeight="1">
      <c r="A5064" s="2" t="s">
        <v>13017</v>
      </c>
      <c r="B5064" s="2" t="s">
        <v>13018</v>
      </c>
      <c r="C5064" s="2" t="s">
        <v>26</v>
      </c>
      <c r="D5064" s="2" t="s">
        <v>275</v>
      </c>
      <c r="E5064" s="4">
        <v>-31965</v>
      </c>
      <c r="F5064" s="3" t="s">
        <v>1180</v>
      </c>
      <c r="G5064" s="3" t="s">
        <v>777</v>
      </c>
      <c r="H5064" s="2" t="s">
        <v>21</v>
      </c>
      <c r="I5064" s="2" t="s">
        <v>13019</v>
      </c>
      <c r="J5064" s="3" t="str">
        <f>HYPERLINK("https://www.boe.es/gazeta/dias/1812/06/24/pdfs/GMD-1812-176.pdf#page=2","Abrir facsímil")</f>
        <v>Abrir facsímil</v>
      </c>
      <c r="K5064" s="3" t="s">
        <v>23</v>
      </c>
    </row>
    <row r="5065" spans="1:11" ht="42" customHeight="1">
      <c r="A5065" s="2" t="s">
        <v>13020</v>
      </c>
      <c r="B5065" s="2" t="s">
        <v>13021</v>
      </c>
      <c r="C5065" s="2" t="s">
        <v>17</v>
      </c>
      <c r="D5065" s="2" t="s">
        <v>27</v>
      </c>
      <c r="E5065" s="4">
        <v>-32011</v>
      </c>
      <c r="F5065" s="3" t="s">
        <v>1233</v>
      </c>
      <c r="G5065" s="3" t="s">
        <v>8021</v>
      </c>
      <c r="H5065" s="2" t="s">
        <v>21</v>
      </c>
      <c r="I5065" s="2" t="s">
        <v>13022</v>
      </c>
      <c r="J5065" s="3" t="str">
        <f>HYPERLINK("https://www.boe.es/gazeta/dias/1812/05/09/pdfs/GRE-1812-58.pdf#page=2","Abrir facsímil")</f>
        <v>Abrir facsímil</v>
      </c>
      <c r="K5065" s="3" t="s">
        <v>23</v>
      </c>
    </row>
    <row r="5066" spans="1:11" ht="42" customHeight="1">
      <c r="A5066" s="2" t="s">
        <v>13023</v>
      </c>
      <c r="B5066" s="2" t="s">
        <v>13024</v>
      </c>
      <c r="C5066" s="2" t="s">
        <v>115</v>
      </c>
      <c r="D5066" s="2" t="s">
        <v>27</v>
      </c>
      <c r="E5066" s="4">
        <v>-32033</v>
      </c>
      <c r="F5066" s="3" t="s">
        <v>771</v>
      </c>
      <c r="G5066" s="3" t="s">
        <v>130</v>
      </c>
      <c r="H5066" s="2" t="s">
        <v>21</v>
      </c>
      <c r="I5066" s="2" t="s">
        <v>13025</v>
      </c>
      <c r="J5066" s="3" t="str">
        <f>HYPERLINK("https://www.boe.es/gazeta/dias/1812/04/17/pdfs/GMD-1812-108.pdf#page=4","Abrir facsímil")</f>
        <v>Abrir facsímil</v>
      </c>
      <c r="K5066" s="3" t="s">
        <v>23</v>
      </c>
    </row>
    <row r="5067" spans="1:11" ht="42" customHeight="1">
      <c r="A5067" s="2" t="s">
        <v>13026</v>
      </c>
      <c r="B5067" s="2" t="s">
        <v>13027</v>
      </c>
      <c r="C5067" s="2" t="s">
        <v>17</v>
      </c>
      <c r="D5067" s="2" t="s">
        <v>27</v>
      </c>
      <c r="E5067" s="4">
        <v>-31922</v>
      </c>
      <c r="F5067" s="3" t="s">
        <v>375</v>
      </c>
      <c r="G5067" s="3" t="s">
        <v>376</v>
      </c>
      <c r="H5067" s="2" t="s">
        <v>21</v>
      </c>
      <c r="I5067" s="2" t="s">
        <v>13028</v>
      </c>
      <c r="J5067" s="3" t="str">
        <f>HYPERLINK("https://www.boe.es/gazeta/dias/1812/08/06/pdfs/GRE-1812-100.pdf#page=7","Abrir facsímil")</f>
        <v>Abrir facsímil</v>
      </c>
      <c r="K5067" s="3" t="s">
        <v>23</v>
      </c>
    </row>
    <row r="5068" spans="1:11" ht="42" customHeight="1">
      <c r="A5068" s="2" t="s">
        <v>13029</v>
      </c>
      <c r="B5068" s="2" t="s">
        <v>13029</v>
      </c>
      <c r="C5068" s="2" t="s">
        <v>26</v>
      </c>
      <c r="D5068" s="2" t="s">
        <v>27</v>
      </c>
      <c r="E5068" s="4">
        <v>-31965</v>
      </c>
      <c r="F5068" s="3" t="s">
        <v>1180</v>
      </c>
      <c r="G5068" s="3" t="s">
        <v>12136</v>
      </c>
      <c r="H5068" s="2" t="s">
        <v>21</v>
      </c>
      <c r="I5068" s="2" t="s">
        <v>13030</v>
      </c>
      <c r="J5068" s="3" t="str">
        <f>HYPERLINK("https://www.boe.es/gazeta/dias/1812/06/24/pdfs/GMD-1812-176.pdf#page=1","Abrir facsímil")</f>
        <v>Abrir facsímil</v>
      </c>
      <c r="K5068" s="3" t="s">
        <v>23</v>
      </c>
    </row>
    <row r="5069" spans="1:11" ht="42" customHeight="1">
      <c r="A5069" s="2" t="s">
        <v>13031</v>
      </c>
      <c r="B5069" s="2" t="s">
        <v>13032</v>
      </c>
      <c r="C5069" s="2" t="s">
        <v>26</v>
      </c>
      <c r="D5069" s="2" t="s">
        <v>27</v>
      </c>
      <c r="E5069" s="4">
        <v>-32034</v>
      </c>
      <c r="F5069" s="3" t="s">
        <v>28</v>
      </c>
      <c r="G5069" s="3" t="s">
        <v>317</v>
      </c>
      <c r="H5069" s="2" t="s">
        <v>21</v>
      </c>
      <c r="I5069" s="2" t="s">
        <v>13033</v>
      </c>
      <c r="J5069" s="3" t="str">
        <f>HYPERLINK("https://www.boe.es/gazeta/dias/1812/04/16/pdfs/GMD-1812-107.pdf#page=6","Abrir facsímil")</f>
        <v>Abrir facsímil</v>
      </c>
      <c r="K5069" s="3" t="s">
        <v>23</v>
      </c>
    </row>
    <row r="5070" spans="1:11" ht="42" customHeight="1">
      <c r="A5070" s="2" t="s">
        <v>13034</v>
      </c>
      <c r="B5070" s="2" t="s">
        <v>13034</v>
      </c>
      <c r="C5070" s="2" t="s">
        <v>17</v>
      </c>
      <c r="D5070" s="2" t="s">
        <v>18</v>
      </c>
      <c r="E5070" s="4">
        <v>-32128</v>
      </c>
      <c r="F5070" s="3" t="s">
        <v>1927</v>
      </c>
      <c r="G5070" s="3" t="s">
        <v>514</v>
      </c>
      <c r="H5070" s="2" t="s">
        <v>21</v>
      </c>
      <c r="I5070" s="2" t="s">
        <v>13035</v>
      </c>
      <c r="J5070" s="3" t="str">
        <f>HYPERLINK("https://www.boe.es/gazeta/dias/1812/01/13/pdfs/GMD-1812-13.pdf#page=3","Abrir facsímil")</f>
        <v>Abrir facsímil</v>
      </c>
      <c r="K5070" s="3" t="s">
        <v>23</v>
      </c>
    </row>
    <row r="5071" spans="1:11" ht="42" customHeight="1">
      <c r="A5071" s="2" t="s">
        <v>13036</v>
      </c>
      <c r="B5071" s="2" t="s">
        <v>13036</v>
      </c>
      <c r="C5071" s="2" t="s">
        <v>26</v>
      </c>
      <c r="D5071" s="2" t="s">
        <v>27</v>
      </c>
      <c r="E5071" s="4">
        <v>-32120</v>
      </c>
      <c r="F5071" s="3" t="s">
        <v>522</v>
      </c>
      <c r="G5071" s="3" t="s">
        <v>3758</v>
      </c>
      <c r="H5071" s="2" t="s">
        <v>21</v>
      </c>
      <c r="I5071" s="2" t="s">
        <v>13037</v>
      </c>
      <c r="J5071" s="3" t="str">
        <f>HYPERLINK("https://www.boe.es/gazeta/dias/1812/01/21/pdfs/GMD-1812-21.pdf#page=1","Abrir facsímil")</f>
        <v>Abrir facsímil</v>
      </c>
      <c r="K5071" s="3" t="s">
        <v>23</v>
      </c>
    </row>
    <row r="5072" spans="1:11" ht="42" customHeight="1">
      <c r="A5072" s="2" t="s">
        <v>13038</v>
      </c>
      <c r="B5072" s="2" t="s">
        <v>13039</v>
      </c>
      <c r="C5072" s="2" t="s">
        <v>26</v>
      </c>
      <c r="D5072" s="2" t="s">
        <v>27</v>
      </c>
      <c r="E5072" s="4">
        <v>-31936</v>
      </c>
      <c r="F5072" s="3" t="s">
        <v>614</v>
      </c>
      <c r="G5072" s="3" t="s">
        <v>615</v>
      </c>
      <c r="H5072" s="2" t="s">
        <v>21</v>
      </c>
      <c r="I5072" s="2" t="s">
        <v>13040</v>
      </c>
      <c r="J5072" s="3" t="str">
        <f>HYPERLINK("https://www.boe.es/gazeta/dias/1812/07/23/pdfs/GRE-1812-92.pdf#page=8","Abrir facsímil")</f>
        <v>Abrir facsímil</v>
      </c>
      <c r="K5072" s="3" t="s">
        <v>23</v>
      </c>
    </row>
    <row r="5073" spans="1:11" ht="42" customHeight="1">
      <c r="A5073" s="2" t="s">
        <v>13041</v>
      </c>
      <c r="B5073" s="2" t="s">
        <v>13042</v>
      </c>
      <c r="C5073" s="2" t="s">
        <v>17</v>
      </c>
      <c r="D5073" s="2" t="s">
        <v>27</v>
      </c>
      <c r="E5073" s="4">
        <v>-31931</v>
      </c>
      <c r="F5073" s="3" t="s">
        <v>2350</v>
      </c>
      <c r="G5073" s="3" t="s">
        <v>2351</v>
      </c>
      <c r="H5073" s="2" t="s">
        <v>21</v>
      </c>
      <c r="I5073" s="2" t="s">
        <v>13043</v>
      </c>
      <c r="J5073" s="3" t="str">
        <f>HYPERLINK("https://www.boe.es/gazeta/dias/1812/07/28/pdfs/GMD-1812-210.pdf#page=2","Abrir facsímil")</f>
        <v>Abrir facsímil</v>
      </c>
      <c r="K5073" s="3" t="s">
        <v>23</v>
      </c>
    </row>
    <row r="5074" spans="1:11" ht="42" customHeight="1">
      <c r="A5074" s="2" t="s">
        <v>13044</v>
      </c>
      <c r="B5074" s="2" t="s">
        <v>13045</v>
      </c>
      <c r="C5074" s="2" t="s">
        <v>67</v>
      </c>
      <c r="D5074" s="2" t="s">
        <v>27</v>
      </c>
      <c r="E5074" s="4">
        <v>-31938</v>
      </c>
      <c r="F5074" s="3" t="s">
        <v>324</v>
      </c>
      <c r="G5074" s="3" t="s">
        <v>237</v>
      </c>
      <c r="H5074" s="2" t="s">
        <v>21</v>
      </c>
      <c r="I5074" s="2" t="s">
        <v>13046</v>
      </c>
      <c r="J5074" s="3" t="str">
        <f>HYPERLINK("https://www.boe.es/gazeta/dias/1812/07/21/pdfs/GMD-1812-203.pdf#page=2","Abrir facsímil")</f>
        <v>Abrir facsímil</v>
      </c>
      <c r="K5074" s="3" t="s">
        <v>23</v>
      </c>
    </row>
    <row r="5075" spans="1:11" ht="42" customHeight="1">
      <c r="A5075" s="2" t="s">
        <v>13047</v>
      </c>
      <c r="B5075" s="2" t="s">
        <v>13048</v>
      </c>
      <c r="C5075" s="2" t="s">
        <v>26</v>
      </c>
      <c r="D5075" s="2" t="s">
        <v>27</v>
      </c>
      <c r="E5075" s="4">
        <v>-32127</v>
      </c>
      <c r="F5075" s="3" t="s">
        <v>88</v>
      </c>
      <c r="G5075" s="3" t="s">
        <v>89</v>
      </c>
      <c r="H5075" s="2" t="s">
        <v>21</v>
      </c>
      <c r="I5075" s="2" t="s">
        <v>13049</v>
      </c>
      <c r="J5075" s="3" t="str">
        <f>HYPERLINK("https://www.boe.es/gazeta/dias/1812/01/14/pdfs/GEI-1812-6.pdf#page=8","Abrir facsímil")</f>
        <v>Abrir facsímil</v>
      </c>
      <c r="K5075" s="3" t="s">
        <v>23</v>
      </c>
    </row>
    <row r="5076" spans="1:11" ht="42" customHeight="1">
      <c r="A5076" s="2" t="s">
        <v>13050</v>
      </c>
      <c r="B5076" s="2" t="s">
        <v>13050</v>
      </c>
      <c r="C5076" s="2" t="s">
        <v>17</v>
      </c>
      <c r="D5076" s="2" t="s">
        <v>18</v>
      </c>
      <c r="E5076" s="4">
        <v>-31803</v>
      </c>
      <c r="F5076" s="3" t="s">
        <v>221</v>
      </c>
      <c r="G5076" s="3" t="s">
        <v>11745</v>
      </c>
      <c r="H5076" s="2" t="s">
        <v>21</v>
      </c>
      <c r="I5076" s="2" t="s">
        <v>13051</v>
      </c>
      <c r="J5076" s="3" t="str">
        <f>HYPERLINK("https://www.boe.es/gazeta/dias/1812/12/03/pdfs/GRE-1812-160.pdf#page=2","Abrir facsímil")</f>
        <v>Abrir facsímil</v>
      </c>
      <c r="K5076" s="3" t="s">
        <v>23</v>
      </c>
    </row>
    <row r="5077" spans="1:11" ht="42" customHeight="1">
      <c r="A5077" s="2" t="s">
        <v>13052</v>
      </c>
      <c r="B5077" s="2" t="s">
        <v>13052</v>
      </c>
      <c r="C5077" s="2" t="s">
        <v>17</v>
      </c>
      <c r="D5077" s="2" t="s">
        <v>27</v>
      </c>
      <c r="E5077" s="4">
        <v>-31908</v>
      </c>
      <c r="F5077" s="3" t="s">
        <v>835</v>
      </c>
      <c r="G5077" s="3" t="s">
        <v>5298</v>
      </c>
      <c r="H5077" s="2" t="s">
        <v>21</v>
      </c>
      <c r="I5077" s="2" t="s">
        <v>13053</v>
      </c>
      <c r="J5077" s="3" t="str">
        <f>HYPERLINK("https://www.boe.es/gazeta/dias/1812/08/20/pdfs/GRE-1812-107.pdf#page=5","Abrir facsímil")</f>
        <v>Abrir facsímil</v>
      </c>
      <c r="K5077" s="3" t="s">
        <v>23</v>
      </c>
    </row>
    <row r="5078" spans="1:11" ht="42" customHeight="1">
      <c r="A5078" s="2" t="s">
        <v>13054</v>
      </c>
      <c r="B5078" s="2" t="s">
        <v>13054</v>
      </c>
      <c r="C5078" s="2" t="s">
        <v>17</v>
      </c>
      <c r="D5078" s="2" t="s">
        <v>194</v>
      </c>
      <c r="E5078" s="4">
        <v>-32063</v>
      </c>
      <c r="F5078" s="3" t="s">
        <v>384</v>
      </c>
      <c r="G5078" s="3" t="s">
        <v>366</v>
      </c>
      <c r="H5078" s="2" t="s">
        <v>21</v>
      </c>
      <c r="I5078" s="2" t="s">
        <v>13055</v>
      </c>
      <c r="J5078" s="3" t="str">
        <f>HYPERLINK("https://www.boe.es/gazeta/dias/1812/03/18/pdfs/GMD-1812-78.pdf#page=2","Abrir facsímil")</f>
        <v>Abrir facsímil</v>
      </c>
      <c r="K5078" s="3" t="s">
        <v>23</v>
      </c>
    </row>
    <row r="5079" spans="1:11" ht="42" customHeight="1">
      <c r="A5079" s="2" t="s">
        <v>13056</v>
      </c>
      <c r="B5079" s="2" t="s">
        <v>13056</v>
      </c>
      <c r="C5079" s="2" t="s">
        <v>186</v>
      </c>
      <c r="D5079" s="2" t="s">
        <v>27</v>
      </c>
      <c r="E5079" s="4">
        <v>-32093</v>
      </c>
      <c r="F5079" s="3" t="s">
        <v>4503</v>
      </c>
      <c r="G5079" s="3" t="s">
        <v>217</v>
      </c>
      <c r="H5079" s="2" t="s">
        <v>21</v>
      </c>
      <c r="I5079" s="2" t="s">
        <v>13057</v>
      </c>
      <c r="J5079" s="3" t="str">
        <f>HYPERLINK("https://www.boe.es/gazeta/dias/1812/02/17/pdfs/GMD-1812-48.pdf#page=1","Abrir facsímil")</f>
        <v>Abrir facsímil</v>
      </c>
      <c r="K5079" s="3" t="s">
        <v>23</v>
      </c>
    </row>
    <row r="5080" spans="1:11" ht="42" customHeight="1">
      <c r="A5080" s="2" t="s">
        <v>13058</v>
      </c>
      <c r="B5080" s="2" t="s">
        <v>13058</v>
      </c>
      <c r="C5080" s="2" t="s">
        <v>17</v>
      </c>
      <c r="D5080" s="2" t="s">
        <v>27</v>
      </c>
      <c r="E5080" s="4">
        <v>-31789</v>
      </c>
      <c r="F5080" s="3" t="s">
        <v>873</v>
      </c>
      <c r="G5080" s="3" t="s">
        <v>1883</v>
      </c>
      <c r="H5080" s="2" t="s">
        <v>21</v>
      </c>
      <c r="I5080" s="2" t="s">
        <v>13059</v>
      </c>
      <c r="J5080" s="3" t="str">
        <f>HYPERLINK("https://www.boe.es/gazeta/dias/1812/12/17/pdfs/GMD-1812-240.pdf#page=2","Abrir facsímil")</f>
        <v>Abrir facsímil</v>
      </c>
      <c r="K5080" s="3" t="s">
        <v>23</v>
      </c>
    </row>
    <row r="5081" spans="1:11" ht="42" customHeight="1">
      <c r="A5081" s="2" t="s">
        <v>13060</v>
      </c>
      <c r="B5081" s="2" t="s">
        <v>13061</v>
      </c>
      <c r="C5081" s="2" t="s">
        <v>115</v>
      </c>
      <c r="D5081" s="2" t="s">
        <v>27</v>
      </c>
      <c r="E5081" s="4">
        <v>-31977</v>
      </c>
      <c r="F5081" s="3" t="s">
        <v>1566</v>
      </c>
      <c r="G5081" s="3" t="s">
        <v>4712</v>
      </c>
      <c r="H5081" s="2" t="s">
        <v>21</v>
      </c>
      <c r="I5081" s="2" t="s">
        <v>13062</v>
      </c>
      <c r="J5081" s="3" t="str">
        <f>HYPERLINK("https://www.boe.es/gazeta/dias/1812/06/12/pdfs/GMD-1812-164.pdf#page=4","Abrir facsímil")</f>
        <v>Abrir facsímil</v>
      </c>
      <c r="K5081" s="3" t="s">
        <v>23</v>
      </c>
    </row>
    <row r="5082" spans="1:11" ht="42" customHeight="1">
      <c r="A5082" s="2" t="s">
        <v>13063</v>
      </c>
      <c r="B5082" s="2" t="s">
        <v>13064</v>
      </c>
      <c r="C5082" s="2" t="s">
        <v>49</v>
      </c>
      <c r="D5082" s="2" t="s">
        <v>27</v>
      </c>
      <c r="E5082" s="4">
        <v>-32075</v>
      </c>
      <c r="F5082" s="3" t="s">
        <v>301</v>
      </c>
      <c r="G5082" s="3" t="s">
        <v>20</v>
      </c>
      <c r="H5082" s="2" t="s">
        <v>21</v>
      </c>
      <c r="I5082" s="2" t="s">
        <v>13065</v>
      </c>
      <c r="J5082" s="3" t="str">
        <f>HYPERLINK("https://www.boe.es/gazeta/dias/1812/03/06/pdfs/GMD-1812-66.pdf#page=4","Abrir facsímil")</f>
        <v>Abrir facsímil</v>
      </c>
      <c r="K5082" s="3" t="s">
        <v>23</v>
      </c>
    </row>
    <row r="5083" spans="1:11" ht="42" customHeight="1">
      <c r="A5083" s="2" t="s">
        <v>13066</v>
      </c>
      <c r="B5083" s="2" t="s">
        <v>13067</v>
      </c>
      <c r="C5083" s="2" t="s">
        <v>186</v>
      </c>
      <c r="D5083" s="2" t="s">
        <v>275</v>
      </c>
      <c r="E5083" s="4">
        <v>-32134</v>
      </c>
      <c r="F5083" s="3" t="s">
        <v>50</v>
      </c>
      <c r="G5083" s="3" t="s">
        <v>233</v>
      </c>
      <c r="H5083" s="2" t="s">
        <v>21</v>
      </c>
      <c r="I5083" s="2" t="s">
        <v>13068</v>
      </c>
      <c r="J5083" s="3" t="str">
        <f>HYPERLINK("https://www.boe.es/gazeta/dias/1812/01/07/pdfs/GEI-1812-3.pdf#page=8","Abrir facsímil")</f>
        <v>Abrir facsímil</v>
      </c>
      <c r="K5083" s="3" t="s">
        <v>23</v>
      </c>
    </row>
    <row r="5084" spans="1:11" ht="42" customHeight="1">
      <c r="A5084" s="2" t="s">
        <v>13069</v>
      </c>
      <c r="B5084" s="2" t="s">
        <v>13070</v>
      </c>
      <c r="C5084" s="2" t="s">
        <v>26</v>
      </c>
      <c r="D5084" s="2" t="s">
        <v>27</v>
      </c>
      <c r="E5084" s="4">
        <v>-31819</v>
      </c>
      <c r="F5084" s="3" t="s">
        <v>1770</v>
      </c>
      <c r="G5084" s="3" t="s">
        <v>1771</v>
      </c>
      <c r="H5084" s="2" t="s">
        <v>21</v>
      </c>
      <c r="I5084" s="2" t="s">
        <v>13071</v>
      </c>
      <c r="J5084" s="3" t="str">
        <f>HYPERLINK("https://www.boe.es/gazeta/dias/1812/11/17/pdfs/GRE-1812-153.pdf#page=4","Abrir facsímil")</f>
        <v>Abrir facsímil</v>
      </c>
      <c r="K5084" s="3" t="s">
        <v>23</v>
      </c>
    </row>
    <row r="5085" spans="1:11" ht="42" customHeight="1">
      <c r="A5085" s="2" t="s">
        <v>13072</v>
      </c>
      <c r="B5085" s="2" t="s">
        <v>13072</v>
      </c>
      <c r="C5085" s="2" t="s">
        <v>17</v>
      </c>
      <c r="D5085" s="2" t="s">
        <v>27</v>
      </c>
      <c r="E5085" s="4">
        <v>-31908</v>
      </c>
      <c r="F5085" s="3" t="s">
        <v>835</v>
      </c>
      <c r="G5085" s="3" t="s">
        <v>1413</v>
      </c>
      <c r="H5085" s="2" t="s">
        <v>21</v>
      </c>
      <c r="I5085" s="2" t="s">
        <v>13073</v>
      </c>
      <c r="J5085" s="3" t="str">
        <f>HYPERLINK("https://www.boe.es/gazeta/dias/1812/08/20/pdfs/GRE-1812-107.pdf#page=7","Abrir facsímil")</f>
        <v>Abrir facsímil</v>
      </c>
      <c r="K5085" s="3" t="s">
        <v>23</v>
      </c>
    </row>
    <row r="5086" spans="1:11" ht="42" customHeight="1">
      <c r="A5086" s="2" t="s">
        <v>13074</v>
      </c>
      <c r="B5086" s="2" t="s">
        <v>13074</v>
      </c>
      <c r="C5086" s="2" t="s">
        <v>26</v>
      </c>
      <c r="D5086" s="2" t="s">
        <v>27</v>
      </c>
      <c r="E5086" s="4">
        <v>-32109</v>
      </c>
      <c r="F5086" s="3" t="s">
        <v>62</v>
      </c>
      <c r="G5086" s="3" t="s">
        <v>106</v>
      </c>
      <c r="H5086" s="2" t="s">
        <v>21</v>
      </c>
      <c r="I5086" s="2" t="s">
        <v>13075</v>
      </c>
      <c r="J5086" s="3" t="str">
        <f>HYPERLINK("https://www.boe.es/gazeta/dias/1812/02/01/pdfs/GRE-1812-14.pdf#page=11","Abrir facsímil")</f>
        <v>Abrir facsímil</v>
      </c>
      <c r="K5086" s="3" t="s">
        <v>23</v>
      </c>
    </row>
    <row r="5087" spans="1:11" ht="42" customHeight="1">
      <c r="A5087" s="2" t="s">
        <v>13074</v>
      </c>
      <c r="B5087" s="2" t="s">
        <v>13074</v>
      </c>
      <c r="C5087" s="2" t="s">
        <v>26</v>
      </c>
      <c r="D5087" s="2" t="s">
        <v>27</v>
      </c>
      <c r="E5087" s="4">
        <v>-32100</v>
      </c>
      <c r="F5087" s="3" t="s">
        <v>492</v>
      </c>
      <c r="G5087" s="3" t="s">
        <v>739</v>
      </c>
      <c r="H5087" s="2" t="s">
        <v>21</v>
      </c>
      <c r="I5087" s="2" t="s">
        <v>13076</v>
      </c>
      <c r="J5087" s="3" t="str">
        <f>HYPERLINK("https://www.boe.es/gazeta/dias/1812/02/10/pdfs/GRE-1812-31.pdf#page=5","Abrir facsímil")</f>
        <v>Abrir facsímil</v>
      </c>
      <c r="K5087" s="3" t="s">
        <v>23</v>
      </c>
    </row>
    <row r="5088" spans="1:11" ht="42" customHeight="1">
      <c r="A5088" s="2" t="s">
        <v>13074</v>
      </c>
      <c r="B5088" s="2" t="s">
        <v>13074</v>
      </c>
      <c r="C5088" s="2" t="s">
        <v>26</v>
      </c>
      <c r="D5088" s="2" t="s">
        <v>27</v>
      </c>
      <c r="E5088" s="4">
        <v>-32072</v>
      </c>
      <c r="F5088" s="3" t="s">
        <v>8696</v>
      </c>
      <c r="G5088" s="3" t="s">
        <v>336</v>
      </c>
      <c r="H5088" s="2" t="s">
        <v>21</v>
      </c>
      <c r="I5088" s="2" t="s">
        <v>13077</v>
      </c>
      <c r="J5088" s="3" t="str">
        <f>HYPERLINK("https://www.boe.es/gazeta/dias/1812/03/09/pdfs/GMD-1812-69.pdf#page=4","Abrir facsímil")</f>
        <v>Abrir facsímil</v>
      </c>
      <c r="K5088" s="3" t="s">
        <v>23</v>
      </c>
    </row>
    <row r="5089" spans="1:11" ht="42" customHeight="1">
      <c r="A5089" s="2" t="s">
        <v>13074</v>
      </c>
      <c r="B5089" s="2" t="s">
        <v>13074</v>
      </c>
      <c r="C5089" s="2" t="s">
        <v>26</v>
      </c>
      <c r="D5089" s="2" t="s">
        <v>27</v>
      </c>
      <c r="E5089" s="4">
        <v>-32071</v>
      </c>
      <c r="F5089" s="3" t="s">
        <v>492</v>
      </c>
      <c r="G5089" s="3" t="s">
        <v>739</v>
      </c>
      <c r="H5089" s="2" t="s">
        <v>21</v>
      </c>
      <c r="I5089" s="2" t="s">
        <v>13076</v>
      </c>
      <c r="J5089" s="3" t="str">
        <f>HYPERLINK("https://www.boe.es/gazeta/dias/1812/03/10/pdfs/GRE-1812-31.pdf#page=5","Abrir facsímil")</f>
        <v>Abrir facsímil</v>
      </c>
      <c r="K5089" s="3" t="s">
        <v>23</v>
      </c>
    </row>
    <row r="5090" spans="1:11" ht="42" customHeight="1">
      <c r="A5090" s="2" t="s">
        <v>13074</v>
      </c>
      <c r="B5090" s="2" t="s">
        <v>13074</v>
      </c>
      <c r="C5090" s="2" t="s">
        <v>17</v>
      </c>
      <c r="D5090" s="2" t="s">
        <v>18</v>
      </c>
      <c r="E5090" s="4">
        <v>-32063</v>
      </c>
      <c r="F5090" s="3" t="s">
        <v>384</v>
      </c>
      <c r="G5090" s="3" t="s">
        <v>125</v>
      </c>
      <c r="H5090" s="2" t="s">
        <v>21</v>
      </c>
      <c r="I5090" s="2" t="s">
        <v>13078</v>
      </c>
      <c r="J5090" s="3" t="str">
        <f>HYPERLINK("https://www.boe.es/gazeta/dias/1812/03/18/pdfs/GMD-1812-78.pdf#page=3","Abrir facsímil")</f>
        <v>Abrir facsímil</v>
      </c>
      <c r="K5090" s="3" t="s">
        <v>23</v>
      </c>
    </row>
    <row r="5091" spans="1:11" ht="42" customHeight="1">
      <c r="A5091" s="2" t="s">
        <v>13074</v>
      </c>
      <c r="B5091" s="2" t="s">
        <v>13074</v>
      </c>
      <c r="C5091" s="2" t="s">
        <v>26</v>
      </c>
      <c r="D5091" s="2" t="s">
        <v>275</v>
      </c>
      <c r="E5091" s="4">
        <v>-32063</v>
      </c>
      <c r="F5091" s="3" t="s">
        <v>384</v>
      </c>
      <c r="G5091" s="3" t="s">
        <v>20</v>
      </c>
      <c r="H5091" s="2" t="s">
        <v>21</v>
      </c>
      <c r="I5091" s="2" t="s">
        <v>13079</v>
      </c>
      <c r="J5091" s="3" t="str">
        <f>HYPERLINK("https://www.boe.es/gazeta/dias/1812/03/18/pdfs/GMD-1812-78.pdf#page=4","Abrir facsímil")</f>
        <v>Abrir facsímil</v>
      </c>
      <c r="K5091" s="3" t="s">
        <v>23</v>
      </c>
    </row>
    <row r="5092" spans="1:11" ht="42" customHeight="1">
      <c r="A5092" s="2" t="s">
        <v>13074</v>
      </c>
      <c r="B5092" s="2" t="s">
        <v>13074</v>
      </c>
      <c r="C5092" s="2" t="s">
        <v>49</v>
      </c>
      <c r="D5092" s="2" t="s">
        <v>27</v>
      </c>
      <c r="E5092" s="4">
        <v>-32007</v>
      </c>
      <c r="F5092" s="3" t="s">
        <v>11855</v>
      </c>
      <c r="G5092" s="3" t="s">
        <v>140</v>
      </c>
      <c r="H5092" s="2" t="s">
        <v>21</v>
      </c>
      <c r="I5092" s="2" t="s">
        <v>13080</v>
      </c>
      <c r="J5092" s="3" t="str">
        <f>HYPERLINK("https://www.boe.es/gazeta/dias/1812/05/13/pdfs/GMD-1812-134.pdf#page=2","Abrir facsímil")</f>
        <v>Abrir facsímil</v>
      </c>
      <c r="K5092" s="3" t="s">
        <v>23</v>
      </c>
    </row>
    <row r="5093" spans="1:11" ht="42" customHeight="1">
      <c r="A5093" s="2" t="s">
        <v>13074</v>
      </c>
      <c r="B5093" s="2" t="s">
        <v>13074</v>
      </c>
      <c r="C5093" s="2" t="s">
        <v>26</v>
      </c>
      <c r="D5093" s="2" t="s">
        <v>27</v>
      </c>
      <c r="E5093" s="4">
        <v>-32002</v>
      </c>
      <c r="F5093" s="3" t="s">
        <v>619</v>
      </c>
      <c r="G5093" s="3" t="s">
        <v>20</v>
      </c>
      <c r="H5093" s="2" t="s">
        <v>21</v>
      </c>
      <c r="I5093" s="2" t="s">
        <v>13081</v>
      </c>
      <c r="J5093" s="3" t="str">
        <f>HYPERLINK("https://www.boe.es/gazeta/dias/1812/05/18/pdfs/GMD-1812-139.pdf#page=3","Abrir facsímil")</f>
        <v>Abrir facsímil</v>
      </c>
      <c r="K5093" s="3" t="s">
        <v>23</v>
      </c>
    </row>
    <row r="5094" spans="1:11" ht="42" customHeight="1">
      <c r="A5094" s="2" t="s">
        <v>13074</v>
      </c>
      <c r="B5094" s="2" t="s">
        <v>13074</v>
      </c>
      <c r="C5094" s="2" t="s">
        <v>26</v>
      </c>
      <c r="D5094" s="2" t="s">
        <v>134</v>
      </c>
      <c r="E5094" s="4">
        <v>-31955</v>
      </c>
      <c r="F5094" s="3" t="s">
        <v>135</v>
      </c>
      <c r="G5094" s="3" t="s">
        <v>136</v>
      </c>
      <c r="H5094" s="2" t="s">
        <v>21</v>
      </c>
      <c r="I5094" s="2" t="s">
        <v>13082</v>
      </c>
      <c r="J5094" s="3" t="str">
        <f>HYPERLINK("https://www.boe.es/gazeta/dias/1812/07/04/pdfs/GRE-F-1812-82.pdf#page=8","Abrir facsímil")</f>
        <v>Abrir facsímil</v>
      </c>
      <c r="K5094" s="3" t="s">
        <v>23</v>
      </c>
    </row>
    <row r="5095" spans="1:11" ht="42" customHeight="1">
      <c r="A5095" s="2" t="s">
        <v>13074</v>
      </c>
      <c r="B5095" s="2" t="s">
        <v>13074</v>
      </c>
      <c r="C5095" s="2" t="s">
        <v>26</v>
      </c>
      <c r="D5095" s="2" t="s">
        <v>27</v>
      </c>
      <c r="E5095" s="4">
        <v>-31942</v>
      </c>
      <c r="F5095" s="3" t="s">
        <v>3065</v>
      </c>
      <c r="G5095" s="3" t="s">
        <v>3066</v>
      </c>
      <c r="H5095" s="2" t="s">
        <v>21</v>
      </c>
      <c r="I5095" s="2" t="s">
        <v>13083</v>
      </c>
      <c r="J5095" s="3" t="str">
        <f>HYPERLINK("https://www.boe.es/gazeta/dias/1812/07/17/pdfs/GMD-1812-199.pdf#page=3","Abrir facsímil")</f>
        <v>Abrir facsímil</v>
      </c>
      <c r="K5095" s="3" t="s">
        <v>23</v>
      </c>
    </row>
    <row r="5096" spans="1:11" ht="42" customHeight="1">
      <c r="A5096" s="2" t="s">
        <v>13074</v>
      </c>
      <c r="B5096" s="2" t="s">
        <v>13074</v>
      </c>
      <c r="C5096" s="2" t="s">
        <v>17</v>
      </c>
      <c r="D5096" s="2" t="s">
        <v>27</v>
      </c>
      <c r="E5096" s="4">
        <v>-31908</v>
      </c>
      <c r="F5096" s="3" t="s">
        <v>835</v>
      </c>
      <c r="G5096" s="3" t="s">
        <v>13084</v>
      </c>
      <c r="H5096" s="2" t="s">
        <v>21</v>
      </c>
      <c r="I5096" s="2" t="s">
        <v>13085</v>
      </c>
      <c r="J5096" s="3" t="str">
        <f>HYPERLINK("https://www.boe.es/gazeta/dias/1812/08/20/pdfs/GRE-1812-107.pdf#page=8","Abrir facsímil")</f>
        <v>Abrir facsímil</v>
      </c>
      <c r="K5096" s="3" t="s">
        <v>23</v>
      </c>
    </row>
    <row r="5097" spans="1:11" ht="42" customHeight="1">
      <c r="A5097" s="2" t="s">
        <v>13074</v>
      </c>
      <c r="B5097" s="2" t="s">
        <v>13074</v>
      </c>
      <c r="C5097" s="2" t="s">
        <v>17</v>
      </c>
      <c r="D5097" s="2" t="s">
        <v>27</v>
      </c>
      <c r="E5097" s="4">
        <v>-31894</v>
      </c>
      <c r="F5097" s="3" t="s">
        <v>3953</v>
      </c>
      <c r="G5097" s="3" t="s">
        <v>2262</v>
      </c>
      <c r="H5097" s="2" t="s">
        <v>21</v>
      </c>
      <c r="I5097" s="2" t="s">
        <v>13086</v>
      </c>
      <c r="J5097" s="3" t="str">
        <f>HYPERLINK("https://www.boe.es/gazeta/dias/1812/09/03/pdfs/GMR-1812-9.pdf#page=5","Abrir facsímil")</f>
        <v>Abrir facsímil</v>
      </c>
      <c r="K5097" s="3" t="s">
        <v>23</v>
      </c>
    </row>
    <row r="5098" spans="1:11" ht="42" customHeight="1">
      <c r="A5098" s="2" t="s">
        <v>13074</v>
      </c>
      <c r="B5098" s="2" t="s">
        <v>13074</v>
      </c>
      <c r="C5098" s="2" t="s">
        <v>26</v>
      </c>
      <c r="D5098" s="2" t="s">
        <v>27</v>
      </c>
      <c r="E5098" s="4">
        <v>-31894</v>
      </c>
      <c r="F5098" s="3" t="s">
        <v>793</v>
      </c>
      <c r="G5098" s="3" t="s">
        <v>11570</v>
      </c>
      <c r="H5098" s="2" t="s">
        <v>21</v>
      </c>
      <c r="I5098" s="2" t="s">
        <v>13087</v>
      </c>
      <c r="J5098" s="3" t="str">
        <f>HYPERLINK("https://www.boe.es/gazeta/dias/1812/09/03/pdfs/GRE-1812-119.pdf#page=6","Abrir facsímil")</f>
        <v>Abrir facsímil</v>
      </c>
      <c r="K5098" s="3" t="s">
        <v>23</v>
      </c>
    </row>
    <row r="5099" spans="1:11" ht="42" customHeight="1">
      <c r="A5099" s="2" t="s">
        <v>13074</v>
      </c>
      <c r="B5099" s="2" t="s">
        <v>13074</v>
      </c>
      <c r="C5099" s="2" t="s">
        <v>67</v>
      </c>
      <c r="D5099" s="2" t="s">
        <v>194</v>
      </c>
      <c r="E5099" s="4">
        <v>-31797</v>
      </c>
      <c r="F5099" s="3" t="s">
        <v>738</v>
      </c>
      <c r="G5099" s="3" t="s">
        <v>739</v>
      </c>
      <c r="H5099" s="2" t="s">
        <v>21</v>
      </c>
      <c r="I5099" s="2" t="s">
        <v>13088</v>
      </c>
      <c r="J5099" s="3" t="str">
        <f>HYPERLINK("https://www.boe.es/gazeta/dias/1812/12/09/pdfs/GMD-1812-232.pdf#page=2","Abrir facsímil")</f>
        <v>Abrir facsímil</v>
      </c>
      <c r="K5099" s="3" t="s">
        <v>23</v>
      </c>
    </row>
    <row r="5100" spans="1:11" ht="42" customHeight="1">
      <c r="A5100" s="2" t="s">
        <v>13089</v>
      </c>
      <c r="B5100" s="2" t="s">
        <v>13090</v>
      </c>
      <c r="C5100" s="2" t="s">
        <v>26</v>
      </c>
      <c r="D5100" s="2" t="s">
        <v>27</v>
      </c>
      <c r="E5100" s="4">
        <v>-32077</v>
      </c>
      <c r="F5100" s="3" t="s">
        <v>639</v>
      </c>
      <c r="G5100" s="3" t="s">
        <v>742</v>
      </c>
      <c r="H5100" s="2" t="s">
        <v>21</v>
      </c>
      <c r="I5100" s="2" t="s">
        <v>13091</v>
      </c>
      <c r="J5100" s="3" t="str">
        <f>HYPERLINK("https://www.boe.es/gazeta/dias/1812/03/04/pdfs/GMD-1812-64.pdf#page=1","Abrir facsímil")</f>
        <v>Abrir facsímil</v>
      </c>
      <c r="K5100" s="3" t="s">
        <v>23</v>
      </c>
    </row>
    <row r="5101" spans="1:11" ht="42" customHeight="1">
      <c r="A5101" s="2" t="s">
        <v>13092</v>
      </c>
      <c r="B5101" s="2" t="s">
        <v>13093</v>
      </c>
      <c r="C5101" s="2" t="s">
        <v>17</v>
      </c>
      <c r="D5101" s="2" t="s">
        <v>27</v>
      </c>
      <c r="E5101" s="4">
        <v>-32116</v>
      </c>
      <c r="F5101" s="3" t="s">
        <v>382</v>
      </c>
      <c r="G5101" s="3" t="s">
        <v>136</v>
      </c>
      <c r="H5101" s="2" t="s">
        <v>21</v>
      </c>
      <c r="I5101" s="2" t="s">
        <v>13094</v>
      </c>
      <c r="J5101" s="3" t="str">
        <f>HYPERLINK("https://www.boe.es/gazeta/dias/1812/01/25/pdfs/GMD-1812-25.pdf#page=4","Abrir facsímil")</f>
        <v>Abrir facsímil</v>
      </c>
      <c r="K5101" s="3" t="s">
        <v>23</v>
      </c>
    </row>
    <row r="5102" spans="1:11" ht="42" customHeight="1">
      <c r="A5102" s="2" t="s">
        <v>13095</v>
      </c>
      <c r="B5102" s="2" t="s">
        <v>13096</v>
      </c>
      <c r="C5102" s="2" t="s">
        <v>105</v>
      </c>
      <c r="D5102" s="2" t="s">
        <v>194</v>
      </c>
      <c r="E5102" s="4">
        <v>-32139</v>
      </c>
      <c r="F5102" s="3" t="s">
        <v>518</v>
      </c>
      <c r="G5102" s="3" t="s">
        <v>237</v>
      </c>
      <c r="H5102" s="2" t="s">
        <v>21</v>
      </c>
      <c r="I5102" s="2" t="s">
        <v>13097</v>
      </c>
      <c r="J5102" s="3" t="str">
        <f>HYPERLINK("https://www.boe.es/gazeta/dias/1812/01/02/pdfs/GEI-1812-1.pdf#page=2","Abrir facsímil")</f>
        <v>Abrir facsímil</v>
      </c>
      <c r="K5102" s="3" t="s">
        <v>23</v>
      </c>
    </row>
    <row r="5103" spans="1:11" ht="42" customHeight="1">
      <c r="A5103" s="2" t="s">
        <v>13098</v>
      </c>
      <c r="B5103" s="2" t="s">
        <v>13099</v>
      </c>
      <c r="C5103" s="2" t="s">
        <v>26</v>
      </c>
      <c r="D5103" s="2" t="s">
        <v>27</v>
      </c>
      <c r="E5103" s="4">
        <v>-32137</v>
      </c>
      <c r="F5103" s="3" t="s">
        <v>355</v>
      </c>
      <c r="G5103" s="3" t="s">
        <v>117</v>
      </c>
      <c r="H5103" s="2" t="s">
        <v>21</v>
      </c>
      <c r="I5103" s="2" t="s">
        <v>13100</v>
      </c>
      <c r="J5103" s="3" t="str">
        <f>HYPERLINK("https://www.boe.es/gazeta/dias/1812/01/04/pdfs/GEI-1812-2.pdf#page=8","Abrir facsímil")</f>
        <v>Abrir facsímil</v>
      </c>
      <c r="K5103" s="3" t="s">
        <v>23</v>
      </c>
    </row>
    <row r="5104" spans="1:11" ht="42" customHeight="1">
      <c r="A5104" s="2" t="s">
        <v>13101</v>
      </c>
      <c r="B5104" s="2" t="s">
        <v>13101</v>
      </c>
      <c r="C5104" s="2" t="s">
        <v>26</v>
      </c>
      <c r="D5104" s="2" t="s">
        <v>27</v>
      </c>
      <c r="E5104" s="4">
        <v>-31910</v>
      </c>
      <c r="F5104" s="3" t="s">
        <v>72</v>
      </c>
      <c r="G5104" s="3" t="s">
        <v>3300</v>
      </c>
      <c r="H5104" s="2" t="s">
        <v>21</v>
      </c>
      <c r="I5104" s="2" t="s">
        <v>13102</v>
      </c>
      <c r="J5104" s="3" t="str">
        <f>HYPERLINK("https://www.boe.es/gazeta/dias/1812/08/18/pdfs/GRE-1812-106.pdf#page=3","Abrir facsímil")</f>
        <v>Abrir facsímil</v>
      </c>
      <c r="K5104" s="3" t="s">
        <v>23</v>
      </c>
    </row>
    <row r="5105" spans="1:11" ht="42" customHeight="1">
      <c r="A5105" s="2" t="s">
        <v>13103</v>
      </c>
      <c r="B5105" s="2" t="s">
        <v>13104</v>
      </c>
      <c r="C5105" s="2" t="s">
        <v>17</v>
      </c>
      <c r="D5105" s="2" t="s">
        <v>18</v>
      </c>
      <c r="E5105" s="4">
        <v>-32109</v>
      </c>
      <c r="F5105" s="3" t="s">
        <v>62</v>
      </c>
      <c r="G5105" s="3" t="s">
        <v>63</v>
      </c>
      <c r="H5105" s="2" t="s">
        <v>21</v>
      </c>
      <c r="I5105" s="2" t="s">
        <v>13105</v>
      </c>
      <c r="J5105" s="3" t="str">
        <f>HYPERLINK("https://www.boe.es/gazeta/dias/1812/02/01/pdfs/GRE-1812-14.pdf#page=10","Abrir facsímil")</f>
        <v>Abrir facsímil</v>
      </c>
      <c r="K5105" s="3" t="s">
        <v>23</v>
      </c>
    </row>
    <row r="5106" spans="1:11" ht="42" customHeight="1">
      <c r="A5106" s="2" t="s">
        <v>13106</v>
      </c>
      <c r="B5106" s="2" t="s">
        <v>13107</v>
      </c>
      <c r="C5106" s="2" t="s">
        <v>17</v>
      </c>
      <c r="D5106" s="2" t="s">
        <v>27</v>
      </c>
      <c r="E5106" s="4">
        <v>-31908</v>
      </c>
      <c r="F5106" s="3" t="s">
        <v>835</v>
      </c>
      <c r="G5106" s="3" t="s">
        <v>5298</v>
      </c>
      <c r="H5106" s="2" t="s">
        <v>21</v>
      </c>
      <c r="I5106" s="2" t="s">
        <v>13108</v>
      </c>
      <c r="J5106" s="3" t="str">
        <f>HYPERLINK("https://www.boe.es/gazeta/dias/1812/08/20/pdfs/GRE-1812-107.pdf#page=5","Abrir facsímil")</f>
        <v>Abrir facsímil</v>
      </c>
      <c r="K5106" s="3" t="s">
        <v>23</v>
      </c>
    </row>
    <row r="5107" spans="1:11" ht="42" customHeight="1">
      <c r="A5107" s="2" t="s">
        <v>13109</v>
      </c>
      <c r="B5107" s="2" t="s">
        <v>13110</v>
      </c>
      <c r="C5107" s="2" t="s">
        <v>49</v>
      </c>
      <c r="D5107" s="2" t="s">
        <v>18</v>
      </c>
      <c r="E5107" s="4">
        <v>-32109</v>
      </c>
      <c r="F5107" s="3" t="s">
        <v>62</v>
      </c>
      <c r="G5107" s="3" t="s">
        <v>63</v>
      </c>
      <c r="H5107" s="2" t="s">
        <v>21</v>
      </c>
      <c r="I5107" s="2" t="s">
        <v>13111</v>
      </c>
      <c r="J5107" s="3" t="str">
        <f>HYPERLINK("https://www.boe.es/gazeta/dias/1812/02/01/pdfs/GRE-1812-14.pdf#page=10","Abrir facsímil")</f>
        <v>Abrir facsímil</v>
      </c>
      <c r="K5107" s="3" t="s">
        <v>23</v>
      </c>
    </row>
    <row r="5108" spans="1:11" ht="42" customHeight="1">
      <c r="A5108" s="2" t="s">
        <v>13112</v>
      </c>
      <c r="B5108" s="2" t="s">
        <v>13113</v>
      </c>
      <c r="C5108" s="2" t="s">
        <v>26</v>
      </c>
      <c r="D5108" s="2" t="s">
        <v>134</v>
      </c>
      <c r="E5108" s="4">
        <v>-31983</v>
      </c>
      <c r="F5108" s="3" t="s">
        <v>1437</v>
      </c>
      <c r="G5108" s="3" t="s">
        <v>1438</v>
      </c>
      <c r="H5108" s="2" t="s">
        <v>21</v>
      </c>
      <c r="I5108" s="2" t="s">
        <v>13114</v>
      </c>
      <c r="J5108" s="3" t="str">
        <f>HYPERLINK("https://www.boe.es/gazeta/dias/1812/06/06/pdfs/GRE-F-1812-70.pdf#page=4","Abrir facsímil")</f>
        <v>Abrir facsímil</v>
      </c>
      <c r="K5108" s="3" t="s">
        <v>23</v>
      </c>
    </row>
    <row r="5109" spans="1:11" ht="42" customHeight="1">
      <c r="A5109" s="2" t="s">
        <v>13115</v>
      </c>
      <c r="B5109" s="2" t="s">
        <v>13116</v>
      </c>
      <c r="C5109" s="2" t="s">
        <v>26</v>
      </c>
      <c r="D5109" s="2" t="s">
        <v>27</v>
      </c>
      <c r="E5109" s="4">
        <v>-31903</v>
      </c>
      <c r="F5109" s="3" t="s">
        <v>2720</v>
      </c>
      <c r="G5109" s="3" t="s">
        <v>13117</v>
      </c>
      <c r="H5109" s="2" t="s">
        <v>21</v>
      </c>
      <c r="I5109" s="2" t="s">
        <v>13118</v>
      </c>
      <c r="J5109" s="3" t="str">
        <f>HYPERLINK("https://www.boe.es/gazeta/dias/1812/08/25/pdfs/GRE-1812-110.pdf#page=5","Abrir facsímil")</f>
        <v>Abrir facsímil</v>
      </c>
      <c r="K5109" s="3" t="s">
        <v>23</v>
      </c>
    </row>
    <row r="5110" spans="1:11" ht="42" customHeight="1">
      <c r="A5110" s="2" t="s">
        <v>13119</v>
      </c>
      <c r="B5110" s="2" t="s">
        <v>13120</v>
      </c>
      <c r="C5110" s="2" t="s">
        <v>26</v>
      </c>
      <c r="D5110" s="2" t="s">
        <v>275</v>
      </c>
      <c r="E5110" s="4">
        <v>-31830</v>
      </c>
      <c r="F5110" s="3" t="s">
        <v>1839</v>
      </c>
      <c r="G5110" s="3" t="s">
        <v>217</v>
      </c>
      <c r="H5110" s="2" t="s">
        <v>21</v>
      </c>
      <c r="I5110" s="2" t="s">
        <v>13121</v>
      </c>
      <c r="J5110" s="3" t="str">
        <f>HYPERLINK("https://www.boe.es/gazeta/dias/1812/11/06/pdfs/GMD-1812-226.pdf#page=4","Abrir facsímil")</f>
        <v>Abrir facsímil</v>
      </c>
      <c r="K5110" s="3" t="s">
        <v>23</v>
      </c>
    </row>
    <row r="5111" spans="1:11" ht="42" customHeight="1">
      <c r="A5111" s="2" t="s">
        <v>13122</v>
      </c>
      <c r="B5111" s="2" t="s">
        <v>13123</v>
      </c>
      <c r="C5111" s="2" t="s">
        <v>26</v>
      </c>
      <c r="D5111" s="2" t="s">
        <v>27</v>
      </c>
      <c r="E5111" s="4">
        <v>-31964</v>
      </c>
      <c r="F5111" s="3" t="s">
        <v>305</v>
      </c>
      <c r="G5111" s="3" t="s">
        <v>306</v>
      </c>
      <c r="H5111" s="2" t="s">
        <v>21</v>
      </c>
      <c r="I5111" s="2" t="s">
        <v>13124</v>
      </c>
      <c r="J5111" s="3" t="str">
        <f>HYPERLINK("https://www.boe.es/gazeta/dias/1812/06/25/pdfs/GMD-1812-177.pdf#page=3","Abrir facsímil")</f>
        <v>Abrir facsímil</v>
      </c>
      <c r="K5111" s="3" t="s">
        <v>23</v>
      </c>
    </row>
    <row r="5112" spans="1:11" ht="42" customHeight="1">
      <c r="A5112" s="2" t="s">
        <v>13125</v>
      </c>
      <c r="B5112" s="2" t="s">
        <v>13126</v>
      </c>
      <c r="C5112" s="2" t="s">
        <v>105</v>
      </c>
      <c r="D5112" s="2" t="s">
        <v>27</v>
      </c>
      <c r="E5112" s="4">
        <v>-32055</v>
      </c>
      <c r="F5112" s="3" t="s">
        <v>1271</v>
      </c>
      <c r="G5112" s="3" t="s">
        <v>130</v>
      </c>
      <c r="H5112" s="2" t="s">
        <v>30</v>
      </c>
      <c r="I5112" s="2" t="s">
        <v>13127</v>
      </c>
      <c r="J5112" s="3" t="str">
        <f>HYPERLINK("https://www.boe.es/gazeta/dias/1812/03/26/pdfs/GMD-1812-86.pdf#page=4","Abrir facsímil")</f>
        <v>Abrir facsímil</v>
      </c>
      <c r="K5112" s="3" t="s">
        <v>32</v>
      </c>
    </row>
    <row r="5113" spans="1:11" ht="42" customHeight="1">
      <c r="A5113" s="2" t="s">
        <v>13128</v>
      </c>
      <c r="B5113" s="2" t="s">
        <v>13129</v>
      </c>
      <c r="C5113" s="2" t="s">
        <v>26</v>
      </c>
      <c r="D5113" s="2" t="s">
        <v>275</v>
      </c>
      <c r="E5113" s="4">
        <v>-32055</v>
      </c>
      <c r="F5113" s="3" t="s">
        <v>1271</v>
      </c>
      <c r="G5113" s="3" t="s">
        <v>130</v>
      </c>
      <c r="H5113" s="2" t="s">
        <v>30</v>
      </c>
      <c r="I5113" s="2" t="s">
        <v>13130</v>
      </c>
      <c r="J5113" s="3" t="str">
        <f>HYPERLINK("https://www.boe.es/gazeta/dias/1812/03/26/pdfs/GMD-1812-86.pdf#page=4","Abrir facsímil")</f>
        <v>Abrir facsímil</v>
      </c>
      <c r="K5113" s="3" t="s">
        <v>32</v>
      </c>
    </row>
    <row r="5114" spans="1:11" ht="42" customHeight="1">
      <c r="A5114" s="2" t="s">
        <v>13131</v>
      </c>
      <c r="B5114" s="2" t="s">
        <v>13132</v>
      </c>
      <c r="C5114" s="2" t="s">
        <v>26</v>
      </c>
      <c r="D5114" s="2" t="s">
        <v>27</v>
      </c>
      <c r="E5114" s="4">
        <v>-31981</v>
      </c>
      <c r="F5114" s="3" t="s">
        <v>5059</v>
      </c>
      <c r="G5114" s="3" t="s">
        <v>45</v>
      </c>
      <c r="H5114" s="2" t="s">
        <v>30</v>
      </c>
      <c r="I5114" s="2" t="s">
        <v>13133</v>
      </c>
      <c r="J5114" s="3" t="str">
        <f>HYPERLINK("https://www.boe.es/gazeta/dias/1812/06/08/pdfs/GMD-1812-160.pdf#page=3","Abrir facsímil")</f>
        <v>Abrir facsímil</v>
      </c>
      <c r="K5114" s="3" t="s">
        <v>32</v>
      </c>
    </row>
    <row r="5115" spans="1:11" ht="42" customHeight="1">
      <c r="A5115" s="2" t="s">
        <v>13134</v>
      </c>
      <c r="B5115" s="2" t="s">
        <v>13135</v>
      </c>
      <c r="C5115" s="2" t="s">
        <v>26</v>
      </c>
      <c r="D5115" s="2" t="s">
        <v>27</v>
      </c>
      <c r="E5115" s="4">
        <v>-31885</v>
      </c>
      <c r="F5115" s="3" t="s">
        <v>609</v>
      </c>
      <c r="G5115" s="3" t="s">
        <v>237</v>
      </c>
      <c r="H5115" s="2" t="s">
        <v>30</v>
      </c>
      <c r="I5115" s="2" t="s">
        <v>13136</v>
      </c>
      <c r="J5115" s="3" t="str">
        <f>HYPERLINK("https://www.boe.es/gazeta/dias/1812/09/12/pdfs/GRE-1812-124.pdf#page=4","Abrir facsímil")</f>
        <v>Abrir facsímil</v>
      </c>
      <c r="K5115" s="3" t="s">
        <v>32</v>
      </c>
    </row>
    <row r="5116" spans="1:11" ht="42" customHeight="1">
      <c r="A5116" s="2" t="s">
        <v>13137</v>
      </c>
      <c r="B5116" s="2" t="s">
        <v>13138</v>
      </c>
      <c r="C5116" s="2" t="s">
        <v>17</v>
      </c>
      <c r="D5116" s="2" t="s">
        <v>18</v>
      </c>
      <c r="E5116" s="4">
        <v>-32039</v>
      </c>
      <c r="F5116" s="3" t="s">
        <v>1910</v>
      </c>
      <c r="G5116" s="3" t="s">
        <v>10184</v>
      </c>
      <c r="H5116" s="2" t="s">
        <v>30</v>
      </c>
      <c r="I5116" s="2" t="s">
        <v>13139</v>
      </c>
      <c r="J5116" s="3" t="str">
        <f>HYPERLINK("https://www.boe.es/gazeta/dias/1812/04/11/pdfs/GRE-1812-46.pdf#page=5","Abrir facsímil")</f>
        <v>Abrir facsímil</v>
      </c>
      <c r="K5116" s="3" t="s">
        <v>32</v>
      </c>
    </row>
    <row r="5117" spans="1:11" ht="42" customHeight="1">
      <c r="A5117" s="2" t="s">
        <v>13140</v>
      </c>
      <c r="B5117" s="2" t="s">
        <v>13141</v>
      </c>
      <c r="C5117" s="2" t="s">
        <v>17</v>
      </c>
      <c r="D5117" s="2" t="s">
        <v>27</v>
      </c>
      <c r="E5117" s="4">
        <v>-32139</v>
      </c>
      <c r="F5117" s="3" t="s">
        <v>518</v>
      </c>
      <c r="G5117" s="3" t="s">
        <v>125</v>
      </c>
      <c r="H5117" s="2" t="s">
        <v>30</v>
      </c>
      <c r="I5117" s="2" t="s">
        <v>13142</v>
      </c>
      <c r="J5117" s="3" t="str">
        <f>HYPERLINK("https://www.boe.es/gazeta/dias/1812/01/02/pdfs/GEI-1812-1.pdf#page=8","Abrir facsímil")</f>
        <v>Abrir facsímil</v>
      </c>
      <c r="K5117" s="3" t="s">
        <v>32</v>
      </c>
    </row>
    <row r="5118" spans="1:11" ht="42" customHeight="1">
      <c r="A5118" s="2" t="s">
        <v>13143</v>
      </c>
      <c r="B5118" s="2" t="s">
        <v>13144</v>
      </c>
      <c r="C5118" s="2" t="s">
        <v>17</v>
      </c>
      <c r="D5118" s="2" t="s">
        <v>27</v>
      </c>
      <c r="E5118" s="4">
        <v>-31934</v>
      </c>
      <c r="F5118" s="3" t="s">
        <v>509</v>
      </c>
      <c r="G5118" s="3" t="s">
        <v>4482</v>
      </c>
      <c r="H5118" s="2" t="s">
        <v>30</v>
      </c>
      <c r="I5118" s="2" t="s">
        <v>13145</v>
      </c>
      <c r="J5118" s="3" t="str">
        <f>HYPERLINK("https://www.boe.es/gazeta/dias/1812/07/25/pdfs/GRE-1812-93.pdf#page=8","Abrir facsímil")</f>
        <v>Abrir facsímil</v>
      </c>
      <c r="K5118" s="3" t="s">
        <v>32</v>
      </c>
    </row>
    <row r="5119" spans="1:11" ht="42" customHeight="1">
      <c r="A5119" s="2" t="s">
        <v>13146</v>
      </c>
      <c r="B5119" s="2" t="s">
        <v>13147</v>
      </c>
      <c r="C5119" s="2" t="s">
        <v>26</v>
      </c>
      <c r="D5119" s="2" t="s">
        <v>27</v>
      </c>
      <c r="E5119" s="4">
        <v>-31976</v>
      </c>
      <c r="F5119" s="3" t="s">
        <v>54</v>
      </c>
      <c r="G5119" s="3" t="s">
        <v>55</v>
      </c>
      <c r="H5119" s="2" t="s">
        <v>30</v>
      </c>
      <c r="I5119" s="2" t="s">
        <v>13148</v>
      </c>
      <c r="J5119" s="3" t="str">
        <f>HYPERLINK("https://www.boe.es/gazeta/dias/1812/06/13/pdfs/GRE-1812-73.pdf#page=6","Abrir facsímil")</f>
        <v>Abrir facsímil</v>
      </c>
      <c r="K5119" s="3" t="s">
        <v>32</v>
      </c>
    </row>
    <row r="5120" spans="1:11" ht="42" customHeight="1">
      <c r="A5120" s="2" t="s">
        <v>13146</v>
      </c>
      <c r="B5120" s="2" t="s">
        <v>13147</v>
      </c>
      <c r="C5120" s="2" t="s">
        <v>17</v>
      </c>
      <c r="D5120" s="2" t="s">
        <v>18</v>
      </c>
      <c r="E5120" s="4">
        <v>-31948</v>
      </c>
      <c r="F5120" s="3" t="s">
        <v>431</v>
      </c>
      <c r="G5120" s="3" t="s">
        <v>688</v>
      </c>
      <c r="H5120" s="2" t="s">
        <v>30</v>
      </c>
      <c r="I5120" s="2" t="s">
        <v>13149</v>
      </c>
      <c r="J5120" s="3" t="str">
        <f>HYPERLINK("https://www.boe.es/gazeta/dias/1812/07/11/pdfs/GRE-1812-86.pdf#page=7","Abrir facsímil")</f>
        <v>Abrir facsímil</v>
      </c>
      <c r="K5120" s="3" t="s">
        <v>32</v>
      </c>
    </row>
    <row r="5121" spans="1:11" ht="42" customHeight="1">
      <c r="A5121" s="2" t="s">
        <v>13150</v>
      </c>
      <c r="B5121" s="2" t="s">
        <v>13151</v>
      </c>
      <c r="C5121" s="2" t="s">
        <v>17</v>
      </c>
      <c r="D5121" s="2" t="s">
        <v>27</v>
      </c>
      <c r="E5121" s="4">
        <v>-31929</v>
      </c>
      <c r="F5121" s="3" t="s">
        <v>1148</v>
      </c>
      <c r="G5121" s="3" t="s">
        <v>1301</v>
      </c>
      <c r="H5121" s="2" t="s">
        <v>30</v>
      </c>
      <c r="I5121" s="2" t="s">
        <v>13152</v>
      </c>
      <c r="J5121" s="3" t="str">
        <f>HYPERLINK("https://www.boe.es/gazeta/dias/1812/07/30/pdfs/GRE-1812-95.pdf#page=8","Abrir facsímil")</f>
        <v>Abrir facsímil</v>
      </c>
      <c r="K5121" s="3" t="s">
        <v>32</v>
      </c>
    </row>
    <row r="5122" spans="1:11" ht="42" customHeight="1">
      <c r="A5122" s="2" t="s">
        <v>13153</v>
      </c>
      <c r="B5122" s="2" t="s">
        <v>13154</v>
      </c>
      <c r="C5122" s="2" t="s">
        <v>26</v>
      </c>
      <c r="D5122" s="2" t="s">
        <v>27</v>
      </c>
      <c r="E5122" s="4">
        <v>-32123</v>
      </c>
      <c r="F5122" s="3" t="s">
        <v>2642</v>
      </c>
      <c r="G5122" s="3" t="s">
        <v>20</v>
      </c>
      <c r="H5122" s="2" t="s">
        <v>30</v>
      </c>
      <c r="I5122" s="2" t="s">
        <v>13155</v>
      </c>
      <c r="J5122" s="3" t="str">
        <f>HYPERLINK("https://www.boe.es/gazeta/dias/1812/01/18/pdfs/GMD-1812-18.pdf#page=4","Abrir facsímil")</f>
        <v>Abrir facsímil</v>
      </c>
      <c r="K5122" s="3" t="s">
        <v>32</v>
      </c>
    </row>
    <row r="5123" spans="1:11" ht="42" customHeight="1">
      <c r="A5123" s="2" t="s">
        <v>13153</v>
      </c>
      <c r="B5123" s="2" t="s">
        <v>13154</v>
      </c>
      <c r="C5123" s="2" t="s">
        <v>26</v>
      </c>
      <c r="D5123" s="2" t="s">
        <v>27</v>
      </c>
      <c r="E5123" s="4">
        <v>-31941</v>
      </c>
      <c r="F5123" s="3" t="s">
        <v>57</v>
      </c>
      <c r="G5123" s="3" t="s">
        <v>58</v>
      </c>
      <c r="H5123" s="2" t="s">
        <v>30</v>
      </c>
      <c r="I5123" s="2" t="s">
        <v>13156</v>
      </c>
      <c r="J5123" s="3" t="str">
        <f>HYPERLINK("https://www.boe.es/gazeta/dias/1812/07/18/pdfs/GMD-1812-200.pdf#page=4","Abrir facsímil")</f>
        <v>Abrir facsímil</v>
      </c>
      <c r="K5123" s="3" t="s">
        <v>32</v>
      </c>
    </row>
    <row r="5124" spans="1:11" ht="42" customHeight="1">
      <c r="A5124" s="2" t="s">
        <v>13153</v>
      </c>
      <c r="B5124" s="2" t="s">
        <v>13154</v>
      </c>
      <c r="C5124" s="2" t="s">
        <v>26</v>
      </c>
      <c r="D5124" s="2" t="s">
        <v>27</v>
      </c>
      <c r="E5124" s="4">
        <v>-31936</v>
      </c>
      <c r="F5124" s="3" t="s">
        <v>603</v>
      </c>
      <c r="G5124" s="3" t="s">
        <v>2410</v>
      </c>
      <c r="H5124" s="2" t="s">
        <v>30</v>
      </c>
      <c r="I5124" s="2" t="s">
        <v>13157</v>
      </c>
      <c r="J5124" s="3" t="str">
        <f>HYPERLINK("https://www.boe.es/gazeta/dias/1812/07/23/pdfs/GMD-1812-205.pdf#page=4","Abrir facsímil")</f>
        <v>Abrir facsímil</v>
      </c>
      <c r="K5124" s="3" t="s">
        <v>32</v>
      </c>
    </row>
    <row r="5125" spans="1:11" ht="42" customHeight="1">
      <c r="A5125" s="2" t="s">
        <v>13158</v>
      </c>
      <c r="B5125" s="2" t="s">
        <v>13159</v>
      </c>
      <c r="C5125" s="2" t="s">
        <v>17</v>
      </c>
      <c r="D5125" s="2" t="s">
        <v>27</v>
      </c>
      <c r="E5125" s="4">
        <v>-31819</v>
      </c>
      <c r="F5125" s="3" t="s">
        <v>1770</v>
      </c>
      <c r="G5125" s="3" t="s">
        <v>1771</v>
      </c>
      <c r="H5125" s="2" t="s">
        <v>30</v>
      </c>
      <c r="I5125" s="2" t="s">
        <v>13160</v>
      </c>
      <c r="J5125" s="3" t="str">
        <f>HYPERLINK("https://www.boe.es/gazeta/dias/1812/11/17/pdfs/GRE-1812-153.pdf#page=4","Abrir facsímil")</f>
        <v>Abrir facsímil</v>
      </c>
      <c r="K5125" s="3" t="s">
        <v>32</v>
      </c>
    </row>
    <row r="5126" spans="1:11" ht="42" customHeight="1">
      <c r="A5126" s="2" t="s">
        <v>13161</v>
      </c>
      <c r="B5126" s="2" t="s">
        <v>13162</v>
      </c>
      <c r="C5126" s="2" t="s">
        <v>105</v>
      </c>
      <c r="D5126" s="2" t="s">
        <v>27</v>
      </c>
      <c r="E5126" s="4">
        <v>-31922</v>
      </c>
      <c r="F5126" s="3" t="s">
        <v>622</v>
      </c>
      <c r="G5126" s="3" t="s">
        <v>623</v>
      </c>
      <c r="H5126" s="2" t="s">
        <v>30</v>
      </c>
      <c r="I5126" s="2" t="s">
        <v>13163</v>
      </c>
      <c r="J5126" s="3" t="str">
        <f>HYPERLINK("https://www.boe.es/gazeta/dias/1812/08/06/pdfs/GMD-1812-219.pdf#page=1","Abrir facsímil")</f>
        <v>Abrir facsímil</v>
      </c>
      <c r="K5126" s="3" t="s">
        <v>32</v>
      </c>
    </row>
    <row r="5127" spans="1:11" ht="42" customHeight="1">
      <c r="A5127" s="2" t="s">
        <v>13164</v>
      </c>
      <c r="B5127" s="2" t="s">
        <v>13165</v>
      </c>
      <c r="C5127" s="2" t="s">
        <v>26</v>
      </c>
      <c r="D5127" s="2" t="s">
        <v>27</v>
      </c>
      <c r="E5127" s="4">
        <v>-32034</v>
      </c>
      <c r="F5127" s="3" t="s">
        <v>28</v>
      </c>
      <c r="G5127" s="3" t="s">
        <v>29</v>
      </c>
      <c r="H5127" s="2" t="s">
        <v>30</v>
      </c>
      <c r="I5127" s="2" t="s">
        <v>13166</v>
      </c>
      <c r="J5127" s="3" t="str">
        <f>HYPERLINK("https://www.boe.es/gazeta/dias/1812/04/16/pdfs/GMD-1812-107.pdf#page=8","Abrir facsímil")</f>
        <v>Abrir facsímil</v>
      </c>
      <c r="K5127" s="3" t="s">
        <v>32</v>
      </c>
    </row>
    <row r="5128" spans="1:11" ht="42" customHeight="1">
      <c r="A5128" s="2" t="s">
        <v>13167</v>
      </c>
      <c r="B5128" s="2" t="s">
        <v>13168</v>
      </c>
      <c r="C5128" s="2" t="s">
        <v>17</v>
      </c>
      <c r="D5128" s="2" t="s">
        <v>18</v>
      </c>
      <c r="E5128" s="4">
        <v>-32053</v>
      </c>
      <c r="F5128" s="3" t="s">
        <v>910</v>
      </c>
      <c r="G5128" s="3" t="s">
        <v>911</v>
      </c>
      <c r="H5128" s="2" t="s">
        <v>21</v>
      </c>
      <c r="I5128" s="2" t="s">
        <v>13169</v>
      </c>
      <c r="J5128" s="3" t="str">
        <f>HYPERLINK("https://www.boe.es/gazeta/dias/1812/03/28/pdfs/GRE-1812-39.pdf#page=8","Abrir facsímil")</f>
        <v>Abrir facsímil</v>
      </c>
      <c r="K5128" s="3" t="s">
        <v>23</v>
      </c>
    </row>
    <row r="5129" spans="1:11" ht="42" customHeight="1">
      <c r="A5129" s="2" t="s">
        <v>13170</v>
      </c>
      <c r="B5129" s="2" t="s">
        <v>13171</v>
      </c>
      <c r="C5129" s="2" t="s">
        <v>26</v>
      </c>
      <c r="D5129" s="2" t="s">
        <v>27</v>
      </c>
      <c r="E5129" s="4">
        <v>-31816</v>
      </c>
      <c r="F5129" s="3" t="s">
        <v>270</v>
      </c>
      <c r="G5129" s="3" t="s">
        <v>271</v>
      </c>
      <c r="H5129" s="2" t="s">
        <v>21</v>
      </c>
      <c r="I5129" s="2" t="s">
        <v>13172</v>
      </c>
      <c r="J5129" s="3" t="str">
        <f>HYPERLINK("https://www.boe.es/gazeta/dias/1812/11/20/pdfs/GMR-1812-36.pdf#page=6","Abrir facsímil")</f>
        <v>Abrir facsímil</v>
      </c>
      <c r="K5129" s="3" t="s">
        <v>23</v>
      </c>
    </row>
    <row r="5130" spans="1:11" ht="42" customHeight="1">
      <c r="A5130" s="2" t="s">
        <v>13173</v>
      </c>
      <c r="B5130" s="2" t="s">
        <v>13174</v>
      </c>
      <c r="C5130" s="2" t="s">
        <v>26</v>
      </c>
      <c r="D5130" s="2" t="s">
        <v>573</v>
      </c>
      <c r="E5130" s="4">
        <v>-31900</v>
      </c>
      <c r="F5130" s="3" t="s">
        <v>276</v>
      </c>
      <c r="G5130" s="3" t="s">
        <v>277</v>
      </c>
      <c r="H5130" s="2" t="s">
        <v>21</v>
      </c>
      <c r="I5130" s="2" t="s">
        <v>13175</v>
      </c>
      <c r="J5130" s="3" t="str">
        <f>HYPERLINK("https://www.boe.es/gazeta/dias/1812/08/28/pdfs/GRE-1812-113E.pdf#page=8","Abrir facsímil")</f>
        <v>Abrir facsímil</v>
      </c>
      <c r="K5130" s="3" t="s">
        <v>23</v>
      </c>
    </row>
    <row r="5131" spans="1:11" ht="42" customHeight="1">
      <c r="A5131" s="2" t="s">
        <v>13176</v>
      </c>
      <c r="B5131" s="2" t="s">
        <v>13177</v>
      </c>
      <c r="C5131" s="2" t="s">
        <v>26</v>
      </c>
      <c r="D5131" s="2" t="s">
        <v>27</v>
      </c>
      <c r="E5131" s="4">
        <v>-32103</v>
      </c>
      <c r="F5131" s="3" t="s">
        <v>1996</v>
      </c>
      <c r="G5131" s="3" t="s">
        <v>58</v>
      </c>
      <c r="H5131" s="2" t="s">
        <v>21</v>
      </c>
      <c r="I5131" s="2" t="s">
        <v>13178</v>
      </c>
      <c r="J5131" s="3" t="str">
        <f>HYPERLINK("https://www.boe.es/gazeta/dias/1812/02/07/pdfs/GMD-1812-38.pdf#page=4","Abrir facsímil")</f>
        <v>Abrir facsímil</v>
      </c>
      <c r="K5131" s="3" t="s">
        <v>23</v>
      </c>
    </row>
    <row r="5132" spans="1:11" ht="42" customHeight="1">
      <c r="A5132" s="2" t="s">
        <v>13179</v>
      </c>
      <c r="B5132" s="2" t="s">
        <v>13180</v>
      </c>
      <c r="C5132" s="2" t="s">
        <v>49</v>
      </c>
      <c r="D5132" s="2" t="s">
        <v>27</v>
      </c>
      <c r="E5132" s="4">
        <v>-32097</v>
      </c>
      <c r="F5132" s="3" t="s">
        <v>3797</v>
      </c>
      <c r="G5132" s="3" t="s">
        <v>130</v>
      </c>
      <c r="H5132" s="2" t="s">
        <v>21</v>
      </c>
      <c r="I5132" s="2" t="s">
        <v>13181</v>
      </c>
      <c r="J5132" s="3" t="str">
        <f>HYPERLINK("https://www.boe.es/gazeta/dias/1812/02/13/pdfs/GRE-1812-19.pdf#page=4","Abrir facsímil")</f>
        <v>Abrir facsímil</v>
      </c>
      <c r="K5132" s="3" t="s">
        <v>23</v>
      </c>
    </row>
    <row r="5133" spans="1:11" ht="42" customHeight="1">
      <c r="A5133" s="2" t="s">
        <v>13179</v>
      </c>
      <c r="B5133" s="2" t="s">
        <v>13180</v>
      </c>
      <c r="C5133" s="2" t="s">
        <v>49</v>
      </c>
      <c r="D5133" s="2" t="s">
        <v>18</v>
      </c>
      <c r="E5133" s="4">
        <v>-32053</v>
      </c>
      <c r="F5133" s="3" t="s">
        <v>910</v>
      </c>
      <c r="G5133" s="3" t="s">
        <v>911</v>
      </c>
      <c r="H5133" s="2" t="s">
        <v>21</v>
      </c>
      <c r="I5133" s="2" t="s">
        <v>13182</v>
      </c>
      <c r="J5133" s="3" t="str">
        <f>HYPERLINK("https://www.boe.es/gazeta/dias/1812/03/28/pdfs/GRE-1812-39.pdf#page=8","Abrir facsímil")</f>
        <v>Abrir facsímil</v>
      </c>
      <c r="K5133" s="3" t="s">
        <v>23</v>
      </c>
    </row>
    <row r="5134" spans="1:11" ht="42" customHeight="1">
      <c r="A5134" s="2" t="s">
        <v>13179</v>
      </c>
      <c r="B5134" s="2" t="s">
        <v>13180</v>
      </c>
      <c r="C5134" s="2" t="s">
        <v>26</v>
      </c>
      <c r="D5134" s="2" t="s">
        <v>27</v>
      </c>
      <c r="E5134" s="4">
        <v>-31976</v>
      </c>
      <c r="F5134" s="3" t="s">
        <v>54</v>
      </c>
      <c r="G5134" s="3" t="s">
        <v>55</v>
      </c>
      <c r="H5134" s="2" t="s">
        <v>21</v>
      </c>
      <c r="I5134" s="2" t="s">
        <v>13183</v>
      </c>
      <c r="J5134" s="3" t="str">
        <f>HYPERLINK("https://www.boe.es/gazeta/dias/1812/06/13/pdfs/GRE-1812-73.pdf#page=6","Abrir facsímil")</f>
        <v>Abrir facsímil</v>
      </c>
      <c r="K5134" s="3" t="s">
        <v>23</v>
      </c>
    </row>
    <row r="5135" spans="1:11" ht="42" customHeight="1">
      <c r="A5135" s="2" t="s">
        <v>13179</v>
      </c>
      <c r="B5135" s="2" t="s">
        <v>13180</v>
      </c>
      <c r="C5135" s="2" t="s">
        <v>26</v>
      </c>
      <c r="D5135" s="2" t="s">
        <v>27</v>
      </c>
      <c r="E5135" s="4">
        <v>-31969</v>
      </c>
      <c r="F5135" s="3" t="s">
        <v>83</v>
      </c>
      <c r="G5135" s="3" t="s">
        <v>84</v>
      </c>
      <c r="H5135" s="2" t="s">
        <v>21</v>
      </c>
      <c r="I5135" s="2" t="s">
        <v>13184</v>
      </c>
      <c r="J5135" s="3" t="str">
        <f>HYPERLINK("https://www.boe.es/gazeta/dias/1812/06/20/pdfs/GRE-1812-76.pdf#page=8","Abrir facsímil")</f>
        <v>Abrir facsímil</v>
      </c>
      <c r="K5135" s="3" t="s">
        <v>23</v>
      </c>
    </row>
    <row r="5136" spans="1:11" ht="42" customHeight="1">
      <c r="A5136" s="2" t="s">
        <v>13179</v>
      </c>
      <c r="B5136" s="2" t="s">
        <v>13180</v>
      </c>
      <c r="C5136" s="2" t="s">
        <v>17</v>
      </c>
      <c r="D5136" s="2" t="s">
        <v>134</v>
      </c>
      <c r="E5136" s="4">
        <v>-31952</v>
      </c>
      <c r="F5136" s="3" t="s">
        <v>1541</v>
      </c>
      <c r="G5136" s="3" t="s">
        <v>1542</v>
      </c>
      <c r="H5136" s="2" t="s">
        <v>21</v>
      </c>
      <c r="I5136" s="2" t="s">
        <v>13185</v>
      </c>
      <c r="J5136" s="3" t="str">
        <f>HYPERLINK("https://www.boe.es/gazeta/dias/1812/07/07/pdfs/GRE-F-1812-83.pdf#page=3","Abrir facsímil")</f>
        <v>Abrir facsímil</v>
      </c>
      <c r="K5136" s="3" t="s">
        <v>23</v>
      </c>
    </row>
    <row r="5137" spans="1:11" ht="42" customHeight="1">
      <c r="A5137" s="2" t="s">
        <v>13179</v>
      </c>
      <c r="B5137" s="2" t="s">
        <v>13180</v>
      </c>
      <c r="C5137" s="2" t="s">
        <v>49</v>
      </c>
      <c r="D5137" s="2" t="s">
        <v>27</v>
      </c>
      <c r="E5137" s="4">
        <v>-31824</v>
      </c>
      <c r="F5137" s="3" t="s">
        <v>3123</v>
      </c>
      <c r="G5137" s="3" t="s">
        <v>857</v>
      </c>
      <c r="H5137" s="2" t="s">
        <v>21</v>
      </c>
      <c r="I5137" s="2" t="s">
        <v>13186</v>
      </c>
      <c r="J5137" s="3" t="str">
        <f>HYPERLINK("https://www.boe.es/gazeta/dias/1812/11/12/pdfs/GRE-1812-151.pdf#page=8","Abrir facsímil")</f>
        <v>Abrir facsímil</v>
      </c>
      <c r="K5137" s="3" t="s">
        <v>23</v>
      </c>
    </row>
    <row r="5138" spans="1:11" ht="42" customHeight="1">
      <c r="A5138" s="2" t="s">
        <v>13187</v>
      </c>
      <c r="B5138" s="2" t="s">
        <v>13188</v>
      </c>
      <c r="C5138" s="2" t="s">
        <v>105</v>
      </c>
      <c r="D5138" s="2" t="s">
        <v>27</v>
      </c>
      <c r="E5138" s="4">
        <v>-31964</v>
      </c>
      <c r="F5138" s="3" t="s">
        <v>305</v>
      </c>
      <c r="G5138" s="3" t="s">
        <v>306</v>
      </c>
      <c r="H5138" s="2" t="s">
        <v>21</v>
      </c>
      <c r="I5138" s="2" t="s">
        <v>13189</v>
      </c>
      <c r="J5138" s="3" t="str">
        <f>HYPERLINK("https://www.boe.es/gazeta/dias/1812/06/25/pdfs/GMD-1812-177.pdf#page=3","Abrir facsímil")</f>
        <v>Abrir facsímil</v>
      </c>
      <c r="K5138" s="3" t="s">
        <v>23</v>
      </c>
    </row>
    <row r="5139" spans="1:11" ht="42" customHeight="1">
      <c r="A5139" s="2" t="s">
        <v>13190</v>
      </c>
      <c r="B5139" s="2" t="s">
        <v>13191</v>
      </c>
      <c r="C5139" s="2" t="s">
        <v>26</v>
      </c>
      <c r="D5139" s="2" t="s">
        <v>27</v>
      </c>
      <c r="E5139" s="4">
        <v>-32083</v>
      </c>
      <c r="F5139" s="3" t="s">
        <v>1496</v>
      </c>
      <c r="G5139" s="3" t="s">
        <v>2658</v>
      </c>
      <c r="H5139" s="2" t="s">
        <v>21</v>
      </c>
      <c r="I5139" s="2" t="s">
        <v>13192</v>
      </c>
      <c r="J5139" s="3" t="str">
        <f>HYPERLINK("https://www.boe.es/gazeta/dias/1812/02/27/pdfs/GRE-1812-26.pdf#page=7","Abrir facsímil")</f>
        <v>Abrir facsímil</v>
      </c>
      <c r="K5139" s="3" t="s">
        <v>23</v>
      </c>
    </row>
    <row r="5140" spans="1:11" ht="42" customHeight="1">
      <c r="A5140" s="2" t="s">
        <v>13193</v>
      </c>
      <c r="B5140" s="2" t="s">
        <v>13194</v>
      </c>
      <c r="C5140" s="2" t="s">
        <v>26</v>
      </c>
      <c r="D5140" s="2" t="s">
        <v>27</v>
      </c>
      <c r="E5140" s="4">
        <v>-32044</v>
      </c>
      <c r="F5140" s="3" t="s">
        <v>1031</v>
      </c>
      <c r="G5140" s="3" t="s">
        <v>20</v>
      </c>
      <c r="H5140" s="2" t="s">
        <v>30</v>
      </c>
      <c r="I5140" s="2" t="s">
        <v>13195</v>
      </c>
      <c r="J5140" s="3" t="str">
        <f>HYPERLINK("https://www.boe.es/gazeta/dias/1812/04/06/pdfs/GMD-1812-97.pdf#page=3","Abrir facsímil")</f>
        <v>Abrir facsímil</v>
      </c>
      <c r="K5140" s="3" t="s">
        <v>32</v>
      </c>
    </row>
    <row r="5141" spans="1:11" ht="42" customHeight="1">
      <c r="A5141" s="2" t="s">
        <v>13196</v>
      </c>
      <c r="B5141" s="2" t="s">
        <v>13196</v>
      </c>
      <c r="C5141" s="2" t="s">
        <v>17</v>
      </c>
      <c r="D5141" s="2" t="s">
        <v>27</v>
      </c>
      <c r="E5141" s="4">
        <v>-32033</v>
      </c>
      <c r="F5141" s="3" t="s">
        <v>771</v>
      </c>
      <c r="G5141" s="3" t="s">
        <v>13197</v>
      </c>
      <c r="H5141" s="2" t="s">
        <v>21</v>
      </c>
      <c r="I5141" s="2" t="s">
        <v>13198</v>
      </c>
      <c r="J5141" s="3" t="str">
        <f>HYPERLINK("https://www.boe.es/gazeta/dias/1812/04/17/pdfs/GMD-1812-108.pdf#page=2","Abrir facsímil")</f>
        <v>Abrir facsímil</v>
      </c>
      <c r="K5141" s="3" t="s">
        <v>23</v>
      </c>
    </row>
    <row r="5142" spans="1:11" ht="42" customHeight="1">
      <c r="A5142" s="2" t="s">
        <v>13199</v>
      </c>
      <c r="B5142" s="2" t="s">
        <v>13199</v>
      </c>
      <c r="C5142" s="2" t="s">
        <v>26</v>
      </c>
      <c r="D5142" s="2" t="s">
        <v>27</v>
      </c>
      <c r="E5142" s="4">
        <v>-31821</v>
      </c>
      <c r="F5142" s="3" t="s">
        <v>1979</v>
      </c>
      <c r="G5142" s="3" t="s">
        <v>3583</v>
      </c>
      <c r="H5142" s="2" t="s">
        <v>21</v>
      </c>
      <c r="I5142" s="2" t="s">
        <v>13200</v>
      </c>
      <c r="J5142" s="3" t="str">
        <f>HYPERLINK("https://www.boe.es/gazeta/dias/1812/11/15/pdfs/GMR-1812-34.pdf#page=1","Abrir facsímil")</f>
        <v>Abrir facsímil</v>
      </c>
      <c r="K5142" s="3" t="s">
        <v>23</v>
      </c>
    </row>
    <row r="5143" spans="1:11" ht="42" customHeight="1">
      <c r="A5143" s="2" t="s">
        <v>13201</v>
      </c>
      <c r="B5143" s="2" t="s">
        <v>13201</v>
      </c>
      <c r="C5143" s="2" t="s">
        <v>17</v>
      </c>
      <c r="D5143" s="2" t="s">
        <v>18</v>
      </c>
      <c r="E5143" s="4">
        <v>-31898</v>
      </c>
      <c r="F5143" s="3" t="s">
        <v>1952</v>
      </c>
      <c r="G5143" s="3" t="s">
        <v>196</v>
      </c>
      <c r="H5143" s="2" t="s">
        <v>21</v>
      </c>
      <c r="I5143" s="2" t="s">
        <v>13202</v>
      </c>
      <c r="J5143" s="3" t="str">
        <f>HYPERLINK("https://www.boe.es/gazeta/dias/1812/08/30/pdfs/GRE-1812-116E.pdf#page=3","Abrir facsímil")</f>
        <v>Abrir facsímil</v>
      </c>
      <c r="K5143" s="3" t="s">
        <v>23</v>
      </c>
    </row>
    <row r="5144" spans="1:11" ht="42" customHeight="1">
      <c r="A5144" s="2" t="s">
        <v>13201</v>
      </c>
      <c r="B5144" s="2" t="s">
        <v>13201</v>
      </c>
      <c r="C5144" s="2" t="s">
        <v>17</v>
      </c>
      <c r="D5144" s="2" t="s">
        <v>18</v>
      </c>
      <c r="E5144" s="4">
        <v>-31898</v>
      </c>
      <c r="F5144" s="3" t="s">
        <v>1952</v>
      </c>
      <c r="G5144" s="3" t="s">
        <v>13203</v>
      </c>
      <c r="H5144" s="2" t="s">
        <v>21</v>
      </c>
      <c r="I5144" s="2" t="s">
        <v>13204</v>
      </c>
      <c r="J5144" s="3" t="str">
        <f>HYPERLINK("https://www.boe.es/gazeta/dias/1812/08/30/pdfs/GRE-1812-116E.pdf#page=4","Abrir facsímil")</f>
        <v>Abrir facsímil</v>
      </c>
      <c r="K5144" s="3" t="s">
        <v>23</v>
      </c>
    </row>
    <row r="5145" spans="1:11" ht="42" customHeight="1">
      <c r="A5145" s="2" t="s">
        <v>13205</v>
      </c>
      <c r="B5145" s="2" t="s">
        <v>13206</v>
      </c>
      <c r="C5145" s="2" t="s">
        <v>49</v>
      </c>
      <c r="D5145" s="2" t="s">
        <v>275</v>
      </c>
      <c r="E5145" s="4">
        <v>-31976</v>
      </c>
      <c r="F5145" s="3" t="s">
        <v>54</v>
      </c>
      <c r="G5145" s="3" t="s">
        <v>11479</v>
      </c>
      <c r="H5145" s="2" t="s">
        <v>21</v>
      </c>
      <c r="I5145" s="2" t="s">
        <v>13207</v>
      </c>
      <c r="J5145" s="3" t="str">
        <f>HYPERLINK("https://www.boe.es/gazeta/dias/1812/06/13/pdfs/GRE-1812-73.pdf#page=5","Abrir facsímil")</f>
        <v>Abrir facsímil</v>
      </c>
      <c r="K5145" s="3" t="s">
        <v>23</v>
      </c>
    </row>
    <row r="5146" spans="1:11" ht="42" customHeight="1">
      <c r="A5146" s="2" t="s">
        <v>13208</v>
      </c>
      <c r="B5146" s="2" t="s">
        <v>13209</v>
      </c>
      <c r="C5146" s="2" t="s">
        <v>26</v>
      </c>
      <c r="D5146" s="2" t="s">
        <v>27</v>
      </c>
      <c r="E5146" s="4">
        <v>-32046</v>
      </c>
      <c r="F5146" s="3" t="s">
        <v>1013</v>
      </c>
      <c r="G5146" s="3" t="s">
        <v>1014</v>
      </c>
      <c r="H5146" s="2" t="s">
        <v>21</v>
      </c>
      <c r="I5146" s="2" t="s">
        <v>13210</v>
      </c>
      <c r="J5146" s="3" t="str">
        <f>HYPERLINK("https://www.boe.es/gazeta/dias/1812/04/04/pdfs/GRE-1812-42.pdf#page=4","Abrir facsímil")</f>
        <v>Abrir facsímil</v>
      </c>
      <c r="K5146" s="3" t="s">
        <v>23</v>
      </c>
    </row>
    <row r="5147" spans="1:11" ht="42" customHeight="1">
      <c r="A5147" s="2" t="s">
        <v>13211</v>
      </c>
      <c r="B5147" s="2" t="s">
        <v>13212</v>
      </c>
      <c r="C5147" s="2" t="s">
        <v>26</v>
      </c>
      <c r="D5147" s="2" t="s">
        <v>27</v>
      </c>
      <c r="E5147" s="4">
        <v>-32034</v>
      </c>
      <c r="F5147" s="3" t="s">
        <v>28</v>
      </c>
      <c r="G5147" s="3" t="s">
        <v>20</v>
      </c>
      <c r="H5147" s="2" t="s">
        <v>21</v>
      </c>
      <c r="I5147" s="2" t="s">
        <v>13213</v>
      </c>
      <c r="J5147" s="3" t="str">
        <f>HYPERLINK("https://www.boe.es/gazeta/dias/1812/04/16/pdfs/GMD-1812-107.pdf#page=3","Abrir facsímil")</f>
        <v>Abrir facsímil</v>
      </c>
      <c r="K5147" s="3" t="s">
        <v>23</v>
      </c>
    </row>
    <row r="5148" spans="1:11" ht="42" customHeight="1">
      <c r="A5148" s="2" t="s">
        <v>13214</v>
      </c>
      <c r="B5148" s="2" t="s">
        <v>13214</v>
      </c>
      <c r="C5148" s="2" t="s">
        <v>26</v>
      </c>
      <c r="D5148" s="2" t="s">
        <v>27</v>
      </c>
      <c r="E5148" s="4">
        <v>-31899</v>
      </c>
      <c r="F5148" s="3" t="s">
        <v>1396</v>
      </c>
      <c r="G5148" s="3" t="s">
        <v>1805</v>
      </c>
      <c r="H5148" s="2" t="s">
        <v>21</v>
      </c>
      <c r="I5148" s="2" t="s">
        <v>13215</v>
      </c>
      <c r="J5148" s="3" t="str">
        <f>HYPERLINK("https://www.boe.es/gazeta/dias/1812/08/29/pdfs/GMR-1812-7.pdf#page=1","Abrir facsímil")</f>
        <v>Abrir facsímil</v>
      </c>
      <c r="K5148" s="3" t="s">
        <v>23</v>
      </c>
    </row>
    <row r="5149" spans="1:11" ht="42" customHeight="1">
      <c r="A5149" s="2" t="s">
        <v>13216</v>
      </c>
      <c r="B5149" s="2" t="s">
        <v>13216</v>
      </c>
      <c r="C5149" s="2" t="s">
        <v>17</v>
      </c>
      <c r="D5149" s="2" t="s">
        <v>18</v>
      </c>
      <c r="E5149" s="4">
        <v>-31878</v>
      </c>
      <c r="F5149" s="3" t="s">
        <v>1831</v>
      </c>
      <c r="G5149" s="3" t="s">
        <v>20</v>
      </c>
      <c r="H5149" s="2" t="s">
        <v>21</v>
      </c>
      <c r="I5149" s="2" t="s">
        <v>13217</v>
      </c>
      <c r="J5149" s="3" t="str">
        <f>HYPERLINK("https://www.boe.es/gazeta/dias/1812/09/19/pdfs/GMR-1812-16.pdf#page=2","Abrir facsímil")</f>
        <v>Abrir facsímil</v>
      </c>
      <c r="K5149" s="3" t="s">
        <v>23</v>
      </c>
    </row>
    <row r="5150" spans="1:11" ht="42" customHeight="1">
      <c r="A5150" s="2" t="s">
        <v>13218</v>
      </c>
      <c r="B5150" s="2" t="s">
        <v>13218</v>
      </c>
      <c r="C5150" s="2" t="s">
        <v>17</v>
      </c>
      <c r="D5150" s="2" t="s">
        <v>18</v>
      </c>
      <c r="E5150" s="4">
        <v>-31866</v>
      </c>
      <c r="F5150" s="3" t="s">
        <v>2438</v>
      </c>
      <c r="G5150" s="3" t="s">
        <v>125</v>
      </c>
      <c r="H5150" s="2" t="s">
        <v>21</v>
      </c>
      <c r="I5150" s="2" t="s">
        <v>13219</v>
      </c>
      <c r="J5150" s="3" t="str">
        <f>HYPERLINK("https://www.boe.es/gazeta/dias/1812/10/01/pdfs/GMR-1812-21.pdf#page=3","Abrir facsímil")</f>
        <v>Abrir facsímil</v>
      </c>
      <c r="K5150" s="3" t="s">
        <v>23</v>
      </c>
    </row>
    <row r="5151" spans="1:11" ht="42" customHeight="1">
      <c r="A5151" s="2" t="s">
        <v>13216</v>
      </c>
      <c r="B5151" s="2" t="s">
        <v>13216</v>
      </c>
      <c r="C5151" s="2" t="s">
        <v>17</v>
      </c>
      <c r="D5151" s="2" t="s">
        <v>18</v>
      </c>
      <c r="E5151" s="4">
        <v>-31838</v>
      </c>
      <c r="F5151" s="3" t="s">
        <v>1452</v>
      </c>
      <c r="G5151" s="3" t="s">
        <v>1076</v>
      </c>
      <c r="H5151" s="2" t="s">
        <v>21</v>
      </c>
      <c r="I5151" s="2" t="s">
        <v>13220</v>
      </c>
      <c r="J5151" s="3" t="str">
        <f>HYPERLINK("https://www.boe.es/gazeta/dias/1812/10/29/pdfs/GMR-1812-33.pdf#page=1","Abrir facsímil")</f>
        <v>Abrir facsímil</v>
      </c>
      <c r="K5151" s="3" t="s">
        <v>23</v>
      </c>
    </row>
    <row r="5152" spans="1:11" ht="42" customHeight="1">
      <c r="A5152" s="2" t="s">
        <v>13216</v>
      </c>
      <c r="B5152" s="2" t="s">
        <v>13216</v>
      </c>
      <c r="C5152" s="2" t="s">
        <v>17</v>
      </c>
      <c r="D5152" s="2" t="s">
        <v>27</v>
      </c>
      <c r="E5152" s="4">
        <v>-31831</v>
      </c>
      <c r="F5152" s="3" t="s">
        <v>1963</v>
      </c>
      <c r="G5152" s="3" t="s">
        <v>6027</v>
      </c>
      <c r="H5152" s="2" t="s">
        <v>21</v>
      </c>
      <c r="I5152" s="2" t="s">
        <v>13221</v>
      </c>
      <c r="J5152" s="3" t="str">
        <f>HYPERLINK("https://www.boe.es/gazeta/dias/1812/11/05/pdfs/GRE-1812-148.pdf#page=2","Abrir facsímil")</f>
        <v>Abrir facsímil</v>
      </c>
      <c r="K5152" s="3" t="s">
        <v>23</v>
      </c>
    </row>
    <row r="5153" spans="1:11" ht="42" customHeight="1">
      <c r="A5153" s="2" t="s">
        <v>13216</v>
      </c>
      <c r="B5153" s="2" t="s">
        <v>13216</v>
      </c>
      <c r="C5153" s="2" t="s">
        <v>26</v>
      </c>
      <c r="D5153" s="2" t="s">
        <v>194</v>
      </c>
      <c r="E5153" s="4">
        <v>-31821</v>
      </c>
      <c r="F5153" s="3" t="s">
        <v>1979</v>
      </c>
      <c r="G5153" s="3" t="s">
        <v>3583</v>
      </c>
      <c r="H5153" s="2" t="s">
        <v>21</v>
      </c>
      <c r="I5153" s="2" t="s">
        <v>13222</v>
      </c>
      <c r="J5153" s="3" t="str">
        <f>HYPERLINK("https://www.boe.es/gazeta/dias/1812/11/15/pdfs/GMR-1812-34.pdf#page=1","Abrir facsímil")</f>
        <v>Abrir facsímil</v>
      </c>
      <c r="K5153" s="3" t="s">
        <v>23</v>
      </c>
    </row>
    <row r="5154" spans="1:11" ht="42" customHeight="1">
      <c r="A5154" s="2" t="s">
        <v>13216</v>
      </c>
      <c r="B5154" s="2" t="s">
        <v>13216</v>
      </c>
      <c r="C5154" s="2" t="s">
        <v>17</v>
      </c>
      <c r="D5154" s="2" t="s">
        <v>18</v>
      </c>
      <c r="E5154" s="4">
        <v>-31805</v>
      </c>
      <c r="F5154" s="3" t="s">
        <v>4346</v>
      </c>
      <c r="G5154" s="3" t="s">
        <v>11916</v>
      </c>
      <c r="H5154" s="2" t="s">
        <v>21</v>
      </c>
      <c r="I5154" s="2" t="s">
        <v>13223</v>
      </c>
      <c r="J5154" s="3" t="str">
        <f>HYPERLINK("https://www.boe.es/gazeta/dias/1812/12/01/pdfs/GRE-1812-159.pdf#page=2","Abrir facsímil")</f>
        <v>Abrir facsímil</v>
      </c>
      <c r="K5154" s="3" t="s">
        <v>23</v>
      </c>
    </row>
    <row r="5155" spans="1:11" ht="42" customHeight="1">
      <c r="A5155" s="2" t="s">
        <v>13224</v>
      </c>
      <c r="B5155" s="2" t="s">
        <v>13225</v>
      </c>
      <c r="C5155" s="2" t="s">
        <v>17</v>
      </c>
      <c r="D5155" s="2" t="s">
        <v>27</v>
      </c>
      <c r="E5155" s="4">
        <v>-32055</v>
      </c>
      <c r="F5155" s="3" t="s">
        <v>459</v>
      </c>
      <c r="G5155" s="3" t="s">
        <v>20</v>
      </c>
      <c r="H5155" s="2" t="s">
        <v>21</v>
      </c>
      <c r="I5155" s="2" t="s">
        <v>13226</v>
      </c>
      <c r="J5155" s="3" t="str">
        <f>HYPERLINK("https://www.boe.es/gazeta/dias/1812/03/26/pdfs/GRE-1812-38.pdf#page=8","Abrir facsímil")</f>
        <v>Abrir facsímil</v>
      </c>
      <c r="K5155" s="3" t="s">
        <v>23</v>
      </c>
    </row>
    <row r="5156" spans="1:11" ht="42" customHeight="1">
      <c r="A5156" s="2" t="s">
        <v>13227</v>
      </c>
      <c r="B5156" s="2" t="s">
        <v>13228</v>
      </c>
      <c r="C5156" s="2" t="s">
        <v>26</v>
      </c>
      <c r="D5156" s="2" t="s">
        <v>275</v>
      </c>
      <c r="E5156" s="4">
        <v>-32060</v>
      </c>
      <c r="F5156" s="3" t="s">
        <v>399</v>
      </c>
      <c r="G5156" s="3" t="s">
        <v>136</v>
      </c>
      <c r="H5156" s="2" t="s">
        <v>21</v>
      </c>
      <c r="I5156" s="2" t="s">
        <v>13229</v>
      </c>
      <c r="J5156" s="3" t="str">
        <f>HYPERLINK("https://www.boe.es/gazeta/dias/1812/03/21/pdfs/GMD-1812-81.pdf#page=4","Abrir facsímil")</f>
        <v>Abrir facsímil</v>
      </c>
      <c r="K5156" s="3" t="s">
        <v>23</v>
      </c>
    </row>
    <row r="5157" spans="1:11" ht="42" customHeight="1">
      <c r="A5157" s="2" t="s">
        <v>13230</v>
      </c>
      <c r="B5157" s="2" t="s">
        <v>13230</v>
      </c>
      <c r="C5157" s="2" t="s">
        <v>115</v>
      </c>
      <c r="D5157" s="2" t="s">
        <v>18</v>
      </c>
      <c r="E5157" s="4">
        <v>-32025</v>
      </c>
      <c r="F5157" s="3" t="s">
        <v>2323</v>
      </c>
      <c r="G5157" s="3" t="s">
        <v>45</v>
      </c>
      <c r="H5157" s="2" t="s">
        <v>21</v>
      </c>
      <c r="I5157" s="2" t="s">
        <v>13231</v>
      </c>
      <c r="J5157" s="3" t="str">
        <f>HYPERLINK("https://www.boe.es/gazeta/dias/1812/04/25/pdfs/GRE-1812-52.pdf#page=6","Abrir facsímil")</f>
        <v>Abrir facsímil</v>
      </c>
      <c r="K5157" s="3" t="s">
        <v>23</v>
      </c>
    </row>
    <row r="5158" spans="1:11" ht="42" customHeight="1">
      <c r="A5158" s="2" t="s">
        <v>13232</v>
      </c>
      <c r="B5158" s="2" t="s">
        <v>13232</v>
      </c>
      <c r="C5158" s="2" t="s">
        <v>17</v>
      </c>
      <c r="D5158" s="2" t="s">
        <v>27</v>
      </c>
      <c r="E5158" s="4">
        <v>-32055</v>
      </c>
      <c r="F5158" s="3" t="s">
        <v>459</v>
      </c>
      <c r="G5158" s="3" t="s">
        <v>4321</v>
      </c>
      <c r="H5158" s="2" t="s">
        <v>21</v>
      </c>
      <c r="I5158" s="2" t="s">
        <v>13233</v>
      </c>
      <c r="J5158" s="3" t="str">
        <f>HYPERLINK("https://www.boe.es/gazeta/dias/1812/03/26/pdfs/GRE-1812-38.pdf#page=2","Abrir facsímil")</f>
        <v>Abrir facsímil</v>
      </c>
      <c r="K5158" s="3" t="s">
        <v>23</v>
      </c>
    </row>
    <row r="5159" spans="1:11" ht="42" customHeight="1">
      <c r="A5159" s="2" t="s">
        <v>13234</v>
      </c>
      <c r="B5159" s="2" t="s">
        <v>13234</v>
      </c>
      <c r="C5159" s="2" t="s">
        <v>17</v>
      </c>
      <c r="D5159" s="2" t="s">
        <v>18</v>
      </c>
      <c r="E5159" s="4">
        <v>-32109</v>
      </c>
      <c r="F5159" s="3" t="s">
        <v>62</v>
      </c>
      <c r="G5159" s="3" t="s">
        <v>214</v>
      </c>
      <c r="H5159" s="2" t="s">
        <v>21</v>
      </c>
      <c r="I5159" s="2" t="s">
        <v>13235</v>
      </c>
      <c r="J5159" s="3" t="str">
        <f>HYPERLINK("https://www.boe.es/gazeta/dias/1812/02/01/pdfs/GRE-1812-14.pdf#page=5","Abrir facsímil")</f>
        <v>Abrir facsímil</v>
      </c>
      <c r="K5159" s="3" t="s">
        <v>23</v>
      </c>
    </row>
    <row r="5160" spans="1:11" ht="42" customHeight="1">
      <c r="A5160" s="2" t="s">
        <v>13236</v>
      </c>
      <c r="B5160" s="2" t="s">
        <v>13236</v>
      </c>
      <c r="C5160" s="2" t="s">
        <v>17</v>
      </c>
      <c r="D5160" s="2" t="s">
        <v>573</v>
      </c>
      <c r="E5160" s="4">
        <v>-31921</v>
      </c>
      <c r="F5160" s="3" t="s">
        <v>785</v>
      </c>
      <c r="G5160" s="3" t="s">
        <v>45</v>
      </c>
      <c r="H5160" s="2" t="s">
        <v>21</v>
      </c>
      <c r="I5160" s="2" t="s">
        <v>13237</v>
      </c>
      <c r="J5160" s="3" t="str">
        <f>HYPERLINK("https://www.boe.es/gazeta/dias/1812/08/07/pdfs/GRE-1812-101E.pdf#page=2","Abrir facsímil")</f>
        <v>Abrir facsímil</v>
      </c>
      <c r="K5160" s="3" t="s">
        <v>23</v>
      </c>
    </row>
    <row r="5161" spans="1:11" ht="42" customHeight="1">
      <c r="A5161" s="2" t="s">
        <v>13238</v>
      </c>
      <c r="B5161" s="2" t="s">
        <v>13238</v>
      </c>
      <c r="C5161" s="2" t="s">
        <v>17</v>
      </c>
      <c r="D5161" s="2" t="s">
        <v>27</v>
      </c>
      <c r="E5161" s="4">
        <v>-32109</v>
      </c>
      <c r="F5161" s="3" t="s">
        <v>62</v>
      </c>
      <c r="G5161" s="3" t="s">
        <v>317</v>
      </c>
      <c r="H5161" s="2" t="s">
        <v>21</v>
      </c>
      <c r="I5161" s="2" t="s">
        <v>13239</v>
      </c>
      <c r="J5161" s="3" t="str">
        <f>HYPERLINK("https://www.boe.es/gazeta/dias/1812/02/01/pdfs/GRE-1812-14.pdf#page=6","Abrir facsímil")</f>
        <v>Abrir facsímil</v>
      </c>
      <c r="K5161" s="3" t="s">
        <v>23</v>
      </c>
    </row>
    <row r="5162" spans="1:11" ht="42" customHeight="1">
      <c r="A5162" s="2" t="s">
        <v>13238</v>
      </c>
      <c r="B5162" s="2" t="s">
        <v>13238</v>
      </c>
      <c r="C5162" s="2" t="s">
        <v>49</v>
      </c>
      <c r="D5162" s="2" t="s">
        <v>18</v>
      </c>
      <c r="E5162" s="4">
        <v>-32090</v>
      </c>
      <c r="F5162" s="3" t="s">
        <v>142</v>
      </c>
      <c r="G5162" s="3" t="s">
        <v>11430</v>
      </c>
      <c r="H5162" s="2" t="s">
        <v>21</v>
      </c>
      <c r="I5162" s="2" t="s">
        <v>13240</v>
      </c>
      <c r="J5162" s="3" t="str">
        <f>HYPERLINK("https://www.boe.es/gazeta/dias/1812/02/20/pdfs/GRE-1812-22.pdf#page=3","Abrir facsímil")</f>
        <v>Abrir facsímil</v>
      </c>
      <c r="K5162" s="3" t="s">
        <v>23</v>
      </c>
    </row>
    <row r="5163" spans="1:11" ht="42" customHeight="1">
      <c r="A5163" s="2" t="s">
        <v>13241</v>
      </c>
      <c r="B5163" s="2" t="s">
        <v>13242</v>
      </c>
      <c r="C5163" s="2" t="s">
        <v>17</v>
      </c>
      <c r="D5163" s="2" t="s">
        <v>27</v>
      </c>
      <c r="E5163" s="4">
        <v>-31917</v>
      </c>
      <c r="F5163" s="3" t="s">
        <v>946</v>
      </c>
      <c r="G5163" s="3" t="s">
        <v>947</v>
      </c>
      <c r="H5163" s="2" t="s">
        <v>21</v>
      </c>
      <c r="I5163" s="2" t="s">
        <v>13243</v>
      </c>
      <c r="J5163" s="3" t="str">
        <f>HYPERLINK("https://www.boe.es/gazeta/dias/1812/08/11/pdfs/GRE-1812-103.pdf#page=8","Abrir facsímil")</f>
        <v>Abrir facsímil</v>
      </c>
      <c r="K5163" s="3" t="s">
        <v>23</v>
      </c>
    </row>
    <row r="5164" spans="1:11" ht="42" customHeight="1">
      <c r="A5164" s="2" t="s">
        <v>13244</v>
      </c>
      <c r="B5164" s="2" t="s">
        <v>13244</v>
      </c>
      <c r="C5164" s="2" t="s">
        <v>17</v>
      </c>
      <c r="D5164" s="2" t="s">
        <v>18</v>
      </c>
      <c r="E5164" s="4">
        <v>-31880</v>
      </c>
      <c r="F5164" s="3" t="s">
        <v>705</v>
      </c>
      <c r="G5164" s="3" t="s">
        <v>36</v>
      </c>
      <c r="H5164" s="2" t="s">
        <v>21</v>
      </c>
      <c r="I5164" s="2" t="s">
        <v>13245</v>
      </c>
      <c r="J5164" s="3" t="str">
        <f>HYPERLINK("https://www.boe.es/gazeta/dias/1812/09/17/pdfs/GMR-1812-15.pdf#page=3","Abrir facsímil")</f>
        <v>Abrir facsímil</v>
      </c>
      <c r="K5164" s="3" t="s">
        <v>23</v>
      </c>
    </row>
    <row r="5165" spans="1:11" ht="42" customHeight="1">
      <c r="A5165" s="2" t="s">
        <v>13246</v>
      </c>
      <c r="B5165" s="2" t="s">
        <v>13247</v>
      </c>
      <c r="C5165" s="2" t="s">
        <v>26</v>
      </c>
      <c r="D5165" s="2" t="s">
        <v>27</v>
      </c>
      <c r="E5165" s="4">
        <v>-31938</v>
      </c>
      <c r="F5165" s="3" t="s">
        <v>370</v>
      </c>
      <c r="G5165" s="3" t="s">
        <v>371</v>
      </c>
      <c r="H5165" s="2" t="s">
        <v>21</v>
      </c>
      <c r="I5165" s="2" t="s">
        <v>13248</v>
      </c>
      <c r="J5165" s="3" t="str">
        <f>HYPERLINK("https://www.boe.es/gazeta/dias/1812/07/21/pdfs/GRE-1812-91.pdf#page=8","Abrir facsímil")</f>
        <v>Abrir facsímil</v>
      </c>
      <c r="K5165" s="3" t="s">
        <v>23</v>
      </c>
    </row>
    <row r="5166" spans="1:11" ht="42" customHeight="1">
      <c r="A5166" s="2" t="s">
        <v>13249</v>
      </c>
      <c r="B5166" s="2" t="s">
        <v>13250</v>
      </c>
      <c r="C5166" s="2" t="s">
        <v>26</v>
      </c>
      <c r="D5166" s="2" t="s">
        <v>27</v>
      </c>
      <c r="E5166" s="4">
        <v>-31938</v>
      </c>
      <c r="F5166" s="3" t="s">
        <v>324</v>
      </c>
      <c r="G5166" s="3" t="s">
        <v>404</v>
      </c>
      <c r="H5166" s="2" t="s">
        <v>21</v>
      </c>
      <c r="I5166" s="2" t="s">
        <v>13251</v>
      </c>
      <c r="J5166" s="3" t="str">
        <f>HYPERLINK("https://www.boe.es/gazeta/dias/1812/07/21/pdfs/GMD-1812-203.pdf#page=4","Abrir facsímil")</f>
        <v>Abrir facsímil</v>
      </c>
      <c r="K5166" s="3" t="s">
        <v>23</v>
      </c>
    </row>
    <row r="5167" spans="1:11" ht="42" customHeight="1">
      <c r="A5167" s="2" t="s">
        <v>13252</v>
      </c>
      <c r="B5167" s="2" t="s">
        <v>13253</v>
      </c>
      <c r="C5167" s="2" t="s">
        <v>26</v>
      </c>
      <c r="D5167" s="2" t="s">
        <v>27</v>
      </c>
      <c r="E5167" s="4">
        <v>-32060</v>
      </c>
      <c r="F5167" s="3" t="s">
        <v>399</v>
      </c>
      <c r="G5167" s="3" t="s">
        <v>136</v>
      </c>
      <c r="H5167" s="2" t="s">
        <v>21</v>
      </c>
      <c r="I5167" s="2" t="s">
        <v>13254</v>
      </c>
      <c r="J5167" s="3" t="str">
        <f>HYPERLINK("https://www.boe.es/gazeta/dias/1812/03/21/pdfs/GMD-1812-81.pdf#page=4","Abrir facsímil")</f>
        <v>Abrir facsímil</v>
      </c>
      <c r="K5167" s="3" t="s">
        <v>23</v>
      </c>
    </row>
    <row r="5168" spans="1:11" ht="42" customHeight="1">
      <c r="A5168" s="2" t="s">
        <v>13255</v>
      </c>
      <c r="B5168" s="2" t="s">
        <v>13255</v>
      </c>
      <c r="C5168" s="2" t="s">
        <v>17</v>
      </c>
      <c r="D5168" s="2" t="s">
        <v>18</v>
      </c>
      <c r="E5168" s="4">
        <v>-31789</v>
      </c>
      <c r="F5168" s="3" t="s">
        <v>873</v>
      </c>
      <c r="G5168" s="3" t="s">
        <v>217</v>
      </c>
      <c r="H5168" s="2" t="s">
        <v>21</v>
      </c>
      <c r="I5168" s="2" t="s">
        <v>13256</v>
      </c>
      <c r="J5168" s="3" t="str">
        <f>HYPERLINK("https://www.boe.es/gazeta/dias/1812/12/17/pdfs/GMD-1812-240.pdf#page=1","Abrir facsímil")</f>
        <v>Abrir facsímil</v>
      </c>
      <c r="K5168" s="3" t="s">
        <v>23</v>
      </c>
    </row>
    <row r="5169" spans="1:11" ht="42" customHeight="1">
      <c r="A5169" s="2" t="s">
        <v>13257</v>
      </c>
      <c r="B5169" s="2" t="s">
        <v>13258</v>
      </c>
      <c r="C5169" s="2" t="s">
        <v>17</v>
      </c>
      <c r="D5169" s="2" t="s">
        <v>134</v>
      </c>
      <c r="E5169" s="4">
        <v>-31955</v>
      </c>
      <c r="F5169" s="3" t="s">
        <v>135</v>
      </c>
      <c r="G5169" s="3" t="s">
        <v>514</v>
      </c>
      <c r="H5169" s="2" t="s">
        <v>21</v>
      </c>
      <c r="I5169" s="2" t="s">
        <v>13259</v>
      </c>
      <c r="J5169" s="3" t="str">
        <f>HYPERLINK("https://www.boe.es/gazeta/dias/1812/07/04/pdfs/GRE-F-1812-82.pdf#page=7","Abrir facsímil")</f>
        <v>Abrir facsímil</v>
      </c>
      <c r="K5169" s="3" t="s">
        <v>23</v>
      </c>
    </row>
    <row r="5170" spans="1:11" ht="42" customHeight="1">
      <c r="A5170" s="2" t="s">
        <v>13260</v>
      </c>
      <c r="B5170" s="2" t="s">
        <v>13261</v>
      </c>
      <c r="C5170" s="2" t="s">
        <v>26</v>
      </c>
      <c r="D5170" s="2" t="s">
        <v>27</v>
      </c>
      <c r="E5170" s="4">
        <v>-32050</v>
      </c>
      <c r="F5170" s="3" t="s">
        <v>864</v>
      </c>
      <c r="G5170" s="3" t="s">
        <v>29</v>
      </c>
      <c r="H5170" s="2" t="s">
        <v>21</v>
      </c>
      <c r="I5170" s="2" t="s">
        <v>13262</v>
      </c>
      <c r="J5170" s="3" t="str">
        <f>HYPERLINK("https://www.boe.es/gazeta/dias/1812/03/31/pdfs/GRE-1812-40.pdf#page=8","Abrir facsímil")</f>
        <v>Abrir facsímil</v>
      </c>
      <c r="K5170" s="3" t="s">
        <v>23</v>
      </c>
    </row>
    <row r="5171" spans="1:11" ht="42" customHeight="1">
      <c r="A5171" s="2" t="s">
        <v>13263</v>
      </c>
      <c r="B5171" s="2" t="s">
        <v>13264</v>
      </c>
      <c r="C5171" s="2" t="s">
        <v>67</v>
      </c>
      <c r="D5171" s="2" t="s">
        <v>27</v>
      </c>
      <c r="E5171" s="4">
        <v>-32013</v>
      </c>
      <c r="F5171" s="3" t="s">
        <v>849</v>
      </c>
      <c r="G5171" s="3" t="s">
        <v>6831</v>
      </c>
      <c r="H5171" s="2" t="s">
        <v>21</v>
      </c>
      <c r="I5171" s="2" t="s">
        <v>13265</v>
      </c>
      <c r="J5171" s="3" t="str">
        <f>HYPERLINK("https://www.boe.es/gazeta/dias/1812/05/07/pdfs/GRE-1812-57.pdf#page=3","Abrir facsímil")</f>
        <v>Abrir facsímil</v>
      </c>
      <c r="K5171" s="3" t="s">
        <v>23</v>
      </c>
    </row>
    <row r="5172" spans="1:11" ht="42" customHeight="1">
      <c r="A5172" s="2" t="s">
        <v>13266</v>
      </c>
      <c r="B5172" s="2" t="s">
        <v>13266</v>
      </c>
      <c r="C5172" s="2" t="s">
        <v>17</v>
      </c>
      <c r="D5172" s="2" t="s">
        <v>27</v>
      </c>
      <c r="E5172" s="4">
        <v>-32035</v>
      </c>
      <c r="F5172" s="3" t="s">
        <v>2646</v>
      </c>
      <c r="G5172" s="3" t="s">
        <v>1176</v>
      </c>
      <c r="H5172" s="2" t="s">
        <v>21</v>
      </c>
      <c r="I5172" s="2" t="s">
        <v>13267</v>
      </c>
      <c r="J5172" s="3" t="str">
        <f>HYPERLINK("https://www.boe.es/gazeta/dias/1812/04/15/pdfs/GMD-1812-106.pdf#page=2","Abrir facsímil")</f>
        <v>Abrir facsímil</v>
      </c>
      <c r="K5172" s="3" t="s">
        <v>23</v>
      </c>
    </row>
    <row r="5173" spans="1:11" ht="42" customHeight="1">
      <c r="A5173" s="2" t="s">
        <v>13266</v>
      </c>
      <c r="B5173" s="2" t="s">
        <v>13266</v>
      </c>
      <c r="C5173" s="2" t="s">
        <v>17</v>
      </c>
      <c r="D5173" s="2" t="s">
        <v>18</v>
      </c>
      <c r="E5173" s="4">
        <v>-32033</v>
      </c>
      <c r="F5173" s="3" t="s">
        <v>771</v>
      </c>
      <c r="G5173" s="3" t="s">
        <v>217</v>
      </c>
      <c r="H5173" s="2" t="s">
        <v>21</v>
      </c>
      <c r="I5173" s="2" t="s">
        <v>13268</v>
      </c>
      <c r="J5173" s="3" t="str">
        <f>HYPERLINK("https://www.boe.es/gazeta/dias/1812/04/17/pdfs/GMD-1812-108.pdf#page=3","Abrir facsímil")</f>
        <v>Abrir facsímil</v>
      </c>
      <c r="K5173" s="3" t="s">
        <v>23</v>
      </c>
    </row>
    <row r="5174" spans="1:11" ht="42" customHeight="1">
      <c r="A5174" s="2" t="s">
        <v>13266</v>
      </c>
      <c r="B5174" s="2" t="s">
        <v>13266</v>
      </c>
      <c r="C5174" s="2" t="s">
        <v>17</v>
      </c>
      <c r="D5174" s="2" t="s">
        <v>18</v>
      </c>
      <c r="E5174" s="4">
        <v>-32031</v>
      </c>
      <c r="F5174" s="3" t="s">
        <v>1343</v>
      </c>
      <c r="G5174" s="3" t="s">
        <v>36</v>
      </c>
      <c r="H5174" s="2" t="s">
        <v>21</v>
      </c>
      <c r="I5174" s="2" t="s">
        <v>13269</v>
      </c>
      <c r="J5174" s="3" t="str">
        <f>HYPERLINK("https://www.boe.es/gazeta/dias/1812/04/19/pdfs/GMD-1812-110.pdf#page=3","Abrir facsímil")</f>
        <v>Abrir facsímil</v>
      </c>
      <c r="K5174" s="3" t="s">
        <v>23</v>
      </c>
    </row>
    <row r="5175" spans="1:11" ht="42" customHeight="1">
      <c r="A5175" s="2" t="s">
        <v>13270</v>
      </c>
      <c r="B5175" s="2" t="s">
        <v>13270</v>
      </c>
      <c r="C5175" s="2" t="s">
        <v>17</v>
      </c>
      <c r="D5175" s="2" t="s">
        <v>18</v>
      </c>
      <c r="E5175" s="4">
        <v>-32127</v>
      </c>
      <c r="F5175" s="3" t="s">
        <v>88</v>
      </c>
      <c r="G5175" s="3" t="s">
        <v>1883</v>
      </c>
      <c r="H5175" s="2" t="s">
        <v>21</v>
      </c>
      <c r="I5175" s="2" t="s">
        <v>13271</v>
      </c>
      <c r="J5175" s="3" t="str">
        <f>HYPERLINK("https://www.boe.es/gazeta/dias/1812/01/14/pdfs/GEI-1812-6.pdf#page=4","Abrir facsímil")</f>
        <v>Abrir facsímil</v>
      </c>
      <c r="K5175" s="3" t="s">
        <v>23</v>
      </c>
    </row>
    <row r="5176" spans="1:11" ht="42" customHeight="1">
      <c r="A5176" s="2" t="s">
        <v>13270</v>
      </c>
      <c r="B5176" s="2" t="s">
        <v>13270</v>
      </c>
      <c r="C5176" s="2" t="s">
        <v>17</v>
      </c>
      <c r="D5176" s="2" t="s">
        <v>27</v>
      </c>
      <c r="E5176" s="4">
        <v>-32059</v>
      </c>
      <c r="F5176" s="3" t="s">
        <v>2531</v>
      </c>
      <c r="G5176" s="3" t="s">
        <v>214</v>
      </c>
      <c r="H5176" s="2" t="s">
        <v>21</v>
      </c>
      <c r="I5176" s="2" t="s">
        <v>13272</v>
      </c>
      <c r="J5176" s="3" t="str">
        <f>HYPERLINK("https://www.boe.es/gazeta/dias/1812/03/22/pdfs/GMD-1812-82.pdf#page=3","Abrir facsímil")</f>
        <v>Abrir facsímil</v>
      </c>
      <c r="K5176" s="3" t="s">
        <v>23</v>
      </c>
    </row>
    <row r="5177" spans="1:11" ht="42" customHeight="1">
      <c r="A5177" s="2" t="s">
        <v>13270</v>
      </c>
      <c r="B5177" s="2" t="s">
        <v>13270</v>
      </c>
      <c r="C5177" s="2" t="s">
        <v>17</v>
      </c>
      <c r="D5177" s="2" t="s">
        <v>18</v>
      </c>
      <c r="E5177" s="4">
        <v>-32057</v>
      </c>
      <c r="F5177" s="3" t="s">
        <v>677</v>
      </c>
      <c r="G5177" s="3" t="s">
        <v>2332</v>
      </c>
      <c r="H5177" s="2" t="s">
        <v>21</v>
      </c>
      <c r="I5177" s="2" t="s">
        <v>13273</v>
      </c>
      <c r="J5177" s="3" t="str">
        <f>HYPERLINK("https://www.boe.es/gazeta/dias/1812/03/24/pdfs/GRE-1812-37.pdf#page=7","Abrir facsímil")</f>
        <v>Abrir facsímil</v>
      </c>
      <c r="K5177" s="3" t="s">
        <v>23</v>
      </c>
    </row>
    <row r="5178" spans="1:11" ht="42" customHeight="1">
      <c r="A5178" s="2" t="s">
        <v>13270</v>
      </c>
      <c r="B5178" s="2" t="s">
        <v>13270</v>
      </c>
      <c r="C5178" s="2" t="s">
        <v>17</v>
      </c>
      <c r="D5178" s="2" t="s">
        <v>18</v>
      </c>
      <c r="E5178" s="4">
        <v>-32029</v>
      </c>
      <c r="F5178" s="3" t="s">
        <v>176</v>
      </c>
      <c r="G5178" s="3" t="s">
        <v>177</v>
      </c>
      <c r="H5178" s="2" t="s">
        <v>21</v>
      </c>
      <c r="I5178" s="2" t="s">
        <v>13274</v>
      </c>
      <c r="J5178" s="3" t="str">
        <f>HYPERLINK("https://www.boe.es/gazeta/dias/1812/04/21/pdfs/GRE-1812-50.pdf#page=8","Abrir facsímil")</f>
        <v>Abrir facsímil</v>
      </c>
      <c r="K5178" s="3" t="s">
        <v>23</v>
      </c>
    </row>
    <row r="5179" spans="1:11" ht="42" customHeight="1">
      <c r="A5179" s="2" t="s">
        <v>13275</v>
      </c>
      <c r="B5179" s="2" t="s">
        <v>13275</v>
      </c>
      <c r="C5179" s="2" t="s">
        <v>17</v>
      </c>
      <c r="D5179" s="2" t="s">
        <v>27</v>
      </c>
      <c r="E5179" s="4">
        <v>-31878</v>
      </c>
      <c r="F5179" s="3" t="s">
        <v>2891</v>
      </c>
      <c r="G5179" s="3" t="s">
        <v>2892</v>
      </c>
      <c r="H5179" s="2" t="s">
        <v>21</v>
      </c>
      <c r="I5179" s="2" t="s">
        <v>13276</v>
      </c>
      <c r="J5179" s="3" t="str">
        <f>HYPERLINK("https://www.boe.es/gazeta/dias/1812/09/19/pdfs/GRE-1812-127.pdf#page=3","Abrir facsímil")</f>
        <v>Abrir facsímil</v>
      </c>
      <c r="K5179" s="3" t="s">
        <v>23</v>
      </c>
    </row>
    <row r="5180" spans="1:11" ht="42" customHeight="1">
      <c r="A5180" s="2" t="s">
        <v>13277</v>
      </c>
      <c r="B5180" s="2" t="s">
        <v>13278</v>
      </c>
      <c r="C5180" s="2" t="s">
        <v>26</v>
      </c>
      <c r="D5180" s="2" t="s">
        <v>27</v>
      </c>
      <c r="E5180" s="4">
        <v>-31941</v>
      </c>
      <c r="F5180" s="3" t="s">
        <v>57</v>
      </c>
      <c r="G5180" s="3" t="s">
        <v>58</v>
      </c>
      <c r="H5180" s="2" t="s">
        <v>21</v>
      </c>
      <c r="I5180" s="2" t="s">
        <v>13279</v>
      </c>
      <c r="J5180" s="3" t="str">
        <f>HYPERLINK("https://www.boe.es/gazeta/dias/1812/07/18/pdfs/GMD-1812-200.pdf#page=4","Abrir facsímil")</f>
        <v>Abrir facsímil</v>
      </c>
      <c r="K5180" s="3" t="s">
        <v>23</v>
      </c>
    </row>
    <row r="5181" spans="1:11" ht="42" customHeight="1">
      <c r="A5181" s="2" t="s">
        <v>13280</v>
      </c>
      <c r="B5181" s="2" t="s">
        <v>13280</v>
      </c>
      <c r="C5181" s="2" t="s">
        <v>17</v>
      </c>
      <c r="D5181" s="2" t="s">
        <v>27</v>
      </c>
      <c r="E5181" s="4">
        <v>-32057</v>
      </c>
      <c r="F5181" s="3" t="s">
        <v>225</v>
      </c>
      <c r="G5181" s="3" t="s">
        <v>140</v>
      </c>
      <c r="H5181" s="2" t="s">
        <v>21</v>
      </c>
      <c r="I5181" s="2" t="s">
        <v>13281</v>
      </c>
      <c r="J5181" s="3" t="str">
        <f>HYPERLINK("https://www.boe.es/gazeta/dias/1812/03/24/pdfs/GMD-1812-84.pdf#page=2","Abrir facsímil")</f>
        <v>Abrir facsímil</v>
      </c>
      <c r="K5181" s="3" t="s">
        <v>23</v>
      </c>
    </row>
    <row r="5182" spans="1:11" ht="42" customHeight="1">
      <c r="A5182" s="2" t="s">
        <v>13282</v>
      </c>
      <c r="B5182" s="2" t="s">
        <v>13282</v>
      </c>
      <c r="C5182" s="2" t="s">
        <v>17</v>
      </c>
      <c r="D5182" s="2" t="s">
        <v>18</v>
      </c>
      <c r="E5182" s="4">
        <v>-31952</v>
      </c>
      <c r="F5182" s="3" t="s">
        <v>210</v>
      </c>
      <c r="G5182" s="3" t="s">
        <v>237</v>
      </c>
      <c r="H5182" s="2" t="s">
        <v>21</v>
      </c>
      <c r="I5182" s="2" t="s">
        <v>13283</v>
      </c>
      <c r="J5182" s="3" t="str">
        <f>HYPERLINK("https://www.boe.es/gazeta/dias/1812/07/07/pdfs/GRE-1812-83.pdf#page=2","Abrir facsímil")</f>
        <v>Abrir facsímil</v>
      </c>
      <c r="K5182" s="3" t="s">
        <v>23</v>
      </c>
    </row>
    <row r="5183" spans="1:11" ht="42" customHeight="1">
      <c r="A5183" s="2" t="s">
        <v>13284</v>
      </c>
      <c r="B5183" s="2" t="s">
        <v>13284</v>
      </c>
      <c r="C5183" s="2" t="s">
        <v>26</v>
      </c>
      <c r="D5183" s="2" t="s">
        <v>27</v>
      </c>
      <c r="E5183" s="4">
        <v>-31945</v>
      </c>
      <c r="F5183" s="3" t="s">
        <v>9880</v>
      </c>
      <c r="G5183" s="3" t="s">
        <v>172</v>
      </c>
      <c r="H5183" s="2" t="s">
        <v>21</v>
      </c>
      <c r="I5183" s="2" t="s">
        <v>13285</v>
      </c>
      <c r="J5183" s="3" t="str">
        <f>HYPERLINK("https://www.boe.es/gazeta/dias/1812/07/14/pdfs/GMD-1812-196.pdf#page=1","Abrir facsímil")</f>
        <v>Abrir facsímil</v>
      </c>
      <c r="K5183" s="3" t="s">
        <v>23</v>
      </c>
    </row>
    <row r="5184" spans="1:11" ht="42" customHeight="1">
      <c r="A5184" s="2" t="s">
        <v>13286</v>
      </c>
      <c r="B5184" s="2" t="s">
        <v>13286</v>
      </c>
      <c r="C5184" s="2" t="s">
        <v>17</v>
      </c>
      <c r="D5184" s="2" t="s">
        <v>18</v>
      </c>
      <c r="E5184" s="4">
        <v>-31777</v>
      </c>
      <c r="F5184" s="3" t="s">
        <v>960</v>
      </c>
      <c r="G5184" s="3" t="s">
        <v>125</v>
      </c>
      <c r="H5184" s="2" t="s">
        <v>21</v>
      </c>
      <c r="I5184" s="2" t="s">
        <v>13287</v>
      </c>
      <c r="J5184" s="3" t="str">
        <f>HYPERLINK("https://www.boe.es/gazeta/dias/1812/12/29/pdfs/GMD-1812-252.pdf#page=3","Abrir facsímil")</f>
        <v>Abrir facsímil</v>
      </c>
      <c r="K5184" s="3" t="s">
        <v>23</v>
      </c>
    </row>
    <row r="5185" spans="1:11" ht="42" customHeight="1">
      <c r="A5185" s="2" t="s">
        <v>13288</v>
      </c>
      <c r="B5185" s="2" t="s">
        <v>13288</v>
      </c>
      <c r="C5185" s="2" t="s">
        <v>17</v>
      </c>
      <c r="D5185" s="2" t="s">
        <v>27</v>
      </c>
      <c r="E5185" s="4">
        <v>-31861</v>
      </c>
      <c r="F5185" s="3" t="s">
        <v>1080</v>
      </c>
      <c r="G5185" s="3" t="s">
        <v>58</v>
      </c>
      <c r="H5185" s="2" t="s">
        <v>21</v>
      </c>
      <c r="I5185" s="2" t="s">
        <v>13289</v>
      </c>
      <c r="J5185" s="3" t="str">
        <f>HYPERLINK("https://www.boe.es/gazeta/dias/1812/10/06/pdfs/GMR-1812-23.pdf#page=8","Abrir facsímil")</f>
        <v>Abrir facsímil</v>
      </c>
      <c r="K5185" s="3" t="s">
        <v>23</v>
      </c>
    </row>
    <row r="5186" spans="1:11" ht="42" customHeight="1">
      <c r="A5186" s="2" t="s">
        <v>13290</v>
      </c>
      <c r="B5186" s="2" t="s">
        <v>13290</v>
      </c>
      <c r="C5186" s="2" t="s">
        <v>17</v>
      </c>
      <c r="D5186" s="2" t="s">
        <v>27</v>
      </c>
      <c r="E5186" s="4">
        <v>-31917</v>
      </c>
      <c r="F5186" s="3" t="s">
        <v>946</v>
      </c>
      <c r="G5186" s="3" t="s">
        <v>5420</v>
      </c>
      <c r="H5186" s="2" t="s">
        <v>21</v>
      </c>
      <c r="I5186" s="2" t="s">
        <v>13291</v>
      </c>
      <c r="J5186" s="3" t="str">
        <f>HYPERLINK("https://www.boe.es/gazeta/dias/1812/08/11/pdfs/GRE-1812-103.pdf#page=6","Abrir facsímil")</f>
        <v>Abrir facsímil</v>
      </c>
      <c r="K5186" s="3" t="s">
        <v>23</v>
      </c>
    </row>
    <row r="5187" spans="1:11" ht="42" customHeight="1">
      <c r="A5187" s="2" t="s">
        <v>13290</v>
      </c>
      <c r="B5187" s="2" t="s">
        <v>13290</v>
      </c>
      <c r="C5187" s="2" t="s">
        <v>17</v>
      </c>
      <c r="D5187" s="2" t="s">
        <v>27</v>
      </c>
      <c r="E5187" s="4">
        <v>-31903</v>
      </c>
      <c r="F5187" s="3" t="s">
        <v>626</v>
      </c>
      <c r="G5187" s="3" t="s">
        <v>20</v>
      </c>
      <c r="H5187" s="2" t="s">
        <v>21</v>
      </c>
      <c r="I5187" s="2" t="s">
        <v>13292</v>
      </c>
      <c r="J5187" s="3" t="str">
        <f>HYPERLINK("https://www.boe.es/gazeta/dias/1812/08/25/pdfs/GMR-1812-5.pdf#page=5","Abrir facsímil")</f>
        <v>Abrir facsímil</v>
      </c>
      <c r="K5187" s="3" t="s">
        <v>23</v>
      </c>
    </row>
    <row r="5188" spans="1:11" ht="42" customHeight="1">
      <c r="A5188" s="2" t="s">
        <v>13290</v>
      </c>
      <c r="B5188" s="2" t="s">
        <v>13290</v>
      </c>
      <c r="C5188" s="2" t="s">
        <v>17</v>
      </c>
      <c r="D5188" s="2" t="s">
        <v>275</v>
      </c>
      <c r="E5188" s="4">
        <v>-31899</v>
      </c>
      <c r="F5188" s="3" t="s">
        <v>1396</v>
      </c>
      <c r="G5188" s="3" t="s">
        <v>10779</v>
      </c>
      <c r="H5188" s="2" t="s">
        <v>21</v>
      </c>
      <c r="I5188" s="2" t="s">
        <v>13293</v>
      </c>
      <c r="J5188" s="3" t="str">
        <f>HYPERLINK("https://www.boe.es/gazeta/dias/1812/08/29/pdfs/GMR-1812-7.pdf#page=3","Abrir facsímil")</f>
        <v>Abrir facsímil</v>
      </c>
      <c r="K5188" s="3" t="s">
        <v>23</v>
      </c>
    </row>
    <row r="5189" spans="1:11" ht="42" customHeight="1">
      <c r="A5189" s="2" t="s">
        <v>13290</v>
      </c>
      <c r="B5189" s="2" t="s">
        <v>13290</v>
      </c>
      <c r="C5189" s="2" t="s">
        <v>17</v>
      </c>
      <c r="D5189" s="2" t="s">
        <v>573</v>
      </c>
      <c r="E5189" s="4">
        <v>-31898</v>
      </c>
      <c r="F5189" s="3" t="s">
        <v>1952</v>
      </c>
      <c r="G5189" s="3" t="s">
        <v>1631</v>
      </c>
      <c r="H5189" s="2" t="s">
        <v>21</v>
      </c>
      <c r="I5189" s="2" t="s">
        <v>13294</v>
      </c>
      <c r="J5189" s="3" t="str">
        <f>HYPERLINK("https://www.boe.es/gazeta/dias/1812/08/30/pdfs/GRE-1812-116E.pdf#page=6","Abrir facsímil")</f>
        <v>Abrir facsímil</v>
      </c>
      <c r="K5189" s="3" t="s">
        <v>23</v>
      </c>
    </row>
    <row r="5190" spans="1:11" ht="42" customHeight="1">
      <c r="A5190" s="2" t="s">
        <v>13290</v>
      </c>
      <c r="B5190" s="2" t="s">
        <v>13290</v>
      </c>
      <c r="C5190" s="2" t="s">
        <v>17</v>
      </c>
      <c r="D5190" s="2" t="s">
        <v>27</v>
      </c>
      <c r="E5190" s="4">
        <v>-31882</v>
      </c>
      <c r="F5190" s="3" t="s">
        <v>1798</v>
      </c>
      <c r="G5190" s="3" t="s">
        <v>237</v>
      </c>
      <c r="H5190" s="2" t="s">
        <v>21</v>
      </c>
      <c r="I5190" s="2" t="s">
        <v>13295</v>
      </c>
      <c r="J5190" s="3" t="str">
        <f>HYPERLINK("https://www.boe.es/gazeta/dias/1812/09/15/pdfs/GMR-1812-14.pdf#page=8","Abrir facsímil")</f>
        <v>Abrir facsímil</v>
      </c>
      <c r="K5190" s="3" t="s">
        <v>23</v>
      </c>
    </row>
    <row r="5191" spans="1:11" ht="42" customHeight="1">
      <c r="A5191" s="2" t="s">
        <v>13290</v>
      </c>
      <c r="B5191" s="2" t="s">
        <v>13290</v>
      </c>
      <c r="C5191" s="2" t="s">
        <v>17</v>
      </c>
      <c r="D5191" s="2" t="s">
        <v>27</v>
      </c>
      <c r="E5191" s="4">
        <v>-31838</v>
      </c>
      <c r="F5191" s="3" t="s">
        <v>1960</v>
      </c>
      <c r="G5191" s="3" t="s">
        <v>1961</v>
      </c>
      <c r="H5191" s="2" t="s">
        <v>21</v>
      </c>
      <c r="I5191" s="2" t="s">
        <v>13296</v>
      </c>
      <c r="J5191" s="3" t="str">
        <f>HYPERLINK("https://www.boe.es/gazeta/dias/1812/10/29/pdfs/GRE-1812-145.pdf#page=2","Abrir facsímil")</f>
        <v>Abrir facsímil</v>
      </c>
      <c r="K5191" s="3" t="s">
        <v>23</v>
      </c>
    </row>
    <row r="5192" spans="1:11" ht="42" customHeight="1">
      <c r="A5192" s="2" t="s">
        <v>13297</v>
      </c>
      <c r="B5192" s="2" t="s">
        <v>13297</v>
      </c>
      <c r="C5192" s="2" t="s">
        <v>17</v>
      </c>
      <c r="D5192" s="2" t="s">
        <v>27</v>
      </c>
      <c r="E5192" s="4">
        <v>-31944</v>
      </c>
      <c r="F5192" s="3" t="s">
        <v>5796</v>
      </c>
      <c r="G5192" s="3" t="s">
        <v>404</v>
      </c>
      <c r="H5192" s="2" t="s">
        <v>21</v>
      </c>
      <c r="I5192" s="2" t="s">
        <v>13298</v>
      </c>
      <c r="J5192" s="3" t="str">
        <f>HYPERLINK("https://www.boe.es/gazeta/dias/1812/07/15/pdfs/GMD-1812-197.pdf#page=2","Abrir facsímil")</f>
        <v>Abrir facsímil</v>
      </c>
      <c r="K5192" s="3" t="s">
        <v>23</v>
      </c>
    </row>
    <row r="5193" spans="1:11" ht="42" customHeight="1">
      <c r="A5193" s="2" t="s">
        <v>13299</v>
      </c>
      <c r="B5193" s="2" t="s">
        <v>13299</v>
      </c>
      <c r="C5193" s="2" t="s">
        <v>26</v>
      </c>
      <c r="D5193" s="2" t="s">
        <v>27</v>
      </c>
      <c r="E5193" s="4">
        <v>-31981</v>
      </c>
      <c r="F5193" s="3" t="s">
        <v>5059</v>
      </c>
      <c r="G5193" s="3" t="s">
        <v>45</v>
      </c>
      <c r="H5193" s="2" t="s">
        <v>21</v>
      </c>
      <c r="I5193" s="2" t="s">
        <v>13300</v>
      </c>
      <c r="J5193" s="3" t="str">
        <f>HYPERLINK("https://www.boe.es/gazeta/dias/1812/06/08/pdfs/GMD-1812-160.pdf#page=3","Abrir facsímil")</f>
        <v>Abrir facsímil</v>
      </c>
      <c r="K5193" s="3" t="s">
        <v>23</v>
      </c>
    </row>
    <row r="5194" spans="1:11" ht="42" customHeight="1">
      <c r="A5194" s="2" t="s">
        <v>13301</v>
      </c>
      <c r="B5194" s="2" t="s">
        <v>13302</v>
      </c>
      <c r="C5194" s="2" t="s">
        <v>17</v>
      </c>
      <c r="D5194" s="2" t="s">
        <v>27</v>
      </c>
      <c r="E5194" s="4">
        <v>-32034</v>
      </c>
      <c r="F5194" s="3" t="s">
        <v>1008</v>
      </c>
      <c r="G5194" s="3" t="s">
        <v>1009</v>
      </c>
      <c r="H5194" s="2" t="s">
        <v>21</v>
      </c>
      <c r="I5194" s="2" t="s">
        <v>13303</v>
      </c>
      <c r="J5194" s="3" t="str">
        <f>HYPERLINK("https://www.boe.es/gazeta/dias/1812/04/16/pdfs/GRE-1812-48.pdf#page=8","Abrir facsímil")</f>
        <v>Abrir facsímil</v>
      </c>
      <c r="K5194" s="3" t="s">
        <v>23</v>
      </c>
    </row>
    <row r="5195" spans="1:11" ht="42" customHeight="1">
      <c r="A5195" s="2" t="s">
        <v>13304</v>
      </c>
      <c r="B5195" s="2" t="s">
        <v>13304</v>
      </c>
      <c r="C5195" s="2" t="s">
        <v>17</v>
      </c>
      <c r="D5195" s="2" t="s">
        <v>27</v>
      </c>
      <c r="E5195" s="4">
        <v>-32018</v>
      </c>
      <c r="F5195" s="3" t="s">
        <v>365</v>
      </c>
      <c r="G5195" s="3" t="s">
        <v>2171</v>
      </c>
      <c r="H5195" s="2" t="s">
        <v>21</v>
      </c>
      <c r="I5195" s="2" t="s">
        <v>13305</v>
      </c>
      <c r="J5195" s="3" t="str">
        <f>HYPERLINK("https://www.boe.es/gazeta/dias/1812/05/02/pdfs/GRE-1812-55.pdf#page=7","Abrir facsímil")</f>
        <v>Abrir facsímil</v>
      </c>
      <c r="K5195" s="3" t="s">
        <v>23</v>
      </c>
    </row>
    <row r="5196" spans="1:11" ht="42" customHeight="1">
      <c r="A5196" s="2" t="s">
        <v>13306</v>
      </c>
      <c r="B5196" s="2" t="s">
        <v>13307</v>
      </c>
      <c r="C5196" s="2" t="s">
        <v>17</v>
      </c>
      <c r="D5196" s="2" t="s">
        <v>27</v>
      </c>
      <c r="E5196" s="4">
        <v>-31990</v>
      </c>
      <c r="F5196" s="3" t="s">
        <v>5078</v>
      </c>
      <c r="G5196" s="3" t="s">
        <v>237</v>
      </c>
      <c r="H5196" s="2" t="s">
        <v>21</v>
      </c>
      <c r="I5196" s="2" t="s">
        <v>13308</v>
      </c>
      <c r="J5196" s="3" t="str">
        <f>HYPERLINK("https://www.boe.es/gazeta/dias/1812/05/30/pdfs/GRE-1812-67.pdf#page=3","Abrir facsímil")</f>
        <v>Abrir facsímil</v>
      </c>
      <c r="K5196" s="3" t="s">
        <v>23</v>
      </c>
    </row>
    <row r="5197" spans="1:11" ht="42" customHeight="1">
      <c r="A5197" s="2" t="s">
        <v>13309</v>
      </c>
      <c r="B5197" s="2" t="s">
        <v>13310</v>
      </c>
      <c r="C5197" s="2" t="s">
        <v>26</v>
      </c>
      <c r="D5197" s="2" t="s">
        <v>27</v>
      </c>
      <c r="E5197" s="4">
        <v>-31994</v>
      </c>
      <c r="F5197" s="3" t="s">
        <v>207</v>
      </c>
      <c r="G5197" s="3" t="s">
        <v>1176</v>
      </c>
      <c r="H5197" s="2" t="s">
        <v>21</v>
      </c>
      <c r="I5197" s="2" t="s">
        <v>13311</v>
      </c>
      <c r="J5197" s="3" t="str">
        <f>HYPERLINK("https://www.boe.es/gazeta/dias/1812/05/26/pdfs/GRE-1812-65.pdf#page=8","Abrir facsímil")</f>
        <v>Abrir facsímil</v>
      </c>
      <c r="K5197" s="3" t="s">
        <v>23</v>
      </c>
    </row>
    <row r="5198" spans="1:11" ht="42" customHeight="1">
      <c r="A5198" s="2" t="s">
        <v>13312</v>
      </c>
      <c r="B5198" s="2" t="s">
        <v>13313</v>
      </c>
      <c r="C5198" s="2" t="s">
        <v>17</v>
      </c>
      <c r="D5198" s="2" t="s">
        <v>27</v>
      </c>
      <c r="E5198" s="4">
        <v>-31936</v>
      </c>
      <c r="F5198" s="3" t="s">
        <v>614</v>
      </c>
      <c r="G5198" s="3" t="s">
        <v>615</v>
      </c>
      <c r="H5198" s="2" t="s">
        <v>21</v>
      </c>
      <c r="I5198" s="2" t="s">
        <v>13314</v>
      </c>
      <c r="J5198" s="3" t="str">
        <f>HYPERLINK("https://www.boe.es/gazeta/dias/1812/07/23/pdfs/GRE-1812-92.pdf#page=8","Abrir facsímil")</f>
        <v>Abrir facsímil</v>
      </c>
      <c r="K5198" s="3" t="s">
        <v>23</v>
      </c>
    </row>
    <row r="5199" spans="1:11" ht="42" customHeight="1">
      <c r="A5199" s="2" t="s">
        <v>13315</v>
      </c>
      <c r="B5199" s="2" t="s">
        <v>13316</v>
      </c>
      <c r="C5199" s="2" t="s">
        <v>26</v>
      </c>
      <c r="D5199" s="2" t="s">
        <v>27</v>
      </c>
      <c r="E5199" s="4">
        <v>-31936</v>
      </c>
      <c r="F5199" s="3" t="s">
        <v>614</v>
      </c>
      <c r="G5199" s="3" t="s">
        <v>615</v>
      </c>
      <c r="H5199" s="2" t="s">
        <v>21</v>
      </c>
      <c r="I5199" s="2" t="s">
        <v>13317</v>
      </c>
      <c r="J5199" s="3" t="str">
        <f>HYPERLINK("https://www.boe.es/gazeta/dias/1812/07/23/pdfs/GRE-1812-92.pdf#page=8","Abrir facsímil")</f>
        <v>Abrir facsímil</v>
      </c>
      <c r="K5199" s="3" t="s">
        <v>23</v>
      </c>
    </row>
    <row r="5200" spans="1:11" ht="42" customHeight="1">
      <c r="A5200" s="2" t="s">
        <v>13318</v>
      </c>
      <c r="B5200" s="2" t="s">
        <v>13318</v>
      </c>
      <c r="C5200" s="2" t="s">
        <v>17</v>
      </c>
      <c r="D5200" s="2" t="s">
        <v>194</v>
      </c>
      <c r="E5200" s="4">
        <v>-31857</v>
      </c>
      <c r="F5200" s="3" t="s">
        <v>2176</v>
      </c>
      <c r="G5200" s="3" t="s">
        <v>136</v>
      </c>
      <c r="H5200" s="2" t="s">
        <v>21</v>
      </c>
      <c r="I5200" s="2" t="s">
        <v>13319</v>
      </c>
      <c r="J5200" s="3" t="str">
        <f>HYPERLINK("https://www.boe.es/gazeta/dias/1812/10/10/pdfs/GMR-1812-25.pdf#page=3","Abrir facsímil")</f>
        <v>Abrir facsímil</v>
      </c>
      <c r="K5200" s="3" t="s">
        <v>23</v>
      </c>
    </row>
    <row r="5201" spans="1:11" ht="42" customHeight="1">
      <c r="A5201" s="2" t="s">
        <v>13320</v>
      </c>
      <c r="B5201" s="2" t="s">
        <v>13320</v>
      </c>
      <c r="C5201" s="2" t="s">
        <v>17</v>
      </c>
      <c r="D5201" s="2" t="s">
        <v>194</v>
      </c>
      <c r="E5201" s="4">
        <v>-31979</v>
      </c>
      <c r="F5201" s="3" t="s">
        <v>11385</v>
      </c>
      <c r="G5201" s="3" t="s">
        <v>58</v>
      </c>
      <c r="H5201" s="2" t="s">
        <v>21</v>
      </c>
      <c r="I5201" s="2" t="s">
        <v>13321</v>
      </c>
      <c r="J5201" s="3" t="str">
        <f>HYPERLINK("https://www.boe.es/gazeta/dias/1812/06/10/pdfs/GMD-1812-162.pdf#page=2","Abrir facsímil")</f>
        <v>Abrir facsímil</v>
      </c>
      <c r="K5201" s="3" t="s">
        <v>23</v>
      </c>
    </row>
    <row r="5202" spans="1:11" ht="42" customHeight="1">
      <c r="A5202" s="2" t="s">
        <v>13322</v>
      </c>
      <c r="B5202" s="2" t="s">
        <v>13323</v>
      </c>
      <c r="C5202" s="2" t="s">
        <v>186</v>
      </c>
      <c r="D5202" s="2" t="s">
        <v>27</v>
      </c>
      <c r="E5202" s="4">
        <v>-31882</v>
      </c>
      <c r="F5202" s="3" t="s">
        <v>1798</v>
      </c>
      <c r="G5202" s="3" t="s">
        <v>11266</v>
      </c>
      <c r="H5202" s="2" t="s">
        <v>21</v>
      </c>
      <c r="I5202" s="2" t="s">
        <v>13324</v>
      </c>
      <c r="J5202" s="3" t="str">
        <f>HYPERLINK("https://www.boe.es/gazeta/dias/1812/09/15/pdfs/GMR-1812-14.pdf#page=11","Abrir facsímil")</f>
        <v>Abrir facsímil</v>
      </c>
      <c r="K5202" s="3" t="s">
        <v>23</v>
      </c>
    </row>
    <row r="5203" spans="1:11" ht="42" customHeight="1">
      <c r="A5203" s="2" t="s">
        <v>13325</v>
      </c>
      <c r="B5203" s="2" t="s">
        <v>13325</v>
      </c>
      <c r="C5203" s="2" t="s">
        <v>17</v>
      </c>
      <c r="D5203" s="2" t="s">
        <v>194</v>
      </c>
      <c r="E5203" s="4">
        <v>-32092</v>
      </c>
      <c r="F5203" s="3" t="s">
        <v>13326</v>
      </c>
      <c r="G5203" s="3" t="s">
        <v>20</v>
      </c>
      <c r="H5203" s="2" t="s">
        <v>21</v>
      </c>
      <c r="I5203" s="2" t="s">
        <v>13327</v>
      </c>
      <c r="J5203" s="3" t="str">
        <f>HYPERLINK("https://www.boe.es/gazeta/dias/1812/02/18/pdfs/GMD-1812-49.pdf#page=2","Abrir facsímil")</f>
        <v>Abrir facsímil</v>
      </c>
      <c r="K5203" s="3" t="s">
        <v>23</v>
      </c>
    </row>
    <row r="5204" spans="1:11" ht="42" customHeight="1">
      <c r="A5204" s="2" t="s">
        <v>13325</v>
      </c>
      <c r="B5204" s="2" t="s">
        <v>13325</v>
      </c>
      <c r="C5204" s="2" t="s">
        <v>17</v>
      </c>
      <c r="D5204" s="2" t="s">
        <v>194</v>
      </c>
      <c r="E5204" s="4">
        <v>-32090</v>
      </c>
      <c r="F5204" s="3" t="s">
        <v>13326</v>
      </c>
      <c r="G5204" s="3" t="s">
        <v>20</v>
      </c>
      <c r="H5204" s="2" t="s">
        <v>21</v>
      </c>
      <c r="I5204" s="2" t="s">
        <v>13327</v>
      </c>
      <c r="J5204" s="3" t="str">
        <f>HYPERLINK("https://www.boe.es/gazeta/dias/1812/02/20/pdfs/GMD-1812-49.pdf#page=2","Abrir facsímil")</f>
        <v>Abrir facsímil</v>
      </c>
      <c r="K5204" s="3" t="s">
        <v>23</v>
      </c>
    </row>
    <row r="5205" spans="1:11" ht="42" customHeight="1">
      <c r="A5205" s="2" t="s">
        <v>13328</v>
      </c>
      <c r="B5205" s="2" t="s">
        <v>13329</v>
      </c>
      <c r="C5205" s="2" t="s">
        <v>26</v>
      </c>
      <c r="D5205" s="2" t="s">
        <v>27</v>
      </c>
      <c r="E5205" s="4">
        <v>-32040</v>
      </c>
      <c r="F5205" s="3" t="s">
        <v>682</v>
      </c>
      <c r="G5205" s="3" t="s">
        <v>514</v>
      </c>
      <c r="H5205" s="2" t="s">
        <v>21</v>
      </c>
      <c r="I5205" s="2" t="s">
        <v>13330</v>
      </c>
      <c r="J5205" s="3" t="str">
        <f>HYPERLINK("https://www.boe.es/gazeta/dias/1812/04/10/pdfs/GMD-1812-101.pdf#page=4","Abrir facsímil")</f>
        <v>Abrir facsímil</v>
      </c>
      <c r="K5205" s="3" t="s">
        <v>23</v>
      </c>
    </row>
    <row r="5206" spans="1:11" ht="42" customHeight="1">
      <c r="A5206" s="2" t="s">
        <v>13331</v>
      </c>
      <c r="B5206" s="2" t="s">
        <v>13331</v>
      </c>
      <c r="C5206" s="2" t="s">
        <v>17</v>
      </c>
      <c r="D5206" s="2" t="s">
        <v>27</v>
      </c>
      <c r="E5206" s="4">
        <v>-31878</v>
      </c>
      <c r="F5206" s="3" t="s">
        <v>2891</v>
      </c>
      <c r="G5206" s="3" t="s">
        <v>2892</v>
      </c>
      <c r="H5206" s="2" t="s">
        <v>21</v>
      </c>
      <c r="I5206" s="2" t="s">
        <v>13332</v>
      </c>
      <c r="J5206" s="3" t="str">
        <f>HYPERLINK("https://www.boe.es/gazeta/dias/1812/09/19/pdfs/GRE-1812-127.pdf#page=3","Abrir facsímil")</f>
        <v>Abrir facsímil</v>
      </c>
      <c r="K5206" s="3" t="s">
        <v>23</v>
      </c>
    </row>
    <row r="5207" spans="1:11" ht="42" customHeight="1">
      <c r="A5207" s="2" t="s">
        <v>13333</v>
      </c>
      <c r="B5207" s="2" t="s">
        <v>13333</v>
      </c>
      <c r="C5207" s="2" t="s">
        <v>17</v>
      </c>
      <c r="D5207" s="2" t="s">
        <v>18</v>
      </c>
      <c r="E5207" s="4">
        <v>-32104</v>
      </c>
      <c r="F5207" s="3" t="s">
        <v>996</v>
      </c>
      <c r="G5207" s="3" t="s">
        <v>2044</v>
      </c>
      <c r="H5207" s="2" t="s">
        <v>21</v>
      </c>
      <c r="I5207" s="2" t="s">
        <v>13334</v>
      </c>
      <c r="J5207" s="3" t="str">
        <f>HYPERLINK("https://www.boe.es/gazeta/dias/1812/02/06/pdfs/GRE-1812-16.pdf#page=3","Abrir facsímil")</f>
        <v>Abrir facsímil</v>
      </c>
      <c r="K5207" s="3" t="s">
        <v>23</v>
      </c>
    </row>
    <row r="5208" spans="1:11" ht="42" customHeight="1">
      <c r="A5208" s="2" t="s">
        <v>13335</v>
      </c>
      <c r="B5208" s="2" t="s">
        <v>13336</v>
      </c>
      <c r="C5208" s="2" t="s">
        <v>26</v>
      </c>
      <c r="D5208" s="2" t="s">
        <v>27</v>
      </c>
      <c r="E5208" s="4">
        <v>-31969</v>
      </c>
      <c r="F5208" s="3" t="s">
        <v>83</v>
      </c>
      <c r="G5208" s="3" t="s">
        <v>84</v>
      </c>
      <c r="H5208" s="2" t="s">
        <v>21</v>
      </c>
      <c r="I5208" s="2" t="s">
        <v>13337</v>
      </c>
      <c r="J5208" s="3" t="str">
        <f>HYPERLINK("https://www.boe.es/gazeta/dias/1812/06/20/pdfs/GRE-1812-76.pdf#page=8","Abrir facsímil")</f>
        <v>Abrir facsímil</v>
      </c>
      <c r="K5208" s="3" t="s">
        <v>23</v>
      </c>
    </row>
    <row r="5209" spans="1:11" ht="42" customHeight="1">
      <c r="A5209" s="2" t="s">
        <v>13338</v>
      </c>
      <c r="B5209" s="2" t="s">
        <v>13339</v>
      </c>
      <c r="C5209" s="2" t="s">
        <v>17</v>
      </c>
      <c r="D5209" s="2" t="s">
        <v>18</v>
      </c>
      <c r="E5209" s="4">
        <v>-32053</v>
      </c>
      <c r="F5209" s="3" t="s">
        <v>910</v>
      </c>
      <c r="G5209" s="3" t="s">
        <v>911</v>
      </c>
      <c r="H5209" s="2" t="s">
        <v>21</v>
      </c>
      <c r="I5209" s="2" t="s">
        <v>13340</v>
      </c>
      <c r="J5209" s="3" t="str">
        <f>HYPERLINK("https://www.boe.es/gazeta/dias/1812/03/28/pdfs/GRE-1812-39.pdf#page=8","Abrir facsímil")</f>
        <v>Abrir facsímil</v>
      </c>
      <c r="K5209" s="3" t="s">
        <v>23</v>
      </c>
    </row>
    <row r="5210" spans="1:11" ht="42" customHeight="1">
      <c r="A5210" s="2" t="s">
        <v>13341</v>
      </c>
      <c r="B5210" s="2" t="s">
        <v>13341</v>
      </c>
      <c r="C5210" s="2" t="s">
        <v>17</v>
      </c>
      <c r="D5210" s="2" t="s">
        <v>27</v>
      </c>
      <c r="E5210" s="4">
        <v>-32123</v>
      </c>
      <c r="F5210" s="3" t="s">
        <v>2642</v>
      </c>
      <c r="G5210" s="3" t="s">
        <v>140</v>
      </c>
      <c r="H5210" s="2" t="s">
        <v>21</v>
      </c>
      <c r="I5210" s="2" t="s">
        <v>13342</v>
      </c>
      <c r="J5210" s="3" t="str">
        <f>HYPERLINK("https://www.boe.es/gazeta/dias/1812/01/18/pdfs/GMD-1812-18.pdf#page=2","Abrir facsímil")</f>
        <v>Abrir facsímil</v>
      </c>
      <c r="K5210" s="3" t="s">
        <v>23</v>
      </c>
    </row>
    <row r="5211" spans="1:11" ht="42" customHeight="1">
      <c r="A5211" s="2" t="s">
        <v>13343</v>
      </c>
      <c r="B5211" s="2" t="s">
        <v>13344</v>
      </c>
      <c r="C5211" s="2" t="s">
        <v>17</v>
      </c>
      <c r="D5211" s="2" t="s">
        <v>18</v>
      </c>
      <c r="E5211" s="4">
        <v>-32039</v>
      </c>
      <c r="F5211" s="3" t="s">
        <v>557</v>
      </c>
      <c r="G5211" s="3" t="s">
        <v>20</v>
      </c>
      <c r="H5211" s="2" t="s">
        <v>21</v>
      </c>
      <c r="I5211" s="2" t="s">
        <v>13345</v>
      </c>
      <c r="J5211" s="3" t="str">
        <f>HYPERLINK("https://www.boe.es/gazeta/dias/1812/04/11/pdfs/GMD-1812-102.pdf#page=4","Abrir facsímil")</f>
        <v>Abrir facsímil</v>
      </c>
      <c r="K5211" s="3" t="s">
        <v>23</v>
      </c>
    </row>
    <row r="5212" spans="1:11" ht="42" customHeight="1">
      <c r="A5212" s="2" t="s">
        <v>13346</v>
      </c>
      <c r="B5212" s="2" t="s">
        <v>13347</v>
      </c>
      <c r="C5212" s="2" t="s">
        <v>17</v>
      </c>
      <c r="D5212" s="2" t="s">
        <v>18</v>
      </c>
      <c r="E5212" s="4">
        <v>-32069</v>
      </c>
      <c r="F5212" s="3" t="s">
        <v>445</v>
      </c>
      <c r="G5212" s="3" t="s">
        <v>446</v>
      </c>
      <c r="H5212" s="2" t="s">
        <v>21</v>
      </c>
      <c r="I5212" s="2" t="s">
        <v>13348</v>
      </c>
      <c r="J5212" s="3" t="str">
        <f>HYPERLINK("https://www.boe.es/gazeta/dias/1812/03/12/pdfs/GRE-1812-32.pdf#page=8","Abrir facsímil")</f>
        <v>Abrir facsímil</v>
      </c>
      <c r="K5212" s="3" t="s">
        <v>23</v>
      </c>
    </row>
    <row r="5213" spans="1:11" ht="42" customHeight="1">
      <c r="A5213" s="2" t="s">
        <v>13349</v>
      </c>
      <c r="B5213" s="2" t="s">
        <v>13350</v>
      </c>
      <c r="C5213" s="2" t="s">
        <v>26</v>
      </c>
      <c r="D5213" s="2" t="s">
        <v>27</v>
      </c>
      <c r="E5213" s="4">
        <v>-32034</v>
      </c>
      <c r="F5213" s="3" t="s">
        <v>28</v>
      </c>
      <c r="G5213" s="3" t="s">
        <v>20</v>
      </c>
      <c r="H5213" s="2" t="s">
        <v>21</v>
      </c>
      <c r="I5213" s="2" t="s">
        <v>13351</v>
      </c>
      <c r="J5213" s="3" t="str">
        <f>HYPERLINK("https://www.boe.es/gazeta/dias/1812/04/16/pdfs/GMD-1812-107.pdf#page=3","Abrir facsímil")</f>
        <v>Abrir facsímil</v>
      </c>
      <c r="K5213" s="3" t="s">
        <v>23</v>
      </c>
    </row>
    <row r="5214" spans="1:11" ht="42" customHeight="1">
      <c r="A5214" s="2" t="s">
        <v>13352</v>
      </c>
      <c r="B5214" s="2" t="s">
        <v>13353</v>
      </c>
      <c r="C5214" s="2" t="s">
        <v>17</v>
      </c>
      <c r="D5214" s="2" t="s">
        <v>18</v>
      </c>
      <c r="E5214" s="4">
        <v>-31992</v>
      </c>
      <c r="F5214" s="3" t="s">
        <v>1292</v>
      </c>
      <c r="G5214" s="3" t="s">
        <v>1424</v>
      </c>
      <c r="H5214" s="2" t="s">
        <v>21</v>
      </c>
      <c r="I5214" s="2" t="s">
        <v>13354</v>
      </c>
      <c r="J5214" s="3" t="str">
        <f>HYPERLINK("https://www.boe.es/gazeta/dias/1812/05/28/pdfs/GRE-1812-66.pdf#page=5","Abrir facsímil")</f>
        <v>Abrir facsímil</v>
      </c>
      <c r="K5214" s="3" t="s">
        <v>23</v>
      </c>
    </row>
    <row r="5215" spans="1:11" ht="42" customHeight="1">
      <c r="A5215" s="2" t="s">
        <v>13355</v>
      </c>
      <c r="B5215" s="2" t="s">
        <v>13356</v>
      </c>
      <c r="C5215" s="2" t="s">
        <v>17</v>
      </c>
      <c r="D5215" s="2" t="s">
        <v>18</v>
      </c>
      <c r="E5215" s="4">
        <v>-32039</v>
      </c>
      <c r="F5215" s="3" t="s">
        <v>1910</v>
      </c>
      <c r="G5215" s="3" t="s">
        <v>706</v>
      </c>
      <c r="H5215" s="2" t="s">
        <v>21</v>
      </c>
      <c r="I5215" s="2" t="s">
        <v>13357</v>
      </c>
      <c r="J5215" s="3" t="str">
        <f>HYPERLINK("https://www.boe.es/gazeta/dias/1812/04/11/pdfs/GRE-1812-46.pdf#page=1","Abrir facsímil")</f>
        <v>Abrir facsímil</v>
      </c>
      <c r="K5215" s="3" t="s">
        <v>23</v>
      </c>
    </row>
    <row r="5216" spans="1:11" ht="42" customHeight="1">
      <c r="A5216" s="2" t="s">
        <v>13358</v>
      </c>
      <c r="B5216" s="2" t="s">
        <v>13358</v>
      </c>
      <c r="C5216" s="2" t="s">
        <v>17</v>
      </c>
      <c r="D5216" s="2" t="s">
        <v>27</v>
      </c>
      <c r="E5216" s="4">
        <v>-32078</v>
      </c>
      <c r="F5216" s="3" t="s">
        <v>145</v>
      </c>
      <c r="G5216" s="3" t="s">
        <v>237</v>
      </c>
      <c r="H5216" s="2" t="s">
        <v>21</v>
      </c>
      <c r="I5216" s="2" t="s">
        <v>13359</v>
      </c>
      <c r="J5216" s="3" t="str">
        <f>HYPERLINK("https://www.boe.es/gazeta/dias/1812/03/03/pdfs/GRE-1812-28.pdf#page=2","Abrir facsímil")</f>
        <v>Abrir facsímil</v>
      </c>
      <c r="K5216" s="3" t="s">
        <v>23</v>
      </c>
    </row>
    <row r="5217" spans="1:11" ht="42" customHeight="1">
      <c r="A5217" s="2" t="s">
        <v>13360</v>
      </c>
      <c r="B5217" s="2" t="s">
        <v>13360</v>
      </c>
      <c r="C5217" s="2" t="s">
        <v>17</v>
      </c>
      <c r="D5217" s="2" t="s">
        <v>18</v>
      </c>
      <c r="E5217" s="4">
        <v>-32078</v>
      </c>
      <c r="F5217" s="3" t="s">
        <v>145</v>
      </c>
      <c r="G5217" s="3" t="s">
        <v>237</v>
      </c>
      <c r="H5217" s="2" t="s">
        <v>21</v>
      </c>
      <c r="I5217" s="2" t="s">
        <v>13361</v>
      </c>
      <c r="J5217" s="3" t="str">
        <f>HYPERLINK("https://www.boe.es/gazeta/dias/1812/03/03/pdfs/GRE-1812-28.pdf#page=2","Abrir facsímil")</f>
        <v>Abrir facsímil</v>
      </c>
      <c r="K5217" s="3" t="s">
        <v>23</v>
      </c>
    </row>
    <row r="5218" spans="1:11" ht="42" customHeight="1">
      <c r="A5218" s="2" t="s">
        <v>13362</v>
      </c>
      <c r="B5218" s="2" t="s">
        <v>13362</v>
      </c>
      <c r="C5218" s="2" t="s">
        <v>26</v>
      </c>
      <c r="D5218" s="2" t="s">
        <v>27</v>
      </c>
      <c r="E5218" s="4">
        <v>-32063</v>
      </c>
      <c r="F5218" s="3" t="s">
        <v>384</v>
      </c>
      <c r="G5218" s="3" t="s">
        <v>20</v>
      </c>
      <c r="H5218" s="2" t="s">
        <v>21</v>
      </c>
      <c r="I5218" s="2" t="s">
        <v>13363</v>
      </c>
      <c r="J5218" s="3" t="str">
        <f>HYPERLINK("https://www.boe.es/gazeta/dias/1812/03/18/pdfs/GMD-1812-78.pdf#page=4","Abrir facsímil")</f>
        <v>Abrir facsímil</v>
      </c>
      <c r="K5218" s="3" t="s">
        <v>23</v>
      </c>
    </row>
    <row r="5219" spans="1:11" ht="42" customHeight="1">
      <c r="A5219" s="2" t="s">
        <v>13364</v>
      </c>
      <c r="B5219" s="2" t="s">
        <v>13364</v>
      </c>
      <c r="C5219" s="2" t="s">
        <v>17</v>
      </c>
      <c r="D5219" s="2" t="s">
        <v>27</v>
      </c>
      <c r="E5219" s="4">
        <v>-31931</v>
      </c>
      <c r="F5219" s="3" t="s">
        <v>4174</v>
      </c>
      <c r="G5219" s="3" t="s">
        <v>6688</v>
      </c>
      <c r="H5219" s="2" t="s">
        <v>21</v>
      </c>
      <c r="I5219" s="2" t="s">
        <v>13365</v>
      </c>
      <c r="J5219" s="3" t="str">
        <f>HYPERLINK("https://www.boe.es/gazeta/dias/1812/07/28/pdfs/GRE-1812-94.pdf#page=6","Abrir facsímil")</f>
        <v>Abrir facsímil</v>
      </c>
      <c r="K5219" s="3" t="s">
        <v>23</v>
      </c>
    </row>
    <row r="5220" spans="1:11" ht="42" customHeight="1">
      <c r="A5220" s="2" t="s">
        <v>13366</v>
      </c>
      <c r="B5220" s="2" t="s">
        <v>13367</v>
      </c>
      <c r="C5220" s="2" t="s">
        <v>26</v>
      </c>
      <c r="D5220" s="2" t="s">
        <v>27</v>
      </c>
      <c r="E5220" s="4">
        <v>-31938</v>
      </c>
      <c r="F5220" s="3" t="s">
        <v>324</v>
      </c>
      <c r="G5220" s="3" t="s">
        <v>497</v>
      </c>
      <c r="H5220" s="2" t="s">
        <v>21</v>
      </c>
      <c r="I5220" s="2" t="s">
        <v>13368</v>
      </c>
      <c r="J5220" s="3" t="str">
        <f>HYPERLINK("https://www.boe.es/gazeta/dias/1812/07/21/pdfs/GMD-1812-203.pdf#page=3","Abrir facsímil")</f>
        <v>Abrir facsímil</v>
      </c>
      <c r="K5220" s="3" t="s">
        <v>23</v>
      </c>
    </row>
    <row r="5221" spans="1:11" ht="42" customHeight="1">
      <c r="A5221" s="2" t="s">
        <v>13369</v>
      </c>
      <c r="B5221" s="2" t="s">
        <v>13370</v>
      </c>
      <c r="C5221" s="2" t="s">
        <v>26</v>
      </c>
      <c r="D5221" s="2" t="s">
        <v>27</v>
      </c>
      <c r="E5221" s="4">
        <v>-32109</v>
      </c>
      <c r="F5221" s="3" t="s">
        <v>62</v>
      </c>
      <c r="G5221" s="3" t="s">
        <v>472</v>
      </c>
      <c r="H5221" s="2" t="s">
        <v>21</v>
      </c>
      <c r="I5221" s="2" t="s">
        <v>13371</v>
      </c>
      <c r="J5221" s="3" t="str">
        <f>HYPERLINK("https://www.boe.es/gazeta/dias/1812/02/01/pdfs/GRE-1812-14.pdf#page=12","Abrir facsímil")</f>
        <v>Abrir facsímil</v>
      </c>
      <c r="K5221" s="3" t="s">
        <v>23</v>
      </c>
    </row>
    <row r="5222" spans="1:11" ht="42" customHeight="1">
      <c r="A5222" s="2" t="s">
        <v>13372</v>
      </c>
      <c r="B5222" s="2" t="s">
        <v>13373</v>
      </c>
      <c r="C5222" s="2" t="s">
        <v>186</v>
      </c>
      <c r="D5222" s="2" t="s">
        <v>275</v>
      </c>
      <c r="E5222" s="4">
        <v>-31913</v>
      </c>
      <c r="F5222" s="3" t="s">
        <v>450</v>
      </c>
      <c r="G5222" s="3" t="s">
        <v>451</v>
      </c>
      <c r="H5222" s="2" t="s">
        <v>21</v>
      </c>
      <c r="I5222" s="2" t="s">
        <v>13374</v>
      </c>
      <c r="J5222" s="3" t="str">
        <f>HYPERLINK("https://www.boe.es/gazeta/dias/1812/08/15/pdfs/GRE-1812-105.pdf#page=8","Abrir facsímil")</f>
        <v>Abrir facsímil</v>
      </c>
      <c r="K5222" s="3" t="s">
        <v>23</v>
      </c>
    </row>
    <row r="5223" spans="1:11" ht="42" customHeight="1">
      <c r="A5223" s="2" t="s">
        <v>13375</v>
      </c>
      <c r="B5223" s="2" t="s">
        <v>13375</v>
      </c>
      <c r="C5223" s="2" t="s">
        <v>17</v>
      </c>
      <c r="D5223" s="2" t="s">
        <v>27</v>
      </c>
      <c r="E5223" s="4">
        <v>-31854</v>
      </c>
      <c r="F5223" s="3" t="s">
        <v>1574</v>
      </c>
      <c r="G5223" s="3" t="s">
        <v>1700</v>
      </c>
      <c r="H5223" s="2" t="s">
        <v>21</v>
      </c>
      <c r="I5223" s="2" t="s">
        <v>13376</v>
      </c>
      <c r="J5223" s="3" t="str">
        <f>HYPERLINK("https://www.boe.es/gazeta/dias/1812/10/13/pdfs/GMR-1812-26.pdf#page=4","Abrir facsímil")</f>
        <v>Abrir facsímil</v>
      </c>
      <c r="K5223" s="3" t="s">
        <v>23</v>
      </c>
    </row>
    <row r="5224" spans="1:11" ht="42" customHeight="1">
      <c r="A5224" s="2" t="s">
        <v>13377</v>
      </c>
      <c r="B5224" s="2" t="s">
        <v>13378</v>
      </c>
      <c r="C5224" s="2" t="s">
        <v>105</v>
      </c>
      <c r="D5224" s="2" t="s">
        <v>27</v>
      </c>
      <c r="E5224" s="4">
        <v>-32055</v>
      </c>
      <c r="F5224" s="3" t="s">
        <v>459</v>
      </c>
      <c r="G5224" s="3" t="s">
        <v>20</v>
      </c>
      <c r="H5224" s="2" t="s">
        <v>21</v>
      </c>
      <c r="I5224" s="2" t="s">
        <v>13379</v>
      </c>
      <c r="J5224" s="3" t="str">
        <f>HYPERLINK("https://www.boe.es/gazeta/dias/1812/03/26/pdfs/GRE-1812-38.pdf#page=8","Abrir facsímil")</f>
        <v>Abrir facsímil</v>
      </c>
      <c r="K5224" s="3" t="s">
        <v>23</v>
      </c>
    </row>
    <row r="5225" spans="1:11" ht="42" customHeight="1">
      <c r="A5225" s="2" t="s">
        <v>13380</v>
      </c>
      <c r="B5225" s="2" t="s">
        <v>13381</v>
      </c>
      <c r="C5225" s="2" t="s">
        <v>49</v>
      </c>
      <c r="D5225" s="2" t="s">
        <v>27</v>
      </c>
      <c r="E5225" s="4">
        <v>-32018</v>
      </c>
      <c r="F5225" s="3" t="s">
        <v>365</v>
      </c>
      <c r="G5225" s="3" t="s">
        <v>366</v>
      </c>
      <c r="H5225" s="2" t="s">
        <v>21</v>
      </c>
      <c r="I5225" s="2" t="s">
        <v>13382</v>
      </c>
      <c r="J5225" s="3" t="str">
        <f>HYPERLINK("https://www.boe.es/gazeta/dias/1812/05/02/pdfs/GRE-1812-55.pdf#page=3","Abrir facsímil")</f>
        <v>Abrir facsímil</v>
      </c>
      <c r="K5225" s="3" t="s">
        <v>23</v>
      </c>
    </row>
    <row r="5226" spans="1:11" ht="42" customHeight="1">
      <c r="A5226" s="2" t="s">
        <v>13383</v>
      </c>
      <c r="B5226" s="2" t="s">
        <v>13384</v>
      </c>
      <c r="C5226" s="2" t="s">
        <v>26</v>
      </c>
      <c r="D5226" s="2" t="s">
        <v>27</v>
      </c>
      <c r="E5226" s="4">
        <v>-31939</v>
      </c>
      <c r="F5226" s="3" t="s">
        <v>408</v>
      </c>
      <c r="G5226" s="3" t="s">
        <v>20</v>
      </c>
      <c r="H5226" s="2" t="s">
        <v>21</v>
      </c>
      <c r="I5226" s="2" t="s">
        <v>13385</v>
      </c>
      <c r="J5226" s="3" t="str">
        <f>HYPERLINK("https://www.boe.es/gazeta/dias/1812/07/20/pdfs/GMD-1812-202.pdf#page=4","Abrir facsímil")</f>
        <v>Abrir facsímil</v>
      </c>
      <c r="K5226" s="3" t="s">
        <v>23</v>
      </c>
    </row>
    <row r="5227" spans="1:11" ht="42" customHeight="1">
      <c r="A5227" s="2" t="s">
        <v>13386</v>
      </c>
      <c r="B5227" s="2" t="s">
        <v>13387</v>
      </c>
      <c r="C5227" s="2" t="s">
        <v>17</v>
      </c>
      <c r="D5227" s="2" t="s">
        <v>27</v>
      </c>
      <c r="E5227" s="4">
        <v>-31822</v>
      </c>
      <c r="F5227" s="3" t="s">
        <v>541</v>
      </c>
      <c r="G5227" s="3" t="s">
        <v>542</v>
      </c>
      <c r="H5227" s="2" t="s">
        <v>21</v>
      </c>
      <c r="I5227" s="2" t="s">
        <v>13388</v>
      </c>
      <c r="J5227" s="3" t="str">
        <f>HYPERLINK("https://www.boe.es/gazeta/dias/1812/11/14/pdfs/GRE-1812-152.pdf#page=7","Abrir facsímil")</f>
        <v>Abrir facsímil</v>
      </c>
      <c r="K5227" s="3" t="s">
        <v>23</v>
      </c>
    </row>
    <row r="5228" spans="1:11" ht="42" customHeight="1">
      <c r="A5228" s="2" t="s">
        <v>13389</v>
      </c>
      <c r="B5228" s="2" t="s">
        <v>13390</v>
      </c>
      <c r="C5228" s="2" t="s">
        <v>26</v>
      </c>
      <c r="D5228" s="2" t="s">
        <v>27</v>
      </c>
      <c r="E5228" s="4">
        <v>-32110</v>
      </c>
      <c r="F5228" s="3" t="s">
        <v>68</v>
      </c>
      <c r="G5228" s="3" t="s">
        <v>20</v>
      </c>
      <c r="H5228" s="2" t="s">
        <v>21</v>
      </c>
      <c r="I5228" s="2" t="s">
        <v>13391</v>
      </c>
      <c r="J5228" s="3" t="str">
        <f>HYPERLINK("https://www.boe.es/gazeta/dias/1812/01/31/pdfs/GMD-1812-31.pdf#page=4","Abrir facsímil")</f>
        <v>Abrir facsímil</v>
      </c>
      <c r="K5228" s="3" t="s">
        <v>23</v>
      </c>
    </row>
    <row r="5229" spans="1:11" ht="42" customHeight="1">
      <c r="A5229" s="2" t="s">
        <v>13392</v>
      </c>
      <c r="B5229" s="2" t="s">
        <v>13392</v>
      </c>
      <c r="C5229" s="2" t="s">
        <v>26</v>
      </c>
      <c r="D5229" s="2" t="s">
        <v>27</v>
      </c>
      <c r="E5229" s="4">
        <v>-31988</v>
      </c>
      <c r="F5229" s="3" t="s">
        <v>1094</v>
      </c>
      <c r="G5229" s="3" t="s">
        <v>1095</v>
      </c>
      <c r="H5229" s="2" t="s">
        <v>21</v>
      </c>
      <c r="I5229" s="2" t="s">
        <v>13393</v>
      </c>
      <c r="J5229" s="3" t="str">
        <f>HYPERLINK("https://www.boe.es/gazeta/dias/1812/06/01/pdfs/GMD-1812-153.pdf#page=2","Abrir facsímil")</f>
        <v>Abrir facsímil</v>
      </c>
      <c r="K5229" s="3" t="s">
        <v>23</v>
      </c>
    </row>
    <row r="5230" spans="1:11" ht="42" customHeight="1">
      <c r="A5230" s="2" t="s">
        <v>13394</v>
      </c>
      <c r="B5230" s="2" t="s">
        <v>13394</v>
      </c>
      <c r="C5230" s="2" t="s">
        <v>26</v>
      </c>
      <c r="D5230" s="2" t="s">
        <v>275</v>
      </c>
      <c r="E5230" s="4">
        <v>-32063</v>
      </c>
      <c r="F5230" s="3" t="s">
        <v>384</v>
      </c>
      <c r="G5230" s="3" t="s">
        <v>125</v>
      </c>
      <c r="H5230" s="2" t="s">
        <v>21</v>
      </c>
      <c r="I5230" s="2" t="s">
        <v>13395</v>
      </c>
      <c r="J5230" s="3" t="str">
        <f>HYPERLINK("https://www.boe.es/gazeta/dias/1812/03/18/pdfs/GMD-1812-78.pdf#page=3","Abrir facsímil")</f>
        <v>Abrir facsímil</v>
      </c>
      <c r="K5230" s="3" t="s">
        <v>23</v>
      </c>
    </row>
    <row r="5231" spans="1:11" ht="42" customHeight="1">
      <c r="A5231" s="2" t="s">
        <v>13396</v>
      </c>
      <c r="B5231" s="2" t="s">
        <v>13396</v>
      </c>
      <c r="C5231" s="2" t="s">
        <v>26</v>
      </c>
      <c r="D5231" s="2" t="s">
        <v>27</v>
      </c>
      <c r="E5231" s="4">
        <v>-32134</v>
      </c>
      <c r="F5231" s="3" t="s">
        <v>50</v>
      </c>
      <c r="G5231" s="3" t="s">
        <v>233</v>
      </c>
      <c r="H5231" s="2" t="s">
        <v>21</v>
      </c>
      <c r="I5231" s="2" t="s">
        <v>13397</v>
      </c>
      <c r="J5231" s="3" t="str">
        <f>HYPERLINK("https://www.boe.es/gazeta/dias/1812/01/07/pdfs/GEI-1812-3.pdf#page=8","Abrir facsímil")</f>
        <v>Abrir facsímil</v>
      </c>
      <c r="K5231" s="3" t="s">
        <v>23</v>
      </c>
    </row>
    <row r="5232" spans="1:11" ht="42" customHeight="1">
      <c r="A5232" s="2" t="s">
        <v>13396</v>
      </c>
      <c r="B5232" s="2" t="s">
        <v>13396</v>
      </c>
      <c r="C5232" s="2" t="s">
        <v>26</v>
      </c>
      <c r="D5232" s="2" t="s">
        <v>275</v>
      </c>
      <c r="E5232" s="4">
        <v>-32121</v>
      </c>
      <c r="F5232" s="3" t="s">
        <v>1237</v>
      </c>
      <c r="G5232" s="3" t="s">
        <v>623</v>
      </c>
      <c r="H5232" s="2" t="s">
        <v>21</v>
      </c>
      <c r="I5232" s="2" t="s">
        <v>13398</v>
      </c>
      <c r="J5232" s="3" t="str">
        <f>HYPERLINK("https://www.boe.es/gazeta/dias/1812/01/20/pdfs/GMD-1812-20.pdf#page=3","Abrir facsímil")</f>
        <v>Abrir facsímil</v>
      </c>
      <c r="K5232" s="3" t="s">
        <v>23</v>
      </c>
    </row>
    <row r="5233" spans="1:11" ht="42" customHeight="1">
      <c r="A5233" s="2" t="s">
        <v>13396</v>
      </c>
      <c r="B5233" s="2" t="s">
        <v>13396</v>
      </c>
      <c r="C5233" s="2" t="s">
        <v>49</v>
      </c>
      <c r="D5233" s="2" t="s">
        <v>27</v>
      </c>
      <c r="E5233" s="4">
        <v>-32114</v>
      </c>
      <c r="F5233" s="3" t="s">
        <v>480</v>
      </c>
      <c r="G5233" s="3" t="s">
        <v>237</v>
      </c>
      <c r="H5233" s="2" t="s">
        <v>21</v>
      </c>
      <c r="I5233" s="2" t="s">
        <v>13399</v>
      </c>
      <c r="J5233" s="3" t="str">
        <f>HYPERLINK("https://www.boe.es/gazeta/dias/1812/01/27/pdfs/GMD-1812-27.pdf#page=3","Abrir facsímil")</f>
        <v>Abrir facsímil</v>
      </c>
      <c r="K5233" s="3" t="s">
        <v>23</v>
      </c>
    </row>
    <row r="5234" spans="1:11" ht="42" customHeight="1">
      <c r="A5234" s="2" t="s">
        <v>13396</v>
      </c>
      <c r="B5234" s="2" t="s">
        <v>13396</v>
      </c>
      <c r="C5234" s="2" t="s">
        <v>26</v>
      </c>
      <c r="D5234" s="2" t="s">
        <v>27</v>
      </c>
      <c r="E5234" s="4">
        <v>-32109</v>
      </c>
      <c r="F5234" s="3" t="s">
        <v>62</v>
      </c>
      <c r="G5234" s="3" t="s">
        <v>106</v>
      </c>
      <c r="H5234" s="2" t="s">
        <v>21</v>
      </c>
      <c r="I5234" s="2" t="s">
        <v>13400</v>
      </c>
      <c r="J5234" s="3" t="str">
        <f>HYPERLINK("https://www.boe.es/gazeta/dias/1812/02/01/pdfs/GRE-1812-14.pdf#page=11","Abrir facsímil")</f>
        <v>Abrir facsímil</v>
      </c>
      <c r="K5234" s="3" t="s">
        <v>23</v>
      </c>
    </row>
    <row r="5235" spans="1:11" ht="42" customHeight="1">
      <c r="A5235" s="2" t="s">
        <v>13396</v>
      </c>
      <c r="B5235" s="2" t="s">
        <v>13396</v>
      </c>
      <c r="C5235" s="2" t="s">
        <v>17</v>
      </c>
      <c r="D5235" s="2" t="s">
        <v>27</v>
      </c>
      <c r="E5235" s="4">
        <v>-32097</v>
      </c>
      <c r="F5235" s="3" t="s">
        <v>3797</v>
      </c>
      <c r="G5235" s="3" t="s">
        <v>3802</v>
      </c>
      <c r="H5235" s="2" t="s">
        <v>21</v>
      </c>
      <c r="I5235" s="2" t="s">
        <v>13401</v>
      </c>
      <c r="J5235" s="3" t="str">
        <f>HYPERLINK("https://www.boe.es/gazeta/dias/1812/02/13/pdfs/GRE-1812-19.pdf#page=2","Abrir facsímil")</f>
        <v>Abrir facsímil</v>
      </c>
      <c r="K5235" s="3" t="s">
        <v>23</v>
      </c>
    </row>
    <row r="5236" spans="1:11" ht="42" customHeight="1">
      <c r="A5236" s="2" t="s">
        <v>13396</v>
      </c>
      <c r="B5236" s="2" t="s">
        <v>13396</v>
      </c>
      <c r="C5236" s="2" t="s">
        <v>17</v>
      </c>
      <c r="D5236" s="2" t="s">
        <v>27</v>
      </c>
      <c r="E5236" s="4">
        <v>-32063</v>
      </c>
      <c r="F5236" s="3" t="s">
        <v>384</v>
      </c>
      <c r="G5236" s="3" t="s">
        <v>125</v>
      </c>
      <c r="H5236" s="2" t="s">
        <v>21</v>
      </c>
      <c r="I5236" s="2" t="s">
        <v>13402</v>
      </c>
      <c r="J5236" s="3" t="str">
        <f>HYPERLINK("https://www.boe.es/gazeta/dias/1812/03/18/pdfs/GMD-1812-78.pdf#page=3","Abrir facsímil")</f>
        <v>Abrir facsímil</v>
      </c>
      <c r="K5236" s="3" t="s">
        <v>23</v>
      </c>
    </row>
    <row r="5237" spans="1:11" ht="42" customHeight="1">
      <c r="A5237" s="2" t="s">
        <v>13396</v>
      </c>
      <c r="B5237" s="2" t="s">
        <v>13396</v>
      </c>
      <c r="C5237" s="2" t="s">
        <v>17</v>
      </c>
      <c r="D5237" s="2" t="s">
        <v>18</v>
      </c>
      <c r="E5237" s="4">
        <v>-32063</v>
      </c>
      <c r="F5237" s="3" t="s">
        <v>384</v>
      </c>
      <c r="G5237" s="3" t="s">
        <v>20</v>
      </c>
      <c r="H5237" s="2" t="s">
        <v>21</v>
      </c>
      <c r="I5237" s="2" t="s">
        <v>13403</v>
      </c>
      <c r="J5237" s="3" t="str">
        <f>HYPERLINK("https://www.boe.es/gazeta/dias/1812/03/18/pdfs/GMD-1812-78.pdf#page=4","Abrir facsímil")</f>
        <v>Abrir facsímil</v>
      </c>
      <c r="K5237" s="3" t="s">
        <v>23</v>
      </c>
    </row>
    <row r="5238" spans="1:11" ht="42" customHeight="1">
      <c r="A5238" s="2" t="s">
        <v>13396</v>
      </c>
      <c r="B5238" s="2" t="s">
        <v>13396</v>
      </c>
      <c r="C5238" s="2" t="s">
        <v>186</v>
      </c>
      <c r="D5238" s="2" t="s">
        <v>27</v>
      </c>
      <c r="E5238" s="4">
        <v>-32045</v>
      </c>
      <c r="F5238" s="3" t="s">
        <v>129</v>
      </c>
      <c r="G5238" s="3" t="s">
        <v>130</v>
      </c>
      <c r="H5238" s="2" t="s">
        <v>21</v>
      </c>
      <c r="I5238" s="2" t="s">
        <v>13404</v>
      </c>
      <c r="J5238" s="3" t="str">
        <f>HYPERLINK("https://www.boe.es/gazeta/dias/1812/04/05/pdfs/GMD-1812-96.pdf#page=4","Abrir facsímil")</f>
        <v>Abrir facsímil</v>
      </c>
      <c r="K5238" s="3" t="s">
        <v>23</v>
      </c>
    </row>
    <row r="5239" spans="1:11" ht="42" customHeight="1">
      <c r="A5239" s="2" t="s">
        <v>13396</v>
      </c>
      <c r="B5239" s="2" t="s">
        <v>13396</v>
      </c>
      <c r="C5239" s="2" t="s">
        <v>26</v>
      </c>
      <c r="D5239" s="2" t="s">
        <v>27</v>
      </c>
      <c r="E5239" s="4">
        <v>-32040</v>
      </c>
      <c r="F5239" s="3" t="s">
        <v>682</v>
      </c>
      <c r="G5239" s="3" t="s">
        <v>45</v>
      </c>
      <c r="H5239" s="2" t="s">
        <v>21</v>
      </c>
      <c r="I5239" s="2" t="s">
        <v>13405</v>
      </c>
      <c r="J5239" s="3" t="str">
        <f>HYPERLINK("https://www.boe.es/gazeta/dias/1812/04/10/pdfs/GMD-1812-101.pdf#page=2","Abrir facsímil")</f>
        <v>Abrir facsímil</v>
      </c>
      <c r="K5239" s="3" t="s">
        <v>23</v>
      </c>
    </row>
    <row r="5240" spans="1:11" ht="42" customHeight="1">
      <c r="A5240" s="2" t="s">
        <v>13396</v>
      </c>
      <c r="B5240" s="2" t="s">
        <v>13396</v>
      </c>
      <c r="C5240" s="2" t="s">
        <v>26</v>
      </c>
      <c r="D5240" s="2" t="s">
        <v>27</v>
      </c>
      <c r="E5240" s="4">
        <v>-32034</v>
      </c>
      <c r="F5240" s="3" t="s">
        <v>1008</v>
      </c>
      <c r="G5240" s="3" t="s">
        <v>1009</v>
      </c>
      <c r="H5240" s="2" t="s">
        <v>21</v>
      </c>
      <c r="I5240" s="2" t="s">
        <v>13406</v>
      </c>
      <c r="J5240" s="3" t="str">
        <f>HYPERLINK("https://www.boe.es/gazeta/dias/1812/04/16/pdfs/GRE-1812-48.pdf#page=8","Abrir facsímil")</f>
        <v>Abrir facsímil</v>
      </c>
      <c r="K5240" s="3" t="s">
        <v>23</v>
      </c>
    </row>
    <row r="5241" spans="1:11" ht="42" customHeight="1">
      <c r="A5241" s="2" t="s">
        <v>13396</v>
      </c>
      <c r="B5241" s="2" t="s">
        <v>13396</v>
      </c>
      <c r="C5241" s="2" t="s">
        <v>26</v>
      </c>
      <c r="D5241" s="2" t="s">
        <v>27</v>
      </c>
      <c r="E5241" s="4">
        <v>-32010</v>
      </c>
      <c r="F5241" s="3" t="s">
        <v>243</v>
      </c>
      <c r="G5241" s="3" t="s">
        <v>45</v>
      </c>
      <c r="H5241" s="2" t="s">
        <v>21</v>
      </c>
      <c r="I5241" s="2" t="s">
        <v>13407</v>
      </c>
      <c r="J5241" s="3" t="str">
        <f>HYPERLINK("https://www.boe.es/gazeta/dias/1812/05/10/pdfs/GMD-1812-131.pdf#page=3","Abrir facsímil")</f>
        <v>Abrir facsímil</v>
      </c>
      <c r="K5241" s="3" t="s">
        <v>23</v>
      </c>
    </row>
    <row r="5242" spans="1:11" ht="42" customHeight="1">
      <c r="A5242" s="2" t="s">
        <v>13396</v>
      </c>
      <c r="B5242" s="2" t="s">
        <v>13396</v>
      </c>
      <c r="C5242" s="2" t="s">
        <v>26</v>
      </c>
      <c r="D5242" s="2" t="s">
        <v>27</v>
      </c>
      <c r="E5242" s="4">
        <v>-31994</v>
      </c>
      <c r="F5242" s="3" t="s">
        <v>207</v>
      </c>
      <c r="G5242" s="3" t="s">
        <v>1176</v>
      </c>
      <c r="H5242" s="2" t="s">
        <v>21</v>
      </c>
      <c r="I5242" s="2" t="s">
        <v>13408</v>
      </c>
      <c r="J5242" s="3" t="str">
        <f>HYPERLINK("https://www.boe.es/gazeta/dias/1812/05/26/pdfs/GRE-1812-65.pdf#page=8","Abrir facsímil")</f>
        <v>Abrir facsímil</v>
      </c>
      <c r="K5242" s="3" t="s">
        <v>23</v>
      </c>
    </row>
    <row r="5243" spans="1:11" ht="42" customHeight="1">
      <c r="A5243" s="2" t="s">
        <v>13396</v>
      </c>
      <c r="B5243" s="2" t="s">
        <v>13396</v>
      </c>
      <c r="C5243" s="2" t="s">
        <v>17</v>
      </c>
      <c r="D5243" s="2" t="s">
        <v>134</v>
      </c>
      <c r="E5243" s="4">
        <v>-31983</v>
      </c>
      <c r="F5243" s="3" t="s">
        <v>1437</v>
      </c>
      <c r="G5243" s="3" t="s">
        <v>217</v>
      </c>
      <c r="H5243" s="2" t="s">
        <v>21</v>
      </c>
      <c r="I5243" s="2" t="s">
        <v>13409</v>
      </c>
      <c r="J5243" s="3" t="str">
        <f>HYPERLINK("https://www.boe.es/gazeta/dias/1812/06/06/pdfs/GRE-F-1812-70.pdf#page=3","Abrir facsímil")</f>
        <v>Abrir facsímil</v>
      </c>
      <c r="K5243" s="3" t="s">
        <v>23</v>
      </c>
    </row>
    <row r="5244" spans="1:11" ht="42" customHeight="1">
      <c r="A5244" s="2" t="s">
        <v>13396</v>
      </c>
      <c r="B5244" s="2" t="s">
        <v>13396</v>
      </c>
      <c r="C5244" s="2" t="s">
        <v>67</v>
      </c>
      <c r="D5244" s="2" t="s">
        <v>27</v>
      </c>
      <c r="E5244" s="4">
        <v>-31961</v>
      </c>
      <c r="F5244" s="3" t="s">
        <v>1193</v>
      </c>
      <c r="G5244" s="3" t="s">
        <v>644</v>
      </c>
      <c r="H5244" s="2" t="s">
        <v>21</v>
      </c>
      <c r="I5244" s="2" t="s">
        <v>13410</v>
      </c>
      <c r="J5244" s="3" t="str">
        <f>HYPERLINK("https://www.boe.es/gazeta/dias/1812/06/28/pdfs/GMD-1812-180.pdf#page=3","Abrir facsímil")</f>
        <v>Abrir facsímil</v>
      </c>
      <c r="K5244" s="3" t="s">
        <v>23</v>
      </c>
    </row>
    <row r="5245" spans="1:11" ht="42" customHeight="1">
      <c r="A5245" s="2" t="s">
        <v>13396</v>
      </c>
      <c r="B5245" s="2" t="s">
        <v>13396</v>
      </c>
      <c r="C5245" s="2" t="s">
        <v>17</v>
      </c>
      <c r="D5245" s="2" t="s">
        <v>134</v>
      </c>
      <c r="E5245" s="4">
        <v>-31955</v>
      </c>
      <c r="F5245" s="3" t="s">
        <v>135</v>
      </c>
      <c r="G5245" s="3" t="s">
        <v>136</v>
      </c>
      <c r="H5245" s="2" t="s">
        <v>21</v>
      </c>
      <c r="I5245" s="2" t="s">
        <v>13411</v>
      </c>
      <c r="J5245" s="3" t="str">
        <f>HYPERLINK("https://www.boe.es/gazeta/dias/1812/07/04/pdfs/GRE-F-1812-82.pdf#page=8","Abrir facsímil")</f>
        <v>Abrir facsímil</v>
      </c>
      <c r="K5245" s="3" t="s">
        <v>23</v>
      </c>
    </row>
    <row r="5246" spans="1:11" ht="42" customHeight="1">
      <c r="A5246" s="2" t="s">
        <v>13396</v>
      </c>
      <c r="B5246" s="2" t="s">
        <v>13396</v>
      </c>
      <c r="C5246" s="2" t="s">
        <v>26</v>
      </c>
      <c r="D5246" s="2" t="s">
        <v>27</v>
      </c>
      <c r="E5246" s="4">
        <v>-31939</v>
      </c>
      <c r="F5246" s="3" t="s">
        <v>408</v>
      </c>
      <c r="G5246" s="3" t="s">
        <v>20</v>
      </c>
      <c r="H5246" s="2" t="s">
        <v>21</v>
      </c>
      <c r="I5246" s="2" t="s">
        <v>13412</v>
      </c>
      <c r="J5246" s="3" t="str">
        <f>HYPERLINK("https://www.boe.es/gazeta/dias/1812/07/20/pdfs/GMD-1812-202.pdf#page=4","Abrir facsímil")</f>
        <v>Abrir facsímil</v>
      </c>
      <c r="K5246" s="3" t="s">
        <v>23</v>
      </c>
    </row>
    <row r="5247" spans="1:11" ht="42" customHeight="1">
      <c r="A5247" s="2" t="s">
        <v>13396</v>
      </c>
      <c r="B5247" s="2" t="s">
        <v>13396</v>
      </c>
      <c r="C5247" s="2" t="s">
        <v>26</v>
      </c>
      <c r="D5247" s="2" t="s">
        <v>27</v>
      </c>
      <c r="E5247" s="4">
        <v>-31937</v>
      </c>
      <c r="F5247" s="3" t="s">
        <v>1198</v>
      </c>
      <c r="G5247" s="3" t="s">
        <v>140</v>
      </c>
      <c r="H5247" s="2" t="s">
        <v>21</v>
      </c>
      <c r="I5247" s="2" t="s">
        <v>13413</v>
      </c>
      <c r="J5247" s="3" t="str">
        <f>HYPERLINK("https://www.boe.es/gazeta/dias/1812/07/22/pdfs/GMD-1812-204.pdf#page=2","Abrir facsímil")</f>
        <v>Abrir facsímil</v>
      </c>
      <c r="K5247" s="3" t="s">
        <v>23</v>
      </c>
    </row>
    <row r="5248" spans="1:11" ht="42" customHeight="1">
      <c r="A5248" s="2" t="s">
        <v>13396</v>
      </c>
      <c r="B5248" s="2" t="s">
        <v>13396</v>
      </c>
      <c r="C5248" s="2" t="s">
        <v>17</v>
      </c>
      <c r="D5248" s="2" t="s">
        <v>27</v>
      </c>
      <c r="E5248" s="4">
        <v>-31908</v>
      </c>
      <c r="F5248" s="3" t="s">
        <v>835</v>
      </c>
      <c r="G5248" s="3" t="s">
        <v>836</v>
      </c>
      <c r="H5248" s="2" t="s">
        <v>21</v>
      </c>
      <c r="I5248" s="2" t="s">
        <v>13414</v>
      </c>
      <c r="J5248" s="3" t="str">
        <f>HYPERLINK("https://www.boe.es/gazeta/dias/1812/08/20/pdfs/GRE-1812-107.pdf#page=4","Abrir facsímil")</f>
        <v>Abrir facsímil</v>
      </c>
      <c r="K5248" s="3" t="s">
        <v>23</v>
      </c>
    </row>
    <row r="5249" spans="1:11" ht="42" customHeight="1">
      <c r="A5249" s="2" t="s">
        <v>13396</v>
      </c>
      <c r="B5249" s="2" t="s">
        <v>13396</v>
      </c>
      <c r="C5249" s="2" t="s">
        <v>115</v>
      </c>
      <c r="D5249" s="2" t="s">
        <v>27</v>
      </c>
      <c r="E5249" s="4">
        <v>-31805</v>
      </c>
      <c r="F5249" s="3" t="s">
        <v>895</v>
      </c>
      <c r="G5249" s="3" t="s">
        <v>896</v>
      </c>
      <c r="H5249" s="2" t="s">
        <v>21</v>
      </c>
      <c r="I5249" s="2" t="s">
        <v>13415</v>
      </c>
      <c r="J5249" s="3" t="str">
        <f>HYPERLINK("https://www.boe.es/gazeta/dias/1812/12/01/pdfs/GMR-1812-39.pdf#page=15","Abrir facsímil")</f>
        <v>Abrir facsímil</v>
      </c>
      <c r="K5249" s="3" t="s">
        <v>23</v>
      </c>
    </row>
    <row r="5250" spans="1:11" ht="42" customHeight="1">
      <c r="A5250" s="2" t="s">
        <v>13416</v>
      </c>
      <c r="B5250" s="2" t="s">
        <v>13417</v>
      </c>
      <c r="C5250" s="2" t="s">
        <v>186</v>
      </c>
      <c r="D5250" s="2" t="s">
        <v>275</v>
      </c>
      <c r="E5250" s="4">
        <v>-31901</v>
      </c>
      <c r="F5250" s="3" t="s">
        <v>2199</v>
      </c>
      <c r="G5250" s="3" t="s">
        <v>13418</v>
      </c>
      <c r="H5250" s="2" t="s">
        <v>21</v>
      </c>
      <c r="I5250" s="2" t="s">
        <v>13419</v>
      </c>
      <c r="J5250" s="3" t="str">
        <f>HYPERLINK("https://www.boe.es/gazeta/dias/1812/08/27/pdfs/GRE-1812-111.pdf#page=6","Abrir facsímil")</f>
        <v>Abrir facsímil</v>
      </c>
      <c r="K5250" s="3" t="s">
        <v>23</v>
      </c>
    </row>
    <row r="5251" spans="1:11" ht="42" customHeight="1">
      <c r="A5251" s="2" t="s">
        <v>13420</v>
      </c>
      <c r="B5251" s="2" t="s">
        <v>13421</v>
      </c>
      <c r="C5251" s="2" t="s">
        <v>26</v>
      </c>
      <c r="D5251" s="2" t="s">
        <v>275</v>
      </c>
      <c r="E5251" s="4">
        <v>-31852</v>
      </c>
      <c r="F5251" s="3" t="s">
        <v>2145</v>
      </c>
      <c r="G5251" s="3" t="s">
        <v>13422</v>
      </c>
      <c r="H5251" s="2" t="s">
        <v>21</v>
      </c>
      <c r="I5251" s="2" t="s">
        <v>13423</v>
      </c>
      <c r="J5251" s="3" t="str">
        <f>HYPERLINK("https://www.boe.es/gazeta/dias/1812/10/15/pdfs/GRE-1812-139.pdf#page=5","Abrir facsímil")</f>
        <v>Abrir facsímil</v>
      </c>
      <c r="K5251" s="3" t="s">
        <v>23</v>
      </c>
    </row>
    <row r="5252" spans="1:11" ht="42" customHeight="1">
      <c r="A5252" s="2" t="s">
        <v>13424</v>
      </c>
      <c r="B5252" s="2" t="s">
        <v>13425</v>
      </c>
      <c r="C5252" s="2" t="s">
        <v>26</v>
      </c>
      <c r="D5252" s="2" t="s">
        <v>27</v>
      </c>
      <c r="E5252" s="4">
        <v>-31978</v>
      </c>
      <c r="F5252" s="3" t="s">
        <v>1790</v>
      </c>
      <c r="G5252" s="3" t="s">
        <v>1791</v>
      </c>
      <c r="H5252" s="2" t="s">
        <v>21</v>
      </c>
      <c r="I5252" s="2" t="s">
        <v>13426</v>
      </c>
      <c r="J5252" s="3" t="str">
        <f>HYPERLINK("https://www.boe.es/gazeta/dias/1812/06/11/pdfs/GRE-1812-72.pdf#page=8","Abrir facsímil")</f>
        <v>Abrir facsímil</v>
      </c>
      <c r="K5252" s="3" t="s">
        <v>23</v>
      </c>
    </row>
    <row r="5253" spans="1:11" ht="42" customHeight="1">
      <c r="A5253" s="2" t="s">
        <v>13424</v>
      </c>
      <c r="B5253" s="2" t="s">
        <v>13425</v>
      </c>
      <c r="C5253" s="2" t="s">
        <v>67</v>
      </c>
      <c r="D5253" s="2" t="s">
        <v>275</v>
      </c>
      <c r="E5253" s="4">
        <v>-31941</v>
      </c>
      <c r="F5253" s="3" t="s">
        <v>2048</v>
      </c>
      <c r="G5253" s="3" t="s">
        <v>20</v>
      </c>
      <c r="H5253" s="2" t="s">
        <v>21</v>
      </c>
      <c r="I5253" s="2" t="s">
        <v>13427</v>
      </c>
      <c r="J5253" s="3" t="str">
        <f>HYPERLINK("https://www.boe.es/gazeta/dias/1812/07/18/pdfs/GRE-1812-90.pdf#page=8","Abrir facsímil")</f>
        <v>Abrir facsímil</v>
      </c>
      <c r="K5253" s="3" t="s">
        <v>23</v>
      </c>
    </row>
    <row r="5254" spans="1:11" ht="42" customHeight="1">
      <c r="A5254" s="2" t="s">
        <v>13424</v>
      </c>
      <c r="B5254" s="2" t="s">
        <v>13425</v>
      </c>
      <c r="C5254" s="2" t="s">
        <v>26</v>
      </c>
      <c r="D5254" s="2" t="s">
        <v>275</v>
      </c>
      <c r="E5254" s="4">
        <v>-31913</v>
      </c>
      <c r="F5254" s="3" t="s">
        <v>450</v>
      </c>
      <c r="G5254" s="3" t="s">
        <v>451</v>
      </c>
      <c r="H5254" s="2" t="s">
        <v>21</v>
      </c>
      <c r="I5254" s="2" t="s">
        <v>13428</v>
      </c>
      <c r="J5254" s="3" t="str">
        <f>HYPERLINK("https://www.boe.es/gazeta/dias/1812/08/15/pdfs/GRE-1812-105.pdf#page=8","Abrir facsímil")</f>
        <v>Abrir facsímil</v>
      </c>
      <c r="K5254" s="3" t="s">
        <v>23</v>
      </c>
    </row>
    <row r="5255" spans="1:11" ht="42" customHeight="1">
      <c r="A5255" s="2" t="s">
        <v>13424</v>
      </c>
      <c r="B5255" s="2" t="s">
        <v>13425</v>
      </c>
      <c r="C5255" s="2" t="s">
        <v>26</v>
      </c>
      <c r="D5255" s="2" t="s">
        <v>275</v>
      </c>
      <c r="E5255" s="4">
        <v>-31894</v>
      </c>
      <c r="F5255" s="3" t="s">
        <v>793</v>
      </c>
      <c r="G5255" s="3" t="s">
        <v>13429</v>
      </c>
      <c r="H5255" s="2" t="s">
        <v>21</v>
      </c>
      <c r="I5255" s="2" t="s">
        <v>13430</v>
      </c>
      <c r="J5255" s="3" t="str">
        <f>HYPERLINK("https://www.boe.es/gazeta/dias/1812/09/03/pdfs/GRE-1812-119.pdf#page=8","Abrir facsímil")</f>
        <v>Abrir facsímil</v>
      </c>
      <c r="K5255" s="3" t="s">
        <v>23</v>
      </c>
    </row>
    <row r="5256" spans="1:11" ht="42" customHeight="1">
      <c r="A5256" s="2" t="s">
        <v>13424</v>
      </c>
      <c r="B5256" s="2" t="s">
        <v>13425</v>
      </c>
      <c r="C5256" s="2" t="s">
        <v>186</v>
      </c>
      <c r="D5256" s="2" t="s">
        <v>275</v>
      </c>
      <c r="E5256" s="4">
        <v>-31892</v>
      </c>
      <c r="F5256" s="3" t="s">
        <v>1825</v>
      </c>
      <c r="G5256" s="3" t="s">
        <v>20</v>
      </c>
      <c r="H5256" s="2" t="s">
        <v>21</v>
      </c>
      <c r="I5256" s="2" t="s">
        <v>13431</v>
      </c>
      <c r="J5256" s="3" t="str">
        <f>HYPERLINK("https://www.boe.es/gazeta/dias/1812/09/05/pdfs/GMR-1812-10.pdf#page=12","Abrir facsímil")</f>
        <v>Abrir facsímil</v>
      </c>
      <c r="K5256" s="3" t="s">
        <v>23</v>
      </c>
    </row>
    <row r="5257" spans="1:11" ht="42" customHeight="1">
      <c r="A5257" s="2" t="s">
        <v>13432</v>
      </c>
      <c r="B5257" s="2" t="s">
        <v>13433</v>
      </c>
      <c r="C5257" s="2" t="s">
        <v>17</v>
      </c>
      <c r="D5257" s="2" t="s">
        <v>275</v>
      </c>
      <c r="E5257" s="4">
        <v>-31875</v>
      </c>
      <c r="F5257" s="3" t="s">
        <v>708</v>
      </c>
      <c r="G5257" s="3" t="s">
        <v>794</v>
      </c>
      <c r="H5257" s="2" t="s">
        <v>21</v>
      </c>
      <c r="I5257" s="2" t="s">
        <v>13434</v>
      </c>
      <c r="J5257" s="3" t="str">
        <f>HYPERLINK("https://www.boe.es/gazeta/dias/1812/09/22/pdfs/GMR-1812-17.pdf#page=7","Abrir facsímil")</f>
        <v>Abrir facsímil</v>
      </c>
      <c r="K5257" s="3" t="s">
        <v>23</v>
      </c>
    </row>
    <row r="5258" spans="1:11" ht="42" customHeight="1">
      <c r="A5258" s="2" t="s">
        <v>13424</v>
      </c>
      <c r="B5258" s="2" t="s">
        <v>13425</v>
      </c>
      <c r="C5258" s="2" t="s">
        <v>17</v>
      </c>
      <c r="D5258" s="2" t="s">
        <v>18</v>
      </c>
      <c r="E5258" s="4">
        <v>-31866</v>
      </c>
      <c r="F5258" s="3" t="s">
        <v>845</v>
      </c>
      <c r="G5258" s="3" t="s">
        <v>8924</v>
      </c>
      <c r="H5258" s="2" t="s">
        <v>21</v>
      </c>
      <c r="I5258" s="2" t="s">
        <v>13435</v>
      </c>
      <c r="J5258" s="3" t="str">
        <f>HYPERLINK("https://www.boe.es/gazeta/dias/1812/10/01/pdfs/GRE-1812-133.pdf#page=3","Abrir facsímil")</f>
        <v>Abrir facsímil</v>
      </c>
      <c r="K5258" s="3" t="s">
        <v>23</v>
      </c>
    </row>
    <row r="5259" spans="1:11" ht="42" customHeight="1">
      <c r="A5259" s="2" t="s">
        <v>13424</v>
      </c>
      <c r="B5259" s="2" t="s">
        <v>13425</v>
      </c>
      <c r="C5259" s="2" t="s">
        <v>67</v>
      </c>
      <c r="D5259" s="2" t="s">
        <v>27</v>
      </c>
      <c r="E5259" s="4">
        <v>-31854</v>
      </c>
      <c r="F5259" s="3" t="s">
        <v>1574</v>
      </c>
      <c r="G5259" s="3" t="s">
        <v>794</v>
      </c>
      <c r="H5259" s="2" t="s">
        <v>21</v>
      </c>
      <c r="I5259" s="2" t="s">
        <v>13436</v>
      </c>
      <c r="J5259" s="3" t="str">
        <f>HYPERLINK("https://www.boe.es/gazeta/dias/1812/10/13/pdfs/GMR-1812-26.pdf#page=7","Abrir facsímil")</f>
        <v>Abrir facsímil</v>
      </c>
      <c r="K5259" s="3" t="s">
        <v>23</v>
      </c>
    </row>
    <row r="5260" spans="1:11" ht="42" customHeight="1">
      <c r="A5260" s="2" t="s">
        <v>13424</v>
      </c>
      <c r="B5260" s="2" t="s">
        <v>13425</v>
      </c>
      <c r="C5260" s="2" t="s">
        <v>105</v>
      </c>
      <c r="D5260" s="2" t="s">
        <v>275</v>
      </c>
      <c r="E5260" s="4">
        <v>-31854</v>
      </c>
      <c r="F5260" s="3" t="s">
        <v>1574</v>
      </c>
      <c r="G5260" s="3" t="s">
        <v>58</v>
      </c>
      <c r="H5260" s="2" t="s">
        <v>21</v>
      </c>
      <c r="I5260" s="2" t="s">
        <v>13437</v>
      </c>
      <c r="J5260" s="3" t="str">
        <f>HYPERLINK("https://www.boe.es/gazeta/dias/1812/10/13/pdfs/GMR-1812-26.pdf#page=11","Abrir facsímil")</f>
        <v>Abrir facsímil</v>
      </c>
      <c r="K5260" s="3" t="s">
        <v>23</v>
      </c>
    </row>
    <row r="5261" spans="1:11" ht="42" customHeight="1">
      <c r="A5261" s="2" t="s">
        <v>13424</v>
      </c>
      <c r="B5261" s="2" t="s">
        <v>13425</v>
      </c>
      <c r="C5261" s="2" t="s">
        <v>26</v>
      </c>
      <c r="D5261" s="2" t="s">
        <v>27</v>
      </c>
      <c r="E5261" s="4">
        <v>-31847</v>
      </c>
      <c r="F5261" s="3" t="s">
        <v>4133</v>
      </c>
      <c r="G5261" s="3" t="s">
        <v>13438</v>
      </c>
      <c r="H5261" s="2" t="s">
        <v>21</v>
      </c>
      <c r="I5261" s="2" t="s">
        <v>13439</v>
      </c>
      <c r="J5261" s="3" t="str">
        <f>HYPERLINK("https://www.boe.es/gazeta/dias/1812/10/20/pdfs/GMR-1812-29.pdf#page=6","Abrir facsímil")</f>
        <v>Abrir facsímil</v>
      </c>
      <c r="K5261" s="3" t="s">
        <v>23</v>
      </c>
    </row>
    <row r="5262" spans="1:11" ht="42" customHeight="1">
      <c r="A5262" s="2" t="s">
        <v>13424</v>
      </c>
      <c r="B5262" s="2" t="s">
        <v>13425</v>
      </c>
      <c r="C5262" s="2" t="s">
        <v>26</v>
      </c>
      <c r="D5262" s="2" t="s">
        <v>275</v>
      </c>
      <c r="E5262" s="4">
        <v>-31845</v>
      </c>
      <c r="F5262" s="3" t="s">
        <v>726</v>
      </c>
      <c r="G5262" s="3" t="s">
        <v>13440</v>
      </c>
      <c r="H5262" s="2" t="s">
        <v>21</v>
      </c>
      <c r="I5262" s="2" t="s">
        <v>13441</v>
      </c>
      <c r="J5262" s="3" t="str">
        <f>HYPERLINK("https://www.boe.es/gazeta/dias/1812/10/22/pdfs/GRE-1812-142.pdf#page=7","Abrir facsímil")</f>
        <v>Abrir facsímil</v>
      </c>
      <c r="K5262" s="3" t="s">
        <v>23</v>
      </c>
    </row>
    <row r="5263" spans="1:11" ht="42" customHeight="1">
      <c r="A5263" s="2" t="s">
        <v>13424</v>
      </c>
      <c r="B5263" s="2" t="s">
        <v>13425</v>
      </c>
      <c r="C5263" s="2" t="s">
        <v>67</v>
      </c>
      <c r="D5263" s="2" t="s">
        <v>275</v>
      </c>
      <c r="E5263" s="4">
        <v>-31838</v>
      </c>
      <c r="F5263" s="3" t="s">
        <v>1960</v>
      </c>
      <c r="G5263" s="3" t="s">
        <v>8933</v>
      </c>
      <c r="H5263" s="2" t="s">
        <v>21</v>
      </c>
      <c r="I5263" s="2" t="s">
        <v>13442</v>
      </c>
      <c r="J5263" s="3" t="str">
        <f>HYPERLINK("https://www.boe.es/gazeta/dias/1812/10/29/pdfs/GRE-1812-145.pdf#page=5","Abrir facsímil")</f>
        <v>Abrir facsímil</v>
      </c>
      <c r="K5263" s="3" t="s">
        <v>23</v>
      </c>
    </row>
    <row r="5264" spans="1:11" ht="42" customHeight="1">
      <c r="A5264" s="2" t="s">
        <v>13424</v>
      </c>
      <c r="B5264" s="2" t="s">
        <v>13425</v>
      </c>
      <c r="C5264" s="2" t="s">
        <v>105</v>
      </c>
      <c r="D5264" s="2" t="s">
        <v>275</v>
      </c>
      <c r="E5264" s="4">
        <v>-31831</v>
      </c>
      <c r="F5264" s="3" t="s">
        <v>8937</v>
      </c>
      <c r="G5264" s="3" t="s">
        <v>8939</v>
      </c>
      <c r="H5264" s="2" t="s">
        <v>21</v>
      </c>
      <c r="I5264" s="2" t="s">
        <v>13443</v>
      </c>
      <c r="J5264" s="3" t="str">
        <f>HYPERLINK("https://www.boe.es/gazeta/dias/1812/11/05/pdfs/GRE-F-1812-148.pdf#page=15","Abrir facsímil")</f>
        <v>Abrir facsímil</v>
      </c>
      <c r="K5264" s="3" t="s">
        <v>23</v>
      </c>
    </row>
    <row r="5265" spans="1:11" ht="42" customHeight="1">
      <c r="A5265" s="2" t="s">
        <v>13424</v>
      </c>
      <c r="B5265" s="2" t="s">
        <v>13425</v>
      </c>
      <c r="C5265" s="2" t="s">
        <v>26</v>
      </c>
      <c r="D5265" s="2" t="s">
        <v>275</v>
      </c>
      <c r="E5265" s="4">
        <v>-31817</v>
      </c>
      <c r="F5265" s="3" t="s">
        <v>454</v>
      </c>
      <c r="G5265" s="3" t="s">
        <v>13444</v>
      </c>
      <c r="H5265" s="2" t="s">
        <v>21</v>
      </c>
      <c r="I5265" s="2" t="s">
        <v>13445</v>
      </c>
      <c r="J5265" s="3" t="str">
        <f>HYPERLINK("https://www.boe.es/gazeta/dias/1812/11/19/pdfs/GRE-1812-154.pdf#page=7","Abrir facsímil")</f>
        <v>Abrir facsímil</v>
      </c>
      <c r="K5265" s="3" t="s">
        <v>23</v>
      </c>
    </row>
    <row r="5266" spans="1:11" ht="42" customHeight="1">
      <c r="A5266" s="2" t="s">
        <v>13424</v>
      </c>
      <c r="B5266" s="2" t="s">
        <v>13425</v>
      </c>
      <c r="C5266" s="2" t="s">
        <v>26</v>
      </c>
      <c r="D5266" s="2" t="s">
        <v>275</v>
      </c>
      <c r="E5266" s="4">
        <v>-31812</v>
      </c>
      <c r="F5266" s="3" t="s">
        <v>6528</v>
      </c>
      <c r="G5266" s="3" t="s">
        <v>214</v>
      </c>
      <c r="H5266" s="2" t="s">
        <v>21</v>
      </c>
      <c r="I5266" s="2" t="s">
        <v>13446</v>
      </c>
      <c r="J5266" s="3" t="str">
        <f>HYPERLINK("https://www.boe.es/gazeta/dias/1812/11/24/pdfs/GRE-1812-156.pdf#page=4","Abrir facsímil")</f>
        <v>Abrir facsímil</v>
      </c>
      <c r="K5266" s="3" t="s">
        <v>23</v>
      </c>
    </row>
    <row r="5267" spans="1:11" ht="42" customHeight="1">
      <c r="A5267" s="2" t="s">
        <v>13424</v>
      </c>
      <c r="B5267" s="2" t="s">
        <v>13425</v>
      </c>
      <c r="C5267" s="2" t="s">
        <v>105</v>
      </c>
      <c r="D5267" s="2" t="s">
        <v>275</v>
      </c>
      <c r="E5267" s="4">
        <v>-31809</v>
      </c>
      <c r="F5267" s="3" t="s">
        <v>116</v>
      </c>
      <c r="G5267" s="3" t="s">
        <v>514</v>
      </c>
      <c r="H5267" s="2" t="s">
        <v>21</v>
      </c>
      <c r="I5267" s="2" t="s">
        <v>13447</v>
      </c>
      <c r="J5267" s="3" t="str">
        <f>HYPERLINK("https://www.boe.es/gazeta/dias/1812/11/27/pdfs/GMR-1812-38.pdf#page=7","Abrir facsímil")</f>
        <v>Abrir facsímil</v>
      </c>
      <c r="K5267" s="3" t="s">
        <v>23</v>
      </c>
    </row>
    <row r="5268" spans="1:11" ht="42" customHeight="1">
      <c r="A5268" s="2" t="s">
        <v>13424</v>
      </c>
      <c r="B5268" s="2" t="s">
        <v>13425</v>
      </c>
      <c r="C5268" s="2" t="s">
        <v>186</v>
      </c>
      <c r="D5268" s="2" t="s">
        <v>275</v>
      </c>
      <c r="E5268" s="4">
        <v>-31803</v>
      </c>
      <c r="F5268" s="3" t="s">
        <v>221</v>
      </c>
      <c r="G5268" s="3" t="s">
        <v>13448</v>
      </c>
      <c r="H5268" s="2" t="s">
        <v>21</v>
      </c>
      <c r="I5268" s="2" t="s">
        <v>13449</v>
      </c>
      <c r="J5268" s="3" t="str">
        <f>HYPERLINK("https://www.boe.es/gazeta/dias/1812/12/03/pdfs/GRE-1812-160.pdf#page=7","Abrir facsímil")</f>
        <v>Abrir facsímil</v>
      </c>
      <c r="K5268" s="3" t="s">
        <v>23</v>
      </c>
    </row>
    <row r="5269" spans="1:11" ht="42" customHeight="1">
      <c r="A5269" s="2" t="s">
        <v>13424</v>
      </c>
      <c r="B5269" s="2" t="s">
        <v>13425</v>
      </c>
      <c r="C5269" s="2" t="s">
        <v>17</v>
      </c>
      <c r="D5269" s="2" t="s">
        <v>18</v>
      </c>
      <c r="E5269" s="4">
        <v>-31780</v>
      </c>
      <c r="F5269" s="3" t="s">
        <v>3317</v>
      </c>
      <c r="G5269" s="3" t="s">
        <v>125</v>
      </c>
      <c r="H5269" s="2" t="s">
        <v>21</v>
      </c>
      <c r="I5269" s="2" t="s">
        <v>13450</v>
      </c>
      <c r="J5269" s="3" t="str">
        <f>HYPERLINK("https://www.boe.es/gazeta/dias/1812/12/26/pdfs/GRE-1812-170.pdf#page=6","Abrir facsímil")</f>
        <v>Abrir facsímil</v>
      </c>
      <c r="K5269" s="3" t="s">
        <v>23</v>
      </c>
    </row>
    <row r="5270" spans="1:11" ht="42" customHeight="1">
      <c r="A5270" s="2" t="s">
        <v>13451</v>
      </c>
      <c r="B5270" s="2" t="s">
        <v>13452</v>
      </c>
      <c r="C5270" s="2" t="s">
        <v>82</v>
      </c>
      <c r="D5270" s="2" t="s">
        <v>275</v>
      </c>
      <c r="E5270" s="4">
        <v>-31787</v>
      </c>
      <c r="F5270" s="3" t="s">
        <v>1560</v>
      </c>
      <c r="G5270" s="3" t="s">
        <v>13453</v>
      </c>
      <c r="H5270" s="2" t="s">
        <v>21</v>
      </c>
      <c r="I5270" s="2" t="s">
        <v>13454</v>
      </c>
      <c r="J5270" s="3" t="str">
        <f>HYPERLINK("https://www.boe.es/gazeta/dias/1812/12/19/pdfs/GRE-1812-167.pdf#page=7","Abrir facsímil")</f>
        <v>Abrir facsímil</v>
      </c>
      <c r="K5270" s="3" t="s">
        <v>23</v>
      </c>
    </row>
    <row r="5271" spans="1:11" ht="42" customHeight="1">
      <c r="A5271" s="2" t="s">
        <v>13455</v>
      </c>
      <c r="B5271" s="2" t="s">
        <v>13456</v>
      </c>
      <c r="C5271" s="2" t="s">
        <v>49</v>
      </c>
      <c r="D5271" s="2" t="s">
        <v>27</v>
      </c>
      <c r="E5271" s="4">
        <v>-31864</v>
      </c>
      <c r="F5271" s="3" t="s">
        <v>3014</v>
      </c>
      <c r="G5271" s="3" t="s">
        <v>8928</v>
      </c>
      <c r="H5271" s="2" t="s">
        <v>21</v>
      </c>
      <c r="I5271" s="2" t="s">
        <v>13457</v>
      </c>
      <c r="J5271" s="3" t="str">
        <f>HYPERLINK("https://www.boe.es/gazeta/dias/1812/10/03/pdfs/GRE-1812-134.pdf#page=6","Abrir facsímil")</f>
        <v>Abrir facsímil</v>
      </c>
      <c r="K5271" s="3" t="s">
        <v>23</v>
      </c>
    </row>
    <row r="5272" spans="1:11" ht="42" customHeight="1">
      <c r="A5272" s="2" t="s">
        <v>13458</v>
      </c>
      <c r="B5272" s="2" t="s">
        <v>13459</v>
      </c>
      <c r="C5272" s="2" t="s">
        <v>105</v>
      </c>
      <c r="D5272" s="2" t="s">
        <v>275</v>
      </c>
      <c r="E5272" s="4">
        <v>-31894</v>
      </c>
      <c r="F5272" s="3" t="s">
        <v>793</v>
      </c>
      <c r="G5272" s="3" t="s">
        <v>794</v>
      </c>
      <c r="H5272" s="2" t="s">
        <v>21</v>
      </c>
      <c r="I5272" s="2" t="s">
        <v>13460</v>
      </c>
      <c r="J5272" s="3" t="str">
        <f>HYPERLINK("https://www.boe.es/gazeta/dias/1812/09/03/pdfs/GRE-1812-119.pdf#page=7","Abrir facsímil")</f>
        <v>Abrir facsímil</v>
      </c>
      <c r="K5272" s="3" t="s">
        <v>23</v>
      </c>
    </row>
    <row r="5273" spans="1:11" ht="42" customHeight="1">
      <c r="A5273" s="2" t="s">
        <v>13461</v>
      </c>
      <c r="B5273" s="2" t="s">
        <v>13462</v>
      </c>
      <c r="C5273" s="2" t="s">
        <v>186</v>
      </c>
      <c r="D5273" s="2" t="s">
        <v>275</v>
      </c>
      <c r="E5273" s="4">
        <v>-31831</v>
      </c>
      <c r="F5273" s="3" t="s">
        <v>8937</v>
      </c>
      <c r="G5273" s="3" t="s">
        <v>58</v>
      </c>
      <c r="H5273" s="2" t="s">
        <v>21</v>
      </c>
      <c r="I5273" s="2" t="s">
        <v>13463</v>
      </c>
      <c r="J5273" s="3" t="str">
        <f>HYPERLINK("https://www.boe.es/gazeta/dias/1812/11/05/pdfs/GRE-F-1812-148.pdf#page=16","Abrir facsímil")</f>
        <v>Abrir facsímil</v>
      </c>
      <c r="K5273" s="3" t="s">
        <v>23</v>
      </c>
    </row>
    <row r="5274" spans="1:11" ht="42" customHeight="1">
      <c r="A5274" s="2" t="s">
        <v>13464</v>
      </c>
      <c r="B5274" s="2" t="s">
        <v>13465</v>
      </c>
      <c r="C5274" s="2" t="s">
        <v>26</v>
      </c>
      <c r="D5274" s="2" t="s">
        <v>27</v>
      </c>
      <c r="E5274" s="4">
        <v>-32063</v>
      </c>
      <c r="F5274" s="3" t="s">
        <v>384</v>
      </c>
      <c r="G5274" s="3" t="s">
        <v>20</v>
      </c>
      <c r="H5274" s="2" t="s">
        <v>21</v>
      </c>
      <c r="I5274" s="2" t="s">
        <v>13466</v>
      </c>
      <c r="J5274" s="3" t="str">
        <f>HYPERLINK("https://www.boe.es/gazeta/dias/1812/03/18/pdfs/GMD-1812-78.pdf#page=4","Abrir facsímil")</f>
        <v>Abrir facsímil</v>
      </c>
      <c r="K5274" s="3" t="s">
        <v>23</v>
      </c>
    </row>
    <row r="5275" spans="1:11" ht="42" customHeight="1">
      <c r="A5275" s="2" t="s">
        <v>13467</v>
      </c>
      <c r="B5275" s="2" t="s">
        <v>13468</v>
      </c>
      <c r="C5275" s="2" t="s">
        <v>67</v>
      </c>
      <c r="D5275" s="2" t="s">
        <v>27</v>
      </c>
      <c r="E5275" s="4">
        <v>-31962</v>
      </c>
      <c r="F5275" s="3" t="s">
        <v>153</v>
      </c>
      <c r="G5275" s="3" t="s">
        <v>8894</v>
      </c>
      <c r="H5275" s="2" t="s">
        <v>21</v>
      </c>
      <c r="I5275" s="2" t="s">
        <v>13469</v>
      </c>
      <c r="J5275" s="3" t="str">
        <f>HYPERLINK("https://www.boe.es/gazeta/dias/1812/06/27/pdfs/GRE-1812-79.pdf#page=7","Abrir facsímil")</f>
        <v>Abrir facsímil</v>
      </c>
      <c r="K5275" s="3" t="s">
        <v>23</v>
      </c>
    </row>
    <row r="5276" spans="1:11" ht="42" customHeight="1">
      <c r="A5276" s="2" t="s">
        <v>13470</v>
      </c>
      <c r="B5276" s="2" t="s">
        <v>13471</v>
      </c>
      <c r="C5276" s="2" t="s">
        <v>26</v>
      </c>
      <c r="D5276" s="2" t="s">
        <v>27</v>
      </c>
      <c r="E5276" s="4">
        <v>-31901</v>
      </c>
      <c r="F5276" s="3" t="s">
        <v>2199</v>
      </c>
      <c r="G5276" s="3" t="s">
        <v>2200</v>
      </c>
      <c r="H5276" s="2" t="s">
        <v>21</v>
      </c>
      <c r="I5276" s="2" t="s">
        <v>13472</v>
      </c>
      <c r="J5276" s="3" t="str">
        <f>HYPERLINK("https://www.boe.es/gazeta/dias/1812/08/27/pdfs/GRE-1812-111.pdf#page=8","Abrir facsímil")</f>
        <v>Abrir facsímil</v>
      </c>
      <c r="K5276" s="3" t="s">
        <v>23</v>
      </c>
    </row>
    <row r="5277" spans="1:11" ht="42" customHeight="1">
      <c r="A5277" s="2" t="s">
        <v>13473</v>
      </c>
      <c r="B5277" s="2" t="s">
        <v>13474</v>
      </c>
      <c r="C5277" s="2" t="s">
        <v>26</v>
      </c>
      <c r="D5277" s="2" t="s">
        <v>134</v>
      </c>
      <c r="E5277" s="4">
        <v>-31955</v>
      </c>
      <c r="F5277" s="3" t="s">
        <v>135</v>
      </c>
      <c r="G5277" s="3" t="s">
        <v>136</v>
      </c>
      <c r="H5277" s="2" t="s">
        <v>21</v>
      </c>
      <c r="I5277" s="2" t="s">
        <v>13475</v>
      </c>
      <c r="J5277" s="3" t="str">
        <f>HYPERLINK("https://www.boe.es/gazeta/dias/1812/07/04/pdfs/GRE-F-1812-82.pdf#page=8","Abrir facsímil")</f>
        <v>Abrir facsímil</v>
      </c>
      <c r="K5277" s="3" t="s">
        <v>23</v>
      </c>
    </row>
    <row r="5278" spans="1:11" ht="42" customHeight="1">
      <c r="A5278" s="2" t="s">
        <v>13476</v>
      </c>
      <c r="B5278" s="2" t="s">
        <v>13476</v>
      </c>
      <c r="C5278" s="2" t="s">
        <v>26</v>
      </c>
      <c r="D5278" s="2" t="s">
        <v>27</v>
      </c>
      <c r="E5278" s="4">
        <v>-32034</v>
      </c>
      <c r="F5278" s="3" t="s">
        <v>1008</v>
      </c>
      <c r="G5278" s="3" t="s">
        <v>438</v>
      </c>
      <c r="H5278" s="2" t="s">
        <v>21</v>
      </c>
      <c r="I5278" s="2" t="s">
        <v>13477</v>
      </c>
      <c r="J5278" s="3" t="str">
        <f>HYPERLINK("https://www.boe.es/gazeta/dias/1812/04/16/pdfs/GRE-1812-48.pdf#page=6","Abrir facsímil")</f>
        <v>Abrir facsímil</v>
      </c>
      <c r="K5278" s="3" t="s">
        <v>23</v>
      </c>
    </row>
    <row r="5279" spans="1:11" ht="42" customHeight="1">
      <c r="A5279" s="2" t="s">
        <v>13478</v>
      </c>
      <c r="B5279" s="2" t="s">
        <v>13479</v>
      </c>
      <c r="C5279" s="2" t="s">
        <v>26</v>
      </c>
      <c r="D5279" s="2" t="s">
        <v>27</v>
      </c>
      <c r="E5279" s="4">
        <v>-31964</v>
      </c>
      <c r="F5279" s="3" t="s">
        <v>305</v>
      </c>
      <c r="G5279" s="3" t="s">
        <v>306</v>
      </c>
      <c r="H5279" s="2" t="s">
        <v>21</v>
      </c>
      <c r="I5279" s="2" t="s">
        <v>13480</v>
      </c>
      <c r="J5279" s="3" t="str">
        <f>HYPERLINK("https://www.boe.es/gazeta/dias/1812/06/25/pdfs/GMD-1812-177.pdf#page=3","Abrir facsímil")</f>
        <v>Abrir facsímil</v>
      </c>
      <c r="K5279" s="3" t="s">
        <v>23</v>
      </c>
    </row>
    <row r="5280" spans="1:11" ht="42" customHeight="1">
      <c r="A5280" s="2" t="s">
        <v>13481</v>
      </c>
      <c r="B5280" s="2" t="s">
        <v>13482</v>
      </c>
      <c r="C5280" s="2" t="s">
        <v>26</v>
      </c>
      <c r="D5280" s="2" t="s">
        <v>27</v>
      </c>
      <c r="E5280" s="4">
        <v>-32095</v>
      </c>
      <c r="F5280" s="3" t="s">
        <v>284</v>
      </c>
      <c r="G5280" s="3" t="s">
        <v>29</v>
      </c>
      <c r="H5280" s="2" t="s">
        <v>21</v>
      </c>
      <c r="I5280" s="2" t="s">
        <v>13483</v>
      </c>
      <c r="J5280" s="3" t="str">
        <f>HYPERLINK("https://www.boe.es/gazeta/dias/1812/02/15/pdfs/GRE-1812-20.pdf#page=8","Abrir facsímil")</f>
        <v>Abrir facsímil</v>
      </c>
      <c r="K5280" s="3" t="s">
        <v>23</v>
      </c>
    </row>
    <row r="5281" spans="1:11" ht="42" customHeight="1">
      <c r="A5281" s="2" t="s">
        <v>13484</v>
      </c>
      <c r="B5281" s="2" t="s">
        <v>13485</v>
      </c>
      <c r="C5281" s="2" t="s">
        <v>26</v>
      </c>
      <c r="D5281" s="2" t="s">
        <v>27</v>
      </c>
      <c r="E5281" s="4">
        <v>-31940</v>
      </c>
      <c r="F5281" s="3" t="s">
        <v>187</v>
      </c>
      <c r="G5281" s="3" t="s">
        <v>45</v>
      </c>
      <c r="H5281" s="2" t="s">
        <v>21</v>
      </c>
      <c r="I5281" s="2" t="s">
        <v>13486</v>
      </c>
      <c r="J5281" s="3" t="str">
        <f>HYPERLINK("https://www.boe.es/gazeta/dias/1812/07/19/pdfs/GMD-1812-201.pdf#page=2","Abrir facsímil")</f>
        <v>Abrir facsímil</v>
      </c>
      <c r="K5281" s="3" t="s">
        <v>23</v>
      </c>
    </row>
    <row r="5282" spans="1:11" ht="42" customHeight="1">
      <c r="A5282" s="2" t="s">
        <v>13487</v>
      </c>
      <c r="B5282" s="2" t="s">
        <v>13488</v>
      </c>
      <c r="C5282" s="2" t="s">
        <v>26</v>
      </c>
      <c r="D5282" s="2" t="s">
        <v>27</v>
      </c>
      <c r="E5282" s="4">
        <v>-31901</v>
      </c>
      <c r="F5282" s="3" t="s">
        <v>590</v>
      </c>
      <c r="G5282" s="3" t="s">
        <v>674</v>
      </c>
      <c r="H5282" s="2" t="s">
        <v>21</v>
      </c>
      <c r="I5282" s="2" t="s">
        <v>13489</v>
      </c>
      <c r="J5282" s="3" t="str">
        <f>HYPERLINK("https://www.boe.es/gazeta/dias/1812/08/27/pdfs/GMR-1812-6.pdf#page=6","Abrir facsímil")</f>
        <v>Abrir facsímil</v>
      </c>
      <c r="K5282" s="3" t="s">
        <v>23</v>
      </c>
    </row>
    <row r="5283" spans="1:11" ht="42" customHeight="1">
      <c r="A5283" s="2" t="s">
        <v>13490</v>
      </c>
      <c r="B5283" s="2" t="s">
        <v>13491</v>
      </c>
      <c r="C5283" s="2" t="s">
        <v>49</v>
      </c>
      <c r="D5283" s="2" t="s">
        <v>27</v>
      </c>
      <c r="E5283" s="4">
        <v>-32033</v>
      </c>
      <c r="F5283" s="3" t="s">
        <v>771</v>
      </c>
      <c r="G5283" s="3" t="s">
        <v>130</v>
      </c>
      <c r="H5283" s="2" t="s">
        <v>21</v>
      </c>
      <c r="I5283" s="2" t="s">
        <v>13492</v>
      </c>
      <c r="J5283" s="3" t="str">
        <f>HYPERLINK("https://www.boe.es/gazeta/dias/1812/04/17/pdfs/GMD-1812-108.pdf#page=4","Abrir facsímil")</f>
        <v>Abrir facsímil</v>
      </c>
      <c r="K5283" s="3" t="s">
        <v>23</v>
      </c>
    </row>
    <row r="5284" spans="1:11" ht="42" customHeight="1">
      <c r="A5284" s="2" t="s">
        <v>13493</v>
      </c>
      <c r="B5284" s="2" t="s">
        <v>13494</v>
      </c>
      <c r="C5284" s="2" t="s">
        <v>26</v>
      </c>
      <c r="D5284" s="2" t="s">
        <v>27</v>
      </c>
      <c r="E5284" s="4">
        <v>-31976</v>
      </c>
      <c r="F5284" s="3" t="s">
        <v>54</v>
      </c>
      <c r="G5284" s="3" t="s">
        <v>55</v>
      </c>
      <c r="H5284" s="2" t="s">
        <v>21</v>
      </c>
      <c r="I5284" s="2" t="s">
        <v>13495</v>
      </c>
      <c r="J5284" s="3" t="str">
        <f>HYPERLINK("https://www.boe.es/gazeta/dias/1812/06/13/pdfs/GRE-1812-73.pdf#page=6","Abrir facsímil")</f>
        <v>Abrir facsímil</v>
      </c>
      <c r="K5284" s="3" t="s">
        <v>23</v>
      </c>
    </row>
    <row r="5285" spans="1:11" ht="42" customHeight="1">
      <c r="A5285" s="2" t="s">
        <v>13496</v>
      </c>
      <c r="B5285" s="2" t="s">
        <v>13496</v>
      </c>
      <c r="C5285" s="2" t="s">
        <v>17</v>
      </c>
      <c r="D5285" s="2" t="s">
        <v>27</v>
      </c>
      <c r="E5285" s="4">
        <v>-32088</v>
      </c>
      <c r="F5285" s="3" t="s">
        <v>1217</v>
      </c>
      <c r="G5285" s="3" t="s">
        <v>1218</v>
      </c>
      <c r="H5285" s="2" t="s">
        <v>21</v>
      </c>
      <c r="I5285" s="2" t="s">
        <v>13497</v>
      </c>
      <c r="J5285" s="3" t="str">
        <f>HYPERLINK("https://www.boe.es/gazeta/dias/1812/02/22/pdfs/GMD-1812-53.pdf#page=4","Abrir facsímil")</f>
        <v>Abrir facsímil</v>
      </c>
      <c r="K5285" s="3" t="s">
        <v>23</v>
      </c>
    </row>
    <row r="5286" spans="1:11" ht="42" customHeight="1">
      <c r="A5286" s="2" t="s">
        <v>13498</v>
      </c>
      <c r="B5286" s="2" t="s">
        <v>13499</v>
      </c>
      <c r="C5286" s="2" t="s">
        <v>17</v>
      </c>
      <c r="D5286" s="2" t="s">
        <v>27</v>
      </c>
      <c r="E5286" s="4">
        <v>-32139</v>
      </c>
      <c r="F5286" s="3" t="s">
        <v>518</v>
      </c>
      <c r="G5286" s="3" t="s">
        <v>125</v>
      </c>
      <c r="H5286" s="2" t="s">
        <v>21</v>
      </c>
      <c r="I5286" s="2" t="s">
        <v>13500</v>
      </c>
      <c r="J5286" s="3" t="str">
        <f>HYPERLINK("https://www.boe.es/gazeta/dias/1812/01/02/pdfs/GEI-1812-1.pdf#page=8","Abrir facsímil")</f>
        <v>Abrir facsímil</v>
      </c>
      <c r="K5286" s="3" t="s">
        <v>23</v>
      </c>
    </row>
    <row r="5287" spans="1:11" ht="42" customHeight="1">
      <c r="A5287" s="2" t="s">
        <v>13501</v>
      </c>
      <c r="B5287" s="2" t="s">
        <v>13501</v>
      </c>
      <c r="C5287" s="2" t="s">
        <v>17</v>
      </c>
      <c r="D5287" s="2" t="s">
        <v>18</v>
      </c>
      <c r="E5287" s="4">
        <v>-32083</v>
      </c>
      <c r="F5287" s="3" t="s">
        <v>1496</v>
      </c>
      <c r="G5287" s="3" t="s">
        <v>2658</v>
      </c>
      <c r="H5287" s="2" t="s">
        <v>21</v>
      </c>
      <c r="I5287" s="2" t="s">
        <v>13502</v>
      </c>
      <c r="J5287" s="3" t="str">
        <f>HYPERLINK("https://www.boe.es/gazeta/dias/1812/02/27/pdfs/GRE-1812-26.pdf#page=7","Abrir facsímil")</f>
        <v>Abrir facsímil</v>
      </c>
      <c r="K5287" s="3" t="s">
        <v>23</v>
      </c>
    </row>
    <row r="5288" spans="1:11" ht="42" customHeight="1">
      <c r="A5288" s="2" t="s">
        <v>13501</v>
      </c>
      <c r="B5288" s="2" t="s">
        <v>13501</v>
      </c>
      <c r="C5288" s="2" t="s">
        <v>17</v>
      </c>
      <c r="D5288" s="2" t="s">
        <v>27</v>
      </c>
      <c r="E5288" s="4">
        <v>-32062</v>
      </c>
      <c r="F5288" s="3" t="s">
        <v>280</v>
      </c>
      <c r="G5288" s="3" t="s">
        <v>4562</v>
      </c>
      <c r="H5288" s="2" t="s">
        <v>21</v>
      </c>
      <c r="I5288" s="2" t="s">
        <v>13503</v>
      </c>
      <c r="J5288" s="3" t="str">
        <f>HYPERLINK("https://www.boe.es/gazeta/dias/1812/03/19/pdfs/GMD-1812-79.pdf#page=1","Abrir facsímil")</f>
        <v>Abrir facsímil</v>
      </c>
      <c r="K5288" s="3" t="s">
        <v>23</v>
      </c>
    </row>
    <row r="5289" spans="1:11" ht="42" customHeight="1">
      <c r="A5289" s="2" t="s">
        <v>13501</v>
      </c>
      <c r="B5289" s="2" t="s">
        <v>13501</v>
      </c>
      <c r="C5289" s="2" t="s">
        <v>17</v>
      </c>
      <c r="D5289" s="2" t="s">
        <v>18</v>
      </c>
      <c r="E5289" s="4">
        <v>-32028</v>
      </c>
      <c r="F5289" s="3" t="s">
        <v>10415</v>
      </c>
      <c r="G5289" s="3" t="s">
        <v>10416</v>
      </c>
      <c r="H5289" s="2" t="s">
        <v>21</v>
      </c>
      <c r="I5289" s="2" t="s">
        <v>13504</v>
      </c>
      <c r="J5289" s="3" t="str">
        <f>HYPERLINK("https://www.boe.es/gazeta/dias/1812/04/22/pdfs/GMD-1812-113.pdf#page=1","Abrir facsímil")</f>
        <v>Abrir facsímil</v>
      </c>
      <c r="K5289" s="3" t="s">
        <v>23</v>
      </c>
    </row>
    <row r="5290" spans="1:11" ht="42" customHeight="1">
      <c r="A5290" s="2" t="s">
        <v>13505</v>
      </c>
      <c r="B5290" s="2" t="s">
        <v>13506</v>
      </c>
      <c r="C5290" s="2" t="s">
        <v>17</v>
      </c>
      <c r="D5290" s="2" t="s">
        <v>27</v>
      </c>
      <c r="E5290" s="4">
        <v>-32129</v>
      </c>
      <c r="F5290" s="3" t="s">
        <v>3162</v>
      </c>
      <c r="G5290" s="3" t="s">
        <v>2313</v>
      </c>
      <c r="H5290" s="2" t="s">
        <v>21</v>
      </c>
      <c r="I5290" s="2" t="s">
        <v>13507</v>
      </c>
      <c r="J5290" s="3" t="str">
        <f>HYPERLINK("https://www.boe.es/gazeta/dias/1812/01/12/pdfs/GMD-1812-12.pdf#page=4","Abrir facsímil")</f>
        <v>Abrir facsímil</v>
      </c>
      <c r="K5290" s="3" t="s">
        <v>23</v>
      </c>
    </row>
    <row r="5291" spans="1:11" ht="42" customHeight="1">
      <c r="A5291" s="2" t="s">
        <v>13508</v>
      </c>
      <c r="B5291" s="2" t="s">
        <v>13509</v>
      </c>
      <c r="C5291" s="2" t="s">
        <v>26</v>
      </c>
      <c r="D5291" s="2" t="s">
        <v>27</v>
      </c>
      <c r="E5291" s="4">
        <v>-32065</v>
      </c>
      <c r="F5291" s="3" t="s">
        <v>259</v>
      </c>
      <c r="G5291" s="3" t="s">
        <v>20</v>
      </c>
      <c r="H5291" s="2" t="s">
        <v>21</v>
      </c>
      <c r="I5291" s="2" t="s">
        <v>13510</v>
      </c>
      <c r="J5291" s="3" t="str">
        <f>HYPERLINK("https://www.boe.es/gazeta/dias/1812/03/16/pdfs/GMD-1812-76.pdf#page=4","Abrir facsímil")</f>
        <v>Abrir facsímil</v>
      </c>
      <c r="K5291" s="3" t="s">
        <v>23</v>
      </c>
    </row>
    <row r="5292" spans="1:11" ht="42" customHeight="1">
      <c r="A5292" s="2" t="s">
        <v>13511</v>
      </c>
      <c r="B5292" s="2" t="s">
        <v>13512</v>
      </c>
      <c r="C5292" s="2" t="s">
        <v>17</v>
      </c>
      <c r="D5292" s="2" t="s">
        <v>27</v>
      </c>
      <c r="E5292" s="4">
        <v>-31824</v>
      </c>
      <c r="F5292" s="3" t="s">
        <v>3123</v>
      </c>
      <c r="G5292" s="3" t="s">
        <v>857</v>
      </c>
      <c r="H5292" s="2" t="s">
        <v>21</v>
      </c>
      <c r="I5292" s="2" t="s">
        <v>13513</v>
      </c>
      <c r="J5292" s="3" t="str">
        <f>HYPERLINK("https://www.boe.es/gazeta/dias/1812/11/12/pdfs/GRE-1812-151.pdf#page=8","Abrir facsímil")</f>
        <v>Abrir facsímil</v>
      </c>
      <c r="K5292" s="3" t="s">
        <v>23</v>
      </c>
    </row>
    <row r="5293" spans="1:11" ht="42" customHeight="1">
      <c r="A5293" s="2" t="s">
        <v>13514</v>
      </c>
      <c r="B5293" s="2" t="s">
        <v>13515</v>
      </c>
      <c r="C5293" s="2" t="s">
        <v>26</v>
      </c>
      <c r="D5293" s="2" t="s">
        <v>27</v>
      </c>
      <c r="E5293" s="4">
        <v>-32018</v>
      </c>
      <c r="F5293" s="3" t="s">
        <v>365</v>
      </c>
      <c r="G5293" s="3" t="s">
        <v>366</v>
      </c>
      <c r="H5293" s="2" t="s">
        <v>21</v>
      </c>
      <c r="I5293" s="2" t="s">
        <v>13516</v>
      </c>
      <c r="J5293" s="3" t="str">
        <f>HYPERLINK("https://www.boe.es/gazeta/dias/1812/05/02/pdfs/GRE-1812-55.pdf#page=3","Abrir facsímil")</f>
        <v>Abrir facsímil</v>
      </c>
      <c r="K5293" s="3" t="s">
        <v>23</v>
      </c>
    </row>
    <row r="5294" spans="1:11" ht="42" customHeight="1">
      <c r="A5294" s="2" t="s">
        <v>13517</v>
      </c>
      <c r="B5294" s="2" t="s">
        <v>13517</v>
      </c>
      <c r="C5294" s="2" t="s">
        <v>17</v>
      </c>
      <c r="D5294" s="2" t="s">
        <v>18</v>
      </c>
      <c r="E5294" s="4">
        <v>-32088</v>
      </c>
      <c r="F5294" s="3" t="s">
        <v>13518</v>
      </c>
      <c r="G5294" s="3" t="s">
        <v>13519</v>
      </c>
      <c r="H5294" s="2" t="s">
        <v>21</v>
      </c>
      <c r="I5294" s="2" t="s">
        <v>13520</v>
      </c>
      <c r="J5294" s="3" t="str">
        <f>HYPERLINK("https://www.boe.es/gazeta/dias/1812/02/22/pdfs/GRE-1812-24E.pdf#page=1","Abrir facsímil")</f>
        <v>Abrir facsímil</v>
      </c>
      <c r="K5294" s="3" t="s">
        <v>23</v>
      </c>
    </row>
    <row r="5295" spans="1:11" ht="42" customHeight="1">
      <c r="A5295" s="2" t="s">
        <v>13521</v>
      </c>
      <c r="B5295" s="2" t="s">
        <v>13522</v>
      </c>
      <c r="C5295" s="2" t="s">
        <v>26</v>
      </c>
      <c r="D5295" s="2" t="s">
        <v>194</v>
      </c>
      <c r="E5295" s="4">
        <v>-31988</v>
      </c>
      <c r="F5295" s="3" t="s">
        <v>1094</v>
      </c>
      <c r="G5295" s="3" t="s">
        <v>1095</v>
      </c>
      <c r="H5295" s="2" t="s">
        <v>21</v>
      </c>
      <c r="I5295" s="2" t="s">
        <v>13523</v>
      </c>
      <c r="J5295" s="3" t="str">
        <f>HYPERLINK("https://www.boe.es/gazeta/dias/1812/06/01/pdfs/GMD-1812-153.pdf#page=2","Abrir facsímil")</f>
        <v>Abrir facsímil</v>
      </c>
      <c r="K5295" s="3" t="s">
        <v>23</v>
      </c>
    </row>
    <row r="5296" spans="1:11" ht="42" customHeight="1">
      <c r="A5296" s="2" t="s">
        <v>13524</v>
      </c>
      <c r="B5296" s="2" t="s">
        <v>13525</v>
      </c>
      <c r="C5296" s="2" t="s">
        <v>49</v>
      </c>
      <c r="D5296" s="2" t="s">
        <v>27</v>
      </c>
      <c r="E5296" s="4">
        <v>-32097</v>
      </c>
      <c r="F5296" s="3" t="s">
        <v>3797</v>
      </c>
      <c r="G5296" s="3" t="s">
        <v>130</v>
      </c>
      <c r="H5296" s="2" t="s">
        <v>21</v>
      </c>
      <c r="I5296" s="2" t="s">
        <v>13526</v>
      </c>
      <c r="J5296" s="3" t="str">
        <f>HYPERLINK("https://www.boe.es/gazeta/dias/1812/02/13/pdfs/GRE-1812-19.pdf#page=4","Abrir facsímil")</f>
        <v>Abrir facsímil</v>
      </c>
      <c r="K5296" s="3" t="s">
        <v>23</v>
      </c>
    </row>
    <row r="5297" spans="1:11" ht="42" customHeight="1">
      <c r="A5297" s="2" t="s">
        <v>13527</v>
      </c>
      <c r="B5297" s="2" t="s">
        <v>13527</v>
      </c>
      <c r="C5297" s="2" t="s">
        <v>17</v>
      </c>
      <c r="D5297" s="2" t="s">
        <v>194</v>
      </c>
      <c r="E5297" s="4">
        <v>-32051</v>
      </c>
      <c r="F5297" s="3" t="s">
        <v>2534</v>
      </c>
      <c r="G5297" s="3" t="s">
        <v>125</v>
      </c>
      <c r="H5297" s="2" t="s">
        <v>21</v>
      </c>
      <c r="I5297" s="2" t="s">
        <v>13528</v>
      </c>
      <c r="J5297" s="3" t="str">
        <f>HYPERLINK("https://www.boe.es/gazeta/dias/1812/03/30/pdfs/GMD-1812-90.pdf#page=4","Abrir facsímil")</f>
        <v>Abrir facsímil</v>
      </c>
      <c r="K5297" s="3" t="s">
        <v>23</v>
      </c>
    </row>
    <row r="5298" spans="1:11" ht="42" customHeight="1">
      <c r="A5298" s="2" t="s">
        <v>13529</v>
      </c>
      <c r="B5298" s="2" t="s">
        <v>13529</v>
      </c>
      <c r="C5298" s="2" t="s">
        <v>17</v>
      </c>
      <c r="D5298" s="2" t="s">
        <v>27</v>
      </c>
      <c r="E5298" s="4">
        <v>-32051</v>
      </c>
      <c r="F5298" s="3" t="s">
        <v>2534</v>
      </c>
      <c r="G5298" s="3" t="s">
        <v>125</v>
      </c>
      <c r="H5298" s="2" t="s">
        <v>21</v>
      </c>
      <c r="I5298" s="2" t="s">
        <v>13530</v>
      </c>
      <c r="J5298" s="3" t="str">
        <f>HYPERLINK("https://www.boe.es/gazeta/dias/1812/03/30/pdfs/GMD-1812-90.pdf#page=4","Abrir facsímil")</f>
        <v>Abrir facsímil</v>
      </c>
      <c r="K5298" s="3" t="s">
        <v>23</v>
      </c>
    </row>
    <row r="5299" spans="1:11" ht="42" customHeight="1">
      <c r="A5299" s="2" t="s">
        <v>13531</v>
      </c>
      <c r="B5299" s="2" t="s">
        <v>13531</v>
      </c>
      <c r="C5299" s="2" t="s">
        <v>17</v>
      </c>
      <c r="D5299" s="2" t="s">
        <v>18</v>
      </c>
      <c r="E5299" s="4">
        <v>-32026</v>
      </c>
      <c r="F5299" s="3" t="s">
        <v>7845</v>
      </c>
      <c r="G5299" s="3" t="s">
        <v>6350</v>
      </c>
      <c r="H5299" s="2" t="s">
        <v>21</v>
      </c>
      <c r="I5299" s="2" t="s">
        <v>13532</v>
      </c>
      <c r="J5299" s="3" t="str">
        <f>HYPERLINK("https://www.boe.es/gazeta/dias/1812/04/24/pdfs/GMD-1812-115.pdf#page=2","Abrir facsímil")</f>
        <v>Abrir facsímil</v>
      </c>
      <c r="K5299" s="3" t="s">
        <v>23</v>
      </c>
    </row>
    <row r="5300" spans="1:11" ht="42" customHeight="1">
      <c r="A5300" s="2" t="s">
        <v>13533</v>
      </c>
      <c r="B5300" s="2" t="s">
        <v>13533</v>
      </c>
      <c r="C5300" s="2" t="s">
        <v>17</v>
      </c>
      <c r="D5300" s="2" t="s">
        <v>27</v>
      </c>
      <c r="E5300" s="4">
        <v>-31792</v>
      </c>
      <c r="F5300" s="3" t="s">
        <v>744</v>
      </c>
      <c r="G5300" s="3" t="s">
        <v>45</v>
      </c>
      <c r="H5300" s="2" t="s">
        <v>21</v>
      </c>
      <c r="I5300" s="2" t="s">
        <v>13534</v>
      </c>
      <c r="J5300" s="3" t="str">
        <f>HYPERLINK("https://www.boe.es/gazeta/dias/1812/12/14/pdfs/GMD-1812-237.pdf#page=3","Abrir facsímil")</f>
        <v>Abrir facsímil</v>
      </c>
      <c r="K5300" s="3" t="s">
        <v>23</v>
      </c>
    </row>
    <row r="5301" spans="1:11" ht="42" customHeight="1">
      <c r="A5301" s="2" t="s">
        <v>13535</v>
      </c>
      <c r="B5301" s="2" t="s">
        <v>13536</v>
      </c>
      <c r="C5301" s="2" t="s">
        <v>26</v>
      </c>
      <c r="D5301" s="2" t="s">
        <v>27</v>
      </c>
      <c r="E5301" s="4">
        <v>-31775</v>
      </c>
      <c r="F5301" s="3" t="s">
        <v>3760</v>
      </c>
      <c r="G5301" s="3" t="s">
        <v>404</v>
      </c>
      <c r="H5301" s="2" t="s">
        <v>21</v>
      </c>
      <c r="I5301" s="2" t="s">
        <v>13537</v>
      </c>
      <c r="J5301" s="3" t="str">
        <f>HYPERLINK("https://www.boe.es/gazeta/dias/1812/12/31/pdfs/GMD-1812-254.pdf#page=2","Abrir facsímil")</f>
        <v>Abrir facsímil</v>
      </c>
      <c r="K5301" s="3" t="s">
        <v>23</v>
      </c>
    </row>
    <row r="5302" spans="1:11" ht="42" customHeight="1">
      <c r="A5302" s="2" t="s">
        <v>13538</v>
      </c>
      <c r="B5302" s="2" t="s">
        <v>13539</v>
      </c>
      <c r="C5302" s="2" t="s">
        <v>26</v>
      </c>
      <c r="D5302" s="2" t="s">
        <v>27</v>
      </c>
      <c r="E5302" s="4">
        <v>-32034</v>
      </c>
      <c r="F5302" s="3" t="s">
        <v>28</v>
      </c>
      <c r="G5302" s="3" t="s">
        <v>45</v>
      </c>
      <c r="H5302" s="2" t="s">
        <v>21</v>
      </c>
      <c r="I5302" s="2" t="s">
        <v>13540</v>
      </c>
      <c r="J5302" s="3" t="str">
        <f>HYPERLINK("https://www.boe.es/gazeta/dias/1812/04/16/pdfs/GMD-1812-107.pdf#page=5","Abrir facsímil")</f>
        <v>Abrir facsímil</v>
      </c>
      <c r="K5302" s="3" t="s">
        <v>23</v>
      </c>
    </row>
    <row r="5303" spans="1:11" ht="42" customHeight="1">
      <c r="A5303" s="2" t="s">
        <v>13538</v>
      </c>
      <c r="B5303" s="2" t="s">
        <v>13539</v>
      </c>
      <c r="C5303" s="2" t="s">
        <v>26</v>
      </c>
      <c r="D5303" s="2" t="s">
        <v>27</v>
      </c>
      <c r="E5303" s="4">
        <v>-31901</v>
      </c>
      <c r="F5303" s="3" t="s">
        <v>590</v>
      </c>
      <c r="G5303" s="3" t="s">
        <v>742</v>
      </c>
      <c r="H5303" s="2" t="s">
        <v>21</v>
      </c>
      <c r="I5303" s="2" t="s">
        <v>13541</v>
      </c>
      <c r="J5303" s="3" t="str">
        <f>HYPERLINK("https://www.boe.es/gazeta/dias/1812/08/27/pdfs/GMR-1812-6.pdf#page=5","Abrir facsímil")</f>
        <v>Abrir facsímil</v>
      </c>
      <c r="K5303" s="3" t="s">
        <v>23</v>
      </c>
    </row>
    <row r="5304" spans="1:11" ht="42" customHeight="1">
      <c r="A5304" s="2" t="s">
        <v>13538</v>
      </c>
      <c r="B5304" s="2" t="s">
        <v>13539</v>
      </c>
      <c r="C5304" s="2" t="s">
        <v>26</v>
      </c>
      <c r="D5304" s="2" t="s">
        <v>27</v>
      </c>
      <c r="E5304" s="4">
        <v>-31901</v>
      </c>
      <c r="F5304" s="3" t="s">
        <v>590</v>
      </c>
      <c r="G5304" s="3" t="s">
        <v>674</v>
      </c>
      <c r="H5304" s="2" t="s">
        <v>21</v>
      </c>
      <c r="I5304" s="2" t="s">
        <v>13542</v>
      </c>
      <c r="J5304" s="3" t="str">
        <f>HYPERLINK("https://www.boe.es/gazeta/dias/1812/08/27/pdfs/GMR-1812-6.pdf#page=6","Abrir facsímil")</f>
        <v>Abrir facsímil</v>
      </c>
      <c r="K5304" s="3" t="s">
        <v>23</v>
      </c>
    </row>
    <row r="5305" spans="1:11" ht="42" customHeight="1">
      <c r="A5305" s="2" t="s">
        <v>13543</v>
      </c>
      <c r="B5305" s="2" t="s">
        <v>13544</v>
      </c>
      <c r="C5305" s="2" t="s">
        <v>67</v>
      </c>
      <c r="D5305" s="2" t="s">
        <v>27</v>
      </c>
      <c r="E5305" s="4">
        <v>-31857</v>
      </c>
      <c r="F5305" s="3" t="s">
        <v>2176</v>
      </c>
      <c r="G5305" s="3" t="s">
        <v>217</v>
      </c>
      <c r="H5305" s="2" t="s">
        <v>21</v>
      </c>
      <c r="I5305" s="2" t="s">
        <v>13545</v>
      </c>
      <c r="J5305" s="3" t="str">
        <f>HYPERLINK("https://www.boe.es/gazeta/dias/1812/10/10/pdfs/GMR-1812-25.pdf#page=7","Abrir facsímil")</f>
        <v>Abrir facsímil</v>
      </c>
      <c r="K5305" s="3" t="s">
        <v>23</v>
      </c>
    </row>
    <row r="5306" spans="1:11" ht="42" customHeight="1">
      <c r="A5306" s="2" t="s">
        <v>13546</v>
      </c>
      <c r="B5306" s="2" t="s">
        <v>13547</v>
      </c>
      <c r="C5306" s="2" t="s">
        <v>186</v>
      </c>
      <c r="D5306" s="2" t="s">
        <v>27</v>
      </c>
      <c r="E5306" s="4">
        <v>-32079</v>
      </c>
      <c r="F5306" s="3" t="s">
        <v>11654</v>
      </c>
      <c r="G5306" s="3" t="s">
        <v>715</v>
      </c>
      <c r="H5306" s="2" t="s">
        <v>21</v>
      </c>
      <c r="I5306" s="2" t="s">
        <v>13548</v>
      </c>
      <c r="J5306" s="3" t="str">
        <f>HYPERLINK("https://www.boe.es/gazeta/dias/1812/03/02/pdfs/GMD-1812-62.pdf#page=4","Abrir facsímil")</f>
        <v>Abrir facsímil</v>
      </c>
      <c r="K5306" s="3" t="s">
        <v>23</v>
      </c>
    </row>
    <row r="5307" spans="1:11" ht="42" customHeight="1">
      <c r="A5307" s="2" t="s">
        <v>13549</v>
      </c>
      <c r="B5307" s="2" t="s">
        <v>13550</v>
      </c>
      <c r="C5307" s="2" t="s">
        <v>17</v>
      </c>
      <c r="D5307" s="2" t="s">
        <v>18</v>
      </c>
      <c r="E5307" s="4">
        <v>-32031</v>
      </c>
      <c r="F5307" s="3" t="s">
        <v>1343</v>
      </c>
      <c r="G5307" s="3" t="s">
        <v>36</v>
      </c>
      <c r="H5307" s="2" t="s">
        <v>21</v>
      </c>
      <c r="I5307" s="2" t="s">
        <v>13551</v>
      </c>
      <c r="J5307" s="3" t="str">
        <f>HYPERLINK("https://www.boe.es/gazeta/dias/1812/04/19/pdfs/GMD-1812-110.pdf#page=3","Abrir facsímil")</f>
        <v>Abrir facsímil</v>
      </c>
      <c r="K5307" s="3" t="s">
        <v>23</v>
      </c>
    </row>
    <row r="5308" spans="1:11" ht="42" customHeight="1">
      <c r="A5308" s="2" t="s">
        <v>13552</v>
      </c>
      <c r="B5308" s="2" t="s">
        <v>13553</v>
      </c>
      <c r="C5308" s="2" t="s">
        <v>115</v>
      </c>
      <c r="D5308" s="2" t="s">
        <v>27</v>
      </c>
      <c r="E5308" s="4">
        <v>-31963</v>
      </c>
      <c r="F5308" s="3" t="s">
        <v>171</v>
      </c>
      <c r="G5308" s="3" t="s">
        <v>172</v>
      </c>
      <c r="H5308" s="2" t="s">
        <v>21</v>
      </c>
      <c r="I5308" s="2" t="s">
        <v>13554</v>
      </c>
      <c r="J5308" s="3" t="str">
        <f>HYPERLINK("https://www.boe.es/gazeta/dias/1812/06/26/pdfs/GMD-1812-178.pdf#page=3","Abrir facsímil")</f>
        <v>Abrir facsímil</v>
      </c>
      <c r="K5308" s="3" t="s">
        <v>23</v>
      </c>
    </row>
    <row r="5309" spans="1:11" ht="42" customHeight="1">
      <c r="A5309" s="2" t="s">
        <v>13555</v>
      </c>
      <c r="B5309" s="2" t="s">
        <v>13556</v>
      </c>
      <c r="C5309" s="2" t="s">
        <v>49</v>
      </c>
      <c r="D5309" s="2" t="s">
        <v>27</v>
      </c>
      <c r="E5309" s="4">
        <v>-32053</v>
      </c>
      <c r="F5309" s="3" t="s">
        <v>2877</v>
      </c>
      <c r="G5309" s="3" t="s">
        <v>965</v>
      </c>
      <c r="H5309" s="2" t="s">
        <v>21</v>
      </c>
      <c r="I5309" s="2" t="s">
        <v>13557</v>
      </c>
      <c r="J5309" s="3" t="str">
        <f>HYPERLINK("https://www.boe.es/gazeta/dias/1812/03/28/pdfs/GMD-1812-88.pdf#page=4","Abrir facsímil")</f>
        <v>Abrir facsímil</v>
      </c>
      <c r="K5309" s="3" t="s">
        <v>23</v>
      </c>
    </row>
    <row r="5310" spans="1:11" ht="42" customHeight="1">
      <c r="A5310" s="2" t="s">
        <v>13558</v>
      </c>
      <c r="B5310" s="2" t="s">
        <v>13558</v>
      </c>
      <c r="C5310" s="2" t="s">
        <v>17</v>
      </c>
      <c r="D5310" s="2" t="s">
        <v>27</v>
      </c>
      <c r="E5310" s="4">
        <v>-32074</v>
      </c>
      <c r="F5310" s="3" t="s">
        <v>816</v>
      </c>
      <c r="G5310" s="3" t="s">
        <v>196</v>
      </c>
      <c r="H5310" s="2" t="s">
        <v>21</v>
      </c>
      <c r="I5310" s="2" t="s">
        <v>13559</v>
      </c>
      <c r="J5310" s="3" t="str">
        <f>HYPERLINK("https://www.boe.es/gazeta/dias/1812/03/07/pdfs/GRE-1812-30.pdf#page=1","Abrir facsímil")</f>
        <v>Abrir facsímil</v>
      </c>
      <c r="K5310" s="3" t="s">
        <v>23</v>
      </c>
    </row>
    <row r="5311" spans="1:11" ht="42" customHeight="1">
      <c r="A5311" s="2" t="s">
        <v>13560</v>
      </c>
      <c r="B5311" s="2" t="s">
        <v>13560</v>
      </c>
      <c r="C5311" s="2" t="s">
        <v>17</v>
      </c>
      <c r="D5311" s="2" t="s">
        <v>18</v>
      </c>
      <c r="E5311" s="4">
        <v>-32022</v>
      </c>
      <c r="F5311" s="3" t="s">
        <v>1554</v>
      </c>
      <c r="G5311" s="3" t="s">
        <v>217</v>
      </c>
      <c r="H5311" s="2" t="s">
        <v>21</v>
      </c>
      <c r="I5311" s="2" t="s">
        <v>13561</v>
      </c>
      <c r="J5311" s="3" t="str">
        <f>HYPERLINK("https://www.boe.es/gazeta/dias/1812/04/28/pdfs/GMD-1812-119.pdf#page=1","Abrir facsímil")</f>
        <v>Abrir facsímil</v>
      </c>
      <c r="K5311" s="3" t="s">
        <v>23</v>
      </c>
    </row>
    <row r="5312" spans="1:11" ht="42" customHeight="1">
      <c r="A5312" s="2" t="s">
        <v>13562</v>
      </c>
      <c r="B5312" s="2" t="s">
        <v>13563</v>
      </c>
      <c r="C5312" s="2" t="s">
        <v>26</v>
      </c>
      <c r="D5312" s="2" t="s">
        <v>27</v>
      </c>
      <c r="E5312" s="4">
        <v>-32022</v>
      </c>
      <c r="F5312" s="3" t="s">
        <v>1186</v>
      </c>
      <c r="G5312" s="3" t="s">
        <v>336</v>
      </c>
      <c r="H5312" s="2" t="s">
        <v>21</v>
      </c>
      <c r="I5312" s="2" t="s">
        <v>13564</v>
      </c>
      <c r="J5312" s="3" t="str">
        <f>HYPERLINK("https://www.boe.es/gazeta/dias/1812/04/28/pdfs/GRE-1812-53.pdf#page=8","Abrir facsímil")</f>
        <v>Abrir facsímil</v>
      </c>
      <c r="K5312" s="3" t="s">
        <v>23</v>
      </c>
    </row>
    <row r="5313" spans="1:11" ht="42" customHeight="1">
      <c r="A5313" s="2" t="s">
        <v>13565</v>
      </c>
      <c r="B5313" s="2" t="s">
        <v>13565</v>
      </c>
      <c r="C5313" s="2" t="s">
        <v>49</v>
      </c>
      <c r="D5313" s="2" t="s">
        <v>194</v>
      </c>
      <c r="E5313" s="4">
        <v>-31915</v>
      </c>
      <c r="F5313" s="3" t="s">
        <v>1592</v>
      </c>
      <c r="G5313" s="3" t="s">
        <v>13566</v>
      </c>
      <c r="H5313" s="2" t="s">
        <v>21</v>
      </c>
      <c r="I5313" s="2" t="s">
        <v>13567</v>
      </c>
      <c r="J5313" s="3" t="str">
        <f>HYPERLINK("https://www.boe.es/gazeta/dias/1812/08/13/pdfs/GRE-1812-104.pdf#page=3","Abrir facsímil")</f>
        <v>Abrir facsímil</v>
      </c>
      <c r="K5313" s="3" t="s">
        <v>23</v>
      </c>
    </row>
    <row r="5314" spans="1:11" ht="42" customHeight="1">
      <c r="A5314" s="2" t="s">
        <v>13565</v>
      </c>
      <c r="B5314" s="2" t="s">
        <v>13565</v>
      </c>
      <c r="C5314" s="2" t="s">
        <v>105</v>
      </c>
      <c r="D5314" s="2" t="s">
        <v>194</v>
      </c>
      <c r="E5314" s="4">
        <v>-31832</v>
      </c>
      <c r="F5314" s="3" t="s">
        <v>732</v>
      </c>
      <c r="G5314" s="3" t="s">
        <v>13568</v>
      </c>
      <c r="H5314" s="2" t="s">
        <v>21</v>
      </c>
      <c r="I5314" s="2" t="s">
        <v>13569</v>
      </c>
      <c r="J5314" s="3" t="str">
        <f>HYPERLINK("https://www.boe.es/gazeta/dias/1812/11/04/pdfs/GMD-1812-224.pdf#page=2","Abrir facsímil")</f>
        <v>Abrir facsímil</v>
      </c>
      <c r="K5314" s="3" t="s">
        <v>23</v>
      </c>
    </row>
    <row r="5315" spans="1:11" ht="42" customHeight="1">
      <c r="A5315" s="2" t="s">
        <v>13565</v>
      </c>
      <c r="B5315" s="2" t="s">
        <v>13565</v>
      </c>
      <c r="C5315" s="2" t="s">
        <v>17</v>
      </c>
      <c r="D5315" s="2" t="s">
        <v>18</v>
      </c>
      <c r="E5315" s="4">
        <v>-31831</v>
      </c>
      <c r="F5315" s="3" t="s">
        <v>11847</v>
      </c>
      <c r="G5315" s="3" t="s">
        <v>101</v>
      </c>
      <c r="H5315" s="2" t="s">
        <v>21</v>
      </c>
      <c r="I5315" s="2" t="s">
        <v>13570</v>
      </c>
      <c r="J5315" s="3" t="str">
        <f>HYPERLINK("https://www.boe.es/gazeta/dias/1812/11/05/pdfs/GMD-1812-225.pdf#page=1","Abrir facsímil")</f>
        <v>Abrir facsímil</v>
      </c>
      <c r="K5315" s="3" t="s">
        <v>23</v>
      </c>
    </row>
    <row r="5316" spans="1:11" ht="42" customHeight="1">
      <c r="A5316" s="2" t="s">
        <v>13571</v>
      </c>
      <c r="B5316" s="2" t="s">
        <v>13572</v>
      </c>
      <c r="C5316" s="2" t="s">
        <v>26</v>
      </c>
      <c r="D5316" s="2" t="s">
        <v>27</v>
      </c>
      <c r="E5316" s="4">
        <v>-31950</v>
      </c>
      <c r="F5316" s="3" t="s">
        <v>1024</v>
      </c>
      <c r="G5316" s="3" t="s">
        <v>1740</v>
      </c>
      <c r="H5316" s="2" t="s">
        <v>21</v>
      </c>
      <c r="I5316" s="2" t="s">
        <v>13573</v>
      </c>
      <c r="J5316" s="3" t="str">
        <f>HYPERLINK("https://www.boe.es/gazeta/dias/1812/07/09/pdfs/GRE-1812-84.pdf#page=4","Abrir facsímil")</f>
        <v>Abrir facsímil</v>
      </c>
      <c r="K5316" s="3" t="s">
        <v>23</v>
      </c>
    </row>
    <row r="5317" spans="1:11" ht="42" customHeight="1">
      <c r="A5317" s="2" t="s">
        <v>13574</v>
      </c>
      <c r="B5317" s="2" t="s">
        <v>13575</v>
      </c>
      <c r="C5317" s="2" t="s">
        <v>17</v>
      </c>
      <c r="D5317" s="2" t="s">
        <v>18</v>
      </c>
      <c r="E5317" s="4">
        <v>-32118</v>
      </c>
      <c r="F5317" s="3" t="s">
        <v>1420</v>
      </c>
      <c r="G5317" s="3" t="s">
        <v>2433</v>
      </c>
      <c r="H5317" s="2" t="s">
        <v>21</v>
      </c>
      <c r="I5317" s="2" t="s">
        <v>13576</v>
      </c>
      <c r="J5317" s="3" t="str">
        <f>HYPERLINK("https://www.boe.es/gazeta/dias/1812/01/23/pdfs/GEI-1812-10.pdf#page=2","Abrir facsímil")</f>
        <v>Abrir facsímil</v>
      </c>
      <c r="K5317" s="3" t="s">
        <v>23</v>
      </c>
    </row>
    <row r="5318" spans="1:11" ht="42" customHeight="1">
      <c r="A5318" s="2" t="s">
        <v>13577</v>
      </c>
      <c r="B5318" s="2" t="s">
        <v>13578</v>
      </c>
      <c r="C5318" s="2" t="s">
        <v>26</v>
      </c>
      <c r="D5318" s="2" t="s">
        <v>27</v>
      </c>
      <c r="E5318" s="4">
        <v>-32018</v>
      </c>
      <c r="F5318" s="3" t="s">
        <v>365</v>
      </c>
      <c r="G5318" s="3" t="s">
        <v>366</v>
      </c>
      <c r="H5318" s="2" t="s">
        <v>21</v>
      </c>
      <c r="I5318" s="2" t="s">
        <v>13579</v>
      </c>
      <c r="J5318" s="3" t="str">
        <f>HYPERLINK("https://www.boe.es/gazeta/dias/1812/05/02/pdfs/GRE-1812-55.pdf#page=3","Abrir facsímil")</f>
        <v>Abrir facsímil</v>
      </c>
      <c r="K5318" s="3" t="s">
        <v>23</v>
      </c>
    </row>
    <row r="5319" spans="1:11" ht="42" customHeight="1">
      <c r="A5319" s="2" t="s">
        <v>13580</v>
      </c>
      <c r="B5319" s="2" t="s">
        <v>13581</v>
      </c>
      <c r="C5319" s="2" t="s">
        <v>26</v>
      </c>
      <c r="D5319" s="2" t="s">
        <v>27</v>
      </c>
      <c r="E5319" s="4">
        <v>-32125</v>
      </c>
      <c r="F5319" s="3" t="s">
        <v>964</v>
      </c>
      <c r="G5319" s="3" t="s">
        <v>1842</v>
      </c>
      <c r="H5319" s="2" t="s">
        <v>21</v>
      </c>
      <c r="I5319" s="2" t="s">
        <v>13582</v>
      </c>
      <c r="J5319" s="3" t="str">
        <f>HYPERLINK("https://www.boe.es/gazeta/dias/1812/01/16/pdfs/GEI-H-1812-7.pdf#page=4","Abrir facsímil")</f>
        <v>Abrir facsímil</v>
      </c>
      <c r="K5319" s="3" t="s">
        <v>23</v>
      </c>
    </row>
    <row r="5320" spans="1:11" ht="42" customHeight="1">
      <c r="A5320" s="2" t="s">
        <v>13583</v>
      </c>
      <c r="B5320" s="2" t="s">
        <v>13584</v>
      </c>
      <c r="C5320" s="2" t="s">
        <v>17</v>
      </c>
      <c r="D5320" s="2" t="s">
        <v>18</v>
      </c>
      <c r="E5320" s="4">
        <v>-31982</v>
      </c>
      <c r="F5320" s="3" t="s">
        <v>1630</v>
      </c>
      <c r="G5320" s="3" t="s">
        <v>1631</v>
      </c>
      <c r="H5320" s="2" t="s">
        <v>21</v>
      </c>
      <c r="I5320" s="2" t="s">
        <v>13585</v>
      </c>
      <c r="J5320" s="3" t="str">
        <f>HYPERLINK("https://www.boe.es/gazeta/dias/1812/06/07/pdfs/GMD-1812-159.pdf#page=4","Abrir facsímil")</f>
        <v>Abrir facsímil</v>
      </c>
      <c r="K5320" s="3" t="s">
        <v>23</v>
      </c>
    </row>
    <row r="5321" spans="1:11" ht="42" customHeight="1">
      <c r="A5321" s="2" t="s">
        <v>13586</v>
      </c>
      <c r="B5321" s="2" t="s">
        <v>13586</v>
      </c>
      <c r="C5321" s="2" t="s">
        <v>186</v>
      </c>
      <c r="D5321" s="2" t="s">
        <v>27</v>
      </c>
      <c r="E5321" s="4">
        <v>-32116</v>
      </c>
      <c r="F5321" s="3" t="s">
        <v>993</v>
      </c>
      <c r="G5321" s="3" t="s">
        <v>13587</v>
      </c>
      <c r="H5321" s="2" t="s">
        <v>21</v>
      </c>
      <c r="I5321" s="2" t="s">
        <v>13588</v>
      </c>
      <c r="J5321" s="3" t="str">
        <f>HYPERLINK("https://www.boe.es/gazeta/dias/1812/01/25/pdfs/GEI-1812-11.pdf#page=6","Abrir facsímil")</f>
        <v>Abrir facsímil</v>
      </c>
      <c r="K5321" s="3" t="s">
        <v>23</v>
      </c>
    </row>
    <row r="5322" spans="1:11" ht="42" customHeight="1">
      <c r="A5322" s="2" t="s">
        <v>13586</v>
      </c>
      <c r="B5322" s="2" t="s">
        <v>13586</v>
      </c>
      <c r="C5322" s="2" t="s">
        <v>26</v>
      </c>
      <c r="D5322" s="2" t="s">
        <v>27</v>
      </c>
      <c r="E5322" s="4">
        <v>-32068</v>
      </c>
      <c r="F5322" s="3" t="s">
        <v>2608</v>
      </c>
      <c r="G5322" s="3" t="s">
        <v>130</v>
      </c>
      <c r="H5322" s="2" t="s">
        <v>21</v>
      </c>
      <c r="I5322" s="2" t="s">
        <v>13589</v>
      </c>
      <c r="J5322" s="3" t="str">
        <f>HYPERLINK("https://www.boe.es/gazeta/dias/1812/03/13/pdfs/GMD-1812-73.pdf#page=4","Abrir facsímil")</f>
        <v>Abrir facsímil</v>
      </c>
      <c r="K5322" s="3" t="s">
        <v>23</v>
      </c>
    </row>
    <row r="5323" spans="1:11" ht="42" customHeight="1">
      <c r="A5323" s="2" t="s">
        <v>13586</v>
      </c>
      <c r="B5323" s="2" t="s">
        <v>13586</v>
      </c>
      <c r="C5323" s="2" t="s">
        <v>26</v>
      </c>
      <c r="D5323" s="2" t="s">
        <v>27</v>
      </c>
      <c r="E5323" s="4">
        <v>-31922</v>
      </c>
      <c r="F5323" s="3" t="s">
        <v>622</v>
      </c>
      <c r="G5323" s="3" t="s">
        <v>623</v>
      </c>
      <c r="H5323" s="2" t="s">
        <v>21</v>
      </c>
      <c r="I5323" s="2" t="s">
        <v>13590</v>
      </c>
      <c r="J5323" s="3" t="str">
        <f>HYPERLINK("https://www.boe.es/gazeta/dias/1812/08/06/pdfs/GMD-1812-219.pdf#page=1","Abrir facsímil")</f>
        <v>Abrir facsímil</v>
      </c>
      <c r="K5323" s="3" t="s">
        <v>23</v>
      </c>
    </row>
    <row r="5324" spans="1:11" ht="42" customHeight="1">
      <c r="A5324" s="2" t="s">
        <v>13586</v>
      </c>
      <c r="B5324" s="2" t="s">
        <v>13586</v>
      </c>
      <c r="C5324" s="2" t="s">
        <v>26</v>
      </c>
      <c r="D5324" s="2" t="s">
        <v>27</v>
      </c>
      <c r="E5324" s="4">
        <v>-31857</v>
      </c>
      <c r="F5324" s="3" t="s">
        <v>1000</v>
      </c>
      <c r="G5324" s="3" t="s">
        <v>1001</v>
      </c>
      <c r="H5324" s="2" t="s">
        <v>21</v>
      </c>
      <c r="I5324" s="2" t="s">
        <v>13591</v>
      </c>
      <c r="J5324" s="3" t="str">
        <f>HYPERLINK("https://www.boe.es/gazeta/dias/1812/10/10/pdfs/GRE-1812-137.pdf#page=7","Abrir facsímil")</f>
        <v>Abrir facsímil</v>
      </c>
      <c r="K5324" s="3" t="s">
        <v>23</v>
      </c>
    </row>
    <row r="5325" spans="1:11" ht="42" customHeight="1">
      <c r="A5325" s="2" t="s">
        <v>13592</v>
      </c>
      <c r="B5325" s="2" t="s">
        <v>13593</v>
      </c>
      <c r="C5325" s="2" t="s">
        <v>26</v>
      </c>
      <c r="D5325" s="2" t="s">
        <v>27</v>
      </c>
      <c r="E5325" s="4">
        <v>-32018</v>
      </c>
      <c r="F5325" s="3" t="s">
        <v>365</v>
      </c>
      <c r="G5325" s="3" t="s">
        <v>366</v>
      </c>
      <c r="H5325" s="2" t="s">
        <v>21</v>
      </c>
      <c r="I5325" s="2" t="s">
        <v>13594</v>
      </c>
      <c r="J5325" s="3" t="str">
        <f>HYPERLINK("https://www.boe.es/gazeta/dias/1812/05/02/pdfs/GRE-1812-55.pdf#page=3","Abrir facsímil")</f>
        <v>Abrir facsímil</v>
      </c>
      <c r="K5325" s="3" t="s">
        <v>23</v>
      </c>
    </row>
    <row r="5326" spans="1:11" ht="42" customHeight="1">
      <c r="A5326" s="2" t="s">
        <v>13595</v>
      </c>
      <c r="B5326" s="2" t="s">
        <v>13596</v>
      </c>
      <c r="C5326" s="2" t="s">
        <v>49</v>
      </c>
      <c r="D5326" s="2" t="s">
        <v>27</v>
      </c>
      <c r="E5326" s="4">
        <v>-32039</v>
      </c>
      <c r="F5326" s="3" t="s">
        <v>557</v>
      </c>
      <c r="G5326" s="3" t="s">
        <v>20</v>
      </c>
      <c r="H5326" s="2" t="s">
        <v>21</v>
      </c>
      <c r="I5326" s="2" t="s">
        <v>13597</v>
      </c>
      <c r="J5326" s="3" t="str">
        <f>HYPERLINK("https://www.boe.es/gazeta/dias/1812/04/11/pdfs/GMD-1812-102.pdf#page=4","Abrir facsímil")</f>
        <v>Abrir facsímil</v>
      </c>
      <c r="K5326" s="3" t="s">
        <v>23</v>
      </c>
    </row>
    <row r="5327" spans="1:11" ht="42" customHeight="1">
      <c r="A5327" s="2" t="s">
        <v>13598</v>
      </c>
      <c r="B5327" s="2" t="s">
        <v>13599</v>
      </c>
      <c r="C5327" s="2" t="s">
        <v>26</v>
      </c>
      <c r="D5327" s="2" t="s">
        <v>27</v>
      </c>
      <c r="E5327" s="4">
        <v>-32022</v>
      </c>
      <c r="F5327" s="3" t="s">
        <v>1186</v>
      </c>
      <c r="G5327" s="3" t="s">
        <v>336</v>
      </c>
      <c r="H5327" s="2" t="s">
        <v>21</v>
      </c>
      <c r="I5327" s="2" t="s">
        <v>13600</v>
      </c>
      <c r="J5327" s="3" t="str">
        <f>HYPERLINK("https://www.boe.es/gazeta/dias/1812/04/28/pdfs/GRE-1812-53.pdf#page=8","Abrir facsímil")</f>
        <v>Abrir facsímil</v>
      </c>
      <c r="K5327" s="3" t="s">
        <v>23</v>
      </c>
    </row>
    <row r="5328" spans="1:11" ht="42" customHeight="1">
      <c r="A5328" s="2" t="s">
        <v>13598</v>
      </c>
      <c r="B5328" s="2" t="s">
        <v>13599</v>
      </c>
      <c r="C5328" s="2" t="s">
        <v>186</v>
      </c>
      <c r="D5328" s="2" t="s">
        <v>275</v>
      </c>
      <c r="E5328" s="4">
        <v>-31952</v>
      </c>
      <c r="F5328" s="3" t="s">
        <v>210</v>
      </c>
      <c r="G5328" s="3" t="s">
        <v>404</v>
      </c>
      <c r="H5328" s="2" t="s">
        <v>21</v>
      </c>
      <c r="I5328" s="2" t="s">
        <v>13601</v>
      </c>
      <c r="J5328" s="3" t="str">
        <f>HYPERLINK("https://www.boe.es/gazeta/dias/1812/07/07/pdfs/GRE-1812-83.pdf#page=8","Abrir facsímil")</f>
        <v>Abrir facsímil</v>
      </c>
      <c r="K5328" s="3" t="s">
        <v>23</v>
      </c>
    </row>
    <row r="5329" spans="1:11" ht="42" customHeight="1">
      <c r="A5329" s="2" t="s">
        <v>13598</v>
      </c>
      <c r="B5329" s="2" t="s">
        <v>13599</v>
      </c>
      <c r="C5329" s="2" t="s">
        <v>49</v>
      </c>
      <c r="D5329" s="2" t="s">
        <v>27</v>
      </c>
      <c r="E5329" s="4">
        <v>-31843</v>
      </c>
      <c r="F5329" s="3" t="s">
        <v>6436</v>
      </c>
      <c r="G5329" s="3" t="s">
        <v>6439</v>
      </c>
      <c r="H5329" s="2" t="s">
        <v>21</v>
      </c>
      <c r="I5329" s="2" t="s">
        <v>13602</v>
      </c>
      <c r="J5329" s="3" t="str">
        <f>HYPERLINK("https://www.boe.es/gazeta/dias/1812/10/24/pdfs/GRE-1812-143.pdf#page=8","Abrir facsímil")</f>
        <v>Abrir facsímil</v>
      </c>
      <c r="K5329" s="3" t="s">
        <v>23</v>
      </c>
    </row>
    <row r="5330" spans="1:11" ht="42" customHeight="1">
      <c r="A5330" s="2" t="s">
        <v>13603</v>
      </c>
      <c r="B5330" s="2" t="s">
        <v>13604</v>
      </c>
      <c r="C5330" s="2" t="s">
        <v>26</v>
      </c>
      <c r="D5330" s="2" t="s">
        <v>27</v>
      </c>
      <c r="E5330" s="4">
        <v>-32130</v>
      </c>
      <c r="F5330" s="3" t="s">
        <v>927</v>
      </c>
      <c r="G5330" s="3" t="s">
        <v>130</v>
      </c>
      <c r="H5330" s="2" t="s">
        <v>21</v>
      </c>
      <c r="I5330" s="2" t="s">
        <v>13605</v>
      </c>
      <c r="J5330" s="3" t="str">
        <f>HYPERLINK("https://www.boe.es/gazeta/dias/1812/01/11/pdfs/GMD-1812-11.pdf#page=4","Abrir facsímil")</f>
        <v>Abrir facsímil</v>
      </c>
      <c r="K5330" s="3" t="s">
        <v>23</v>
      </c>
    </row>
    <row r="5331" spans="1:11" ht="42" customHeight="1">
      <c r="A5331" s="2" t="s">
        <v>13606</v>
      </c>
      <c r="B5331" s="2" t="s">
        <v>13607</v>
      </c>
      <c r="C5331" s="2" t="s">
        <v>17</v>
      </c>
      <c r="D5331" s="2" t="s">
        <v>18</v>
      </c>
      <c r="E5331" s="4">
        <v>-32063</v>
      </c>
      <c r="F5331" s="3" t="s">
        <v>384</v>
      </c>
      <c r="G5331" s="3" t="s">
        <v>20</v>
      </c>
      <c r="H5331" s="2" t="s">
        <v>21</v>
      </c>
      <c r="I5331" s="2" t="s">
        <v>13608</v>
      </c>
      <c r="J5331" s="3" t="str">
        <f>HYPERLINK("https://www.boe.es/gazeta/dias/1812/03/18/pdfs/GMD-1812-78.pdf#page=4","Abrir facsímil")</f>
        <v>Abrir facsímil</v>
      </c>
      <c r="K5331" s="3" t="s">
        <v>23</v>
      </c>
    </row>
    <row r="5332" spans="1:11" ht="42" customHeight="1">
      <c r="A5332" s="2" t="s">
        <v>13606</v>
      </c>
      <c r="B5332" s="2" t="s">
        <v>13607</v>
      </c>
      <c r="C5332" s="2" t="s">
        <v>26</v>
      </c>
      <c r="D5332" s="2" t="s">
        <v>27</v>
      </c>
      <c r="E5332" s="4">
        <v>-32034</v>
      </c>
      <c r="F5332" s="3" t="s">
        <v>28</v>
      </c>
      <c r="G5332" s="3" t="s">
        <v>794</v>
      </c>
      <c r="H5332" s="2" t="s">
        <v>21</v>
      </c>
      <c r="I5332" s="2" t="s">
        <v>13609</v>
      </c>
      <c r="J5332" s="3" t="str">
        <f>HYPERLINK("https://www.boe.es/gazeta/dias/1812/04/16/pdfs/GMD-1812-107.pdf#page=7","Abrir facsímil")</f>
        <v>Abrir facsímil</v>
      </c>
      <c r="K5332" s="3" t="s">
        <v>23</v>
      </c>
    </row>
    <row r="5333" spans="1:11" ht="42" customHeight="1">
      <c r="A5333" s="2" t="s">
        <v>13606</v>
      </c>
      <c r="B5333" s="2" t="s">
        <v>13607</v>
      </c>
      <c r="C5333" s="2" t="s">
        <v>186</v>
      </c>
      <c r="D5333" s="2" t="s">
        <v>27</v>
      </c>
      <c r="E5333" s="4">
        <v>-32004</v>
      </c>
      <c r="F5333" s="3" t="s">
        <v>5305</v>
      </c>
      <c r="G5333" s="3" t="s">
        <v>140</v>
      </c>
      <c r="H5333" s="2" t="s">
        <v>21</v>
      </c>
      <c r="I5333" s="2" t="s">
        <v>13610</v>
      </c>
      <c r="J5333" s="3" t="str">
        <f>HYPERLINK("https://www.boe.es/gazeta/dias/1812/05/16/pdfs/GMD-1812-137.pdf#page=2","Abrir facsímil")</f>
        <v>Abrir facsímil</v>
      </c>
      <c r="K5333" s="3" t="s">
        <v>23</v>
      </c>
    </row>
    <row r="5334" spans="1:11" ht="42" customHeight="1">
      <c r="A5334" s="2" t="s">
        <v>13611</v>
      </c>
      <c r="B5334" s="2" t="s">
        <v>13612</v>
      </c>
      <c r="C5334" s="2" t="s">
        <v>49</v>
      </c>
      <c r="D5334" s="2" t="s">
        <v>27</v>
      </c>
      <c r="E5334" s="4">
        <v>-31824</v>
      </c>
      <c r="F5334" s="3" t="s">
        <v>3123</v>
      </c>
      <c r="G5334" s="3" t="s">
        <v>857</v>
      </c>
      <c r="H5334" s="2" t="s">
        <v>21</v>
      </c>
      <c r="I5334" s="2" t="s">
        <v>13613</v>
      </c>
      <c r="J5334" s="3" t="str">
        <f>HYPERLINK("https://www.boe.es/gazeta/dias/1812/11/12/pdfs/GRE-1812-151.pdf#page=8","Abrir facsímil")</f>
        <v>Abrir facsímil</v>
      </c>
      <c r="K5334" s="3" t="s">
        <v>23</v>
      </c>
    </row>
    <row r="5335" spans="1:11" ht="42" customHeight="1">
      <c r="A5335" s="2" t="s">
        <v>13614</v>
      </c>
      <c r="B5335" s="2" t="s">
        <v>13614</v>
      </c>
      <c r="C5335" s="2" t="s">
        <v>17</v>
      </c>
      <c r="D5335" s="2" t="s">
        <v>27</v>
      </c>
      <c r="E5335" s="4">
        <v>-32134</v>
      </c>
      <c r="F5335" s="3" t="s">
        <v>50</v>
      </c>
      <c r="G5335" s="3" t="s">
        <v>4086</v>
      </c>
      <c r="H5335" s="2" t="s">
        <v>21</v>
      </c>
      <c r="I5335" s="2" t="s">
        <v>13615</v>
      </c>
      <c r="J5335" s="3" t="str">
        <f>HYPERLINK("https://www.boe.es/gazeta/dias/1812/01/07/pdfs/GEI-1812-3.pdf#page=1","Abrir facsímil")</f>
        <v>Abrir facsímil</v>
      </c>
      <c r="K5335" s="3" t="s">
        <v>23</v>
      </c>
    </row>
    <row r="5336" spans="1:11" ht="42" customHeight="1">
      <c r="A5336" s="2" t="s">
        <v>13614</v>
      </c>
      <c r="B5336" s="2" t="s">
        <v>13614</v>
      </c>
      <c r="C5336" s="2" t="s">
        <v>17</v>
      </c>
      <c r="D5336" s="2" t="s">
        <v>18</v>
      </c>
      <c r="E5336" s="4">
        <v>-32077</v>
      </c>
      <c r="F5336" s="3" t="s">
        <v>639</v>
      </c>
      <c r="G5336" s="3" t="s">
        <v>237</v>
      </c>
      <c r="H5336" s="2" t="s">
        <v>21</v>
      </c>
      <c r="I5336" s="2" t="s">
        <v>13616</v>
      </c>
      <c r="J5336" s="3" t="str">
        <f>HYPERLINK("https://www.boe.es/gazeta/dias/1812/03/04/pdfs/GMD-1812-64.pdf#page=4","Abrir facsímil")</f>
        <v>Abrir facsímil</v>
      </c>
      <c r="K5336" s="3" t="s">
        <v>23</v>
      </c>
    </row>
    <row r="5337" spans="1:11" ht="42" customHeight="1">
      <c r="A5337" s="2" t="s">
        <v>13614</v>
      </c>
      <c r="B5337" s="2" t="s">
        <v>13614</v>
      </c>
      <c r="C5337" s="2" t="s">
        <v>26</v>
      </c>
      <c r="D5337" s="2" t="s">
        <v>27</v>
      </c>
      <c r="E5337" s="4">
        <v>-31964</v>
      </c>
      <c r="F5337" s="3" t="s">
        <v>305</v>
      </c>
      <c r="G5337" s="3" t="s">
        <v>58</v>
      </c>
      <c r="H5337" s="2" t="s">
        <v>21</v>
      </c>
      <c r="I5337" s="2" t="s">
        <v>13617</v>
      </c>
      <c r="J5337" s="3" t="str">
        <f>HYPERLINK("https://www.boe.es/gazeta/dias/1812/06/25/pdfs/GMD-1812-177.pdf#page=2","Abrir facsímil")</f>
        <v>Abrir facsímil</v>
      </c>
      <c r="K5337" s="3" t="s">
        <v>23</v>
      </c>
    </row>
    <row r="5338" spans="1:11" ht="42" customHeight="1">
      <c r="A5338" s="2" t="s">
        <v>13614</v>
      </c>
      <c r="B5338" s="2" t="s">
        <v>13614</v>
      </c>
      <c r="C5338" s="2" t="s">
        <v>26</v>
      </c>
      <c r="D5338" s="2" t="s">
        <v>27</v>
      </c>
      <c r="E5338" s="4">
        <v>-31937</v>
      </c>
      <c r="F5338" s="3" t="s">
        <v>1198</v>
      </c>
      <c r="G5338" s="3" t="s">
        <v>140</v>
      </c>
      <c r="H5338" s="2" t="s">
        <v>21</v>
      </c>
      <c r="I5338" s="2" t="s">
        <v>13618</v>
      </c>
      <c r="J5338" s="3" t="str">
        <f>HYPERLINK("https://www.boe.es/gazeta/dias/1812/07/22/pdfs/GMD-1812-204.pdf#page=2","Abrir facsímil")</f>
        <v>Abrir facsímil</v>
      </c>
      <c r="K5338" s="3" t="s">
        <v>23</v>
      </c>
    </row>
    <row r="5339" spans="1:11" ht="42" customHeight="1">
      <c r="A5339" s="2" t="s">
        <v>13619</v>
      </c>
      <c r="B5339" s="2" t="s">
        <v>13620</v>
      </c>
      <c r="C5339" s="2" t="s">
        <v>17</v>
      </c>
      <c r="D5339" s="2" t="s">
        <v>27</v>
      </c>
      <c r="E5339" s="4">
        <v>-31822</v>
      </c>
      <c r="F5339" s="3" t="s">
        <v>541</v>
      </c>
      <c r="G5339" s="3" t="s">
        <v>3583</v>
      </c>
      <c r="H5339" s="2" t="s">
        <v>21</v>
      </c>
      <c r="I5339" s="2" t="s">
        <v>13621</v>
      </c>
      <c r="J5339" s="3" t="str">
        <f>HYPERLINK("https://www.boe.es/gazeta/dias/1812/11/14/pdfs/GRE-1812-152.pdf#page=6","Abrir facsímil")</f>
        <v>Abrir facsímil</v>
      </c>
      <c r="K5339" s="3" t="s">
        <v>23</v>
      </c>
    </row>
    <row r="5340" spans="1:11" ht="42" customHeight="1">
      <c r="A5340" s="2" t="s">
        <v>13622</v>
      </c>
      <c r="B5340" s="2" t="s">
        <v>13623</v>
      </c>
      <c r="C5340" s="2" t="s">
        <v>17</v>
      </c>
      <c r="D5340" s="2" t="s">
        <v>18</v>
      </c>
      <c r="E5340" s="4">
        <v>-32069</v>
      </c>
      <c r="F5340" s="3" t="s">
        <v>445</v>
      </c>
      <c r="G5340" s="3" t="s">
        <v>446</v>
      </c>
      <c r="H5340" s="2" t="s">
        <v>21</v>
      </c>
      <c r="I5340" s="2" t="s">
        <v>13624</v>
      </c>
      <c r="J5340" s="3" t="str">
        <f>HYPERLINK("https://www.boe.es/gazeta/dias/1812/03/12/pdfs/GRE-1812-32.pdf#page=8","Abrir facsímil")</f>
        <v>Abrir facsímil</v>
      </c>
      <c r="K5340" s="3" t="s">
        <v>23</v>
      </c>
    </row>
    <row r="5341" spans="1:11" ht="42" customHeight="1">
      <c r="A5341" s="2" t="s">
        <v>13625</v>
      </c>
      <c r="B5341" s="2" t="s">
        <v>13626</v>
      </c>
      <c r="C5341" s="2" t="s">
        <v>26</v>
      </c>
      <c r="D5341" s="2" t="s">
        <v>27</v>
      </c>
      <c r="E5341" s="4">
        <v>-31994</v>
      </c>
      <c r="F5341" s="3" t="s">
        <v>207</v>
      </c>
      <c r="G5341" s="3" t="s">
        <v>1176</v>
      </c>
      <c r="H5341" s="2" t="s">
        <v>21</v>
      </c>
      <c r="I5341" s="2" t="s">
        <v>13627</v>
      </c>
      <c r="J5341" s="3" t="str">
        <f>HYPERLINK("https://www.boe.es/gazeta/dias/1812/05/26/pdfs/GRE-1812-65.pdf#page=8","Abrir facsímil")</f>
        <v>Abrir facsímil</v>
      </c>
      <c r="K5341" s="3" t="s">
        <v>23</v>
      </c>
    </row>
    <row r="5342" spans="1:11" ht="42" customHeight="1">
      <c r="A5342" s="2" t="s">
        <v>13628</v>
      </c>
      <c r="B5342" s="2" t="s">
        <v>13629</v>
      </c>
      <c r="C5342" s="2" t="s">
        <v>26</v>
      </c>
      <c r="D5342" s="2" t="s">
        <v>27</v>
      </c>
      <c r="E5342" s="4">
        <v>-31934</v>
      </c>
      <c r="F5342" s="3" t="s">
        <v>6490</v>
      </c>
      <c r="G5342" s="3" t="s">
        <v>233</v>
      </c>
      <c r="H5342" s="2" t="s">
        <v>21</v>
      </c>
      <c r="I5342" s="2" t="s">
        <v>13630</v>
      </c>
      <c r="J5342" s="3" t="str">
        <f>HYPERLINK("https://www.boe.es/gazeta/dias/1812/07/25/pdfs/GMD-1812-207.pdf#page=2","Abrir facsímil")</f>
        <v>Abrir facsímil</v>
      </c>
      <c r="K5342" s="3" t="s">
        <v>23</v>
      </c>
    </row>
    <row r="5343" spans="1:11" ht="42" customHeight="1">
      <c r="A5343" s="2" t="s">
        <v>13631</v>
      </c>
      <c r="B5343" s="2" t="s">
        <v>13632</v>
      </c>
      <c r="C5343" s="2" t="s">
        <v>26</v>
      </c>
      <c r="D5343" s="2" t="s">
        <v>27</v>
      </c>
      <c r="E5343" s="4">
        <v>-32081</v>
      </c>
      <c r="F5343" s="3" t="s">
        <v>232</v>
      </c>
      <c r="G5343" s="3" t="s">
        <v>233</v>
      </c>
      <c r="H5343" s="2" t="s">
        <v>21</v>
      </c>
      <c r="I5343" s="2" t="s">
        <v>13633</v>
      </c>
      <c r="J5343" s="3" t="str">
        <f>HYPERLINK("https://www.boe.es/gazeta/dias/1812/02/29/pdfs/GRE-1812-27.pdf#page=8","Abrir facsímil")</f>
        <v>Abrir facsímil</v>
      </c>
      <c r="K5343" s="3" t="s">
        <v>23</v>
      </c>
    </row>
    <row r="5344" spans="1:11" ht="42" customHeight="1">
      <c r="A5344" s="2" t="s">
        <v>13634</v>
      </c>
      <c r="B5344" s="2" t="s">
        <v>13635</v>
      </c>
      <c r="C5344" s="2" t="s">
        <v>26</v>
      </c>
      <c r="D5344" s="2" t="s">
        <v>27</v>
      </c>
      <c r="E5344" s="4">
        <v>-32100</v>
      </c>
      <c r="F5344" s="3" t="s">
        <v>492</v>
      </c>
      <c r="G5344" s="3" t="s">
        <v>493</v>
      </c>
      <c r="H5344" s="2" t="s">
        <v>21</v>
      </c>
      <c r="I5344" s="2" t="s">
        <v>13636</v>
      </c>
      <c r="J5344" s="3" t="str">
        <f>HYPERLINK("https://www.boe.es/gazeta/dias/1812/02/10/pdfs/GRE-1812-31.pdf#page=8","Abrir facsímil")</f>
        <v>Abrir facsímil</v>
      </c>
      <c r="K5344" s="3" t="s">
        <v>23</v>
      </c>
    </row>
    <row r="5345" spans="1:11" ht="42" customHeight="1">
      <c r="A5345" s="2" t="s">
        <v>13634</v>
      </c>
      <c r="B5345" s="2" t="s">
        <v>13635</v>
      </c>
      <c r="C5345" s="2" t="s">
        <v>26</v>
      </c>
      <c r="D5345" s="2" t="s">
        <v>27</v>
      </c>
      <c r="E5345" s="4">
        <v>-32071</v>
      </c>
      <c r="F5345" s="3" t="s">
        <v>492</v>
      </c>
      <c r="G5345" s="3" t="s">
        <v>493</v>
      </c>
      <c r="H5345" s="2" t="s">
        <v>21</v>
      </c>
      <c r="I5345" s="2" t="s">
        <v>13636</v>
      </c>
      <c r="J5345" s="3" t="str">
        <f>HYPERLINK("https://www.boe.es/gazeta/dias/1812/03/10/pdfs/GRE-1812-31.pdf#page=8","Abrir facsímil")</f>
        <v>Abrir facsímil</v>
      </c>
      <c r="K5345" s="3" t="s">
        <v>23</v>
      </c>
    </row>
    <row r="5346" spans="1:11" ht="42" customHeight="1">
      <c r="A5346" s="2" t="s">
        <v>13637</v>
      </c>
      <c r="B5346" s="2" t="s">
        <v>13637</v>
      </c>
      <c r="C5346" s="2" t="s">
        <v>17</v>
      </c>
      <c r="D5346" s="2" t="s">
        <v>27</v>
      </c>
      <c r="E5346" s="4">
        <v>-32060</v>
      </c>
      <c r="F5346" s="3" t="s">
        <v>399</v>
      </c>
      <c r="G5346" s="3" t="s">
        <v>136</v>
      </c>
      <c r="H5346" s="2" t="s">
        <v>21</v>
      </c>
      <c r="I5346" s="2" t="s">
        <v>13638</v>
      </c>
      <c r="J5346" s="3" t="str">
        <f>HYPERLINK("https://www.boe.es/gazeta/dias/1812/03/21/pdfs/GMD-1812-81.pdf#page=4","Abrir facsímil")</f>
        <v>Abrir facsímil</v>
      </c>
      <c r="K5346" s="3" t="s">
        <v>23</v>
      </c>
    </row>
    <row r="5347" spans="1:11" ht="42" customHeight="1">
      <c r="A5347" s="2" t="s">
        <v>13639</v>
      </c>
      <c r="B5347" s="2" t="s">
        <v>13640</v>
      </c>
      <c r="C5347" s="2" t="s">
        <v>186</v>
      </c>
      <c r="D5347" s="2" t="s">
        <v>275</v>
      </c>
      <c r="E5347" s="4">
        <v>-32118</v>
      </c>
      <c r="F5347" s="3" t="s">
        <v>964</v>
      </c>
      <c r="G5347" s="3" t="s">
        <v>965</v>
      </c>
      <c r="H5347" s="2" t="s">
        <v>21</v>
      </c>
      <c r="I5347" s="2" t="s">
        <v>13641</v>
      </c>
      <c r="J5347" s="3" t="str">
        <f>HYPERLINK("https://www.boe.es/gazeta/dias/1812/01/23/pdfs/GEI-H-1812-10.pdf#page=4","Abrir facsímil")</f>
        <v>Abrir facsímil</v>
      </c>
      <c r="K5347" s="3" t="s">
        <v>23</v>
      </c>
    </row>
    <row r="5348" spans="1:11" ht="42" customHeight="1">
      <c r="A5348" s="2" t="s">
        <v>13642</v>
      </c>
      <c r="B5348" s="2" t="s">
        <v>13643</v>
      </c>
      <c r="C5348" s="2" t="s">
        <v>115</v>
      </c>
      <c r="D5348" s="2" t="s">
        <v>27</v>
      </c>
      <c r="E5348" s="4">
        <v>-32006</v>
      </c>
      <c r="F5348" s="3" t="s">
        <v>1153</v>
      </c>
      <c r="G5348" s="3" t="s">
        <v>1154</v>
      </c>
      <c r="H5348" s="2" t="s">
        <v>21</v>
      </c>
      <c r="I5348" s="2" t="s">
        <v>13644</v>
      </c>
      <c r="J5348" s="3" t="str">
        <f>HYPERLINK("https://www.boe.es/gazeta/dias/1812/05/14/pdfs/GMD-1812-135.pdf#page=3","Abrir facsímil")</f>
        <v>Abrir facsímil</v>
      </c>
      <c r="K5348" s="3" t="s">
        <v>23</v>
      </c>
    </row>
    <row r="5349" spans="1:11" ht="42" customHeight="1">
      <c r="A5349" s="2" t="s">
        <v>13645</v>
      </c>
      <c r="B5349" s="2" t="s">
        <v>13645</v>
      </c>
      <c r="C5349" s="2" t="s">
        <v>17</v>
      </c>
      <c r="D5349" s="2" t="s">
        <v>18</v>
      </c>
      <c r="E5349" s="4">
        <v>-32095</v>
      </c>
      <c r="F5349" s="3" t="s">
        <v>284</v>
      </c>
      <c r="G5349" s="3" t="s">
        <v>13646</v>
      </c>
      <c r="H5349" s="2" t="s">
        <v>21</v>
      </c>
      <c r="I5349" s="2" t="s">
        <v>13647</v>
      </c>
      <c r="J5349" s="3" t="str">
        <f>HYPERLINK("https://www.boe.es/gazeta/dias/1812/02/15/pdfs/GRE-1812-20.pdf#page=1","Abrir facsímil")</f>
        <v>Abrir facsímil</v>
      </c>
      <c r="K5349" s="3" t="s">
        <v>23</v>
      </c>
    </row>
    <row r="5350" spans="1:11" ht="42" customHeight="1">
      <c r="A5350" s="2" t="s">
        <v>13648</v>
      </c>
      <c r="B5350" s="2" t="s">
        <v>13649</v>
      </c>
      <c r="C5350" s="2" t="s">
        <v>26</v>
      </c>
      <c r="D5350" s="2" t="s">
        <v>27</v>
      </c>
      <c r="E5350" s="4">
        <v>-32055</v>
      </c>
      <c r="F5350" s="3" t="s">
        <v>1271</v>
      </c>
      <c r="G5350" s="3" t="s">
        <v>130</v>
      </c>
      <c r="H5350" s="2" t="s">
        <v>21</v>
      </c>
      <c r="I5350" s="2" t="s">
        <v>13650</v>
      </c>
      <c r="J5350" s="3" t="str">
        <f>HYPERLINK("https://www.boe.es/gazeta/dias/1812/03/26/pdfs/GMD-1812-86.pdf#page=4","Abrir facsímil")</f>
        <v>Abrir facsímil</v>
      </c>
      <c r="K5350" s="3" t="s">
        <v>23</v>
      </c>
    </row>
    <row r="5351" spans="1:11" ht="42" customHeight="1">
      <c r="A5351" s="2" t="s">
        <v>13651</v>
      </c>
      <c r="B5351" s="2" t="s">
        <v>13652</v>
      </c>
      <c r="C5351" s="2" t="s">
        <v>26</v>
      </c>
      <c r="D5351" s="2" t="s">
        <v>27</v>
      </c>
      <c r="E5351" s="4">
        <v>-31999</v>
      </c>
      <c r="F5351" s="3" t="s">
        <v>806</v>
      </c>
      <c r="G5351" s="3" t="s">
        <v>3794</v>
      </c>
      <c r="H5351" s="2" t="s">
        <v>21</v>
      </c>
      <c r="I5351" s="2" t="s">
        <v>13653</v>
      </c>
      <c r="J5351" s="3" t="str">
        <f>HYPERLINK("https://www.boe.es/gazeta/dias/1812/05/21/pdfs/GRE-1812-63.pdf#page=4","Abrir facsímil")</f>
        <v>Abrir facsímil</v>
      </c>
      <c r="K5351" s="3" t="s">
        <v>23</v>
      </c>
    </row>
    <row r="5352" spans="1:11" ht="42" customHeight="1">
      <c r="A5352" s="2" t="s">
        <v>13654</v>
      </c>
      <c r="B5352" s="2" t="s">
        <v>13654</v>
      </c>
      <c r="C5352" s="2" t="s">
        <v>17</v>
      </c>
      <c r="D5352" s="2" t="s">
        <v>27</v>
      </c>
      <c r="E5352" s="4">
        <v>-31789</v>
      </c>
      <c r="F5352" s="3" t="s">
        <v>873</v>
      </c>
      <c r="G5352" s="3" t="s">
        <v>217</v>
      </c>
      <c r="H5352" s="2" t="s">
        <v>21</v>
      </c>
      <c r="I5352" s="2" t="s">
        <v>13655</v>
      </c>
      <c r="J5352" s="3" t="str">
        <f>HYPERLINK("https://www.boe.es/gazeta/dias/1812/12/17/pdfs/GMD-1812-240.pdf#page=1","Abrir facsímil")</f>
        <v>Abrir facsímil</v>
      </c>
      <c r="K5352" s="3" t="s">
        <v>23</v>
      </c>
    </row>
    <row r="5353" spans="1:11" ht="42" customHeight="1">
      <c r="A5353" s="2" t="s">
        <v>13656</v>
      </c>
      <c r="B5353" s="2" t="s">
        <v>13656</v>
      </c>
      <c r="C5353" s="2" t="s">
        <v>17</v>
      </c>
      <c r="D5353" s="2" t="s">
        <v>27</v>
      </c>
      <c r="E5353" s="4">
        <v>-32080</v>
      </c>
      <c r="F5353" s="3" t="s">
        <v>4604</v>
      </c>
      <c r="G5353" s="3" t="s">
        <v>2401</v>
      </c>
      <c r="H5353" s="2" t="s">
        <v>21</v>
      </c>
      <c r="I5353" s="2" t="s">
        <v>13657</v>
      </c>
      <c r="J5353" s="3" t="str">
        <f>HYPERLINK("https://www.boe.es/gazeta/dias/1812/03/01/pdfs/GMD-1812-61.pdf#page=1","Abrir facsímil")</f>
        <v>Abrir facsímil</v>
      </c>
      <c r="K5353" s="3" t="s">
        <v>23</v>
      </c>
    </row>
    <row r="5354" spans="1:11" ht="42" customHeight="1">
      <c r="A5354" s="2" t="s">
        <v>13656</v>
      </c>
      <c r="B5354" s="2" t="s">
        <v>13656</v>
      </c>
      <c r="C5354" s="2" t="s">
        <v>17</v>
      </c>
      <c r="D5354" s="2" t="s">
        <v>18</v>
      </c>
      <c r="E5354" s="4">
        <v>-32056</v>
      </c>
      <c r="F5354" s="3" t="s">
        <v>2233</v>
      </c>
      <c r="G5354" s="3" t="s">
        <v>58</v>
      </c>
      <c r="H5354" s="2" t="s">
        <v>21</v>
      </c>
      <c r="I5354" s="2" t="s">
        <v>13658</v>
      </c>
      <c r="J5354" s="3" t="str">
        <f>HYPERLINK("https://www.boe.es/gazeta/dias/1812/03/25/pdfs/GMD-1812-85.pdf#page=3","Abrir facsímil")</f>
        <v>Abrir facsímil</v>
      </c>
      <c r="K5354" s="3" t="s">
        <v>23</v>
      </c>
    </row>
    <row r="5355" spans="1:11" ht="42" customHeight="1">
      <c r="A5355" s="2" t="s">
        <v>13659</v>
      </c>
      <c r="B5355" s="2" t="s">
        <v>13659</v>
      </c>
      <c r="C5355" s="2" t="s">
        <v>17</v>
      </c>
      <c r="D5355" s="2" t="s">
        <v>27</v>
      </c>
      <c r="E5355" s="4">
        <v>-32079</v>
      </c>
      <c r="F5355" s="3" t="s">
        <v>11654</v>
      </c>
      <c r="G5355" s="3" t="s">
        <v>20</v>
      </c>
      <c r="H5355" s="2" t="s">
        <v>21</v>
      </c>
      <c r="I5355" s="2" t="s">
        <v>13660</v>
      </c>
      <c r="J5355" s="3" t="str">
        <f>HYPERLINK("https://www.boe.es/gazeta/dias/1812/03/02/pdfs/GMD-1812-62.pdf#page=1","Abrir facsímil")</f>
        <v>Abrir facsímil</v>
      </c>
      <c r="K5355" s="3" t="s">
        <v>23</v>
      </c>
    </row>
    <row r="5356" spans="1:11" ht="42" customHeight="1">
      <c r="A5356" s="2" t="s">
        <v>13661</v>
      </c>
      <c r="B5356" s="2" t="s">
        <v>13661</v>
      </c>
      <c r="C5356" s="2" t="s">
        <v>17</v>
      </c>
      <c r="D5356" s="2" t="s">
        <v>18</v>
      </c>
      <c r="E5356" s="4">
        <v>-32077</v>
      </c>
      <c r="F5356" s="3" t="s">
        <v>639</v>
      </c>
      <c r="G5356" s="3" t="s">
        <v>742</v>
      </c>
      <c r="H5356" s="2" t="s">
        <v>21</v>
      </c>
      <c r="I5356" s="2" t="s">
        <v>13662</v>
      </c>
      <c r="J5356" s="3" t="str">
        <f>HYPERLINK("https://www.boe.es/gazeta/dias/1812/03/04/pdfs/GMD-1812-64.pdf#page=1","Abrir facsímil")</f>
        <v>Abrir facsímil</v>
      </c>
      <c r="K5356" s="3" t="s">
        <v>23</v>
      </c>
    </row>
    <row r="5357" spans="1:11" ht="42" customHeight="1">
      <c r="A5357" s="2" t="s">
        <v>13663</v>
      </c>
      <c r="B5357" s="2" t="s">
        <v>13664</v>
      </c>
      <c r="C5357" s="2" t="s">
        <v>17</v>
      </c>
      <c r="D5357" s="2" t="s">
        <v>18</v>
      </c>
      <c r="E5357" s="4">
        <v>-32069</v>
      </c>
      <c r="F5357" s="3" t="s">
        <v>445</v>
      </c>
      <c r="G5357" s="3" t="s">
        <v>446</v>
      </c>
      <c r="H5357" s="2" t="s">
        <v>21</v>
      </c>
      <c r="I5357" s="2" t="s">
        <v>13665</v>
      </c>
      <c r="J5357" s="3" t="str">
        <f>HYPERLINK("https://www.boe.es/gazeta/dias/1812/03/12/pdfs/GRE-1812-32.pdf#page=8","Abrir facsímil")</f>
        <v>Abrir facsímil</v>
      </c>
      <c r="K5357" s="3" t="s">
        <v>23</v>
      </c>
    </row>
    <row r="5358" spans="1:11" ht="42" customHeight="1">
      <c r="A5358" s="2" t="s">
        <v>13666</v>
      </c>
      <c r="B5358" s="2" t="s">
        <v>13666</v>
      </c>
      <c r="C5358" s="2" t="s">
        <v>17</v>
      </c>
      <c r="D5358" s="2" t="s">
        <v>18</v>
      </c>
      <c r="E5358" s="4">
        <v>-31927</v>
      </c>
      <c r="F5358" s="3" t="s">
        <v>1160</v>
      </c>
      <c r="G5358" s="3" t="s">
        <v>13667</v>
      </c>
      <c r="H5358" s="2" t="s">
        <v>21</v>
      </c>
      <c r="I5358" s="2" t="s">
        <v>13668</v>
      </c>
      <c r="J5358" s="3" t="str">
        <f>HYPERLINK("https://www.boe.es/gazeta/dias/1812/08/01/pdfs/GRE-1812-97.pdf#page=7","Abrir facsímil")</f>
        <v>Abrir facsímil</v>
      </c>
      <c r="K5358" s="3" t="s">
        <v>23</v>
      </c>
    </row>
    <row r="5359" spans="1:11" ht="42" customHeight="1">
      <c r="A5359" s="2" t="s">
        <v>13669</v>
      </c>
      <c r="B5359" s="2" t="s">
        <v>13669</v>
      </c>
      <c r="C5359" s="2" t="s">
        <v>17</v>
      </c>
      <c r="D5359" s="2" t="s">
        <v>18</v>
      </c>
      <c r="E5359" s="4">
        <v>-31905</v>
      </c>
      <c r="F5359" s="3" t="s">
        <v>855</v>
      </c>
      <c r="G5359" s="3" t="s">
        <v>2708</v>
      </c>
      <c r="H5359" s="2" t="s">
        <v>21</v>
      </c>
      <c r="I5359" s="2" t="s">
        <v>13670</v>
      </c>
      <c r="J5359" s="3" t="str">
        <f>HYPERLINK("https://www.boe.es/gazeta/dias/1812/08/23/pdfs/GMR-1812-4.pdf#page=4","Abrir facsímil")</f>
        <v>Abrir facsímil</v>
      </c>
      <c r="K5359" s="3" t="s">
        <v>23</v>
      </c>
    </row>
    <row r="5360" spans="1:11" ht="42" customHeight="1">
      <c r="A5360" s="2" t="s">
        <v>13671</v>
      </c>
      <c r="B5360" s="2" t="s">
        <v>13671</v>
      </c>
      <c r="C5360" s="2" t="s">
        <v>17</v>
      </c>
      <c r="D5360" s="2" t="s">
        <v>18</v>
      </c>
      <c r="E5360" s="4">
        <v>-32127</v>
      </c>
      <c r="F5360" s="3" t="s">
        <v>88</v>
      </c>
      <c r="G5360" s="3" t="s">
        <v>1883</v>
      </c>
      <c r="H5360" s="2" t="s">
        <v>21</v>
      </c>
      <c r="I5360" s="2" t="s">
        <v>13672</v>
      </c>
      <c r="J5360" s="3" t="str">
        <f>HYPERLINK("https://www.boe.es/gazeta/dias/1812/01/14/pdfs/GEI-1812-6.pdf#page=4","Abrir facsímil")</f>
        <v>Abrir facsímil</v>
      </c>
      <c r="K5360" s="3" t="s">
        <v>23</v>
      </c>
    </row>
    <row r="5361" spans="1:11" ht="42" customHeight="1">
      <c r="A5361" s="2" t="s">
        <v>13673</v>
      </c>
      <c r="B5361" s="2" t="s">
        <v>13674</v>
      </c>
      <c r="C5361" s="2" t="s">
        <v>26</v>
      </c>
      <c r="D5361" s="2" t="s">
        <v>27</v>
      </c>
      <c r="E5361" s="4">
        <v>-32090</v>
      </c>
      <c r="F5361" s="3" t="s">
        <v>142</v>
      </c>
      <c r="G5361" s="3" t="s">
        <v>29</v>
      </c>
      <c r="H5361" s="2" t="s">
        <v>21</v>
      </c>
      <c r="I5361" s="2" t="s">
        <v>13675</v>
      </c>
      <c r="J5361" s="3" t="str">
        <f>HYPERLINK("https://www.boe.es/gazeta/dias/1812/02/20/pdfs/GRE-1812-22.pdf#page=8","Abrir facsímil")</f>
        <v>Abrir facsímil</v>
      </c>
      <c r="K5361" s="3" t="s">
        <v>23</v>
      </c>
    </row>
    <row r="5362" spans="1:11" ht="42" customHeight="1">
      <c r="A5362" s="2" t="s">
        <v>13676</v>
      </c>
      <c r="B5362" s="2" t="s">
        <v>13676</v>
      </c>
      <c r="C5362" s="2" t="s">
        <v>17</v>
      </c>
      <c r="D5362" s="2" t="s">
        <v>18</v>
      </c>
      <c r="E5362" s="4">
        <v>-32132</v>
      </c>
      <c r="F5362" s="3" t="s">
        <v>484</v>
      </c>
      <c r="G5362" s="3" t="s">
        <v>1497</v>
      </c>
      <c r="H5362" s="2" t="s">
        <v>21</v>
      </c>
      <c r="I5362" s="2" t="s">
        <v>13677</v>
      </c>
      <c r="J5362" s="3" t="str">
        <f>HYPERLINK("https://www.boe.es/gazeta/dias/1812/01/09/pdfs/GEI-1812-4.pdf#page=1","Abrir facsímil")</f>
        <v>Abrir facsímil</v>
      </c>
      <c r="K5362" s="3" t="s">
        <v>23</v>
      </c>
    </row>
    <row r="5363" spans="1:11" ht="42" customHeight="1">
      <c r="A5363" s="2" t="s">
        <v>13676</v>
      </c>
      <c r="B5363" s="2" t="s">
        <v>13676</v>
      </c>
      <c r="C5363" s="2" t="s">
        <v>26</v>
      </c>
      <c r="D5363" s="2" t="s">
        <v>27</v>
      </c>
      <c r="E5363" s="4">
        <v>-32109</v>
      </c>
      <c r="F5363" s="3" t="s">
        <v>62</v>
      </c>
      <c r="G5363" s="3" t="s">
        <v>4457</v>
      </c>
      <c r="H5363" s="2" t="s">
        <v>21</v>
      </c>
      <c r="I5363" s="2" t="s">
        <v>13678</v>
      </c>
      <c r="J5363" s="3" t="str">
        <f>HYPERLINK("https://www.boe.es/gazeta/dias/1812/02/01/pdfs/GRE-1812-14.pdf#page=3","Abrir facsímil")</f>
        <v>Abrir facsímil</v>
      </c>
      <c r="K5363" s="3" t="s">
        <v>23</v>
      </c>
    </row>
    <row r="5364" spans="1:11" ht="42" customHeight="1">
      <c r="A5364" s="2" t="s">
        <v>13676</v>
      </c>
      <c r="B5364" s="2" t="s">
        <v>13676</v>
      </c>
      <c r="C5364" s="2" t="s">
        <v>17</v>
      </c>
      <c r="D5364" s="2" t="s">
        <v>18</v>
      </c>
      <c r="E5364" s="4">
        <v>-32046</v>
      </c>
      <c r="F5364" s="3" t="s">
        <v>1013</v>
      </c>
      <c r="G5364" s="3" t="s">
        <v>2998</v>
      </c>
      <c r="H5364" s="2" t="s">
        <v>21</v>
      </c>
      <c r="I5364" s="2" t="s">
        <v>13679</v>
      </c>
      <c r="J5364" s="3" t="str">
        <f>HYPERLINK("https://www.boe.es/gazeta/dias/1812/04/04/pdfs/GRE-1812-42.pdf#page=1","Abrir facsímil")</f>
        <v>Abrir facsímil</v>
      </c>
      <c r="K5364" s="3" t="s">
        <v>23</v>
      </c>
    </row>
    <row r="5365" spans="1:11" ht="42" customHeight="1">
      <c r="A5365" s="2" t="s">
        <v>13676</v>
      </c>
      <c r="B5365" s="2" t="s">
        <v>13676</v>
      </c>
      <c r="C5365" s="2" t="s">
        <v>17</v>
      </c>
      <c r="D5365" s="2" t="s">
        <v>18</v>
      </c>
      <c r="E5365" s="4">
        <v>-32013</v>
      </c>
      <c r="F5365" s="3" t="s">
        <v>849</v>
      </c>
      <c r="G5365" s="3" t="s">
        <v>850</v>
      </c>
      <c r="H5365" s="2" t="s">
        <v>21</v>
      </c>
      <c r="I5365" s="2" t="s">
        <v>13680</v>
      </c>
      <c r="J5365" s="3" t="str">
        <f>HYPERLINK("https://www.boe.es/gazeta/dias/1812/05/07/pdfs/GRE-1812-57.pdf#page=2","Abrir facsímil")</f>
        <v>Abrir facsímil</v>
      </c>
      <c r="K5365" s="3" t="s">
        <v>23</v>
      </c>
    </row>
    <row r="5366" spans="1:11" ht="42" customHeight="1">
      <c r="A5366" s="2" t="s">
        <v>13676</v>
      </c>
      <c r="B5366" s="2" t="s">
        <v>13676</v>
      </c>
      <c r="C5366" s="2" t="s">
        <v>17</v>
      </c>
      <c r="D5366" s="2" t="s">
        <v>18</v>
      </c>
      <c r="E5366" s="4">
        <v>-32004</v>
      </c>
      <c r="F5366" s="3" t="s">
        <v>148</v>
      </c>
      <c r="G5366" s="3" t="s">
        <v>9200</v>
      </c>
      <c r="H5366" s="2" t="s">
        <v>21</v>
      </c>
      <c r="I5366" s="2" t="s">
        <v>13681</v>
      </c>
      <c r="J5366" s="3" t="str">
        <f>HYPERLINK("https://www.boe.es/gazeta/dias/1812/05/16/pdfs/GRE-1812-61.pdf#page=2","Abrir facsímil")</f>
        <v>Abrir facsímil</v>
      </c>
      <c r="K5366" s="3" t="s">
        <v>23</v>
      </c>
    </row>
    <row r="5367" spans="1:11" ht="42" customHeight="1">
      <c r="A5367" s="2" t="s">
        <v>13676</v>
      </c>
      <c r="B5367" s="2" t="s">
        <v>13676</v>
      </c>
      <c r="C5367" s="2" t="s">
        <v>105</v>
      </c>
      <c r="D5367" s="2" t="s">
        <v>27</v>
      </c>
      <c r="E5367" s="4">
        <v>-32004</v>
      </c>
      <c r="F5367" s="3" t="s">
        <v>148</v>
      </c>
      <c r="G5367" s="3" t="s">
        <v>149</v>
      </c>
      <c r="H5367" s="2" t="s">
        <v>21</v>
      </c>
      <c r="I5367" s="2" t="s">
        <v>13682</v>
      </c>
      <c r="J5367" s="3" t="str">
        <f>HYPERLINK("https://www.boe.es/gazeta/dias/1812/05/16/pdfs/GRE-1812-61.pdf#page=3","Abrir facsímil")</f>
        <v>Abrir facsímil</v>
      </c>
      <c r="K5367" s="3" t="s">
        <v>23</v>
      </c>
    </row>
    <row r="5368" spans="1:11" ht="42" customHeight="1">
      <c r="A5368" s="2" t="s">
        <v>13676</v>
      </c>
      <c r="B5368" s="2" t="s">
        <v>13676</v>
      </c>
      <c r="C5368" s="2" t="s">
        <v>17</v>
      </c>
      <c r="D5368" s="2" t="s">
        <v>275</v>
      </c>
      <c r="E5368" s="4">
        <v>-31992</v>
      </c>
      <c r="F5368" s="3" t="s">
        <v>1292</v>
      </c>
      <c r="G5368" s="3" t="s">
        <v>10046</v>
      </c>
      <c r="H5368" s="2" t="s">
        <v>21</v>
      </c>
      <c r="I5368" s="2" t="s">
        <v>13683</v>
      </c>
      <c r="J5368" s="3" t="str">
        <f>HYPERLINK("https://www.boe.es/gazeta/dias/1812/05/28/pdfs/GRE-1812-66.pdf#page=1","Abrir facsímil")</f>
        <v>Abrir facsímil</v>
      </c>
      <c r="K5368" s="3" t="s">
        <v>23</v>
      </c>
    </row>
    <row r="5369" spans="1:11" ht="42" customHeight="1">
      <c r="A5369" s="2" t="s">
        <v>13676</v>
      </c>
      <c r="B5369" s="2" t="s">
        <v>13676</v>
      </c>
      <c r="C5369" s="2" t="s">
        <v>26</v>
      </c>
      <c r="D5369" s="2" t="s">
        <v>27</v>
      </c>
      <c r="E5369" s="4">
        <v>-31952</v>
      </c>
      <c r="F5369" s="3" t="s">
        <v>210</v>
      </c>
      <c r="G5369" s="3" t="s">
        <v>237</v>
      </c>
      <c r="H5369" s="2" t="s">
        <v>21</v>
      </c>
      <c r="I5369" s="2" t="s">
        <v>13684</v>
      </c>
      <c r="J5369" s="3" t="str">
        <f>HYPERLINK("https://www.boe.es/gazeta/dias/1812/07/07/pdfs/GRE-1812-83.pdf#page=2","Abrir facsímil")</f>
        <v>Abrir facsímil</v>
      </c>
      <c r="K5369" s="3" t="s">
        <v>23</v>
      </c>
    </row>
    <row r="5370" spans="1:11" ht="42" customHeight="1">
      <c r="A5370" s="2" t="s">
        <v>13676</v>
      </c>
      <c r="B5370" s="2" t="s">
        <v>13676</v>
      </c>
      <c r="C5370" s="2" t="s">
        <v>17</v>
      </c>
      <c r="D5370" s="2" t="s">
        <v>573</v>
      </c>
      <c r="E5370" s="4">
        <v>-31950</v>
      </c>
      <c r="F5370" s="3" t="s">
        <v>2822</v>
      </c>
      <c r="G5370" s="3" t="s">
        <v>2823</v>
      </c>
      <c r="H5370" s="2" t="s">
        <v>21</v>
      </c>
      <c r="I5370" s="2" t="s">
        <v>13685</v>
      </c>
      <c r="J5370" s="3" t="str">
        <f>HYPERLINK("https://www.boe.es/gazeta/dias/1812/07/09/pdfs/GRE-1812-85E.pdf#page=2","Abrir facsímil")</f>
        <v>Abrir facsímil</v>
      </c>
      <c r="K5370" s="3" t="s">
        <v>23</v>
      </c>
    </row>
    <row r="5371" spans="1:11" ht="42" customHeight="1">
      <c r="A5371" s="2" t="s">
        <v>13676</v>
      </c>
      <c r="B5371" s="2" t="s">
        <v>13676</v>
      </c>
      <c r="C5371" s="2" t="s">
        <v>186</v>
      </c>
      <c r="D5371" s="2" t="s">
        <v>573</v>
      </c>
      <c r="E5371" s="4">
        <v>-31950</v>
      </c>
      <c r="F5371" s="3" t="s">
        <v>2822</v>
      </c>
      <c r="G5371" s="3" t="s">
        <v>2898</v>
      </c>
      <c r="H5371" s="2" t="s">
        <v>21</v>
      </c>
      <c r="I5371" s="2" t="s">
        <v>13686</v>
      </c>
      <c r="J5371" s="3" t="str">
        <f>HYPERLINK("https://www.boe.es/gazeta/dias/1812/07/09/pdfs/GRE-1812-85E.pdf#page=3","Abrir facsímil")</f>
        <v>Abrir facsímil</v>
      </c>
      <c r="K5371" s="3" t="s">
        <v>23</v>
      </c>
    </row>
    <row r="5372" spans="1:11" ht="42" customHeight="1">
      <c r="A5372" s="2" t="s">
        <v>13676</v>
      </c>
      <c r="B5372" s="2" t="s">
        <v>13676</v>
      </c>
      <c r="C5372" s="2" t="s">
        <v>17</v>
      </c>
      <c r="D5372" s="2" t="s">
        <v>18</v>
      </c>
      <c r="E5372" s="4">
        <v>-31947</v>
      </c>
      <c r="F5372" s="3" t="s">
        <v>3647</v>
      </c>
      <c r="G5372" s="3" t="s">
        <v>8595</v>
      </c>
      <c r="H5372" s="2" t="s">
        <v>21</v>
      </c>
      <c r="I5372" s="2" t="s">
        <v>13687</v>
      </c>
      <c r="J5372" s="3" t="str">
        <f>HYPERLINK("https://www.boe.es/gazeta/dias/1812/07/12/pdfs/GRE-1812-87E.pdf#page=1","Abrir facsímil")</f>
        <v>Abrir facsímil</v>
      </c>
      <c r="K5372" s="3" t="s">
        <v>23</v>
      </c>
    </row>
    <row r="5373" spans="1:11" ht="42" customHeight="1">
      <c r="A5373" s="2" t="s">
        <v>13676</v>
      </c>
      <c r="B5373" s="2" t="s">
        <v>13676</v>
      </c>
      <c r="C5373" s="2" t="s">
        <v>17</v>
      </c>
      <c r="D5373" s="2" t="s">
        <v>18</v>
      </c>
      <c r="E5373" s="4">
        <v>-31928</v>
      </c>
      <c r="F5373" s="3" t="s">
        <v>3638</v>
      </c>
      <c r="G5373" s="3" t="s">
        <v>13688</v>
      </c>
      <c r="H5373" s="2" t="s">
        <v>21</v>
      </c>
      <c r="I5373" s="2" t="s">
        <v>13689</v>
      </c>
      <c r="J5373" s="3" t="str">
        <f>HYPERLINK("https://www.boe.es/gazeta/dias/1812/07/31/pdfs/GRE-1812-96E.pdf#page=2","Abrir facsímil")</f>
        <v>Abrir facsímil</v>
      </c>
      <c r="K5373" s="3" t="s">
        <v>23</v>
      </c>
    </row>
    <row r="5374" spans="1:11" ht="42" customHeight="1">
      <c r="A5374" s="2" t="s">
        <v>13676</v>
      </c>
      <c r="B5374" s="2" t="s">
        <v>13676</v>
      </c>
      <c r="C5374" s="2" t="s">
        <v>17</v>
      </c>
      <c r="D5374" s="2" t="s">
        <v>18</v>
      </c>
      <c r="E5374" s="4">
        <v>-31928</v>
      </c>
      <c r="F5374" s="3" t="s">
        <v>3638</v>
      </c>
      <c r="G5374" s="3" t="s">
        <v>13690</v>
      </c>
      <c r="H5374" s="2" t="s">
        <v>21</v>
      </c>
      <c r="I5374" s="2" t="s">
        <v>13691</v>
      </c>
      <c r="J5374" s="3" t="str">
        <f>HYPERLINK("https://www.boe.es/gazeta/dias/1812/07/31/pdfs/GRE-1812-96E.pdf#page=3","Abrir facsímil")</f>
        <v>Abrir facsímil</v>
      </c>
      <c r="K5374" s="3" t="s">
        <v>23</v>
      </c>
    </row>
    <row r="5375" spans="1:11" ht="42" customHeight="1">
      <c r="A5375" s="2" t="s">
        <v>13692</v>
      </c>
      <c r="B5375" s="2" t="s">
        <v>13692</v>
      </c>
      <c r="C5375" s="2" t="s">
        <v>17</v>
      </c>
      <c r="D5375" s="2" t="s">
        <v>18</v>
      </c>
      <c r="E5375" s="4">
        <v>-31925</v>
      </c>
      <c r="F5375" s="3" t="s">
        <v>2435</v>
      </c>
      <c r="G5375" s="3" t="s">
        <v>13693</v>
      </c>
      <c r="H5375" s="2" t="s">
        <v>21</v>
      </c>
      <c r="I5375" s="2" t="s">
        <v>13694</v>
      </c>
      <c r="J5375" s="3" t="str">
        <f>HYPERLINK("https://www.boe.es/gazeta/dias/1812/08/03/pdfs/GRE-1812-98E.pdf#page=2","Abrir facsímil")</f>
        <v>Abrir facsímil</v>
      </c>
      <c r="K5375" s="3" t="s">
        <v>23</v>
      </c>
    </row>
    <row r="5376" spans="1:11" ht="42" customHeight="1">
      <c r="A5376" s="2" t="s">
        <v>13676</v>
      </c>
      <c r="B5376" s="2" t="s">
        <v>13676</v>
      </c>
      <c r="C5376" s="2" t="s">
        <v>17</v>
      </c>
      <c r="D5376" s="2" t="s">
        <v>18</v>
      </c>
      <c r="E5376" s="4">
        <v>-31925</v>
      </c>
      <c r="F5376" s="3" t="s">
        <v>2435</v>
      </c>
      <c r="G5376" s="3" t="s">
        <v>217</v>
      </c>
      <c r="H5376" s="2" t="s">
        <v>21</v>
      </c>
      <c r="I5376" s="2" t="s">
        <v>13695</v>
      </c>
      <c r="J5376" s="3" t="str">
        <f>HYPERLINK("https://www.boe.es/gazeta/dias/1812/08/03/pdfs/GRE-1812-98E.pdf#page=3","Abrir facsímil")</f>
        <v>Abrir facsímil</v>
      </c>
      <c r="K5376" s="3" t="s">
        <v>23</v>
      </c>
    </row>
    <row r="5377" spans="1:11" ht="42" customHeight="1">
      <c r="A5377" s="2" t="s">
        <v>13676</v>
      </c>
      <c r="B5377" s="2" t="s">
        <v>13676</v>
      </c>
      <c r="C5377" s="2" t="s">
        <v>17</v>
      </c>
      <c r="D5377" s="2" t="s">
        <v>18</v>
      </c>
      <c r="E5377" s="4">
        <v>-31921</v>
      </c>
      <c r="F5377" s="3" t="s">
        <v>785</v>
      </c>
      <c r="G5377" s="3" t="s">
        <v>853</v>
      </c>
      <c r="H5377" s="2" t="s">
        <v>21</v>
      </c>
      <c r="I5377" s="2" t="s">
        <v>13696</v>
      </c>
      <c r="J5377" s="3" t="str">
        <f>HYPERLINK("https://www.boe.es/gazeta/dias/1812/08/07/pdfs/GRE-1812-101E.pdf#page=3","Abrir facsímil")</f>
        <v>Abrir facsímil</v>
      </c>
      <c r="K5377" s="3" t="s">
        <v>23</v>
      </c>
    </row>
    <row r="5378" spans="1:11" ht="42" customHeight="1">
      <c r="A5378" s="2" t="s">
        <v>13676</v>
      </c>
      <c r="B5378" s="2" t="s">
        <v>13676</v>
      </c>
      <c r="C5378" s="2" t="s">
        <v>17</v>
      </c>
      <c r="D5378" s="2" t="s">
        <v>573</v>
      </c>
      <c r="E5378" s="4">
        <v>-31921</v>
      </c>
      <c r="F5378" s="3" t="s">
        <v>785</v>
      </c>
      <c r="G5378" s="3" t="s">
        <v>1137</v>
      </c>
      <c r="H5378" s="2" t="s">
        <v>21</v>
      </c>
      <c r="I5378" s="2" t="s">
        <v>13697</v>
      </c>
      <c r="J5378" s="3" t="str">
        <f>HYPERLINK("https://www.boe.es/gazeta/dias/1812/08/07/pdfs/GRE-1812-101E.pdf#page=6","Abrir facsímil")</f>
        <v>Abrir facsímil</v>
      </c>
      <c r="K5378" s="3" t="s">
        <v>23</v>
      </c>
    </row>
    <row r="5379" spans="1:11" ht="42" customHeight="1">
      <c r="A5379" s="2" t="s">
        <v>13676</v>
      </c>
      <c r="B5379" s="2" t="s">
        <v>13676</v>
      </c>
      <c r="C5379" s="2" t="s">
        <v>105</v>
      </c>
      <c r="D5379" s="2" t="s">
        <v>275</v>
      </c>
      <c r="E5379" s="4">
        <v>-31915</v>
      </c>
      <c r="F5379" s="3" t="s">
        <v>2827</v>
      </c>
      <c r="G5379" s="3" t="s">
        <v>3869</v>
      </c>
      <c r="H5379" s="2" t="s">
        <v>21</v>
      </c>
      <c r="I5379" s="2" t="s">
        <v>13698</v>
      </c>
      <c r="J5379" s="3" t="str">
        <f>HYPERLINK("https://www.boe.es/gazeta/dias/1812/08/13/pdfs/GRE-F-1812-104.pdf#page=2","Abrir facsímil")</f>
        <v>Abrir facsímil</v>
      </c>
      <c r="K5379" s="3" t="s">
        <v>23</v>
      </c>
    </row>
    <row r="5380" spans="1:11" ht="42" customHeight="1">
      <c r="A5380" s="2" t="s">
        <v>13676</v>
      </c>
      <c r="B5380" s="2" t="s">
        <v>13676</v>
      </c>
      <c r="C5380" s="2" t="s">
        <v>17</v>
      </c>
      <c r="D5380" s="2" t="s">
        <v>18</v>
      </c>
      <c r="E5380" s="4">
        <v>-31909</v>
      </c>
      <c r="F5380" s="3" t="s">
        <v>2735</v>
      </c>
      <c r="G5380" s="3" t="s">
        <v>2262</v>
      </c>
      <c r="H5380" s="2" t="s">
        <v>21</v>
      </c>
      <c r="I5380" s="2" t="s">
        <v>13699</v>
      </c>
      <c r="J5380" s="3" t="str">
        <f>HYPERLINK("https://www.boe.es/gazeta/dias/1812/08/19/pdfs/GMR-1812-2.pdf#page=5","Abrir facsímil")</f>
        <v>Abrir facsímil</v>
      </c>
      <c r="K5380" s="3" t="s">
        <v>23</v>
      </c>
    </row>
    <row r="5381" spans="1:11" ht="42" customHeight="1">
      <c r="A5381" s="2" t="s">
        <v>13676</v>
      </c>
      <c r="B5381" s="2" t="s">
        <v>13676</v>
      </c>
      <c r="C5381" s="2" t="s">
        <v>17</v>
      </c>
      <c r="D5381" s="2" t="s">
        <v>18</v>
      </c>
      <c r="E5381" s="4">
        <v>-31906</v>
      </c>
      <c r="F5381" s="3" t="s">
        <v>124</v>
      </c>
      <c r="G5381" s="3" t="s">
        <v>13700</v>
      </c>
      <c r="H5381" s="2" t="s">
        <v>21</v>
      </c>
      <c r="I5381" s="2" t="s">
        <v>13701</v>
      </c>
      <c r="J5381" s="3" t="str">
        <f>HYPERLINK("https://www.boe.es/gazeta/dias/1812/08/22/pdfs/GRE-1812-109.pdf#page=8","Abrir facsímil")</f>
        <v>Abrir facsímil</v>
      </c>
      <c r="K5381" s="3" t="s">
        <v>23</v>
      </c>
    </row>
    <row r="5382" spans="1:11" ht="42" customHeight="1">
      <c r="A5382" s="2" t="s">
        <v>13676</v>
      </c>
      <c r="B5382" s="2" t="s">
        <v>13676</v>
      </c>
      <c r="C5382" s="2" t="s">
        <v>17</v>
      </c>
      <c r="D5382" s="2" t="s">
        <v>18</v>
      </c>
      <c r="E5382" s="4">
        <v>-31905</v>
      </c>
      <c r="F5382" s="3" t="s">
        <v>855</v>
      </c>
      <c r="G5382" s="3" t="s">
        <v>1826</v>
      </c>
      <c r="H5382" s="2" t="s">
        <v>21</v>
      </c>
      <c r="I5382" s="2" t="s">
        <v>13702</v>
      </c>
      <c r="J5382" s="3" t="str">
        <f>HYPERLINK("https://www.boe.es/gazeta/dias/1812/08/23/pdfs/GMR-1812-4.pdf#page=7","Abrir facsímil")</f>
        <v>Abrir facsímil</v>
      </c>
      <c r="K5382" s="3" t="s">
        <v>23</v>
      </c>
    </row>
    <row r="5383" spans="1:11" ht="42" customHeight="1">
      <c r="A5383" s="2" t="s">
        <v>13676</v>
      </c>
      <c r="B5383" s="2" t="s">
        <v>13676</v>
      </c>
      <c r="C5383" s="2" t="s">
        <v>17</v>
      </c>
      <c r="D5383" s="2" t="s">
        <v>18</v>
      </c>
      <c r="E5383" s="4">
        <v>-31898</v>
      </c>
      <c r="F5383" s="3" t="s">
        <v>1952</v>
      </c>
      <c r="G5383" s="3" t="s">
        <v>196</v>
      </c>
      <c r="H5383" s="2" t="s">
        <v>21</v>
      </c>
      <c r="I5383" s="2" t="s">
        <v>13703</v>
      </c>
      <c r="J5383" s="3" t="str">
        <f>HYPERLINK("https://www.boe.es/gazeta/dias/1812/08/30/pdfs/GRE-1812-116E.pdf#page=3","Abrir facsímil")</f>
        <v>Abrir facsímil</v>
      </c>
      <c r="K5383" s="3" t="s">
        <v>23</v>
      </c>
    </row>
    <row r="5384" spans="1:11" ht="42" customHeight="1">
      <c r="A5384" s="2" t="s">
        <v>13676</v>
      </c>
      <c r="B5384" s="2" t="s">
        <v>13676</v>
      </c>
      <c r="C5384" s="2" t="s">
        <v>17</v>
      </c>
      <c r="D5384" s="2" t="s">
        <v>18</v>
      </c>
      <c r="E5384" s="4">
        <v>-31882</v>
      </c>
      <c r="F5384" s="3" t="s">
        <v>1798</v>
      </c>
      <c r="G5384" s="3" t="s">
        <v>8253</v>
      </c>
      <c r="H5384" s="2" t="s">
        <v>21</v>
      </c>
      <c r="I5384" s="2" t="s">
        <v>13704</v>
      </c>
      <c r="J5384" s="3" t="str">
        <f>HYPERLINK("https://www.boe.es/gazeta/dias/1812/09/15/pdfs/GMR-1812-14.pdf#page=6","Abrir facsímil")</f>
        <v>Abrir facsímil</v>
      </c>
      <c r="K5384" s="3" t="s">
        <v>23</v>
      </c>
    </row>
    <row r="5385" spans="1:11" ht="42" customHeight="1">
      <c r="A5385" s="2" t="s">
        <v>13676</v>
      </c>
      <c r="B5385" s="2" t="s">
        <v>13676</v>
      </c>
      <c r="C5385" s="2" t="s">
        <v>17</v>
      </c>
      <c r="D5385" s="2" t="s">
        <v>194</v>
      </c>
      <c r="E5385" s="4">
        <v>-31875</v>
      </c>
      <c r="F5385" s="3" t="s">
        <v>708</v>
      </c>
      <c r="G5385" s="3" t="s">
        <v>58</v>
      </c>
      <c r="H5385" s="2" t="s">
        <v>21</v>
      </c>
      <c r="I5385" s="2" t="s">
        <v>13705</v>
      </c>
      <c r="J5385" s="3" t="str">
        <f>HYPERLINK("https://www.boe.es/gazeta/dias/1812/09/22/pdfs/GMR-1812-17.pdf#page=9","Abrir facsímil")</f>
        <v>Abrir facsímil</v>
      </c>
      <c r="K5385" s="3" t="s">
        <v>23</v>
      </c>
    </row>
    <row r="5386" spans="1:11" ht="42" customHeight="1">
      <c r="A5386" s="2" t="s">
        <v>13706</v>
      </c>
      <c r="B5386" s="2" t="s">
        <v>13706</v>
      </c>
      <c r="C5386" s="2" t="s">
        <v>17</v>
      </c>
      <c r="D5386" s="2" t="s">
        <v>18</v>
      </c>
      <c r="E5386" s="4">
        <v>-32118</v>
      </c>
      <c r="F5386" s="3" t="s">
        <v>964</v>
      </c>
      <c r="G5386" s="3" t="s">
        <v>5298</v>
      </c>
      <c r="H5386" s="2" t="s">
        <v>21</v>
      </c>
      <c r="I5386" s="2" t="s">
        <v>13707</v>
      </c>
      <c r="J5386" s="3" t="str">
        <f>HYPERLINK("https://www.boe.es/gazeta/dias/1812/01/23/pdfs/GEI-H-1812-10.pdf#page=3","Abrir facsímil")</f>
        <v>Abrir facsímil</v>
      </c>
      <c r="K5386" s="3" t="s">
        <v>23</v>
      </c>
    </row>
    <row r="5387" spans="1:11" ht="42" customHeight="1">
      <c r="A5387" s="2" t="s">
        <v>13708</v>
      </c>
      <c r="B5387" s="2" t="s">
        <v>13709</v>
      </c>
      <c r="C5387" s="2" t="s">
        <v>26</v>
      </c>
      <c r="D5387" s="2" t="s">
        <v>27</v>
      </c>
      <c r="E5387" s="4">
        <v>-32015</v>
      </c>
      <c r="F5387" s="3" t="s">
        <v>77</v>
      </c>
      <c r="G5387" s="3" t="s">
        <v>78</v>
      </c>
      <c r="H5387" s="2" t="s">
        <v>21</v>
      </c>
      <c r="I5387" s="2" t="s">
        <v>13710</v>
      </c>
      <c r="J5387" s="3" t="str">
        <f>HYPERLINK("https://www.boe.es/gazeta/dias/1812/05/05/pdfs/GRE-1812-56.pdf#page=8","Abrir facsímil")</f>
        <v>Abrir facsímil</v>
      </c>
      <c r="K5387" s="3" t="s">
        <v>23</v>
      </c>
    </row>
    <row r="5388" spans="1:11" ht="42" customHeight="1">
      <c r="A5388" s="2" t="s">
        <v>13711</v>
      </c>
      <c r="B5388" s="2" t="s">
        <v>13712</v>
      </c>
      <c r="C5388" s="2" t="s">
        <v>26</v>
      </c>
      <c r="D5388" s="2" t="s">
        <v>27</v>
      </c>
      <c r="E5388" s="4">
        <v>-32010</v>
      </c>
      <c r="F5388" s="3" t="s">
        <v>243</v>
      </c>
      <c r="G5388" s="3" t="s">
        <v>45</v>
      </c>
      <c r="H5388" s="2" t="s">
        <v>21</v>
      </c>
      <c r="I5388" s="2" t="s">
        <v>13713</v>
      </c>
      <c r="J5388" s="3" t="str">
        <f>HYPERLINK("https://www.boe.es/gazeta/dias/1812/05/10/pdfs/GMD-1812-131.pdf#page=3","Abrir facsímil")</f>
        <v>Abrir facsímil</v>
      </c>
      <c r="K5388" s="3" t="s">
        <v>23</v>
      </c>
    </row>
    <row r="5389" spans="1:11" ht="42" customHeight="1">
      <c r="A5389" s="2" t="s">
        <v>13714</v>
      </c>
      <c r="B5389" s="2" t="s">
        <v>13715</v>
      </c>
      <c r="C5389" s="2" t="s">
        <v>17</v>
      </c>
      <c r="D5389" s="2" t="s">
        <v>18</v>
      </c>
      <c r="E5389" s="4">
        <v>-32060</v>
      </c>
      <c r="F5389" s="3" t="s">
        <v>399</v>
      </c>
      <c r="G5389" s="3" t="s">
        <v>136</v>
      </c>
      <c r="H5389" s="2" t="s">
        <v>21</v>
      </c>
      <c r="I5389" s="2" t="s">
        <v>13716</v>
      </c>
      <c r="J5389" s="3" t="str">
        <f>HYPERLINK("https://www.boe.es/gazeta/dias/1812/03/21/pdfs/GMD-1812-81.pdf#page=4","Abrir facsímil")</f>
        <v>Abrir facsímil</v>
      </c>
      <c r="K5389" s="3" t="s">
        <v>23</v>
      </c>
    </row>
    <row r="5390" spans="1:11" ht="42" customHeight="1">
      <c r="A5390" s="2" t="s">
        <v>13717</v>
      </c>
      <c r="B5390" s="2" t="s">
        <v>13718</v>
      </c>
      <c r="C5390" s="2" t="s">
        <v>17</v>
      </c>
      <c r="D5390" s="2" t="s">
        <v>27</v>
      </c>
      <c r="E5390" s="4">
        <v>-32041</v>
      </c>
      <c r="F5390" s="3" t="s">
        <v>35</v>
      </c>
      <c r="G5390" s="3" t="s">
        <v>13719</v>
      </c>
      <c r="H5390" s="2" t="s">
        <v>21</v>
      </c>
      <c r="I5390" s="2" t="s">
        <v>13720</v>
      </c>
      <c r="J5390" s="3" t="str">
        <f>HYPERLINK("https://www.boe.es/gazeta/dias/1812/04/09/pdfs/GRE-1812-44.pdf#page=4","Abrir facsímil")</f>
        <v>Abrir facsímil</v>
      </c>
      <c r="K5390" s="3" t="s">
        <v>23</v>
      </c>
    </row>
    <row r="5391" spans="1:11" ht="42" customHeight="1">
      <c r="A5391" s="2" t="s">
        <v>13721</v>
      </c>
      <c r="B5391" s="2" t="s">
        <v>13722</v>
      </c>
      <c r="C5391" s="2" t="s">
        <v>26</v>
      </c>
      <c r="D5391" s="2" t="s">
        <v>275</v>
      </c>
      <c r="E5391" s="4">
        <v>-32034</v>
      </c>
      <c r="F5391" s="3" t="s">
        <v>28</v>
      </c>
      <c r="G5391" s="3" t="s">
        <v>794</v>
      </c>
      <c r="H5391" s="2" t="s">
        <v>21</v>
      </c>
      <c r="I5391" s="2" t="s">
        <v>13723</v>
      </c>
      <c r="J5391" s="3" t="str">
        <f>HYPERLINK("https://www.boe.es/gazeta/dias/1812/04/16/pdfs/GMD-1812-107.pdf#page=7","Abrir facsímil")</f>
        <v>Abrir facsímil</v>
      </c>
      <c r="K5391" s="3" t="s">
        <v>23</v>
      </c>
    </row>
    <row r="5392" spans="1:11" ht="42" customHeight="1">
      <c r="A5392" s="2" t="s">
        <v>13724</v>
      </c>
      <c r="B5392" s="2" t="s">
        <v>13725</v>
      </c>
      <c r="C5392" s="2" t="s">
        <v>26</v>
      </c>
      <c r="D5392" s="2" t="s">
        <v>27</v>
      </c>
      <c r="E5392" s="4">
        <v>-32020</v>
      </c>
      <c r="F5392" s="3" t="s">
        <v>2818</v>
      </c>
      <c r="G5392" s="3" t="s">
        <v>5110</v>
      </c>
      <c r="H5392" s="2" t="s">
        <v>21</v>
      </c>
      <c r="I5392" s="2" t="s">
        <v>13726</v>
      </c>
      <c r="J5392" s="3" t="str">
        <f>HYPERLINK("https://www.boe.es/gazeta/dias/1812/04/30/pdfs/GRE-1812-54.pdf#page=3","Abrir facsímil")</f>
        <v>Abrir facsímil</v>
      </c>
      <c r="K5392" s="3" t="s">
        <v>23</v>
      </c>
    </row>
    <row r="5393" spans="1:11" ht="42" customHeight="1">
      <c r="A5393" s="2" t="s">
        <v>13724</v>
      </c>
      <c r="B5393" s="2" t="s">
        <v>13725</v>
      </c>
      <c r="C5393" s="2" t="s">
        <v>17</v>
      </c>
      <c r="D5393" s="2" t="s">
        <v>27</v>
      </c>
      <c r="E5393" s="4">
        <v>-31857</v>
      </c>
      <c r="F5393" s="3" t="s">
        <v>1000</v>
      </c>
      <c r="G5393" s="3" t="s">
        <v>317</v>
      </c>
      <c r="H5393" s="2" t="s">
        <v>21</v>
      </c>
      <c r="I5393" s="2" t="s">
        <v>13727</v>
      </c>
      <c r="J5393" s="3" t="str">
        <f>HYPERLINK("https://www.boe.es/gazeta/dias/1812/10/10/pdfs/GRE-1812-137.pdf#page=6","Abrir facsímil")</f>
        <v>Abrir facsímil</v>
      </c>
      <c r="K5393" s="3" t="s">
        <v>23</v>
      </c>
    </row>
    <row r="5394" spans="1:11" ht="42" customHeight="1">
      <c r="A5394" s="2" t="s">
        <v>13728</v>
      </c>
      <c r="B5394" s="2" t="s">
        <v>13729</v>
      </c>
      <c r="C5394" s="2" t="s">
        <v>17</v>
      </c>
      <c r="D5394" s="2" t="s">
        <v>27</v>
      </c>
      <c r="E5394" s="4">
        <v>-32137</v>
      </c>
      <c r="F5394" s="3" t="s">
        <v>355</v>
      </c>
      <c r="G5394" s="3" t="s">
        <v>117</v>
      </c>
      <c r="H5394" s="2" t="s">
        <v>21</v>
      </c>
      <c r="I5394" s="2" t="s">
        <v>13730</v>
      </c>
      <c r="J5394" s="3" t="str">
        <f>HYPERLINK("https://www.boe.es/gazeta/dias/1812/01/04/pdfs/GEI-1812-2.pdf#page=8","Abrir facsímil")</f>
        <v>Abrir facsímil</v>
      </c>
      <c r="K5394" s="3" t="s">
        <v>23</v>
      </c>
    </row>
    <row r="5395" spans="1:11" ht="42" customHeight="1">
      <c r="A5395" s="2" t="s">
        <v>13731</v>
      </c>
      <c r="B5395" s="2" t="s">
        <v>13732</v>
      </c>
      <c r="C5395" s="2" t="s">
        <v>26</v>
      </c>
      <c r="D5395" s="2" t="s">
        <v>27</v>
      </c>
      <c r="E5395" s="4">
        <v>-31938</v>
      </c>
      <c r="F5395" s="3" t="s">
        <v>324</v>
      </c>
      <c r="G5395" s="3" t="s">
        <v>497</v>
      </c>
      <c r="H5395" s="2" t="s">
        <v>21</v>
      </c>
      <c r="I5395" s="2" t="s">
        <v>13733</v>
      </c>
      <c r="J5395" s="3" t="str">
        <f>HYPERLINK("https://www.boe.es/gazeta/dias/1812/07/21/pdfs/GMD-1812-203.pdf#page=3","Abrir facsímil")</f>
        <v>Abrir facsímil</v>
      </c>
      <c r="K5395" s="3" t="s">
        <v>23</v>
      </c>
    </row>
    <row r="5396" spans="1:11" ht="42" customHeight="1">
      <c r="A5396" s="2" t="s">
        <v>13734</v>
      </c>
      <c r="B5396" s="2" t="s">
        <v>13735</v>
      </c>
      <c r="C5396" s="2" t="s">
        <v>26</v>
      </c>
      <c r="D5396" s="2" t="s">
        <v>134</v>
      </c>
      <c r="E5396" s="4">
        <v>-31952</v>
      </c>
      <c r="F5396" s="3" t="s">
        <v>1541</v>
      </c>
      <c r="G5396" s="3" t="s">
        <v>130</v>
      </c>
      <c r="H5396" s="2" t="s">
        <v>21</v>
      </c>
      <c r="I5396" s="2" t="s">
        <v>13736</v>
      </c>
      <c r="J5396" s="3" t="str">
        <f>HYPERLINK("https://www.boe.es/gazeta/dias/1812/07/07/pdfs/GRE-F-1812-83.pdf#page=4","Abrir facsímil")</f>
        <v>Abrir facsímil</v>
      </c>
      <c r="K5396" s="3" t="s">
        <v>23</v>
      </c>
    </row>
    <row r="5397" spans="1:11" ht="42" customHeight="1">
      <c r="A5397" s="2" t="s">
        <v>13737</v>
      </c>
      <c r="B5397" s="2" t="s">
        <v>13738</v>
      </c>
      <c r="C5397" s="2" t="s">
        <v>17</v>
      </c>
      <c r="D5397" s="2" t="s">
        <v>27</v>
      </c>
      <c r="E5397" s="4">
        <v>-31885</v>
      </c>
      <c r="F5397" s="3" t="s">
        <v>609</v>
      </c>
      <c r="G5397" s="3" t="s">
        <v>13739</v>
      </c>
      <c r="H5397" s="2" t="s">
        <v>21</v>
      </c>
      <c r="I5397" s="2" t="s">
        <v>13740</v>
      </c>
      <c r="J5397" s="3" t="str">
        <f>HYPERLINK("https://www.boe.es/gazeta/dias/1812/09/12/pdfs/GRE-1812-124.pdf#page=3","Abrir facsímil")</f>
        <v>Abrir facsímil</v>
      </c>
      <c r="K5397" s="3" t="s">
        <v>23</v>
      </c>
    </row>
    <row r="5398" spans="1:11" ht="42" customHeight="1">
      <c r="A5398" s="2" t="s">
        <v>13741</v>
      </c>
      <c r="B5398" s="2" t="s">
        <v>13742</v>
      </c>
      <c r="C5398" s="2" t="s">
        <v>26</v>
      </c>
      <c r="D5398" s="2" t="s">
        <v>27</v>
      </c>
      <c r="E5398" s="4">
        <v>-31941</v>
      </c>
      <c r="F5398" s="3" t="s">
        <v>2048</v>
      </c>
      <c r="G5398" s="3" t="s">
        <v>5514</v>
      </c>
      <c r="H5398" s="2" t="s">
        <v>21</v>
      </c>
      <c r="I5398" s="2" t="s">
        <v>13743</v>
      </c>
      <c r="J5398" s="3" t="str">
        <f>HYPERLINK("https://www.boe.es/gazeta/dias/1812/07/18/pdfs/GRE-1812-90.pdf#page=3","Abrir facsímil")</f>
        <v>Abrir facsímil</v>
      </c>
      <c r="K5398" s="3" t="s">
        <v>23</v>
      </c>
    </row>
    <row r="5399" spans="1:11" ht="42" customHeight="1">
      <c r="A5399" s="2" t="s">
        <v>13744</v>
      </c>
      <c r="B5399" s="2" t="s">
        <v>13745</v>
      </c>
      <c r="C5399" s="2" t="s">
        <v>17</v>
      </c>
      <c r="D5399" s="2" t="s">
        <v>27</v>
      </c>
      <c r="E5399" s="4">
        <v>-32011</v>
      </c>
      <c r="F5399" s="3" t="s">
        <v>1233</v>
      </c>
      <c r="G5399" s="3" t="s">
        <v>8021</v>
      </c>
      <c r="H5399" s="2" t="s">
        <v>21</v>
      </c>
      <c r="I5399" s="2" t="s">
        <v>13746</v>
      </c>
      <c r="J5399" s="3" t="str">
        <f>HYPERLINK("https://www.boe.es/gazeta/dias/1812/05/09/pdfs/GRE-1812-58.pdf#page=2","Abrir facsímil")</f>
        <v>Abrir facsímil</v>
      </c>
      <c r="K5399" s="3" t="s">
        <v>23</v>
      </c>
    </row>
    <row r="5400" spans="1:11" ht="42" customHeight="1">
      <c r="A5400" s="2" t="s">
        <v>13747</v>
      </c>
      <c r="B5400" s="2" t="s">
        <v>13748</v>
      </c>
      <c r="C5400" s="2" t="s">
        <v>17</v>
      </c>
      <c r="D5400" s="2" t="s">
        <v>27</v>
      </c>
      <c r="E5400" s="4">
        <v>-31878</v>
      </c>
      <c r="F5400" s="3" t="s">
        <v>2891</v>
      </c>
      <c r="G5400" s="3" t="s">
        <v>20</v>
      </c>
      <c r="H5400" s="2" t="s">
        <v>21</v>
      </c>
      <c r="I5400" s="2" t="s">
        <v>13749</v>
      </c>
      <c r="J5400" s="3" t="str">
        <f>HYPERLINK("https://www.boe.es/gazeta/dias/1812/09/19/pdfs/GRE-1812-127.pdf#page=5","Abrir facsímil")</f>
        <v>Abrir facsímil</v>
      </c>
      <c r="K5400" s="3" t="s">
        <v>23</v>
      </c>
    </row>
    <row r="5401" spans="1:11" ht="42" customHeight="1">
      <c r="A5401" s="2" t="s">
        <v>13750</v>
      </c>
      <c r="B5401" s="2" t="s">
        <v>13750</v>
      </c>
      <c r="C5401" s="2" t="s">
        <v>17</v>
      </c>
      <c r="D5401" s="2" t="s">
        <v>18</v>
      </c>
      <c r="E5401" s="4">
        <v>-31903</v>
      </c>
      <c r="F5401" s="3" t="s">
        <v>2720</v>
      </c>
      <c r="G5401" s="3" t="s">
        <v>9189</v>
      </c>
      <c r="H5401" s="2" t="s">
        <v>21</v>
      </c>
      <c r="I5401" s="2" t="s">
        <v>13751</v>
      </c>
      <c r="J5401" s="3" t="str">
        <f>HYPERLINK("https://www.boe.es/gazeta/dias/1812/08/25/pdfs/GRE-1812-110.pdf#page=2","Abrir facsímil")</f>
        <v>Abrir facsímil</v>
      </c>
      <c r="K5401" s="3" t="s">
        <v>23</v>
      </c>
    </row>
    <row r="5402" spans="1:11" ht="42" customHeight="1">
      <c r="A5402" s="2" t="s">
        <v>13752</v>
      </c>
      <c r="B5402" s="2" t="s">
        <v>13752</v>
      </c>
      <c r="C5402" s="2" t="s">
        <v>17</v>
      </c>
      <c r="D5402" s="2" t="s">
        <v>18</v>
      </c>
      <c r="E5402" s="4">
        <v>-32067</v>
      </c>
      <c r="F5402" s="3" t="s">
        <v>199</v>
      </c>
      <c r="G5402" s="3" t="s">
        <v>214</v>
      </c>
      <c r="H5402" s="2" t="s">
        <v>21</v>
      </c>
      <c r="I5402" s="2" t="s">
        <v>13753</v>
      </c>
      <c r="J5402" s="3" t="str">
        <f>HYPERLINK("https://www.boe.es/gazeta/dias/1812/03/14/pdfs/GRE-1812-33.pdf#page=7","Abrir facsímil")</f>
        <v>Abrir facsímil</v>
      </c>
      <c r="K5402" s="3" t="s">
        <v>23</v>
      </c>
    </row>
    <row r="5403" spans="1:11" ht="42" customHeight="1">
      <c r="A5403" s="2" t="s">
        <v>13754</v>
      </c>
      <c r="B5403" s="2" t="s">
        <v>13754</v>
      </c>
      <c r="C5403" s="2" t="s">
        <v>17</v>
      </c>
      <c r="D5403" s="2" t="s">
        <v>18</v>
      </c>
      <c r="E5403" s="4">
        <v>-32118</v>
      </c>
      <c r="F5403" s="3" t="s">
        <v>964</v>
      </c>
      <c r="G5403" s="3" t="s">
        <v>965</v>
      </c>
      <c r="H5403" s="2" t="s">
        <v>21</v>
      </c>
      <c r="I5403" s="2" t="s">
        <v>13755</v>
      </c>
      <c r="J5403" s="3" t="str">
        <f>HYPERLINK("https://www.boe.es/gazeta/dias/1812/01/23/pdfs/GEI-H-1812-10.pdf#page=4","Abrir facsímil")</f>
        <v>Abrir facsímil</v>
      </c>
      <c r="K5403" s="3" t="s">
        <v>23</v>
      </c>
    </row>
    <row r="5404" spans="1:11" ht="42" customHeight="1">
      <c r="A5404" s="2" t="s">
        <v>13756</v>
      </c>
      <c r="B5404" s="2" t="s">
        <v>13757</v>
      </c>
      <c r="C5404" s="2" t="s">
        <v>26</v>
      </c>
      <c r="D5404" s="2" t="s">
        <v>27</v>
      </c>
      <c r="E5404" s="4">
        <v>-32034</v>
      </c>
      <c r="F5404" s="3" t="s">
        <v>28</v>
      </c>
      <c r="G5404" s="3" t="s">
        <v>794</v>
      </c>
      <c r="H5404" s="2" t="s">
        <v>21</v>
      </c>
      <c r="I5404" s="2" t="s">
        <v>13758</v>
      </c>
      <c r="J5404" s="3" t="str">
        <f>HYPERLINK("https://www.boe.es/gazeta/dias/1812/04/16/pdfs/GMD-1812-107.pdf#page=7","Abrir facsímil")</f>
        <v>Abrir facsímil</v>
      </c>
      <c r="K5404" s="3" t="s">
        <v>23</v>
      </c>
    </row>
    <row r="5405" spans="1:11" ht="42" customHeight="1">
      <c r="A5405" s="2" t="s">
        <v>13759</v>
      </c>
      <c r="B5405" s="2" t="s">
        <v>13760</v>
      </c>
      <c r="C5405" s="2" t="s">
        <v>26</v>
      </c>
      <c r="D5405" s="2" t="s">
        <v>27</v>
      </c>
      <c r="E5405" s="4">
        <v>-32134</v>
      </c>
      <c r="F5405" s="3" t="s">
        <v>50</v>
      </c>
      <c r="G5405" s="3" t="s">
        <v>233</v>
      </c>
      <c r="H5405" s="2" t="s">
        <v>21</v>
      </c>
      <c r="I5405" s="2" t="s">
        <v>13761</v>
      </c>
      <c r="J5405" s="3" t="str">
        <f>HYPERLINK("https://www.boe.es/gazeta/dias/1812/01/07/pdfs/GEI-1812-3.pdf#page=8","Abrir facsímil")</f>
        <v>Abrir facsímil</v>
      </c>
      <c r="K5405" s="3" t="s">
        <v>23</v>
      </c>
    </row>
    <row r="5406" spans="1:11" ht="42" customHeight="1">
      <c r="A5406" s="2" t="s">
        <v>13762</v>
      </c>
      <c r="B5406" s="2" t="s">
        <v>13763</v>
      </c>
      <c r="C5406" s="2" t="s">
        <v>26</v>
      </c>
      <c r="D5406" s="2" t="s">
        <v>27</v>
      </c>
      <c r="E5406" s="4">
        <v>-32044</v>
      </c>
      <c r="F5406" s="3" t="s">
        <v>1031</v>
      </c>
      <c r="G5406" s="3" t="s">
        <v>1873</v>
      </c>
      <c r="H5406" s="2" t="s">
        <v>21</v>
      </c>
      <c r="I5406" s="2" t="s">
        <v>13764</v>
      </c>
      <c r="J5406" s="3" t="str">
        <f>HYPERLINK("https://www.boe.es/gazeta/dias/1812/04/06/pdfs/GMD-1812-97.pdf#page=4","Abrir facsímil")</f>
        <v>Abrir facsímil</v>
      </c>
      <c r="K5406" s="3" t="s">
        <v>23</v>
      </c>
    </row>
    <row r="5407" spans="1:11" ht="42" customHeight="1">
      <c r="A5407" s="2" t="s">
        <v>13765</v>
      </c>
      <c r="B5407" s="2" t="s">
        <v>13766</v>
      </c>
      <c r="C5407" s="2" t="s">
        <v>26</v>
      </c>
      <c r="D5407" s="2" t="s">
        <v>27</v>
      </c>
      <c r="E5407" s="4">
        <v>-32125</v>
      </c>
      <c r="F5407" s="3" t="s">
        <v>964</v>
      </c>
      <c r="G5407" s="3" t="s">
        <v>1842</v>
      </c>
      <c r="H5407" s="2" t="s">
        <v>21</v>
      </c>
      <c r="I5407" s="2" t="s">
        <v>13767</v>
      </c>
      <c r="J5407" s="3" t="str">
        <f>HYPERLINK("https://www.boe.es/gazeta/dias/1812/01/16/pdfs/GEI-H-1812-7.pdf#page=4","Abrir facsímil")</f>
        <v>Abrir facsímil</v>
      </c>
      <c r="K5407" s="3" t="s">
        <v>23</v>
      </c>
    </row>
    <row r="5408" spans="1:11" ht="42" customHeight="1">
      <c r="A5408" s="2" t="s">
        <v>13768</v>
      </c>
      <c r="B5408" s="2" t="s">
        <v>13768</v>
      </c>
      <c r="C5408" s="2" t="s">
        <v>17</v>
      </c>
      <c r="D5408" s="2" t="s">
        <v>18</v>
      </c>
      <c r="E5408" s="4">
        <v>-31967</v>
      </c>
      <c r="F5408" s="3" t="s">
        <v>1635</v>
      </c>
      <c r="G5408" s="3" t="s">
        <v>4600</v>
      </c>
      <c r="H5408" s="2" t="s">
        <v>21</v>
      </c>
      <c r="I5408" s="2" t="s">
        <v>13769</v>
      </c>
      <c r="J5408" s="3" t="str">
        <f>HYPERLINK("https://www.boe.es/gazeta/dias/1812/06/22/pdfs/GMD-1812-174.pdf#page=1","Abrir facsímil")</f>
        <v>Abrir facsímil</v>
      </c>
      <c r="K5408" s="3" t="s">
        <v>23</v>
      </c>
    </row>
    <row r="5409" spans="1:11" ht="42" customHeight="1">
      <c r="A5409" s="2" t="s">
        <v>13770</v>
      </c>
      <c r="B5409" s="2" t="s">
        <v>13771</v>
      </c>
      <c r="C5409" s="2" t="s">
        <v>26</v>
      </c>
      <c r="D5409" s="2" t="s">
        <v>27</v>
      </c>
      <c r="E5409" s="4">
        <v>-32139</v>
      </c>
      <c r="F5409" s="3" t="s">
        <v>518</v>
      </c>
      <c r="G5409" s="3" t="s">
        <v>125</v>
      </c>
      <c r="H5409" s="2" t="s">
        <v>21</v>
      </c>
      <c r="I5409" s="2" t="s">
        <v>13772</v>
      </c>
      <c r="J5409" s="3" t="str">
        <f>HYPERLINK("https://www.boe.es/gazeta/dias/1812/01/02/pdfs/GEI-1812-1.pdf#page=8","Abrir facsímil")</f>
        <v>Abrir facsímil</v>
      </c>
      <c r="K5409" s="3" t="s">
        <v>23</v>
      </c>
    </row>
    <row r="5410" spans="1:11" ht="42" customHeight="1">
      <c r="A5410" s="2" t="s">
        <v>13773</v>
      </c>
      <c r="B5410" s="2" t="s">
        <v>13773</v>
      </c>
      <c r="C5410" s="2" t="s">
        <v>17</v>
      </c>
      <c r="D5410" s="2" t="s">
        <v>27</v>
      </c>
      <c r="E5410" s="4">
        <v>-31805</v>
      </c>
      <c r="F5410" s="3" t="s">
        <v>895</v>
      </c>
      <c r="G5410" s="3" t="s">
        <v>1845</v>
      </c>
      <c r="H5410" s="2" t="s">
        <v>21</v>
      </c>
      <c r="I5410" s="2" t="s">
        <v>13774</v>
      </c>
      <c r="J5410" s="3" t="str">
        <f>HYPERLINK("https://www.boe.es/gazeta/dias/1812/12/01/pdfs/GMR-1812-39.pdf#page=3","Abrir facsímil")</f>
        <v>Abrir facsímil</v>
      </c>
      <c r="K5410" s="3" t="s">
        <v>23</v>
      </c>
    </row>
    <row r="5411" spans="1:11" ht="42" customHeight="1">
      <c r="A5411" s="2" t="s">
        <v>13773</v>
      </c>
      <c r="B5411" s="2" t="s">
        <v>13773</v>
      </c>
      <c r="C5411" s="2" t="s">
        <v>17</v>
      </c>
      <c r="D5411" s="2" t="s">
        <v>27</v>
      </c>
      <c r="E5411" s="4">
        <v>-31789</v>
      </c>
      <c r="F5411" s="3" t="s">
        <v>873</v>
      </c>
      <c r="G5411" s="3" t="s">
        <v>874</v>
      </c>
      <c r="H5411" s="2" t="s">
        <v>21</v>
      </c>
      <c r="I5411" s="2" t="s">
        <v>13775</v>
      </c>
      <c r="J5411" s="3" t="str">
        <f>HYPERLINK("https://www.boe.es/gazeta/dias/1812/12/17/pdfs/GMD-1812-240.pdf#page=4","Abrir facsímil")</f>
        <v>Abrir facsímil</v>
      </c>
      <c r="K5411" s="3" t="s">
        <v>23</v>
      </c>
    </row>
    <row r="5412" spans="1:11" ht="42" customHeight="1">
      <c r="A5412" s="2" t="s">
        <v>13776</v>
      </c>
      <c r="B5412" s="2" t="s">
        <v>13777</v>
      </c>
      <c r="C5412" s="2" t="s">
        <v>26</v>
      </c>
      <c r="D5412" s="2" t="s">
        <v>27</v>
      </c>
      <c r="E5412" s="4">
        <v>-32139</v>
      </c>
      <c r="F5412" s="3" t="s">
        <v>288</v>
      </c>
      <c r="G5412" s="3" t="s">
        <v>20</v>
      </c>
      <c r="H5412" s="2" t="s">
        <v>21</v>
      </c>
      <c r="I5412" s="2" t="s">
        <v>13778</v>
      </c>
      <c r="J5412" s="3" t="str">
        <f>HYPERLINK("https://www.boe.es/gazeta/dias/1812/01/02/pdfs/GMD-1812-2.pdf#page=3","Abrir facsímil")</f>
        <v>Abrir facsímil</v>
      </c>
      <c r="K5412" s="3" t="s">
        <v>23</v>
      </c>
    </row>
    <row r="5413" spans="1:11" ht="42" customHeight="1">
      <c r="A5413" s="2" t="s">
        <v>13779</v>
      </c>
      <c r="B5413" s="2" t="s">
        <v>13780</v>
      </c>
      <c r="C5413" s="2" t="s">
        <v>17</v>
      </c>
      <c r="D5413" s="2" t="s">
        <v>27</v>
      </c>
      <c r="E5413" s="4">
        <v>-32140</v>
      </c>
      <c r="F5413" s="3" t="s">
        <v>822</v>
      </c>
      <c r="G5413" s="3" t="s">
        <v>58</v>
      </c>
      <c r="H5413" s="2" t="s">
        <v>21</v>
      </c>
      <c r="I5413" s="2" t="s">
        <v>13781</v>
      </c>
      <c r="J5413" s="3" t="str">
        <f>HYPERLINK("https://www.boe.es/gazeta/dias/1812/01/01/pdfs/GMD-1812-1.pdf#page=3","Abrir facsímil")</f>
        <v>Abrir facsímil</v>
      </c>
      <c r="K5413" s="3" t="s">
        <v>23</v>
      </c>
    </row>
    <row r="5414" spans="1:11" ht="42" customHeight="1">
      <c r="A5414" s="2" t="s">
        <v>13782</v>
      </c>
      <c r="B5414" s="2" t="s">
        <v>13783</v>
      </c>
      <c r="C5414" s="2" t="s">
        <v>17</v>
      </c>
      <c r="D5414" s="2" t="s">
        <v>18</v>
      </c>
      <c r="E5414" s="4">
        <v>-31838</v>
      </c>
      <c r="F5414" s="3" t="s">
        <v>1960</v>
      </c>
      <c r="G5414" s="3" t="s">
        <v>196</v>
      </c>
      <c r="H5414" s="2" t="s">
        <v>21</v>
      </c>
      <c r="I5414" s="2" t="s">
        <v>13784</v>
      </c>
      <c r="J5414" s="3" t="str">
        <f>HYPERLINK("https://www.boe.es/gazeta/dias/1812/10/29/pdfs/GRE-1812-145.pdf#page=8","Abrir facsímil")</f>
        <v>Abrir facsímil</v>
      </c>
      <c r="K5414" s="3" t="s">
        <v>23</v>
      </c>
    </row>
    <row r="5415" spans="1:11" ht="42" customHeight="1">
      <c r="A5415" s="2" t="s">
        <v>13785</v>
      </c>
      <c r="B5415" s="2" t="s">
        <v>13785</v>
      </c>
      <c r="C5415" s="2" t="s">
        <v>26</v>
      </c>
      <c r="D5415" s="2" t="s">
        <v>27</v>
      </c>
      <c r="E5415" s="4">
        <v>-32104</v>
      </c>
      <c r="F5415" s="3" t="s">
        <v>996</v>
      </c>
      <c r="G5415" s="3" t="s">
        <v>20</v>
      </c>
      <c r="H5415" s="2" t="s">
        <v>21</v>
      </c>
      <c r="I5415" s="2" t="s">
        <v>13786</v>
      </c>
      <c r="J5415" s="3" t="str">
        <f>HYPERLINK("https://www.boe.es/gazeta/dias/1812/02/06/pdfs/GRE-1812-16.pdf#page=4","Abrir facsímil")</f>
        <v>Abrir facsímil</v>
      </c>
      <c r="K5415" s="3" t="s">
        <v>23</v>
      </c>
    </row>
    <row r="5416" spans="1:11" ht="42" customHeight="1">
      <c r="A5416" s="2" t="s">
        <v>13785</v>
      </c>
      <c r="B5416" s="2" t="s">
        <v>13785</v>
      </c>
      <c r="C5416" s="2" t="s">
        <v>17</v>
      </c>
      <c r="D5416" s="2" t="s">
        <v>27</v>
      </c>
      <c r="E5416" s="4">
        <v>-32039</v>
      </c>
      <c r="F5416" s="3" t="s">
        <v>1910</v>
      </c>
      <c r="G5416" s="3" t="s">
        <v>13787</v>
      </c>
      <c r="H5416" s="2" t="s">
        <v>21</v>
      </c>
      <c r="I5416" s="2" t="s">
        <v>13788</v>
      </c>
      <c r="J5416" s="3" t="str">
        <f>HYPERLINK("https://www.boe.es/gazeta/dias/1812/04/11/pdfs/GRE-1812-46.pdf#page=6","Abrir facsímil")</f>
        <v>Abrir facsímil</v>
      </c>
      <c r="K5416" s="3" t="s">
        <v>23</v>
      </c>
    </row>
    <row r="5417" spans="1:11" ht="42" customHeight="1">
      <c r="A5417" s="2" t="s">
        <v>13785</v>
      </c>
      <c r="B5417" s="2" t="s">
        <v>13785</v>
      </c>
      <c r="C5417" s="2" t="s">
        <v>26</v>
      </c>
      <c r="D5417" s="2" t="s">
        <v>27</v>
      </c>
      <c r="E5417" s="4">
        <v>-31976</v>
      </c>
      <c r="F5417" s="3" t="s">
        <v>54</v>
      </c>
      <c r="G5417" s="3" t="s">
        <v>965</v>
      </c>
      <c r="H5417" s="2" t="s">
        <v>21</v>
      </c>
      <c r="I5417" s="2" t="s">
        <v>13789</v>
      </c>
      <c r="J5417" s="3" t="str">
        <f>HYPERLINK("https://www.boe.es/gazeta/dias/1812/06/13/pdfs/GRE-1812-73.pdf#page=3","Abrir facsímil")</f>
        <v>Abrir facsímil</v>
      </c>
      <c r="K5417" s="3" t="s">
        <v>23</v>
      </c>
    </row>
    <row r="5418" spans="1:11" ht="42" customHeight="1">
      <c r="A5418" s="2" t="s">
        <v>13785</v>
      </c>
      <c r="B5418" s="2" t="s">
        <v>13785</v>
      </c>
      <c r="C5418" s="2" t="s">
        <v>105</v>
      </c>
      <c r="D5418" s="2" t="s">
        <v>194</v>
      </c>
      <c r="E5418" s="4">
        <v>-31950</v>
      </c>
      <c r="F5418" s="3" t="s">
        <v>1024</v>
      </c>
      <c r="G5418" s="3" t="s">
        <v>4600</v>
      </c>
      <c r="H5418" s="2" t="s">
        <v>21</v>
      </c>
      <c r="I5418" s="2" t="s">
        <v>13790</v>
      </c>
      <c r="J5418" s="3" t="str">
        <f>HYPERLINK("https://www.boe.es/gazeta/dias/1812/07/09/pdfs/GRE-1812-84.pdf#page=3","Abrir facsímil")</f>
        <v>Abrir facsímil</v>
      </c>
      <c r="K5418" s="3" t="s">
        <v>23</v>
      </c>
    </row>
    <row r="5419" spans="1:11" ht="42" customHeight="1">
      <c r="A5419" s="2" t="s">
        <v>13785</v>
      </c>
      <c r="B5419" s="2" t="s">
        <v>13785</v>
      </c>
      <c r="C5419" s="2" t="s">
        <v>17</v>
      </c>
      <c r="D5419" s="2" t="s">
        <v>27</v>
      </c>
      <c r="E5419" s="4">
        <v>-31940</v>
      </c>
      <c r="F5419" s="3" t="s">
        <v>187</v>
      </c>
      <c r="G5419" s="3" t="s">
        <v>45</v>
      </c>
      <c r="H5419" s="2" t="s">
        <v>21</v>
      </c>
      <c r="I5419" s="2" t="s">
        <v>13791</v>
      </c>
      <c r="J5419" s="3" t="str">
        <f>HYPERLINK("https://www.boe.es/gazeta/dias/1812/07/19/pdfs/GMD-1812-201.pdf#page=2","Abrir facsímil")</f>
        <v>Abrir facsímil</v>
      </c>
      <c r="K5419" s="3" t="s">
        <v>23</v>
      </c>
    </row>
    <row r="5420" spans="1:11" ht="42" customHeight="1">
      <c r="A5420" s="2" t="s">
        <v>13792</v>
      </c>
      <c r="B5420" s="2" t="s">
        <v>13793</v>
      </c>
      <c r="C5420" s="2" t="s">
        <v>17</v>
      </c>
      <c r="D5420" s="2" t="s">
        <v>18</v>
      </c>
      <c r="E5420" s="4">
        <v>-32039</v>
      </c>
      <c r="F5420" s="3" t="s">
        <v>557</v>
      </c>
      <c r="G5420" s="3" t="s">
        <v>20</v>
      </c>
      <c r="H5420" s="2" t="s">
        <v>21</v>
      </c>
      <c r="I5420" s="2" t="s">
        <v>13794</v>
      </c>
      <c r="J5420" s="3" t="str">
        <f>HYPERLINK("https://www.boe.es/gazeta/dias/1812/04/11/pdfs/GMD-1812-102.pdf#page=4","Abrir facsímil")</f>
        <v>Abrir facsímil</v>
      </c>
      <c r="K5420" s="3" t="s">
        <v>23</v>
      </c>
    </row>
    <row r="5421" spans="1:11" ht="42" customHeight="1">
      <c r="A5421" s="2" t="s">
        <v>13795</v>
      </c>
      <c r="B5421" s="2" t="s">
        <v>13796</v>
      </c>
      <c r="C5421" s="2" t="s">
        <v>26</v>
      </c>
      <c r="D5421" s="2" t="s">
        <v>27</v>
      </c>
      <c r="E5421" s="4">
        <v>-32055</v>
      </c>
      <c r="F5421" s="3" t="s">
        <v>1271</v>
      </c>
      <c r="G5421" s="3" t="s">
        <v>130</v>
      </c>
      <c r="H5421" s="2" t="s">
        <v>21</v>
      </c>
      <c r="I5421" s="2" t="s">
        <v>13797</v>
      </c>
      <c r="J5421" s="3" t="str">
        <f>HYPERLINK("https://www.boe.es/gazeta/dias/1812/03/26/pdfs/GMD-1812-86.pdf#page=4","Abrir facsímil")</f>
        <v>Abrir facsímil</v>
      </c>
      <c r="K5421" s="3" t="s">
        <v>23</v>
      </c>
    </row>
    <row r="5422" spans="1:11" ht="42" customHeight="1">
      <c r="A5422" s="2" t="s">
        <v>13795</v>
      </c>
      <c r="B5422" s="2" t="s">
        <v>13796</v>
      </c>
      <c r="C5422" s="2" t="s">
        <v>26</v>
      </c>
      <c r="D5422" s="2" t="s">
        <v>27</v>
      </c>
      <c r="E5422" s="4">
        <v>-31864</v>
      </c>
      <c r="F5422" s="3" t="s">
        <v>4258</v>
      </c>
      <c r="G5422" s="3" t="s">
        <v>6389</v>
      </c>
      <c r="H5422" s="2" t="s">
        <v>21</v>
      </c>
      <c r="I5422" s="2" t="s">
        <v>13798</v>
      </c>
      <c r="J5422" s="3" t="str">
        <f>HYPERLINK("https://www.boe.es/gazeta/dias/1812/10/03/pdfs/GMR-1812-22.pdf#page=8","Abrir facsímil")</f>
        <v>Abrir facsímil</v>
      </c>
      <c r="K5422" s="3" t="s">
        <v>23</v>
      </c>
    </row>
    <row r="5423" spans="1:11" ht="42" customHeight="1">
      <c r="A5423" s="2" t="s">
        <v>13799</v>
      </c>
      <c r="B5423" s="2" t="s">
        <v>13800</v>
      </c>
      <c r="C5423" s="2" t="s">
        <v>26</v>
      </c>
      <c r="D5423" s="2" t="s">
        <v>27</v>
      </c>
      <c r="E5423" s="4">
        <v>-31894</v>
      </c>
      <c r="F5423" s="3" t="s">
        <v>793</v>
      </c>
      <c r="G5423" s="3" t="s">
        <v>11570</v>
      </c>
      <c r="H5423" s="2" t="s">
        <v>21</v>
      </c>
      <c r="I5423" s="2" t="s">
        <v>13801</v>
      </c>
      <c r="J5423" s="3" t="str">
        <f>HYPERLINK("https://www.boe.es/gazeta/dias/1812/09/03/pdfs/GRE-1812-119.pdf#page=6","Abrir facsímil")</f>
        <v>Abrir facsímil</v>
      </c>
      <c r="K5423" s="3" t="s">
        <v>23</v>
      </c>
    </row>
    <row r="5424" spans="1:11" ht="42" customHeight="1">
      <c r="A5424" s="2" t="s">
        <v>13802</v>
      </c>
      <c r="B5424" s="2" t="s">
        <v>13803</v>
      </c>
      <c r="C5424" s="2" t="s">
        <v>26</v>
      </c>
      <c r="D5424" s="2" t="s">
        <v>27</v>
      </c>
      <c r="E5424" s="4">
        <v>-31988</v>
      </c>
      <c r="F5424" s="3" t="s">
        <v>1094</v>
      </c>
      <c r="G5424" s="3" t="s">
        <v>1095</v>
      </c>
      <c r="H5424" s="2" t="s">
        <v>21</v>
      </c>
      <c r="I5424" s="2" t="s">
        <v>13804</v>
      </c>
      <c r="J5424" s="3" t="str">
        <f>HYPERLINK("https://www.boe.es/gazeta/dias/1812/06/01/pdfs/GMD-1812-153.pdf#page=2","Abrir facsímil")</f>
        <v>Abrir facsímil</v>
      </c>
      <c r="K5424" s="3" t="s">
        <v>23</v>
      </c>
    </row>
    <row r="5425" spans="1:11" ht="42" customHeight="1">
      <c r="A5425" s="2" t="s">
        <v>13805</v>
      </c>
      <c r="B5425" s="2" t="s">
        <v>13806</v>
      </c>
      <c r="C5425" s="2" t="s">
        <v>115</v>
      </c>
      <c r="D5425" s="2" t="s">
        <v>27</v>
      </c>
      <c r="E5425" s="4">
        <v>-32019</v>
      </c>
      <c r="F5425" s="3" t="s">
        <v>476</v>
      </c>
      <c r="G5425" s="3" t="s">
        <v>404</v>
      </c>
      <c r="H5425" s="2" t="s">
        <v>21</v>
      </c>
      <c r="I5425" s="2" t="s">
        <v>13807</v>
      </c>
      <c r="J5425" s="3" t="str">
        <f>HYPERLINK("https://www.boe.es/gazeta/dias/1812/05/01/pdfs/GMD-1812-122.pdf#page=3","Abrir facsímil")</f>
        <v>Abrir facsímil</v>
      </c>
      <c r="K5425" s="3" t="s">
        <v>23</v>
      </c>
    </row>
    <row r="5426" spans="1:11" ht="42" customHeight="1">
      <c r="A5426" s="2" t="s">
        <v>13808</v>
      </c>
      <c r="B5426" s="2" t="s">
        <v>13809</v>
      </c>
      <c r="C5426" s="2" t="s">
        <v>17</v>
      </c>
      <c r="D5426" s="2" t="s">
        <v>275</v>
      </c>
      <c r="E5426" s="4">
        <v>-32127</v>
      </c>
      <c r="F5426" s="3" t="s">
        <v>88</v>
      </c>
      <c r="G5426" s="3" t="s">
        <v>58</v>
      </c>
      <c r="H5426" s="2" t="s">
        <v>21</v>
      </c>
      <c r="I5426" s="2" t="s">
        <v>13810</v>
      </c>
      <c r="J5426" s="3" t="str">
        <f>HYPERLINK("https://www.boe.es/gazeta/dias/1812/01/14/pdfs/GEI-1812-6.pdf#page=6","Abrir facsímil")</f>
        <v>Abrir facsímil</v>
      </c>
      <c r="K5426" s="3" t="s">
        <v>23</v>
      </c>
    </row>
    <row r="5427" spans="1:11" ht="42" customHeight="1">
      <c r="A5427" s="2" t="s">
        <v>13811</v>
      </c>
      <c r="B5427" s="2" t="s">
        <v>13812</v>
      </c>
      <c r="C5427" s="2" t="s">
        <v>26</v>
      </c>
      <c r="D5427" s="2" t="s">
        <v>27</v>
      </c>
      <c r="E5427" s="4">
        <v>-32034</v>
      </c>
      <c r="F5427" s="3" t="s">
        <v>28</v>
      </c>
      <c r="G5427" s="3" t="s">
        <v>130</v>
      </c>
      <c r="H5427" s="2" t="s">
        <v>21</v>
      </c>
      <c r="I5427" s="2" t="s">
        <v>13813</v>
      </c>
      <c r="J5427" s="3" t="str">
        <f>HYPERLINK("https://www.boe.es/gazeta/dias/1812/04/16/pdfs/GMD-1812-107.pdf#page=4","Abrir facsímil")</f>
        <v>Abrir facsímil</v>
      </c>
      <c r="K5427" s="3" t="s">
        <v>23</v>
      </c>
    </row>
    <row r="5428" spans="1:11" ht="42" customHeight="1">
      <c r="A5428" s="2" t="s">
        <v>13814</v>
      </c>
      <c r="B5428" s="2" t="s">
        <v>13815</v>
      </c>
      <c r="C5428" s="2" t="s">
        <v>26</v>
      </c>
      <c r="D5428" s="2" t="s">
        <v>27</v>
      </c>
      <c r="E5428" s="4">
        <v>-32104</v>
      </c>
      <c r="F5428" s="3" t="s">
        <v>996</v>
      </c>
      <c r="G5428" s="3" t="s">
        <v>404</v>
      </c>
      <c r="H5428" s="2" t="s">
        <v>21</v>
      </c>
      <c r="I5428" s="2" t="s">
        <v>13816</v>
      </c>
      <c r="J5428" s="3" t="str">
        <f>HYPERLINK("https://www.boe.es/gazeta/dias/1812/02/06/pdfs/GRE-1812-16.pdf#page=2","Abrir facsímil")</f>
        <v>Abrir facsímil</v>
      </c>
      <c r="K5428" s="3" t="s">
        <v>23</v>
      </c>
    </row>
    <row r="5429" spans="1:11" ht="42" customHeight="1">
      <c r="A5429" s="2" t="s">
        <v>13814</v>
      </c>
      <c r="B5429" s="2" t="s">
        <v>13815</v>
      </c>
      <c r="C5429" s="2" t="s">
        <v>26</v>
      </c>
      <c r="D5429" s="2" t="s">
        <v>27</v>
      </c>
      <c r="E5429" s="4">
        <v>-32011</v>
      </c>
      <c r="F5429" s="3" t="s">
        <v>1233</v>
      </c>
      <c r="G5429" s="3" t="s">
        <v>965</v>
      </c>
      <c r="H5429" s="2" t="s">
        <v>21</v>
      </c>
      <c r="I5429" s="2" t="s">
        <v>13817</v>
      </c>
      <c r="J5429" s="3" t="str">
        <f>HYPERLINK("https://www.boe.es/gazeta/dias/1812/05/09/pdfs/GRE-1812-58.pdf#page=3","Abrir facsímil")</f>
        <v>Abrir facsímil</v>
      </c>
      <c r="K5429" s="3" t="s">
        <v>23</v>
      </c>
    </row>
    <row r="5430" spans="1:11" ht="42" customHeight="1">
      <c r="A5430" s="2" t="s">
        <v>13814</v>
      </c>
      <c r="B5430" s="2" t="s">
        <v>13815</v>
      </c>
      <c r="C5430" s="2" t="s">
        <v>17</v>
      </c>
      <c r="D5430" s="2" t="s">
        <v>18</v>
      </c>
      <c r="E5430" s="4">
        <v>-31991</v>
      </c>
      <c r="F5430" s="3" t="s">
        <v>663</v>
      </c>
      <c r="G5430" s="3" t="s">
        <v>404</v>
      </c>
      <c r="H5430" s="2" t="s">
        <v>21</v>
      </c>
      <c r="I5430" s="2" t="s">
        <v>13818</v>
      </c>
      <c r="J5430" s="3" t="str">
        <f>HYPERLINK("https://www.boe.es/gazeta/dias/1812/05/29/pdfs/GMD-1812-150.pdf#page=4","Abrir facsímil")</f>
        <v>Abrir facsímil</v>
      </c>
      <c r="K5430" s="3" t="s">
        <v>23</v>
      </c>
    </row>
    <row r="5431" spans="1:11" ht="42" customHeight="1">
      <c r="A5431" s="2" t="s">
        <v>13814</v>
      </c>
      <c r="B5431" s="2" t="s">
        <v>13815</v>
      </c>
      <c r="C5431" s="2" t="s">
        <v>17</v>
      </c>
      <c r="D5431" s="2" t="s">
        <v>18</v>
      </c>
      <c r="E5431" s="4">
        <v>-31885</v>
      </c>
      <c r="F5431" s="3" t="s">
        <v>609</v>
      </c>
      <c r="G5431" s="3" t="s">
        <v>13819</v>
      </c>
      <c r="H5431" s="2" t="s">
        <v>21</v>
      </c>
      <c r="I5431" s="2" t="s">
        <v>13820</v>
      </c>
      <c r="J5431" s="3" t="str">
        <f>HYPERLINK("https://www.boe.es/gazeta/dias/1812/09/12/pdfs/GRE-1812-124.pdf#page=5","Abrir facsímil")</f>
        <v>Abrir facsímil</v>
      </c>
      <c r="K5431" s="3" t="s">
        <v>23</v>
      </c>
    </row>
    <row r="5432" spans="1:11" ht="42" customHeight="1">
      <c r="A5432" s="2" t="s">
        <v>13821</v>
      </c>
      <c r="B5432" s="2" t="s">
        <v>13822</v>
      </c>
      <c r="C5432" s="2" t="s">
        <v>67</v>
      </c>
      <c r="D5432" s="2" t="s">
        <v>27</v>
      </c>
      <c r="E5432" s="4">
        <v>-32125</v>
      </c>
      <c r="F5432" s="3" t="s">
        <v>964</v>
      </c>
      <c r="G5432" s="3" t="s">
        <v>1842</v>
      </c>
      <c r="H5432" s="2" t="s">
        <v>21</v>
      </c>
      <c r="I5432" s="2" t="s">
        <v>13823</v>
      </c>
      <c r="J5432" s="3" t="str">
        <f>HYPERLINK("https://www.boe.es/gazeta/dias/1812/01/16/pdfs/GEI-H-1812-7.pdf#page=4","Abrir facsímil")</f>
        <v>Abrir facsímil</v>
      </c>
      <c r="K5432" s="3" t="s">
        <v>23</v>
      </c>
    </row>
    <row r="5433" spans="1:11" ht="42" customHeight="1">
      <c r="A5433" s="2" t="s">
        <v>13824</v>
      </c>
      <c r="B5433" s="2" t="s">
        <v>13825</v>
      </c>
      <c r="C5433" s="2" t="s">
        <v>26</v>
      </c>
      <c r="D5433" s="2" t="s">
        <v>27</v>
      </c>
      <c r="E5433" s="4">
        <v>-31945</v>
      </c>
      <c r="F5433" s="3" t="s">
        <v>1485</v>
      </c>
      <c r="G5433" s="3" t="s">
        <v>1486</v>
      </c>
      <c r="H5433" s="2" t="s">
        <v>21</v>
      </c>
      <c r="I5433" s="2" t="s">
        <v>13826</v>
      </c>
      <c r="J5433" s="3" t="str">
        <f>HYPERLINK("https://www.boe.es/gazeta/dias/1812/07/14/pdfs/GRE-1812-88.pdf#page=1","Abrir facsímil")</f>
        <v>Abrir facsímil</v>
      </c>
      <c r="K5433" s="3" t="s">
        <v>23</v>
      </c>
    </row>
    <row r="5434" spans="1:11" ht="42" customHeight="1">
      <c r="A5434" s="2" t="s">
        <v>13827</v>
      </c>
      <c r="B5434" s="2" t="s">
        <v>13828</v>
      </c>
      <c r="C5434" s="2" t="s">
        <v>26</v>
      </c>
      <c r="D5434" s="2" t="s">
        <v>27</v>
      </c>
      <c r="E5434" s="4">
        <v>-31864</v>
      </c>
      <c r="F5434" s="3" t="s">
        <v>4258</v>
      </c>
      <c r="G5434" s="3" t="s">
        <v>6389</v>
      </c>
      <c r="H5434" s="2" t="s">
        <v>21</v>
      </c>
      <c r="I5434" s="2" t="s">
        <v>13829</v>
      </c>
      <c r="J5434" s="3" t="str">
        <f>HYPERLINK("https://www.boe.es/gazeta/dias/1812/10/03/pdfs/GMR-1812-22.pdf#page=8","Abrir facsímil")</f>
        <v>Abrir facsímil</v>
      </c>
      <c r="K5434" s="3" t="s">
        <v>23</v>
      </c>
    </row>
    <row r="5435" spans="1:11" ht="42" customHeight="1">
      <c r="A5435" s="2" t="s">
        <v>13830</v>
      </c>
      <c r="B5435" s="2" t="s">
        <v>13831</v>
      </c>
      <c r="C5435" s="2" t="s">
        <v>26</v>
      </c>
      <c r="D5435" s="2" t="s">
        <v>27</v>
      </c>
      <c r="E5435" s="4">
        <v>-31945</v>
      </c>
      <c r="F5435" s="3" t="s">
        <v>1485</v>
      </c>
      <c r="G5435" s="3" t="s">
        <v>1486</v>
      </c>
      <c r="H5435" s="2" t="s">
        <v>21</v>
      </c>
      <c r="I5435" s="2" t="s">
        <v>13832</v>
      </c>
      <c r="J5435" s="3" t="str">
        <f>HYPERLINK("https://www.boe.es/gazeta/dias/1812/07/14/pdfs/GRE-1812-88.pdf#page=1","Abrir facsímil")</f>
        <v>Abrir facsímil</v>
      </c>
      <c r="K5435" s="3" t="s">
        <v>23</v>
      </c>
    </row>
    <row r="5436" spans="1:11" ht="42" customHeight="1">
      <c r="A5436" s="2" t="s">
        <v>13833</v>
      </c>
      <c r="B5436" s="2" t="s">
        <v>13834</v>
      </c>
      <c r="C5436" s="2" t="s">
        <v>26</v>
      </c>
      <c r="D5436" s="2" t="s">
        <v>27</v>
      </c>
      <c r="E5436" s="4">
        <v>-32034</v>
      </c>
      <c r="F5436" s="3" t="s">
        <v>28</v>
      </c>
      <c r="G5436" s="3" t="s">
        <v>794</v>
      </c>
      <c r="H5436" s="2" t="s">
        <v>21</v>
      </c>
      <c r="I5436" s="2" t="s">
        <v>13835</v>
      </c>
      <c r="J5436" s="3" t="str">
        <f>HYPERLINK("https://www.boe.es/gazeta/dias/1812/04/16/pdfs/GMD-1812-107.pdf#page=7","Abrir facsímil")</f>
        <v>Abrir facsímil</v>
      </c>
      <c r="K5436" s="3" t="s">
        <v>23</v>
      </c>
    </row>
    <row r="5437" spans="1:11" ht="42" customHeight="1">
      <c r="A5437" s="2" t="s">
        <v>13836</v>
      </c>
      <c r="B5437" s="2" t="s">
        <v>13837</v>
      </c>
      <c r="C5437" s="2" t="s">
        <v>26</v>
      </c>
      <c r="D5437" s="2" t="s">
        <v>27</v>
      </c>
      <c r="E5437" s="4">
        <v>-31965</v>
      </c>
      <c r="F5437" s="3" t="s">
        <v>1180</v>
      </c>
      <c r="G5437" s="3" t="s">
        <v>777</v>
      </c>
      <c r="H5437" s="2" t="s">
        <v>21</v>
      </c>
      <c r="I5437" s="2" t="s">
        <v>13838</v>
      </c>
      <c r="J5437" s="3" t="str">
        <f>HYPERLINK("https://www.boe.es/gazeta/dias/1812/06/24/pdfs/GMD-1812-176.pdf#page=2","Abrir facsímil")</f>
        <v>Abrir facsímil</v>
      </c>
      <c r="K5437" s="3" t="s">
        <v>23</v>
      </c>
    </row>
    <row r="5438" spans="1:11" ht="42" customHeight="1">
      <c r="A5438" s="2" t="s">
        <v>13839</v>
      </c>
      <c r="B5438" s="2" t="s">
        <v>13840</v>
      </c>
      <c r="C5438" s="2" t="s">
        <v>26</v>
      </c>
      <c r="D5438" s="2" t="s">
        <v>27</v>
      </c>
      <c r="E5438" s="4">
        <v>-31963</v>
      </c>
      <c r="F5438" s="3" t="s">
        <v>171</v>
      </c>
      <c r="G5438" s="3" t="s">
        <v>172</v>
      </c>
      <c r="H5438" s="2" t="s">
        <v>21</v>
      </c>
      <c r="I5438" s="2" t="s">
        <v>13841</v>
      </c>
      <c r="J5438" s="3" t="str">
        <f>HYPERLINK("https://www.boe.es/gazeta/dias/1812/06/26/pdfs/GMD-1812-178.pdf#page=3","Abrir facsímil")</f>
        <v>Abrir facsímil</v>
      </c>
      <c r="K5438" s="3" t="s">
        <v>23</v>
      </c>
    </row>
    <row r="5439" spans="1:11" ht="42" customHeight="1">
      <c r="A5439" s="2" t="s">
        <v>13842</v>
      </c>
      <c r="B5439" s="2" t="s">
        <v>13843</v>
      </c>
      <c r="C5439" s="2" t="s">
        <v>115</v>
      </c>
      <c r="D5439" s="2" t="s">
        <v>27</v>
      </c>
      <c r="E5439" s="4">
        <v>-31882</v>
      </c>
      <c r="F5439" s="3" t="s">
        <v>1200</v>
      </c>
      <c r="G5439" s="3" t="s">
        <v>1201</v>
      </c>
      <c r="H5439" s="2" t="s">
        <v>21</v>
      </c>
      <c r="I5439" s="2" t="s">
        <v>13844</v>
      </c>
      <c r="J5439" s="3" t="str">
        <f>HYPERLINK("https://www.boe.es/gazeta/dias/1812/09/15/pdfs/GRE-1812-125.pdf#page=8","Abrir facsímil")</f>
        <v>Abrir facsímil</v>
      </c>
      <c r="K5439" s="3" t="s">
        <v>23</v>
      </c>
    </row>
    <row r="5440" spans="1:11" ht="42" customHeight="1">
      <c r="A5440" s="2" t="s">
        <v>13845</v>
      </c>
      <c r="B5440" s="2" t="s">
        <v>13846</v>
      </c>
      <c r="C5440" s="2" t="s">
        <v>26</v>
      </c>
      <c r="D5440" s="2" t="s">
        <v>27</v>
      </c>
      <c r="E5440" s="4">
        <v>-32137</v>
      </c>
      <c r="F5440" s="3" t="s">
        <v>355</v>
      </c>
      <c r="G5440" s="3" t="s">
        <v>117</v>
      </c>
      <c r="H5440" s="2" t="s">
        <v>21</v>
      </c>
      <c r="I5440" s="2" t="s">
        <v>13847</v>
      </c>
      <c r="J5440" s="3" t="str">
        <f>HYPERLINK("https://www.boe.es/gazeta/dias/1812/01/04/pdfs/GEI-1812-2.pdf#page=8","Abrir facsímil")</f>
        <v>Abrir facsímil</v>
      </c>
      <c r="K5440" s="3" t="s">
        <v>23</v>
      </c>
    </row>
    <row r="5441" spans="1:11" ht="42" customHeight="1">
      <c r="A5441" s="2" t="s">
        <v>13845</v>
      </c>
      <c r="B5441" s="2" t="s">
        <v>13846</v>
      </c>
      <c r="C5441" s="2" t="s">
        <v>17</v>
      </c>
      <c r="D5441" s="2" t="s">
        <v>27</v>
      </c>
      <c r="E5441" s="4">
        <v>-32134</v>
      </c>
      <c r="F5441" s="3" t="s">
        <v>50</v>
      </c>
      <c r="G5441" s="3" t="s">
        <v>45</v>
      </c>
      <c r="H5441" s="2" t="s">
        <v>21</v>
      </c>
      <c r="I5441" s="2" t="s">
        <v>13848</v>
      </c>
      <c r="J5441" s="3" t="str">
        <f>HYPERLINK("https://www.boe.es/gazeta/dias/1812/01/07/pdfs/GEI-1812-3.pdf#page=4","Abrir facsímil")</f>
        <v>Abrir facsímil</v>
      </c>
      <c r="K5441" s="3" t="s">
        <v>23</v>
      </c>
    </row>
    <row r="5442" spans="1:11" ht="42" customHeight="1">
      <c r="A5442" s="2" t="s">
        <v>13849</v>
      </c>
      <c r="B5442" s="2" t="s">
        <v>13850</v>
      </c>
      <c r="C5442" s="2" t="s">
        <v>26</v>
      </c>
      <c r="D5442" s="2" t="s">
        <v>27</v>
      </c>
      <c r="E5442" s="4">
        <v>-31940</v>
      </c>
      <c r="F5442" s="3" t="s">
        <v>187</v>
      </c>
      <c r="G5442" s="3" t="s">
        <v>404</v>
      </c>
      <c r="H5442" s="2" t="s">
        <v>21</v>
      </c>
      <c r="I5442" s="2" t="s">
        <v>13851</v>
      </c>
      <c r="J5442" s="3" t="str">
        <f>HYPERLINK("https://www.boe.es/gazeta/dias/1812/07/19/pdfs/GMD-1812-201.pdf#page=4","Abrir facsímil")</f>
        <v>Abrir facsímil</v>
      </c>
      <c r="K5442" s="3" t="s">
        <v>23</v>
      </c>
    </row>
    <row r="5443" spans="1:11" ht="42" customHeight="1">
      <c r="A5443" s="2" t="s">
        <v>13852</v>
      </c>
      <c r="B5443" s="2" t="s">
        <v>13853</v>
      </c>
      <c r="C5443" s="2" t="s">
        <v>17</v>
      </c>
      <c r="D5443" s="2" t="s">
        <v>573</v>
      </c>
      <c r="E5443" s="4">
        <v>-31874</v>
      </c>
      <c r="F5443" s="3" t="s">
        <v>1697</v>
      </c>
      <c r="G5443" s="3" t="s">
        <v>1698</v>
      </c>
      <c r="H5443" s="2" t="s">
        <v>21</v>
      </c>
      <c r="I5443" s="2" t="s">
        <v>13854</v>
      </c>
      <c r="J5443" s="3" t="str">
        <f>HYPERLINK("https://www.boe.es/gazeta/dias/1812/09/23/pdfs/GRE-1812-129E.pdf#page=3","Abrir facsímil")</f>
        <v>Abrir facsímil</v>
      </c>
      <c r="K5443" s="3" t="s">
        <v>23</v>
      </c>
    </row>
    <row r="5444" spans="1:11" ht="42" customHeight="1">
      <c r="A5444" s="2" t="s">
        <v>13855</v>
      </c>
      <c r="B5444" s="2" t="s">
        <v>13856</v>
      </c>
      <c r="C5444" s="2" t="s">
        <v>26</v>
      </c>
      <c r="D5444" s="2" t="s">
        <v>27</v>
      </c>
      <c r="E5444" s="4">
        <v>-32100</v>
      </c>
      <c r="F5444" s="3" t="s">
        <v>492</v>
      </c>
      <c r="G5444" s="3" t="s">
        <v>493</v>
      </c>
      <c r="H5444" s="2" t="s">
        <v>21</v>
      </c>
      <c r="I5444" s="2" t="s">
        <v>13857</v>
      </c>
      <c r="J5444" s="3" t="str">
        <f>HYPERLINK("https://www.boe.es/gazeta/dias/1812/02/10/pdfs/GRE-1812-31.pdf#page=8","Abrir facsímil")</f>
        <v>Abrir facsímil</v>
      </c>
      <c r="K5444" s="3" t="s">
        <v>23</v>
      </c>
    </row>
    <row r="5445" spans="1:11" ht="42" customHeight="1">
      <c r="A5445" s="2" t="s">
        <v>13855</v>
      </c>
      <c r="B5445" s="2" t="s">
        <v>13856</v>
      </c>
      <c r="C5445" s="2" t="s">
        <v>26</v>
      </c>
      <c r="D5445" s="2" t="s">
        <v>27</v>
      </c>
      <c r="E5445" s="4">
        <v>-32071</v>
      </c>
      <c r="F5445" s="3" t="s">
        <v>492</v>
      </c>
      <c r="G5445" s="3" t="s">
        <v>493</v>
      </c>
      <c r="H5445" s="2" t="s">
        <v>21</v>
      </c>
      <c r="I5445" s="2" t="s">
        <v>13857</v>
      </c>
      <c r="J5445" s="3" t="str">
        <f>HYPERLINK("https://www.boe.es/gazeta/dias/1812/03/10/pdfs/GRE-1812-31.pdf#page=8","Abrir facsímil")</f>
        <v>Abrir facsímil</v>
      </c>
      <c r="K5445" s="3" t="s">
        <v>23</v>
      </c>
    </row>
    <row r="5446" spans="1:11" ht="42" customHeight="1">
      <c r="A5446" s="2" t="s">
        <v>13858</v>
      </c>
      <c r="B5446" s="2" t="s">
        <v>13859</v>
      </c>
      <c r="C5446" s="2" t="s">
        <v>26</v>
      </c>
      <c r="D5446" s="2" t="s">
        <v>27</v>
      </c>
      <c r="E5446" s="4">
        <v>-32039</v>
      </c>
      <c r="F5446" s="3" t="s">
        <v>1910</v>
      </c>
      <c r="G5446" s="3" t="s">
        <v>706</v>
      </c>
      <c r="H5446" s="2" t="s">
        <v>21</v>
      </c>
      <c r="I5446" s="2" t="s">
        <v>13860</v>
      </c>
      <c r="J5446" s="3" t="str">
        <f>HYPERLINK("https://www.boe.es/gazeta/dias/1812/04/11/pdfs/GRE-1812-46.pdf#page=1","Abrir facsímil")</f>
        <v>Abrir facsímil</v>
      </c>
      <c r="K5446" s="3" t="s">
        <v>23</v>
      </c>
    </row>
    <row r="5447" spans="1:11" ht="42" customHeight="1">
      <c r="A5447" s="2" t="s">
        <v>13861</v>
      </c>
      <c r="B5447" s="2" t="s">
        <v>13862</v>
      </c>
      <c r="C5447" s="2" t="s">
        <v>17</v>
      </c>
      <c r="D5447" s="2" t="s">
        <v>18</v>
      </c>
      <c r="E5447" s="4">
        <v>-32118</v>
      </c>
      <c r="F5447" s="3" t="s">
        <v>1420</v>
      </c>
      <c r="G5447" s="3" t="s">
        <v>404</v>
      </c>
      <c r="H5447" s="2" t="s">
        <v>21</v>
      </c>
      <c r="I5447" s="2" t="s">
        <v>13863</v>
      </c>
      <c r="J5447" s="3" t="str">
        <f>HYPERLINK("https://www.boe.es/gazeta/dias/1812/01/23/pdfs/GEI-1812-10.pdf#page=8","Abrir facsímil")</f>
        <v>Abrir facsímil</v>
      </c>
      <c r="K5447" s="3" t="s">
        <v>23</v>
      </c>
    </row>
    <row r="5448" spans="1:11" ht="42" customHeight="1">
      <c r="A5448" s="2" t="s">
        <v>13861</v>
      </c>
      <c r="B5448" s="2" t="s">
        <v>13862</v>
      </c>
      <c r="C5448" s="2" t="s">
        <v>17</v>
      </c>
      <c r="D5448" s="2" t="s">
        <v>18</v>
      </c>
      <c r="E5448" s="4">
        <v>-32039</v>
      </c>
      <c r="F5448" s="3" t="s">
        <v>1910</v>
      </c>
      <c r="G5448" s="3" t="s">
        <v>706</v>
      </c>
      <c r="H5448" s="2" t="s">
        <v>21</v>
      </c>
      <c r="I5448" s="2" t="s">
        <v>13864</v>
      </c>
      <c r="J5448" s="3" t="str">
        <f>HYPERLINK("https://www.boe.es/gazeta/dias/1812/04/11/pdfs/GRE-1812-46.pdf#page=1","Abrir facsímil")</f>
        <v>Abrir facsímil</v>
      </c>
      <c r="K5448" s="3" t="s">
        <v>23</v>
      </c>
    </row>
    <row r="5449" spans="1:11" ht="42" customHeight="1">
      <c r="A5449" s="2" t="s">
        <v>13861</v>
      </c>
      <c r="B5449" s="2" t="s">
        <v>13862</v>
      </c>
      <c r="C5449" s="2" t="s">
        <v>26</v>
      </c>
      <c r="D5449" s="2" t="s">
        <v>27</v>
      </c>
      <c r="E5449" s="4">
        <v>-32015</v>
      </c>
      <c r="F5449" s="3" t="s">
        <v>77</v>
      </c>
      <c r="G5449" s="3" t="s">
        <v>78</v>
      </c>
      <c r="H5449" s="2" t="s">
        <v>21</v>
      </c>
      <c r="I5449" s="2" t="s">
        <v>13865</v>
      </c>
      <c r="J5449" s="3" t="str">
        <f>HYPERLINK("https://www.boe.es/gazeta/dias/1812/05/05/pdfs/GRE-1812-56.pdf#page=8","Abrir facsímil")</f>
        <v>Abrir facsímil</v>
      </c>
      <c r="K5449" s="3" t="s">
        <v>23</v>
      </c>
    </row>
    <row r="5450" spans="1:11" ht="42" customHeight="1">
      <c r="A5450" s="2" t="s">
        <v>13861</v>
      </c>
      <c r="B5450" s="2" t="s">
        <v>13862</v>
      </c>
      <c r="C5450" s="2" t="s">
        <v>26</v>
      </c>
      <c r="D5450" s="2" t="s">
        <v>27</v>
      </c>
      <c r="E5450" s="4">
        <v>-31964</v>
      </c>
      <c r="F5450" s="3" t="s">
        <v>305</v>
      </c>
      <c r="G5450" s="3" t="s">
        <v>306</v>
      </c>
      <c r="H5450" s="2" t="s">
        <v>21</v>
      </c>
      <c r="I5450" s="2" t="s">
        <v>13866</v>
      </c>
      <c r="J5450" s="3" t="str">
        <f>HYPERLINK("https://www.boe.es/gazeta/dias/1812/06/25/pdfs/GMD-1812-177.pdf#page=3","Abrir facsímil")</f>
        <v>Abrir facsímil</v>
      </c>
      <c r="K5450" s="3" t="s">
        <v>23</v>
      </c>
    </row>
    <row r="5451" spans="1:11" ht="42" customHeight="1">
      <c r="A5451" s="2" t="s">
        <v>13861</v>
      </c>
      <c r="B5451" s="2" t="s">
        <v>13862</v>
      </c>
      <c r="C5451" s="2" t="s">
        <v>26</v>
      </c>
      <c r="D5451" s="2" t="s">
        <v>27</v>
      </c>
      <c r="E5451" s="4">
        <v>-31894</v>
      </c>
      <c r="F5451" s="3" t="s">
        <v>793</v>
      </c>
      <c r="G5451" s="3" t="s">
        <v>11570</v>
      </c>
      <c r="H5451" s="2" t="s">
        <v>21</v>
      </c>
      <c r="I5451" s="2" t="s">
        <v>13867</v>
      </c>
      <c r="J5451" s="3" t="str">
        <f>HYPERLINK("https://www.boe.es/gazeta/dias/1812/09/03/pdfs/GRE-1812-119.pdf#page=6","Abrir facsímil")</f>
        <v>Abrir facsímil</v>
      </c>
      <c r="K5451" s="3" t="s">
        <v>23</v>
      </c>
    </row>
    <row r="5452" spans="1:11" ht="42" customHeight="1">
      <c r="A5452" s="2" t="s">
        <v>13868</v>
      </c>
      <c r="B5452" s="2" t="s">
        <v>13869</v>
      </c>
      <c r="C5452" s="2" t="s">
        <v>26</v>
      </c>
      <c r="D5452" s="2" t="s">
        <v>27</v>
      </c>
      <c r="E5452" s="4">
        <v>-32034</v>
      </c>
      <c r="F5452" s="3" t="s">
        <v>28</v>
      </c>
      <c r="G5452" s="3" t="s">
        <v>794</v>
      </c>
      <c r="H5452" s="2" t="s">
        <v>21</v>
      </c>
      <c r="I5452" s="2" t="s">
        <v>13870</v>
      </c>
      <c r="J5452" s="3" t="str">
        <f>HYPERLINK("https://www.boe.es/gazeta/dias/1812/04/16/pdfs/GMD-1812-107.pdf#page=7","Abrir facsímil")</f>
        <v>Abrir facsímil</v>
      </c>
      <c r="K5452" s="3" t="s">
        <v>23</v>
      </c>
    </row>
    <row r="5453" spans="1:11" ht="42" customHeight="1">
      <c r="A5453" s="2" t="s">
        <v>13871</v>
      </c>
      <c r="B5453" s="2" t="s">
        <v>13872</v>
      </c>
      <c r="C5453" s="2" t="s">
        <v>17</v>
      </c>
      <c r="D5453" s="2" t="s">
        <v>18</v>
      </c>
      <c r="E5453" s="4">
        <v>-31973</v>
      </c>
      <c r="F5453" s="3" t="s">
        <v>1735</v>
      </c>
      <c r="G5453" s="3" t="s">
        <v>3666</v>
      </c>
      <c r="H5453" s="2" t="s">
        <v>21</v>
      </c>
      <c r="I5453" s="2" t="s">
        <v>13873</v>
      </c>
      <c r="J5453" s="3" t="str">
        <f>HYPERLINK("https://www.boe.es/gazeta/dias/1812/06/16/pdfs/GRE-1812-74.pdf#page=2","Abrir facsímil")</f>
        <v>Abrir facsímil</v>
      </c>
      <c r="K5453" s="3" t="s">
        <v>23</v>
      </c>
    </row>
    <row r="5454" spans="1:11" ht="42" customHeight="1">
      <c r="A5454" s="2" t="s">
        <v>13874</v>
      </c>
      <c r="B5454" s="2" t="s">
        <v>13875</v>
      </c>
      <c r="C5454" s="2" t="s">
        <v>26</v>
      </c>
      <c r="D5454" s="2" t="s">
        <v>27</v>
      </c>
      <c r="E5454" s="4">
        <v>-32125</v>
      </c>
      <c r="F5454" s="3" t="s">
        <v>964</v>
      </c>
      <c r="G5454" s="3" t="s">
        <v>1842</v>
      </c>
      <c r="H5454" s="2" t="s">
        <v>21</v>
      </c>
      <c r="I5454" s="2" t="s">
        <v>13876</v>
      </c>
      <c r="J5454" s="3" t="str">
        <f>HYPERLINK("https://www.boe.es/gazeta/dias/1812/01/16/pdfs/GEI-H-1812-7.pdf#page=4","Abrir facsímil")</f>
        <v>Abrir facsímil</v>
      </c>
      <c r="K5454" s="3" t="s">
        <v>23</v>
      </c>
    </row>
    <row r="5455" spans="1:11" ht="42" customHeight="1">
      <c r="A5455" s="2" t="s">
        <v>13874</v>
      </c>
      <c r="B5455" s="2" t="s">
        <v>13875</v>
      </c>
      <c r="C5455" s="2" t="s">
        <v>186</v>
      </c>
      <c r="D5455" s="2" t="s">
        <v>275</v>
      </c>
      <c r="E5455" s="4">
        <v>-32034</v>
      </c>
      <c r="F5455" s="3" t="s">
        <v>1008</v>
      </c>
      <c r="G5455" s="3" t="s">
        <v>1009</v>
      </c>
      <c r="H5455" s="2" t="s">
        <v>21</v>
      </c>
      <c r="I5455" s="2" t="s">
        <v>13877</v>
      </c>
      <c r="J5455" s="3" t="str">
        <f>HYPERLINK("https://www.boe.es/gazeta/dias/1812/04/16/pdfs/GRE-1812-48.pdf#page=8","Abrir facsímil")</f>
        <v>Abrir facsímil</v>
      </c>
      <c r="K5455" s="3" t="s">
        <v>23</v>
      </c>
    </row>
    <row r="5456" spans="1:11" ht="42" customHeight="1">
      <c r="A5456" s="2" t="s">
        <v>13874</v>
      </c>
      <c r="B5456" s="2" t="s">
        <v>13875</v>
      </c>
      <c r="C5456" s="2" t="s">
        <v>105</v>
      </c>
      <c r="D5456" s="2" t="s">
        <v>27</v>
      </c>
      <c r="E5456" s="4">
        <v>-31854</v>
      </c>
      <c r="F5456" s="3" t="s">
        <v>717</v>
      </c>
      <c r="G5456" s="3" t="s">
        <v>4983</v>
      </c>
      <c r="H5456" s="2" t="s">
        <v>21</v>
      </c>
      <c r="I5456" s="2" t="s">
        <v>13878</v>
      </c>
      <c r="J5456" s="3" t="str">
        <f>HYPERLINK("https://www.boe.es/gazeta/dias/1812/10/13/pdfs/GRE-1812-138.pdf#page=8","Abrir facsímil")</f>
        <v>Abrir facsímil</v>
      </c>
      <c r="K5456" s="3" t="s">
        <v>23</v>
      </c>
    </row>
    <row r="5457" spans="1:11" ht="42" customHeight="1">
      <c r="A5457" s="2" t="s">
        <v>13874</v>
      </c>
      <c r="B5457" s="2" t="s">
        <v>13875</v>
      </c>
      <c r="C5457" s="2" t="s">
        <v>26</v>
      </c>
      <c r="D5457" s="2" t="s">
        <v>27</v>
      </c>
      <c r="E5457" s="4">
        <v>-31833</v>
      </c>
      <c r="F5457" s="3" t="s">
        <v>267</v>
      </c>
      <c r="G5457" s="3" t="s">
        <v>268</v>
      </c>
      <c r="H5457" s="2" t="s">
        <v>21</v>
      </c>
      <c r="I5457" s="2" t="s">
        <v>13879</v>
      </c>
      <c r="J5457" s="3" t="str">
        <f>HYPERLINK("https://www.boe.es/gazeta/dias/1812/11/03/pdfs/GRE-1812-147.pdf#page=8","Abrir facsímil")</f>
        <v>Abrir facsímil</v>
      </c>
      <c r="K5457" s="3" t="s">
        <v>23</v>
      </c>
    </row>
    <row r="5458" spans="1:11" ht="42" customHeight="1">
      <c r="A5458" s="2" t="s">
        <v>13880</v>
      </c>
      <c r="B5458" s="2" t="s">
        <v>13881</v>
      </c>
      <c r="C5458" s="2" t="s">
        <v>26</v>
      </c>
      <c r="D5458" s="2" t="s">
        <v>27</v>
      </c>
      <c r="E5458" s="4">
        <v>-31816</v>
      </c>
      <c r="F5458" s="3" t="s">
        <v>270</v>
      </c>
      <c r="G5458" s="3" t="s">
        <v>271</v>
      </c>
      <c r="H5458" s="2" t="s">
        <v>21</v>
      </c>
      <c r="I5458" s="2" t="s">
        <v>13882</v>
      </c>
      <c r="J5458" s="3" t="str">
        <f>HYPERLINK("https://www.boe.es/gazeta/dias/1812/11/20/pdfs/GMR-1812-36.pdf#page=6","Abrir facsímil")</f>
        <v>Abrir facsímil</v>
      </c>
      <c r="K5458" s="3" t="s">
        <v>23</v>
      </c>
    </row>
    <row r="5459" spans="1:11" ht="42" customHeight="1">
      <c r="A5459" s="2" t="s">
        <v>13883</v>
      </c>
      <c r="B5459" s="2" t="s">
        <v>13884</v>
      </c>
      <c r="C5459" s="2" t="s">
        <v>26</v>
      </c>
      <c r="D5459" s="2" t="s">
        <v>27</v>
      </c>
      <c r="E5459" s="4">
        <v>-31885</v>
      </c>
      <c r="F5459" s="3" t="s">
        <v>750</v>
      </c>
      <c r="G5459" s="3" t="s">
        <v>5613</v>
      </c>
      <c r="H5459" s="2" t="s">
        <v>21</v>
      </c>
      <c r="I5459" s="2" t="s">
        <v>13885</v>
      </c>
      <c r="J5459" s="3" t="str">
        <f>HYPERLINK("https://www.boe.es/gazeta/dias/1812/09/12/pdfs/GMR-1812-13.pdf#page=6","Abrir facsímil")</f>
        <v>Abrir facsímil</v>
      </c>
      <c r="K5459" s="3" t="s">
        <v>23</v>
      </c>
    </row>
    <row r="5460" spans="1:11" ht="42" customHeight="1">
      <c r="A5460" s="2" t="s">
        <v>13886</v>
      </c>
      <c r="B5460" s="2" t="s">
        <v>13887</v>
      </c>
      <c r="C5460" s="2" t="s">
        <v>17</v>
      </c>
      <c r="D5460" s="2" t="s">
        <v>27</v>
      </c>
      <c r="E5460" s="4">
        <v>-32010</v>
      </c>
      <c r="F5460" s="3" t="s">
        <v>243</v>
      </c>
      <c r="G5460" s="3" t="s">
        <v>45</v>
      </c>
      <c r="H5460" s="2" t="s">
        <v>21</v>
      </c>
      <c r="I5460" s="2" t="s">
        <v>13888</v>
      </c>
      <c r="J5460" s="3" t="str">
        <f>HYPERLINK("https://www.boe.es/gazeta/dias/1812/05/10/pdfs/GMD-1812-131.pdf#page=3","Abrir facsímil")</f>
        <v>Abrir facsímil</v>
      </c>
      <c r="K5460" s="3" t="s">
        <v>23</v>
      </c>
    </row>
    <row r="5461" spans="1:11" ht="42" customHeight="1">
      <c r="A5461" s="2" t="s">
        <v>13889</v>
      </c>
      <c r="B5461" s="2" t="s">
        <v>13890</v>
      </c>
      <c r="C5461" s="2" t="s">
        <v>26</v>
      </c>
      <c r="D5461" s="2" t="s">
        <v>27</v>
      </c>
      <c r="E5461" s="4">
        <v>-31964</v>
      </c>
      <c r="F5461" s="3" t="s">
        <v>305</v>
      </c>
      <c r="G5461" s="3" t="s">
        <v>58</v>
      </c>
      <c r="H5461" s="2" t="s">
        <v>21</v>
      </c>
      <c r="I5461" s="2" t="s">
        <v>13891</v>
      </c>
      <c r="J5461" s="3" t="str">
        <f>HYPERLINK("https://www.boe.es/gazeta/dias/1812/06/25/pdfs/GMD-1812-177.pdf#page=2","Abrir facsímil")</f>
        <v>Abrir facsímil</v>
      </c>
      <c r="K5461" s="3" t="s">
        <v>23</v>
      </c>
    </row>
    <row r="5462" spans="1:11" ht="42" customHeight="1">
      <c r="A5462" s="2" t="s">
        <v>13892</v>
      </c>
      <c r="B5462" s="2" t="s">
        <v>13893</v>
      </c>
      <c r="C5462" s="2" t="s">
        <v>26</v>
      </c>
      <c r="D5462" s="2" t="s">
        <v>27</v>
      </c>
      <c r="E5462" s="4">
        <v>-31938</v>
      </c>
      <c r="F5462" s="3" t="s">
        <v>324</v>
      </c>
      <c r="G5462" s="3" t="s">
        <v>404</v>
      </c>
      <c r="H5462" s="2" t="s">
        <v>21</v>
      </c>
      <c r="I5462" s="2" t="s">
        <v>13894</v>
      </c>
      <c r="J5462" s="3" t="str">
        <f>HYPERLINK("https://www.boe.es/gazeta/dias/1812/07/21/pdfs/GMD-1812-203.pdf#page=4","Abrir facsímil")</f>
        <v>Abrir facsímil</v>
      </c>
      <c r="K5462" s="3" t="s">
        <v>23</v>
      </c>
    </row>
    <row r="5463" spans="1:11" ht="42" customHeight="1">
      <c r="A5463" s="2" t="s">
        <v>13895</v>
      </c>
      <c r="B5463" s="2" t="s">
        <v>13896</v>
      </c>
      <c r="C5463" s="2" t="s">
        <v>26</v>
      </c>
      <c r="D5463" s="2" t="s">
        <v>27</v>
      </c>
      <c r="E5463" s="4">
        <v>-31940</v>
      </c>
      <c r="F5463" s="3" t="s">
        <v>187</v>
      </c>
      <c r="G5463" s="3" t="s">
        <v>404</v>
      </c>
      <c r="H5463" s="2" t="s">
        <v>21</v>
      </c>
      <c r="I5463" s="2" t="s">
        <v>13897</v>
      </c>
      <c r="J5463" s="3" t="str">
        <f>HYPERLINK("https://www.boe.es/gazeta/dias/1812/07/19/pdfs/GMD-1812-201.pdf#page=3","Abrir facsímil")</f>
        <v>Abrir facsímil</v>
      </c>
      <c r="K5463" s="3" t="s">
        <v>23</v>
      </c>
    </row>
    <row r="5464" spans="1:11" ht="42" customHeight="1">
      <c r="A5464" s="2" t="s">
        <v>13898</v>
      </c>
      <c r="B5464" s="2" t="s">
        <v>13899</v>
      </c>
      <c r="C5464" s="2" t="s">
        <v>26</v>
      </c>
      <c r="D5464" s="2" t="s">
        <v>27</v>
      </c>
      <c r="E5464" s="4">
        <v>-32132</v>
      </c>
      <c r="F5464" s="3" t="s">
        <v>484</v>
      </c>
      <c r="G5464" s="3" t="s">
        <v>485</v>
      </c>
      <c r="H5464" s="2" t="s">
        <v>21</v>
      </c>
      <c r="I5464" s="2" t="s">
        <v>13900</v>
      </c>
      <c r="J5464" s="3" t="str">
        <f>HYPERLINK("https://www.boe.es/gazeta/dias/1812/01/09/pdfs/GEI-1812-4.pdf#page=8","Abrir facsímil")</f>
        <v>Abrir facsímil</v>
      </c>
      <c r="K5464" s="3" t="s">
        <v>23</v>
      </c>
    </row>
    <row r="5465" spans="1:11" ht="42" customHeight="1">
      <c r="A5465" s="2" t="s">
        <v>13901</v>
      </c>
      <c r="B5465" s="2" t="s">
        <v>13902</v>
      </c>
      <c r="C5465" s="2" t="s">
        <v>67</v>
      </c>
      <c r="D5465" s="2" t="s">
        <v>27</v>
      </c>
      <c r="E5465" s="4">
        <v>-32125</v>
      </c>
      <c r="F5465" s="3" t="s">
        <v>964</v>
      </c>
      <c r="G5465" s="3" t="s">
        <v>1842</v>
      </c>
      <c r="H5465" s="2" t="s">
        <v>21</v>
      </c>
      <c r="I5465" s="2" t="s">
        <v>13903</v>
      </c>
      <c r="J5465" s="3" t="str">
        <f>HYPERLINK("https://www.boe.es/gazeta/dias/1812/01/16/pdfs/GEI-H-1812-7.pdf#page=4","Abrir facsímil")</f>
        <v>Abrir facsímil</v>
      </c>
      <c r="K5465" s="3" t="s">
        <v>23</v>
      </c>
    </row>
    <row r="5466" spans="1:11" ht="42" customHeight="1">
      <c r="A5466" s="2" t="s">
        <v>13904</v>
      </c>
      <c r="B5466" s="2" t="s">
        <v>13905</v>
      </c>
      <c r="C5466" s="2" t="s">
        <v>26</v>
      </c>
      <c r="D5466" s="2" t="s">
        <v>27</v>
      </c>
      <c r="E5466" s="4">
        <v>-31938</v>
      </c>
      <c r="F5466" s="3" t="s">
        <v>324</v>
      </c>
      <c r="G5466" s="3" t="s">
        <v>404</v>
      </c>
      <c r="H5466" s="2" t="s">
        <v>21</v>
      </c>
      <c r="I5466" s="2" t="s">
        <v>13906</v>
      </c>
      <c r="J5466" s="3" t="str">
        <f>HYPERLINK("https://www.boe.es/gazeta/dias/1812/07/21/pdfs/GMD-1812-203.pdf#page=4","Abrir facsímil")</f>
        <v>Abrir facsímil</v>
      </c>
      <c r="K5466" s="3" t="s">
        <v>23</v>
      </c>
    </row>
    <row r="5467" spans="1:11" ht="42" customHeight="1">
      <c r="A5467" s="2" t="s">
        <v>13907</v>
      </c>
      <c r="B5467" s="2" t="s">
        <v>13908</v>
      </c>
      <c r="C5467" s="2" t="s">
        <v>49</v>
      </c>
      <c r="D5467" s="2" t="s">
        <v>18</v>
      </c>
      <c r="E5467" s="4">
        <v>-31775</v>
      </c>
      <c r="F5467" s="3" t="s">
        <v>660</v>
      </c>
      <c r="G5467" s="3" t="s">
        <v>2138</v>
      </c>
      <c r="H5467" s="2" t="s">
        <v>21</v>
      </c>
      <c r="I5467" s="2" t="s">
        <v>13909</v>
      </c>
      <c r="J5467" s="3" t="str">
        <f>HYPERLINK("https://www.boe.es/gazeta/dias/1812/12/31/pdfs/GRE-1812-172.pdf#page=8","Abrir facsímil")</f>
        <v>Abrir facsímil</v>
      </c>
      <c r="K5467" s="3" t="s">
        <v>23</v>
      </c>
    </row>
    <row r="5468" spans="1:11" ht="42" customHeight="1">
      <c r="A5468" s="2" t="s">
        <v>13910</v>
      </c>
      <c r="B5468" s="2" t="s">
        <v>13911</v>
      </c>
      <c r="C5468" s="2" t="s">
        <v>67</v>
      </c>
      <c r="D5468" s="2" t="s">
        <v>27</v>
      </c>
      <c r="E5468" s="4">
        <v>-31940</v>
      </c>
      <c r="F5468" s="3" t="s">
        <v>187</v>
      </c>
      <c r="G5468" s="3" t="s">
        <v>45</v>
      </c>
      <c r="H5468" s="2" t="s">
        <v>21</v>
      </c>
      <c r="I5468" s="2" t="s">
        <v>13912</v>
      </c>
      <c r="J5468" s="3" t="str">
        <f>HYPERLINK("https://www.boe.es/gazeta/dias/1812/07/19/pdfs/GMD-1812-201.pdf#page=2","Abrir facsímil")</f>
        <v>Abrir facsímil</v>
      </c>
      <c r="K5468" s="3" t="s">
        <v>23</v>
      </c>
    </row>
    <row r="5469" spans="1:11" ht="42" customHeight="1">
      <c r="A5469" s="2" t="s">
        <v>13913</v>
      </c>
      <c r="B5469" s="2" t="s">
        <v>13914</v>
      </c>
      <c r="C5469" s="2" t="s">
        <v>26</v>
      </c>
      <c r="D5469" s="2" t="s">
        <v>27</v>
      </c>
      <c r="E5469" s="4">
        <v>-31939</v>
      </c>
      <c r="F5469" s="3" t="s">
        <v>408</v>
      </c>
      <c r="G5469" s="3" t="s">
        <v>404</v>
      </c>
      <c r="H5469" s="2" t="s">
        <v>21</v>
      </c>
      <c r="I5469" s="2" t="s">
        <v>13915</v>
      </c>
      <c r="J5469" s="3" t="str">
        <f>HYPERLINK("https://www.boe.es/gazeta/dias/1812/07/20/pdfs/GMD-1812-202.pdf#page=2","Abrir facsímil")</f>
        <v>Abrir facsímil</v>
      </c>
      <c r="K5469" s="3" t="s">
        <v>23</v>
      </c>
    </row>
    <row r="5470" spans="1:11" ht="42" customHeight="1">
      <c r="A5470" s="2" t="s">
        <v>13916</v>
      </c>
      <c r="B5470" s="2" t="s">
        <v>13917</v>
      </c>
      <c r="C5470" s="2" t="s">
        <v>26</v>
      </c>
      <c r="D5470" s="2" t="s">
        <v>27</v>
      </c>
      <c r="E5470" s="4">
        <v>-31939</v>
      </c>
      <c r="F5470" s="3" t="s">
        <v>408</v>
      </c>
      <c r="G5470" s="3" t="s">
        <v>404</v>
      </c>
      <c r="H5470" s="2" t="s">
        <v>21</v>
      </c>
      <c r="I5470" s="2" t="s">
        <v>13918</v>
      </c>
      <c r="J5470" s="3" t="str">
        <f>HYPERLINK("https://www.boe.es/gazeta/dias/1812/07/20/pdfs/GMD-1812-202.pdf#page=2","Abrir facsímil")</f>
        <v>Abrir facsímil</v>
      </c>
      <c r="K5470" s="3" t="s">
        <v>23</v>
      </c>
    </row>
    <row r="5471" spans="1:11" ht="42" customHeight="1">
      <c r="A5471" s="2" t="s">
        <v>13919</v>
      </c>
      <c r="B5471" s="2" t="s">
        <v>13920</v>
      </c>
      <c r="C5471" s="2" t="s">
        <v>186</v>
      </c>
      <c r="D5471" s="2" t="s">
        <v>275</v>
      </c>
      <c r="E5471" s="4">
        <v>-31900</v>
      </c>
      <c r="F5471" s="3" t="s">
        <v>276</v>
      </c>
      <c r="G5471" s="3" t="s">
        <v>277</v>
      </c>
      <c r="H5471" s="2" t="s">
        <v>21</v>
      </c>
      <c r="I5471" s="2" t="s">
        <v>13921</v>
      </c>
      <c r="J5471" s="3" t="str">
        <f>HYPERLINK("https://www.boe.es/gazeta/dias/1812/08/28/pdfs/GRE-1812-113E.pdf#page=8","Abrir facsímil")</f>
        <v>Abrir facsímil</v>
      </c>
      <c r="K5471" s="3" t="s">
        <v>23</v>
      </c>
    </row>
    <row r="5472" spans="1:11" ht="42" customHeight="1">
      <c r="A5472" s="2" t="s">
        <v>13922</v>
      </c>
      <c r="B5472" s="2" t="s">
        <v>13923</v>
      </c>
      <c r="C5472" s="2" t="s">
        <v>17</v>
      </c>
      <c r="D5472" s="2" t="s">
        <v>27</v>
      </c>
      <c r="E5472" s="4">
        <v>-31857</v>
      </c>
      <c r="F5472" s="3" t="s">
        <v>1000</v>
      </c>
      <c r="G5472" s="3" t="s">
        <v>1001</v>
      </c>
      <c r="H5472" s="2" t="s">
        <v>21</v>
      </c>
      <c r="I5472" s="2" t="s">
        <v>13924</v>
      </c>
      <c r="J5472" s="3" t="str">
        <f>HYPERLINK("https://www.boe.es/gazeta/dias/1812/10/10/pdfs/GRE-1812-137.pdf#page=7","Abrir facsímil")</f>
        <v>Abrir facsímil</v>
      </c>
      <c r="K5472" s="3" t="s">
        <v>23</v>
      </c>
    </row>
    <row r="5473" spans="1:11" ht="42" customHeight="1">
      <c r="A5473" s="2" t="s">
        <v>13925</v>
      </c>
      <c r="B5473" s="2" t="s">
        <v>13926</v>
      </c>
      <c r="C5473" s="2" t="s">
        <v>26</v>
      </c>
      <c r="D5473" s="2" t="s">
        <v>27</v>
      </c>
      <c r="E5473" s="4">
        <v>-32100</v>
      </c>
      <c r="F5473" s="3" t="s">
        <v>492</v>
      </c>
      <c r="G5473" s="3" t="s">
        <v>493</v>
      </c>
      <c r="H5473" s="2" t="s">
        <v>21</v>
      </c>
      <c r="I5473" s="2" t="s">
        <v>13927</v>
      </c>
      <c r="J5473" s="3" t="str">
        <f>HYPERLINK("https://www.boe.es/gazeta/dias/1812/02/10/pdfs/GRE-1812-31.pdf#page=8","Abrir facsímil")</f>
        <v>Abrir facsímil</v>
      </c>
      <c r="K5473" s="3" t="s">
        <v>23</v>
      </c>
    </row>
    <row r="5474" spans="1:11" ht="42" customHeight="1">
      <c r="A5474" s="2" t="s">
        <v>13925</v>
      </c>
      <c r="B5474" s="2" t="s">
        <v>13926</v>
      </c>
      <c r="C5474" s="2" t="s">
        <v>26</v>
      </c>
      <c r="D5474" s="2" t="s">
        <v>27</v>
      </c>
      <c r="E5474" s="4">
        <v>-32071</v>
      </c>
      <c r="F5474" s="3" t="s">
        <v>492</v>
      </c>
      <c r="G5474" s="3" t="s">
        <v>493</v>
      </c>
      <c r="H5474" s="2" t="s">
        <v>21</v>
      </c>
      <c r="I5474" s="2" t="s">
        <v>13927</v>
      </c>
      <c r="J5474" s="3" t="str">
        <f>HYPERLINK("https://www.boe.es/gazeta/dias/1812/03/10/pdfs/GRE-1812-31.pdf#page=8","Abrir facsímil")</f>
        <v>Abrir facsímil</v>
      </c>
      <c r="K5474" s="3" t="s">
        <v>23</v>
      </c>
    </row>
    <row r="5475" spans="1:11" ht="42" customHeight="1">
      <c r="A5475" s="2" t="s">
        <v>13928</v>
      </c>
      <c r="B5475" s="2" t="s">
        <v>13929</v>
      </c>
      <c r="C5475" s="2" t="s">
        <v>26</v>
      </c>
      <c r="D5475" s="2" t="s">
        <v>134</v>
      </c>
      <c r="E5475" s="4">
        <v>-31983</v>
      </c>
      <c r="F5475" s="3" t="s">
        <v>1437</v>
      </c>
      <c r="G5475" s="3" t="s">
        <v>1438</v>
      </c>
      <c r="H5475" s="2" t="s">
        <v>21</v>
      </c>
      <c r="I5475" s="2" t="s">
        <v>13930</v>
      </c>
      <c r="J5475" s="3" t="str">
        <f>HYPERLINK("https://www.boe.es/gazeta/dias/1812/06/06/pdfs/GRE-F-1812-70.pdf#page=4","Abrir facsímil")</f>
        <v>Abrir facsímil</v>
      </c>
      <c r="K5475" s="3" t="s">
        <v>23</v>
      </c>
    </row>
    <row r="5476" spans="1:11" ht="42" customHeight="1">
      <c r="A5476" s="2" t="s">
        <v>13931</v>
      </c>
      <c r="B5476" s="2" t="s">
        <v>13932</v>
      </c>
      <c r="C5476" s="2" t="s">
        <v>17</v>
      </c>
      <c r="D5476" s="2" t="s">
        <v>18</v>
      </c>
      <c r="E5476" s="4">
        <v>-31992</v>
      </c>
      <c r="F5476" s="3" t="s">
        <v>1292</v>
      </c>
      <c r="G5476" s="3" t="s">
        <v>1424</v>
      </c>
      <c r="H5476" s="2" t="s">
        <v>21</v>
      </c>
      <c r="I5476" s="2" t="s">
        <v>13933</v>
      </c>
      <c r="J5476" s="3" t="str">
        <f>HYPERLINK("https://www.boe.es/gazeta/dias/1812/05/28/pdfs/GRE-1812-66.pdf#page=5","Abrir facsímil")</f>
        <v>Abrir facsímil</v>
      </c>
      <c r="K5476" s="3" t="s">
        <v>23</v>
      </c>
    </row>
    <row r="5477" spans="1:11" ht="42" customHeight="1">
      <c r="A5477" s="2" t="s">
        <v>13934</v>
      </c>
      <c r="B5477" s="2" t="s">
        <v>13934</v>
      </c>
      <c r="C5477" s="2" t="s">
        <v>17</v>
      </c>
      <c r="D5477" s="2" t="s">
        <v>27</v>
      </c>
      <c r="E5477" s="4">
        <v>-32116</v>
      </c>
      <c r="F5477" s="3" t="s">
        <v>964</v>
      </c>
      <c r="G5477" s="3" t="s">
        <v>7941</v>
      </c>
      <c r="H5477" s="2" t="s">
        <v>21</v>
      </c>
      <c r="I5477" s="2" t="s">
        <v>13935</v>
      </c>
      <c r="J5477" s="3" t="str">
        <f>HYPERLINK("https://www.boe.es/gazeta/dias/1812/01/25/pdfs/GEI-H-1812-11.pdf#page=4","Abrir facsímil")</f>
        <v>Abrir facsímil</v>
      </c>
      <c r="K5477" s="3" t="s">
        <v>23</v>
      </c>
    </row>
    <row r="5478" spans="1:11" ht="42" customHeight="1">
      <c r="A5478" s="2" t="s">
        <v>13936</v>
      </c>
      <c r="B5478" s="2" t="s">
        <v>13937</v>
      </c>
      <c r="C5478" s="2" t="s">
        <v>17</v>
      </c>
      <c r="D5478" s="2" t="s">
        <v>18</v>
      </c>
      <c r="E5478" s="4">
        <v>-31822</v>
      </c>
      <c r="F5478" s="3" t="s">
        <v>541</v>
      </c>
      <c r="G5478" s="3" t="s">
        <v>1459</v>
      </c>
      <c r="H5478" s="2" t="s">
        <v>21</v>
      </c>
      <c r="I5478" s="2" t="s">
        <v>13938</v>
      </c>
      <c r="J5478" s="3" t="str">
        <f>HYPERLINK("https://www.boe.es/gazeta/dias/1812/11/14/pdfs/GRE-1812-152.pdf#page=8","Abrir facsímil")</f>
        <v>Abrir facsímil</v>
      </c>
      <c r="K5478" s="3" t="s">
        <v>23</v>
      </c>
    </row>
    <row r="5479" spans="1:11" ht="42" customHeight="1">
      <c r="A5479" s="2" t="s">
        <v>13939</v>
      </c>
      <c r="B5479" s="2" t="s">
        <v>13939</v>
      </c>
      <c r="C5479" s="2" t="s">
        <v>115</v>
      </c>
      <c r="D5479" s="2" t="s">
        <v>27</v>
      </c>
      <c r="E5479" s="4">
        <v>-31981</v>
      </c>
      <c r="F5479" s="3" t="s">
        <v>5059</v>
      </c>
      <c r="G5479" s="3" t="s">
        <v>514</v>
      </c>
      <c r="H5479" s="2" t="s">
        <v>21</v>
      </c>
      <c r="I5479" s="2" t="s">
        <v>13940</v>
      </c>
      <c r="J5479" s="3" t="str">
        <f>HYPERLINK("https://www.boe.es/gazeta/dias/1812/06/08/pdfs/GMD-1812-160.pdf#page=4","Abrir facsímil")</f>
        <v>Abrir facsímil</v>
      </c>
      <c r="K5479" s="3" t="s">
        <v>23</v>
      </c>
    </row>
    <row r="5480" spans="1:11" ht="42" customHeight="1">
      <c r="A5480" s="2" t="s">
        <v>13941</v>
      </c>
      <c r="B5480" s="2" t="s">
        <v>13942</v>
      </c>
      <c r="C5480" s="2" t="s">
        <v>17</v>
      </c>
      <c r="D5480" s="2" t="s">
        <v>27</v>
      </c>
      <c r="E5480" s="4">
        <v>-32095</v>
      </c>
      <c r="F5480" s="3" t="s">
        <v>181</v>
      </c>
      <c r="G5480" s="3" t="s">
        <v>777</v>
      </c>
      <c r="H5480" s="2" t="s">
        <v>21</v>
      </c>
      <c r="I5480" s="2" t="s">
        <v>13943</v>
      </c>
      <c r="J5480" s="3" t="str">
        <f>HYPERLINK("https://www.boe.es/gazeta/dias/1812/02/15/pdfs/GMD-1812-47.pdf#page=3","Abrir facsímil")</f>
        <v>Abrir facsímil</v>
      </c>
      <c r="K5480" s="3" t="s">
        <v>23</v>
      </c>
    </row>
    <row r="5481" spans="1:11" ht="42" customHeight="1">
      <c r="A5481" s="2" t="s">
        <v>13941</v>
      </c>
      <c r="B5481" s="2" t="s">
        <v>13942</v>
      </c>
      <c r="C5481" s="2" t="s">
        <v>17</v>
      </c>
      <c r="D5481" s="2" t="s">
        <v>27</v>
      </c>
      <c r="E5481" s="4">
        <v>-32094</v>
      </c>
      <c r="F5481" s="3" t="s">
        <v>181</v>
      </c>
      <c r="G5481" s="3" t="s">
        <v>777</v>
      </c>
      <c r="H5481" s="2" t="s">
        <v>21</v>
      </c>
      <c r="I5481" s="2" t="s">
        <v>13943</v>
      </c>
      <c r="J5481" s="3" t="str">
        <f>HYPERLINK("https://www.boe.es/gazeta/dias/1812/02/16/pdfs/GMD-1812-47.pdf#page=3","Abrir facsímil")</f>
        <v>Abrir facsímil</v>
      </c>
      <c r="K5481" s="3" t="s">
        <v>23</v>
      </c>
    </row>
    <row r="5482" spans="1:11" ht="42" customHeight="1">
      <c r="A5482" s="2" t="s">
        <v>13944</v>
      </c>
      <c r="B5482" s="2" t="s">
        <v>13945</v>
      </c>
      <c r="C5482" s="2" t="s">
        <v>26</v>
      </c>
      <c r="D5482" s="2" t="s">
        <v>27</v>
      </c>
      <c r="E5482" s="4">
        <v>-32125</v>
      </c>
      <c r="F5482" s="3" t="s">
        <v>964</v>
      </c>
      <c r="G5482" s="3" t="s">
        <v>1842</v>
      </c>
      <c r="H5482" s="2" t="s">
        <v>21</v>
      </c>
      <c r="I5482" s="2" t="s">
        <v>13946</v>
      </c>
      <c r="J5482" s="3" t="str">
        <f>HYPERLINK("https://www.boe.es/gazeta/dias/1812/01/16/pdfs/GEI-H-1812-7.pdf#page=4","Abrir facsímil")</f>
        <v>Abrir facsímil</v>
      </c>
      <c r="K5482" s="3" t="s">
        <v>23</v>
      </c>
    </row>
    <row r="5483" spans="1:11" ht="42" customHeight="1">
      <c r="A5483" s="2" t="s">
        <v>13947</v>
      </c>
      <c r="B5483" s="2" t="s">
        <v>13948</v>
      </c>
      <c r="C5483" s="2" t="s">
        <v>17</v>
      </c>
      <c r="D5483" s="2" t="s">
        <v>27</v>
      </c>
      <c r="E5483" s="4">
        <v>-31917</v>
      </c>
      <c r="F5483" s="3" t="s">
        <v>946</v>
      </c>
      <c r="G5483" s="3" t="s">
        <v>947</v>
      </c>
      <c r="H5483" s="2" t="s">
        <v>21</v>
      </c>
      <c r="I5483" s="2" t="s">
        <v>13949</v>
      </c>
      <c r="J5483" s="3" t="str">
        <f>HYPERLINK("https://www.boe.es/gazeta/dias/1812/08/11/pdfs/GRE-1812-103.pdf#page=8","Abrir facsímil")</f>
        <v>Abrir facsímil</v>
      </c>
      <c r="K5483" s="3" t="s">
        <v>23</v>
      </c>
    </row>
    <row r="5484" spans="1:11" ht="42" customHeight="1">
      <c r="A5484" s="2" t="s">
        <v>13950</v>
      </c>
      <c r="B5484" s="2" t="s">
        <v>13950</v>
      </c>
      <c r="C5484" s="2" t="s">
        <v>17</v>
      </c>
      <c r="D5484" s="2" t="s">
        <v>18</v>
      </c>
      <c r="E5484" s="4">
        <v>-32030</v>
      </c>
      <c r="F5484" s="3" t="s">
        <v>2226</v>
      </c>
      <c r="G5484" s="3" t="s">
        <v>20</v>
      </c>
      <c r="H5484" s="2" t="s">
        <v>21</v>
      </c>
      <c r="I5484" s="2" t="s">
        <v>13951</v>
      </c>
      <c r="J5484" s="3" t="str">
        <f>HYPERLINK("https://www.boe.es/gazeta/dias/1812/04/20/pdfs/GMD-1812-111.pdf#page=4","Abrir facsímil")</f>
        <v>Abrir facsímil</v>
      </c>
      <c r="K5484" s="3" t="s">
        <v>23</v>
      </c>
    </row>
    <row r="5485" spans="1:11" ht="42" customHeight="1">
      <c r="A5485" s="2" t="s">
        <v>13952</v>
      </c>
      <c r="B5485" s="2" t="s">
        <v>13953</v>
      </c>
      <c r="C5485" s="2" t="s">
        <v>26</v>
      </c>
      <c r="D5485" s="2" t="s">
        <v>27</v>
      </c>
      <c r="E5485" s="4">
        <v>-31938</v>
      </c>
      <c r="F5485" s="3" t="s">
        <v>324</v>
      </c>
      <c r="G5485" s="3" t="s">
        <v>497</v>
      </c>
      <c r="H5485" s="2" t="s">
        <v>21</v>
      </c>
      <c r="I5485" s="2" t="s">
        <v>13954</v>
      </c>
      <c r="J5485" s="3" t="str">
        <f>HYPERLINK("https://www.boe.es/gazeta/dias/1812/07/21/pdfs/GMD-1812-203.pdf#page=3","Abrir facsímil")</f>
        <v>Abrir facsímil</v>
      </c>
      <c r="K5485" s="3" t="s">
        <v>23</v>
      </c>
    </row>
    <row r="5486" spans="1:11" ht="42" customHeight="1">
      <c r="A5486" s="2" t="s">
        <v>13955</v>
      </c>
      <c r="B5486" s="2" t="s">
        <v>13955</v>
      </c>
      <c r="C5486" s="2" t="s">
        <v>17</v>
      </c>
      <c r="D5486" s="2" t="s">
        <v>27</v>
      </c>
      <c r="E5486" s="4">
        <v>-32126</v>
      </c>
      <c r="F5486" s="3" t="s">
        <v>5107</v>
      </c>
      <c r="G5486" s="3" t="s">
        <v>1980</v>
      </c>
      <c r="H5486" s="2" t="s">
        <v>21</v>
      </c>
      <c r="I5486" s="2" t="s">
        <v>13956</v>
      </c>
      <c r="J5486" s="3" t="str">
        <f>HYPERLINK("https://www.boe.es/gazeta/dias/1812/01/15/pdfs/GMD-1812-15.pdf#page=2","Abrir facsímil")</f>
        <v>Abrir facsímil</v>
      </c>
      <c r="K5486" s="3" t="s">
        <v>23</v>
      </c>
    </row>
    <row r="5487" spans="1:11" ht="42" customHeight="1">
      <c r="A5487" s="2" t="s">
        <v>13957</v>
      </c>
      <c r="B5487" s="2" t="s">
        <v>13958</v>
      </c>
      <c r="C5487" s="2" t="s">
        <v>115</v>
      </c>
      <c r="D5487" s="2" t="s">
        <v>27</v>
      </c>
      <c r="E5487" s="4">
        <v>-32095</v>
      </c>
      <c r="F5487" s="3" t="s">
        <v>181</v>
      </c>
      <c r="G5487" s="3" t="s">
        <v>182</v>
      </c>
      <c r="H5487" s="2" t="s">
        <v>21</v>
      </c>
      <c r="I5487" s="2" t="s">
        <v>13959</v>
      </c>
      <c r="J5487" s="3" t="str">
        <f>HYPERLINK("https://www.boe.es/gazeta/dias/1812/02/15/pdfs/GMD-1812-47.pdf#page=4","Abrir facsímil")</f>
        <v>Abrir facsímil</v>
      </c>
      <c r="K5487" s="3" t="s">
        <v>23</v>
      </c>
    </row>
    <row r="5488" spans="1:11" ht="42" customHeight="1">
      <c r="A5488" s="2" t="s">
        <v>13957</v>
      </c>
      <c r="B5488" s="2" t="s">
        <v>13958</v>
      </c>
      <c r="C5488" s="2" t="s">
        <v>115</v>
      </c>
      <c r="D5488" s="2" t="s">
        <v>27</v>
      </c>
      <c r="E5488" s="4">
        <v>-32094</v>
      </c>
      <c r="F5488" s="3" t="s">
        <v>181</v>
      </c>
      <c r="G5488" s="3" t="s">
        <v>182</v>
      </c>
      <c r="H5488" s="2" t="s">
        <v>21</v>
      </c>
      <c r="I5488" s="2" t="s">
        <v>13959</v>
      </c>
      <c r="J5488" s="3" t="str">
        <f>HYPERLINK("https://www.boe.es/gazeta/dias/1812/02/16/pdfs/GMD-1812-47.pdf#page=4","Abrir facsímil")</f>
        <v>Abrir facsímil</v>
      </c>
      <c r="K5488" s="3" t="s">
        <v>23</v>
      </c>
    </row>
    <row r="5489" spans="1:11" ht="42" customHeight="1">
      <c r="A5489" s="2" t="s">
        <v>13960</v>
      </c>
      <c r="B5489" s="2" t="s">
        <v>13960</v>
      </c>
      <c r="C5489" s="2" t="s">
        <v>26</v>
      </c>
      <c r="D5489" s="2" t="s">
        <v>27</v>
      </c>
      <c r="E5489" s="4">
        <v>-32100</v>
      </c>
      <c r="F5489" s="3" t="s">
        <v>492</v>
      </c>
      <c r="G5489" s="3" t="s">
        <v>493</v>
      </c>
      <c r="H5489" s="2" t="s">
        <v>21</v>
      </c>
      <c r="I5489" s="2" t="s">
        <v>13961</v>
      </c>
      <c r="J5489" s="3" t="str">
        <f>HYPERLINK("https://www.boe.es/gazeta/dias/1812/02/10/pdfs/GRE-1812-31.pdf#page=8","Abrir facsímil")</f>
        <v>Abrir facsímil</v>
      </c>
      <c r="K5489" s="3" t="s">
        <v>23</v>
      </c>
    </row>
    <row r="5490" spans="1:11" ht="42" customHeight="1">
      <c r="A5490" s="2" t="s">
        <v>13960</v>
      </c>
      <c r="B5490" s="2" t="s">
        <v>13960</v>
      </c>
      <c r="C5490" s="2" t="s">
        <v>26</v>
      </c>
      <c r="D5490" s="2" t="s">
        <v>27</v>
      </c>
      <c r="E5490" s="4">
        <v>-32071</v>
      </c>
      <c r="F5490" s="3" t="s">
        <v>492</v>
      </c>
      <c r="G5490" s="3" t="s">
        <v>493</v>
      </c>
      <c r="H5490" s="2" t="s">
        <v>21</v>
      </c>
      <c r="I5490" s="2" t="s">
        <v>13961</v>
      </c>
      <c r="J5490" s="3" t="str">
        <f>HYPERLINK("https://www.boe.es/gazeta/dias/1812/03/10/pdfs/GRE-1812-31.pdf#page=8","Abrir facsímil")</f>
        <v>Abrir facsímil</v>
      </c>
      <c r="K5490" s="3" t="s">
        <v>23</v>
      </c>
    </row>
    <row r="5491" spans="1:11" ht="42" customHeight="1">
      <c r="A5491" s="2" t="s">
        <v>13960</v>
      </c>
      <c r="B5491" s="2" t="s">
        <v>13960</v>
      </c>
      <c r="C5491" s="2" t="s">
        <v>17</v>
      </c>
      <c r="D5491" s="2" t="s">
        <v>18</v>
      </c>
      <c r="E5491" s="4">
        <v>-32018</v>
      </c>
      <c r="F5491" s="3" t="s">
        <v>1287</v>
      </c>
      <c r="G5491" s="3" t="s">
        <v>1288</v>
      </c>
      <c r="H5491" s="2" t="s">
        <v>21</v>
      </c>
      <c r="I5491" s="2" t="s">
        <v>13962</v>
      </c>
      <c r="J5491" s="3" t="str">
        <f>HYPERLINK("https://www.boe.es/gazeta/dias/1812/05/02/pdfs/GMD-1812-123.pdf#page=2","Abrir facsímil")</f>
        <v>Abrir facsímil</v>
      </c>
      <c r="K5491" s="3" t="s">
        <v>23</v>
      </c>
    </row>
    <row r="5492" spans="1:11" ht="42" customHeight="1">
      <c r="A5492" s="2" t="s">
        <v>13960</v>
      </c>
      <c r="B5492" s="2" t="s">
        <v>13960</v>
      </c>
      <c r="C5492" s="2" t="s">
        <v>26</v>
      </c>
      <c r="D5492" s="2" t="s">
        <v>134</v>
      </c>
      <c r="E5492" s="4">
        <v>-31955</v>
      </c>
      <c r="F5492" s="3" t="s">
        <v>135</v>
      </c>
      <c r="G5492" s="3" t="s">
        <v>136</v>
      </c>
      <c r="H5492" s="2" t="s">
        <v>21</v>
      </c>
      <c r="I5492" s="2" t="s">
        <v>13963</v>
      </c>
      <c r="J5492" s="3" t="str">
        <f>HYPERLINK("https://www.boe.es/gazeta/dias/1812/07/04/pdfs/GRE-F-1812-82.pdf#page=8","Abrir facsímil")</f>
        <v>Abrir facsímil</v>
      </c>
      <c r="K5492" s="3" t="s">
        <v>23</v>
      </c>
    </row>
    <row r="5493" spans="1:11" ht="42" customHeight="1">
      <c r="A5493" s="2" t="s">
        <v>13964</v>
      </c>
      <c r="B5493" s="2" t="s">
        <v>13964</v>
      </c>
      <c r="C5493" s="2" t="s">
        <v>26</v>
      </c>
      <c r="D5493" s="2" t="s">
        <v>27</v>
      </c>
      <c r="E5493" s="4">
        <v>-32044</v>
      </c>
      <c r="F5493" s="3" t="s">
        <v>1031</v>
      </c>
      <c r="G5493" s="3" t="s">
        <v>125</v>
      </c>
      <c r="H5493" s="2" t="s">
        <v>21</v>
      </c>
      <c r="I5493" s="2" t="s">
        <v>13965</v>
      </c>
      <c r="J5493" s="3" t="str">
        <f>HYPERLINK("https://www.boe.es/gazeta/dias/1812/04/06/pdfs/GMD-1812-97.pdf#page=2","Abrir facsímil")</f>
        <v>Abrir facsímil</v>
      </c>
      <c r="K5493" s="3" t="s">
        <v>23</v>
      </c>
    </row>
    <row r="5494" spans="1:11" ht="42" customHeight="1">
      <c r="A5494" s="2" t="s">
        <v>13966</v>
      </c>
      <c r="B5494" s="2" t="s">
        <v>13967</v>
      </c>
      <c r="C5494" s="2" t="s">
        <v>17</v>
      </c>
      <c r="D5494" s="2" t="s">
        <v>27</v>
      </c>
      <c r="E5494" s="4">
        <v>-32132</v>
      </c>
      <c r="F5494" s="3" t="s">
        <v>484</v>
      </c>
      <c r="G5494" s="3" t="s">
        <v>485</v>
      </c>
      <c r="H5494" s="2" t="s">
        <v>21</v>
      </c>
      <c r="I5494" s="2" t="s">
        <v>13968</v>
      </c>
      <c r="J5494" s="3" t="str">
        <f>HYPERLINK("https://www.boe.es/gazeta/dias/1812/01/09/pdfs/GEI-1812-4.pdf#page=8","Abrir facsímil")</f>
        <v>Abrir facsímil</v>
      </c>
      <c r="K5494" s="3" t="s">
        <v>23</v>
      </c>
    </row>
    <row r="5495" spans="1:11" ht="42" customHeight="1">
      <c r="A5495" s="2" t="s">
        <v>13969</v>
      </c>
      <c r="B5495" s="2" t="s">
        <v>13969</v>
      </c>
      <c r="C5495" s="2" t="s">
        <v>17</v>
      </c>
      <c r="D5495" s="2" t="s">
        <v>194</v>
      </c>
      <c r="E5495" s="4">
        <v>-31780</v>
      </c>
      <c r="F5495" s="3" t="s">
        <v>4192</v>
      </c>
      <c r="G5495" s="3" t="s">
        <v>140</v>
      </c>
      <c r="H5495" s="2" t="s">
        <v>21</v>
      </c>
      <c r="I5495" s="2" t="s">
        <v>13970</v>
      </c>
      <c r="J5495" s="3" t="str">
        <f>HYPERLINK("https://www.boe.es/gazeta/dias/1812/12/26/pdfs/GMD-1812-249.pdf#page=2","Abrir facsímil")</f>
        <v>Abrir facsímil</v>
      </c>
      <c r="K5495" s="3" t="s">
        <v>23</v>
      </c>
    </row>
    <row r="5496" spans="1:11" ht="42" customHeight="1">
      <c r="A5496" s="2" t="s">
        <v>13971</v>
      </c>
      <c r="B5496" s="2" t="s">
        <v>13971</v>
      </c>
      <c r="C5496" s="2" t="s">
        <v>17</v>
      </c>
      <c r="D5496" s="2" t="s">
        <v>27</v>
      </c>
      <c r="E5496" s="4">
        <v>-31780</v>
      </c>
      <c r="F5496" s="3" t="s">
        <v>4192</v>
      </c>
      <c r="G5496" s="3" t="s">
        <v>140</v>
      </c>
      <c r="H5496" s="2" t="s">
        <v>21</v>
      </c>
      <c r="I5496" s="2" t="s">
        <v>13972</v>
      </c>
      <c r="J5496" s="3" t="str">
        <f>HYPERLINK("https://www.boe.es/gazeta/dias/1812/12/26/pdfs/GMD-1812-249.pdf#page=2","Abrir facsímil")</f>
        <v>Abrir facsímil</v>
      </c>
      <c r="K5496" s="3" t="s">
        <v>23</v>
      </c>
    </row>
    <row r="5497" spans="1:11" ht="42" customHeight="1">
      <c r="A5497" s="2" t="s">
        <v>13973</v>
      </c>
      <c r="B5497" s="2" t="s">
        <v>13973</v>
      </c>
      <c r="C5497" s="2" t="s">
        <v>17</v>
      </c>
      <c r="D5497" s="2" t="s">
        <v>27</v>
      </c>
      <c r="E5497" s="4">
        <v>-31977</v>
      </c>
      <c r="F5497" s="3" t="s">
        <v>1566</v>
      </c>
      <c r="G5497" s="3" t="s">
        <v>6158</v>
      </c>
      <c r="H5497" s="2" t="s">
        <v>21</v>
      </c>
      <c r="I5497" s="2" t="s">
        <v>13974</v>
      </c>
      <c r="J5497" s="3" t="str">
        <f>HYPERLINK("https://www.boe.es/gazeta/dias/1812/06/12/pdfs/GMD-1812-164.pdf#page=2","Abrir facsímil")</f>
        <v>Abrir facsímil</v>
      </c>
      <c r="K5497" s="3" t="s">
        <v>23</v>
      </c>
    </row>
    <row r="5498" spans="1:11" ht="42" customHeight="1">
      <c r="A5498" s="2" t="s">
        <v>13975</v>
      </c>
      <c r="B5498" s="2" t="s">
        <v>13976</v>
      </c>
      <c r="C5498" s="2" t="s">
        <v>17</v>
      </c>
      <c r="D5498" s="2" t="s">
        <v>18</v>
      </c>
      <c r="E5498" s="4">
        <v>-32034</v>
      </c>
      <c r="F5498" s="3" t="s">
        <v>1008</v>
      </c>
      <c r="G5498" s="3" t="s">
        <v>1009</v>
      </c>
      <c r="H5498" s="2" t="s">
        <v>21</v>
      </c>
      <c r="I5498" s="2" t="s">
        <v>13977</v>
      </c>
      <c r="J5498" s="3" t="str">
        <f>HYPERLINK("https://www.boe.es/gazeta/dias/1812/04/16/pdfs/GRE-1812-48.pdf#page=8","Abrir facsímil")</f>
        <v>Abrir facsímil</v>
      </c>
      <c r="K5498" s="3" t="s">
        <v>23</v>
      </c>
    </row>
    <row r="5499" spans="1:11" ht="42" customHeight="1">
      <c r="A5499" s="2" t="s">
        <v>13978</v>
      </c>
      <c r="B5499" s="2" t="s">
        <v>13979</v>
      </c>
      <c r="C5499" s="2" t="s">
        <v>17</v>
      </c>
      <c r="D5499" s="2" t="s">
        <v>275</v>
      </c>
      <c r="E5499" s="4">
        <v>-31901</v>
      </c>
      <c r="F5499" s="3" t="s">
        <v>590</v>
      </c>
      <c r="G5499" s="3" t="s">
        <v>674</v>
      </c>
      <c r="H5499" s="2" t="s">
        <v>21</v>
      </c>
      <c r="I5499" s="2" t="s">
        <v>13980</v>
      </c>
      <c r="J5499" s="3" t="str">
        <f>HYPERLINK("https://www.boe.es/gazeta/dias/1812/08/27/pdfs/GMR-1812-6.pdf#page=6","Abrir facsímil")</f>
        <v>Abrir facsímil</v>
      </c>
      <c r="K5499" s="3" t="s">
        <v>23</v>
      </c>
    </row>
    <row r="5500" spans="1:11" ht="42" customHeight="1">
      <c r="A5500" s="2" t="s">
        <v>13981</v>
      </c>
      <c r="B5500" s="2" t="s">
        <v>13982</v>
      </c>
      <c r="C5500" s="2" t="s">
        <v>17</v>
      </c>
      <c r="D5500" s="2" t="s">
        <v>27</v>
      </c>
      <c r="E5500" s="4">
        <v>-31878</v>
      </c>
      <c r="F5500" s="3" t="s">
        <v>2891</v>
      </c>
      <c r="G5500" s="3" t="s">
        <v>20</v>
      </c>
      <c r="H5500" s="2" t="s">
        <v>21</v>
      </c>
      <c r="I5500" s="2" t="s">
        <v>13983</v>
      </c>
      <c r="J5500" s="3" t="str">
        <f>HYPERLINK("https://www.boe.es/gazeta/dias/1812/09/19/pdfs/GRE-1812-127.pdf#page=5","Abrir facsímil")</f>
        <v>Abrir facsímil</v>
      </c>
      <c r="K5500" s="3" t="s">
        <v>23</v>
      </c>
    </row>
    <row r="5501" spans="1:11" ht="42" customHeight="1">
      <c r="A5501" s="2" t="s">
        <v>13984</v>
      </c>
      <c r="B5501" s="2" t="s">
        <v>13984</v>
      </c>
      <c r="C5501" s="2" t="s">
        <v>17</v>
      </c>
      <c r="D5501" s="2" t="s">
        <v>275</v>
      </c>
      <c r="E5501" s="4">
        <v>-31928</v>
      </c>
      <c r="F5501" s="3" t="s">
        <v>7417</v>
      </c>
      <c r="G5501" s="3" t="s">
        <v>3409</v>
      </c>
      <c r="H5501" s="2" t="s">
        <v>21</v>
      </c>
      <c r="I5501" s="2" t="s">
        <v>13985</v>
      </c>
      <c r="J5501" s="3" t="str">
        <f>HYPERLINK("https://www.boe.es/gazeta/dias/1812/07/31/pdfs/GMD-1812-213.pdf#page=1","Abrir facsímil")</f>
        <v>Abrir facsímil</v>
      </c>
      <c r="K5501" s="3" t="s">
        <v>23</v>
      </c>
    </row>
    <row r="5502" spans="1:11" ht="42" customHeight="1">
      <c r="A5502" s="2" t="s">
        <v>13986</v>
      </c>
      <c r="B5502" s="2" t="s">
        <v>13986</v>
      </c>
      <c r="C5502" s="2" t="s">
        <v>26</v>
      </c>
      <c r="D5502" s="2" t="s">
        <v>27</v>
      </c>
      <c r="E5502" s="4">
        <v>-32130</v>
      </c>
      <c r="F5502" s="3" t="s">
        <v>2538</v>
      </c>
      <c r="G5502" s="3" t="s">
        <v>1076</v>
      </c>
      <c r="H5502" s="2" t="s">
        <v>21</v>
      </c>
      <c r="I5502" s="2" t="s">
        <v>13987</v>
      </c>
      <c r="J5502" s="3" t="str">
        <f>HYPERLINK("https://www.boe.es/gazeta/dias/1812/01/11/pdfs/GEI-1812-5.pdf#page=1","Abrir facsímil")</f>
        <v>Abrir facsímil</v>
      </c>
      <c r="K5502" s="3" t="s">
        <v>23</v>
      </c>
    </row>
    <row r="5503" spans="1:11" ht="42" customHeight="1">
      <c r="A5503" s="2" t="s">
        <v>13986</v>
      </c>
      <c r="B5503" s="2" t="s">
        <v>13986</v>
      </c>
      <c r="C5503" s="2" t="s">
        <v>17</v>
      </c>
      <c r="D5503" s="2" t="s">
        <v>18</v>
      </c>
      <c r="E5503" s="4">
        <v>-31880</v>
      </c>
      <c r="F5503" s="3" t="s">
        <v>705</v>
      </c>
      <c r="G5503" s="3" t="s">
        <v>20</v>
      </c>
      <c r="H5503" s="2" t="s">
        <v>21</v>
      </c>
      <c r="I5503" s="2" t="s">
        <v>13988</v>
      </c>
      <c r="J5503" s="3" t="str">
        <f>HYPERLINK("https://www.boe.es/gazeta/dias/1812/09/17/pdfs/GMR-1812-15.pdf#page=8","Abrir facsímil")</f>
        <v>Abrir facsímil</v>
      </c>
      <c r="K5503" s="3" t="s">
        <v>23</v>
      </c>
    </row>
    <row r="5504" spans="1:11" ht="42" customHeight="1">
      <c r="A5504" s="2" t="s">
        <v>13989</v>
      </c>
      <c r="B5504" s="2" t="s">
        <v>13989</v>
      </c>
      <c r="C5504" s="2" t="s">
        <v>17</v>
      </c>
      <c r="D5504" s="2" t="s">
        <v>18</v>
      </c>
      <c r="E5504" s="4">
        <v>-31978</v>
      </c>
      <c r="F5504" s="3" t="s">
        <v>1790</v>
      </c>
      <c r="G5504" s="3" t="s">
        <v>1791</v>
      </c>
      <c r="H5504" s="2" t="s">
        <v>21</v>
      </c>
      <c r="I5504" s="2" t="s">
        <v>13990</v>
      </c>
      <c r="J5504" s="3" t="str">
        <f>HYPERLINK("https://www.boe.es/gazeta/dias/1812/06/11/pdfs/GRE-1812-72.pdf#page=8","Abrir facsímil")</f>
        <v>Abrir facsímil</v>
      </c>
      <c r="K5504" s="3" t="s">
        <v>23</v>
      </c>
    </row>
    <row r="5505" spans="1:11" ht="42" customHeight="1">
      <c r="A5505" s="2" t="s">
        <v>13991</v>
      </c>
      <c r="B5505" s="2" t="s">
        <v>13991</v>
      </c>
      <c r="C5505" s="2" t="s">
        <v>17</v>
      </c>
      <c r="D5505" s="2" t="s">
        <v>27</v>
      </c>
      <c r="E5505" s="4">
        <v>-31778</v>
      </c>
      <c r="F5505" s="3" t="s">
        <v>1966</v>
      </c>
      <c r="G5505" s="3" t="s">
        <v>237</v>
      </c>
      <c r="H5505" s="2" t="s">
        <v>21</v>
      </c>
      <c r="I5505" s="2" t="s">
        <v>13992</v>
      </c>
      <c r="J5505" s="3" t="str">
        <f>HYPERLINK("https://www.boe.es/gazeta/dias/1812/12/28/pdfs/GMD-1812-251.pdf#page=1","Abrir facsímil")</f>
        <v>Abrir facsímil</v>
      </c>
      <c r="K5505" s="3" t="s">
        <v>23</v>
      </c>
    </row>
    <row r="5506" spans="1:11" ht="42" customHeight="1">
      <c r="A5506" s="2" t="s">
        <v>13993</v>
      </c>
      <c r="B5506" s="2" t="s">
        <v>13994</v>
      </c>
      <c r="C5506" s="2" t="s">
        <v>26</v>
      </c>
      <c r="D5506" s="2" t="s">
        <v>27</v>
      </c>
      <c r="E5506" s="4">
        <v>-31857</v>
      </c>
      <c r="F5506" s="3" t="s">
        <v>1000</v>
      </c>
      <c r="G5506" s="3" t="s">
        <v>1001</v>
      </c>
      <c r="H5506" s="2" t="s">
        <v>21</v>
      </c>
      <c r="I5506" s="2" t="s">
        <v>13995</v>
      </c>
      <c r="J5506" s="3" t="str">
        <f>HYPERLINK("https://www.boe.es/gazeta/dias/1812/10/10/pdfs/GRE-1812-137.pdf#page=7","Abrir facsímil")</f>
        <v>Abrir facsímil</v>
      </c>
      <c r="K5506" s="3" t="s">
        <v>23</v>
      </c>
    </row>
    <row r="5507" spans="1:11" ht="42" customHeight="1">
      <c r="A5507" s="2" t="s">
        <v>13996</v>
      </c>
      <c r="B5507" s="2" t="s">
        <v>13996</v>
      </c>
      <c r="C5507" s="2" t="s">
        <v>115</v>
      </c>
      <c r="D5507" s="2" t="s">
        <v>27</v>
      </c>
      <c r="E5507" s="4">
        <v>-32039</v>
      </c>
      <c r="F5507" s="3" t="s">
        <v>557</v>
      </c>
      <c r="G5507" s="3" t="s">
        <v>20</v>
      </c>
      <c r="H5507" s="2" t="s">
        <v>21</v>
      </c>
      <c r="I5507" s="2" t="s">
        <v>13997</v>
      </c>
      <c r="J5507" s="3" t="str">
        <f>HYPERLINK("https://www.boe.es/gazeta/dias/1812/04/11/pdfs/GMD-1812-102.pdf#page=2","Abrir facsímil")</f>
        <v>Abrir facsímil</v>
      </c>
      <c r="K5507" s="3" t="s">
        <v>23</v>
      </c>
    </row>
    <row r="5508" spans="1:11" ht="42" customHeight="1">
      <c r="A5508" s="2" t="s">
        <v>13998</v>
      </c>
      <c r="B5508" s="2" t="s">
        <v>13998</v>
      </c>
      <c r="C5508" s="2" t="s">
        <v>26</v>
      </c>
      <c r="D5508" s="2" t="s">
        <v>27</v>
      </c>
      <c r="E5508" s="4">
        <v>-32115</v>
      </c>
      <c r="F5508" s="3" t="s">
        <v>747</v>
      </c>
      <c r="G5508" s="3" t="s">
        <v>739</v>
      </c>
      <c r="H5508" s="2" t="s">
        <v>21</v>
      </c>
      <c r="I5508" s="2" t="s">
        <v>13999</v>
      </c>
      <c r="J5508" s="3" t="str">
        <f>HYPERLINK("https://www.boe.es/gazeta/dias/1812/01/26/pdfs/GMD-1812-26.pdf#page=1","Abrir facsímil")</f>
        <v>Abrir facsímil</v>
      </c>
      <c r="K5508" s="3" t="s">
        <v>23</v>
      </c>
    </row>
    <row r="5509" spans="1:11" ht="42" customHeight="1">
      <c r="A5509" s="2" t="s">
        <v>14000</v>
      </c>
      <c r="B5509" s="2" t="s">
        <v>14000</v>
      </c>
      <c r="C5509" s="2" t="s">
        <v>115</v>
      </c>
      <c r="D5509" s="2" t="s">
        <v>27</v>
      </c>
      <c r="E5509" s="4">
        <v>-32029</v>
      </c>
      <c r="F5509" s="3" t="s">
        <v>3605</v>
      </c>
      <c r="G5509" s="3" t="s">
        <v>20</v>
      </c>
      <c r="H5509" s="2" t="s">
        <v>21</v>
      </c>
      <c r="I5509" s="2" t="s">
        <v>14001</v>
      </c>
      <c r="J5509" s="3" t="str">
        <f>HYPERLINK("https://www.boe.es/gazeta/dias/1812/04/21/pdfs/GMD-1812-112.pdf#page=2","Abrir facsímil")</f>
        <v>Abrir facsímil</v>
      </c>
      <c r="K5509" s="3" t="s">
        <v>23</v>
      </c>
    </row>
    <row r="5510" spans="1:11" ht="42" customHeight="1">
      <c r="A5510" s="2" t="s">
        <v>14002</v>
      </c>
      <c r="B5510" s="2" t="s">
        <v>14003</v>
      </c>
      <c r="C5510" s="2" t="s">
        <v>17</v>
      </c>
      <c r="D5510" s="2" t="s">
        <v>27</v>
      </c>
      <c r="E5510" s="4">
        <v>-32137</v>
      </c>
      <c r="F5510" s="3" t="s">
        <v>355</v>
      </c>
      <c r="G5510" s="3" t="s">
        <v>196</v>
      </c>
      <c r="H5510" s="2" t="s">
        <v>21</v>
      </c>
      <c r="I5510" s="2" t="s">
        <v>14004</v>
      </c>
      <c r="J5510" s="3" t="str">
        <f>HYPERLINK("https://www.boe.es/gazeta/dias/1812/01/04/pdfs/GEI-1812-2.pdf#page=1","Abrir facsímil")</f>
        <v>Abrir facsímil</v>
      </c>
      <c r="K5510" s="3" t="s">
        <v>23</v>
      </c>
    </row>
    <row r="5511" spans="1:11" ht="42" customHeight="1">
      <c r="A5511" s="2" t="s">
        <v>14005</v>
      </c>
      <c r="B5511" s="2" t="s">
        <v>14005</v>
      </c>
      <c r="C5511" s="2" t="s">
        <v>17</v>
      </c>
      <c r="D5511" s="2" t="s">
        <v>27</v>
      </c>
      <c r="E5511" s="4">
        <v>-31943</v>
      </c>
      <c r="F5511" s="3" t="s">
        <v>2825</v>
      </c>
      <c r="G5511" s="3" t="s">
        <v>3095</v>
      </c>
      <c r="H5511" s="2" t="s">
        <v>21</v>
      </c>
      <c r="I5511" s="2" t="s">
        <v>14006</v>
      </c>
      <c r="J5511" s="3" t="str">
        <f>HYPERLINK("https://www.boe.es/gazeta/dias/1812/07/16/pdfs/GRE-1812-89.pdf#page=7","Abrir facsímil")</f>
        <v>Abrir facsímil</v>
      </c>
      <c r="K5511" s="3" t="s">
        <v>23</v>
      </c>
    </row>
    <row r="5512" spans="1:11" ht="42" customHeight="1">
      <c r="A5512" s="2" t="s">
        <v>14007</v>
      </c>
      <c r="B5512" s="2" t="s">
        <v>14008</v>
      </c>
      <c r="C5512" s="2" t="s">
        <v>26</v>
      </c>
      <c r="D5512" s="2" t="s">
        <v>27</v>
      </c>
      <c r="E5512" s="4">
        <v>-31992</v>
      </c>
      <c r="F5512" s="3" t="s">
        <v>1292</v>
      </c>
      <c r="G5512" s="3" t="s">
        <v>1293</v>
      </c>
      <c r="H5512" s="2" t="s">
        <v>21</v>
      </c>
      <c r="I5512" s="2" t="s">
        <v>14009</v>
      </c>
      <c r="J5512" s="3" t="str">
        <f>HYPERLINK("https://www.boe.es/gazeta/dias/1812/05/28/pdfs/GRE-1812-66.pdf#page=7","Abrir facsímil")</f>
        <v>Abrir facsímil</v>
      </c>
      <c r="K5512" s="3" t="s">
        <v>23</v>
      </c>
    </row>
    <row r="5513" spans="1:11" ht="42" customHeight="1">
      <c r="A5513" s="2" t="s">
        <v>14010</v>
      </c>
      <c r="B5513" s="2" t="s">
        <v>14011</v>
      </c>
      <c r="C5513" s="2" t="s">
        <v>26</v>
      </c>
      <c r="D5513" s="2" t="s">
        <v>27</v>
      </c>
      <c r="E5513" s="4">
        <v>-32139</v>
      </c>
      <c r="F5513" s="3" t="s">
        <v>518</v>
      </c>
      <c r="G5513" s="3" t="s">
        <v>125</v>
      </c>
      <c r="H5513" s="2" t="s">
        <v>21</v>
      </c>
      <c r="I5513" s="2" t="s">
        <v>14012</v>
      </c>
      <c r="J5513" s="3" t="str">
        <f>HYPERLINK("https://www.boe.es/gazeta/dias/1812/01/02/pdfs/GEI-1812-1.pdf#page=8","Abrir facsímil")</f>
        <v>Abrir facsímil</v>
      </c>
      <c r="K5513" s="3" t="s">
        <v>23</v>
      </c>
    </row>
    <row r="5514" spans="1:11" ht="42" customHeight="1">
      <c r="A5514" s="2" t="s">
        <v>14013</v>
      </c>
      <c r="B5514" s="2" t="s">
        <v>14014</v>
      </c>
      <c r="C5514" s="2" t="s">
        <v>26</v>
      </c>
      <c r="D5514" s="2" t="s">
        <v>27</v>
      </c>
      <c r="E5514" s="4">
        <v>-32069</v>
      </c>
      <c r="F5514" s="3" t="s">
        <v>445</v>
      </c>
      <c r="G5514" s="3" t="s">
        <v>446</v>
      </c>
      <c r="H5514" s="2" t="s">
        <v>21</v>
      </c>
      <c r="I5514" s="2" t="s">
        <v>14015</v>
      </c>
      <c r="J5514" s="3" t="str">
        <f>HYPERLINK("https://www.boe.es/gazeta/dias/1812/03/12/pdfs/GRE-1812-32.pdf#page=8","Abrir facsímil")</f>
        <v>Abrir facsímil</v>
      </c>
      <c r="K5514" s="3" t="s">
        <v>23</v>
      </c>
    </row>
    <row r="5515" spans="1:11" ht="42" customHeight="1">
      <c r="A5515" s="2" t="s">
        <v>14016</v>
      </c>
      <c r="B5515" s="2" t="s">
        <v>14017</v>
      </c>
      <c r="C5515" s="2" t="s">
        <v>26</v>
      </c>
      <c r="D5515" s="2" t="s">
        <v>27</v>
      </c>
      <c r="E5515" s="4">
        <v>-32088</v>
      </c>
      <c r="F5515" s="3" t="s">
        <v>250</v>
      </c>
      <c r="G5515" s="3" t="s">
        <v>251</v>
      </c>
      <c r="H5515" s="2" t="s">
        <v>21</v>
      </c>
      <c r="I5515" s="2" t="s">
        <v>14018</v>
      </c>
      <c r="J5515" s="3" t="str">
        <f>HYPERLINK("https://www.boe.es/gazeta/dias/1812/02/22/pdfs/GRE-1812-23.pdf#page=8","Abrir facsímil")</f>
        <v>Abrir facsímil</v>
      </c>
      <c r="K5515" s="3" t="s">
        <v>23</v>
      </c>
    </row>
    <row r="5516" spans="1:11" ht="42" customHeight="1">
      <c r="A5516" s="2" t="s">
        <v>14019</v>
      </c>
      <c r="B5516" s="2" t="s">
        <v>14020</v>
      </c>
      <c r="C5516" s="2" t="s">
        <v>26</v>
      </c>
      <c r="D5516" s="2" t="s">
        <v>27</v>
      </c>
      <c r="E5516" s="4">
        <v>-31962</v>
      </c>
      <c r="F5516" s="3" t="s">
        <v>643</v>
      </c>
      <c r="G5516" s="3" t="s">
        <v>644</v>
      </c>
      <c r="H5516" s="2" t="s">
        <v>21</v>
      </c>
      <c r="I5516" s="2" t="s">
        <v>14021</v>
      </c>
      <c r="J5516" s="3" t="str">
        <f>HYPERLINK("https://www.boe.es/gazeta/dias/1812/06/27/pdfs/GMD-1812-179.pdf#page=2","Abrir facsímil")</f>
        <v>Abrir facsímil</v>
      </c>
      <c r="K5516" s="3" t="s">
        <v>23</v>
      </c>
    </row>
    <row r="5517" spans="1:11" ht="42" customHeight="1">
      <c r="A5517" s="2" t="s">
        <v>14022</v>
      </c>
      <c r="B5517" s="2" t="s">
        <v>14022</v>
      </c>
      <c r="C5517" s="2" t="s">
        <v>17</v>
      </c>
      <c r="D5517" s="2" t="s">
        <v>27</v>
      </c>
      <c r="E5517" s="4">
        <v>-31922</v>
      </c>
      <c r="F5517" s="3" t="s">
        <v>622</v>
      </c>
      <c r="G5517" s="3" t="s">
        <v>6059</v>
      </c>
      <c r="H5517" s="2" t="s">
        <v>21</v>
      </c>
      <c r="I5517" s="2" t="s">
        <v>14023</v>
      </c>
      <c r="J5517" s="3" t="str">
        <f>HYPERLINK("https://www.boe.es/gazeta/dias/1812/08/06/pdfs/GMD-1812-219.pdf#page=3","Abrir facsímil")</f>
        <v>Abrir facsímil</v>
      </c>
      <c r="K5517" s="3" t="s">
        <v>23</v>
      </c>
    </row>
    <row r="5518" spans="1:11" ht="42" customHeight="1">
      <c r="A5518" s="2" t="s">
        <v>14024</v>
      </c>
      <c r="B5518" s="2" t="s">
        <v>14024</v>
      </c>
      <c r="C5518" s="2" t="s">
        <v>105</v>
      </c>
      <c r="D5518" s="2" t="s">
        <v>194</v>
      </c>
      <c r="E5518" s="4">
        <v>-31915</v>
      </c>
      <c r="F5518" s="3" t="s">
        <v>1592</v>
      </c>
      <c r="G5518" s="3" t="s">
        <v>3256</v>
      </c>
      <c r="H5518" s="2" t="s">
        <v>21</v>
      </c>
      <c r="I5518" s="2" t="s">
        <v>14025</v>
      </c>
      <c r="J5518" s="3" t="str">
        <f>HYPERLINK("https://www.boe.es/gazeta/dias/1812/08/13/pdfs/GRE-1812-104.pdf#page=2","Abrir facsímil")</f>
        <v>Abrir facsímil</v>
      </c>
      <c r="K5518" s="3" t="s">
        <v>23</v>
      </c>
    </row>
    <row r="5519" spans="1:11" ht="42" customHeight="1">
      <c r="A5519" s="2" t="s">
        <v>14026</v>
      </c>
      <c r="B5519" s="2" t="s">
        <v>14027</v>
      </c>
      <c r="C5519" s="2" t="s">
        <v>49</v>
      </c>
      <c r="D5519" s="2" t="s">
        <v>18</v>
      </c>
      <c r="E5519" s="4">
        <v>-31966</v>
      </c>
      <c r="F5519" s="3" t="s">
        <v>3665</v>
      </c>
      <c r="G5519" s="3" t="s">
        <v>3666</v>
      </c>
      <c r="H5519" s="2" t="s">
        <v>21</v>
      </c>
      <c r="I5519" s="2" t="s">
        <v>14028</v>
      </c>
      <c r="J5519" s="3" t="str">
        <f>HYPERLINK("https://www.boe.es/gazeta/dias/1812/06/23/pdfs/GRE-1812-77.pdf#page=8","Abrir facsímil")</f>
        <v>Abrir facsímil</v>
      </c>
      <c r="K5519" s="3" t="s">
        <v>23</v>
      </c>
    </row>
    <row r="5520" spans="1:11" ht="42" customHeight="1">
      <c r="A5520" s="2" t="s">
        <v>14029</v>
      </c>
      <c r="B5520" s="2" t="s">
        <v>14030</v>
      </c>
      <c r="C5520" s="2" t="s">
        <v>26</v>
      </c>
      <c r="D5520" s="2" t="s">
        <v>27</v>
      </c>
      <c r="E5520" s="4">
        <v>-32034</v>
      </c>
      <c r="F5520" s="3" t="s">
        <v>28</v>
      </c>
      <c r="G5520" s="3" t="s">
        <v>130</v>
      </c>
      <c r="H5520" s="2" t="s">
        <v>21</v>
      </c>
      <c r="I5520" s="2" t="s">
        <v>14031</v>
      </c>
      <c r="J5520" s="3" t="str">
        <f>HYPERLINK("https://www.boe.es/gazeta/dias/1812/04/16/pdfs/GMD-1812-107.pdf#page=4","Abrir facsímil")</f>
        <v>Abrir facsímil</v>
      </c>
      <c r="K5520" s="3" t="s">
        <v>23</v>
      </c>
    </row>
    <row r="5521" spans="1:11" ht="42" customHeight="1">
      <c r="A5521" s="2" t="s">
        <v>14032</v>
      </c>
      <c r="B5521" s="2" t="s">
        <v>14033</v>
      </c>
      <c r="C5521" s="2" t="s">
        <v>26</v>
      </c>
      <c r="D5521" s="2" t="s">
        <v>27</v>
      </c>
      <c r="E5521" s="4">
        <v>-32034</v>
      </c>
      <c r="F5521" s="3" t="s">
        <v>1008</v>
      </c>
      <c r="G5521" s="3" t="s">
        <v>1009</v>
      </c>
      <c r="H5521" s="2" t="s">
        <v>21</v>
      </c>
      <c r="I5521" s="2" t="s">
        <v>14034</v>
      </c>
      <c r="J5521" s="3" t="str">
        <f>HYPERLINK("https://www.boe.es/gazeta/dias/1812/04/16/pdfs/GRE-1812-48.pdf#page=8","Abrir facsímil")</f>
        <v>Abrir facsímil</v>
      </c>
      <c r="K5521" s="3" t="s">
        <v>23</v>
      </c>
    </row>
    <row r="5522" spans="1:11" ht="42" customHeight="1">
      <c r="A5522" s="2" t="s">
        <v>14035</v>
      </c>
      <c r="B5522" s="2" t="s">
        <v>14036</v>
      </c>
      <c r="C5522" s="2" t="s">
        <v>26</v>
      </c>
      <c r="D5522" s="2" t="s">
        <v>27</v>
      </c>
      <c r="E5522" s="4">
        <v>-32066</v>
      </c>
      <c r="F5522" s="3" t="s">
        <v>291</v>
      </c>
      <c r="G5522" s="3" t="s">
        <v>125</v>
      </c>
      <c r="H5522" s="2" t="s">
        <v>21</v>
      </c>
      <c r="I5522" s="2" t="s">
        <v>14037</v>
      </c>
      <c r="J5522" s="3" t="str">
        <f>HYPERLINK("https://www.boe.es/gazeta/dias/1812/03/15/pdfs/GMD-1812-75.pdf#page=4","Abrir facsímil")</f>
        <v>Abrir facsímil</v>
      </c>
      <c r="K5522" s="3" t="s">
        <v>23</v>
      </c>
    </row>
    <row r="5523" spans="1:11" ht="42" customHeight="1">
      <c r="A5523" s="2" t="s">
        <v>14038</v>
      </c>
      <c r="B5523" s="2" t="s">
        <v>14038</v>
      </c>
      <c r="C5523" s="2" t="s">
        <v>17</v>
      </c>
      <c r="D5523" s="2" t="s">
        <v>27</v>
      </c>
      <c r="E5523" s="4">
        <v>-32074</v>
      </c>
      <c r="F5523" s="3" t="s">
        <v>816</v>
      </c>
      <c r="G5523" s="3" t="s">
        <v>20</v>
      </c>
      <c r="H5523" s="2" t="s">
        <v>21</v>
      </c>
      <c r="I5523" s="2" t="s">
        <v>14039</v>
      </c>
      <c r="J5523" s="3" t="str">
        <f>HYPERLINK("https://www.boe.es/gazeta/dias/1812/03/07/pdfs/GRE-1812-30.pdf#page=4","Abrir facsímil")</f>
        <v>Abrir facsímil</v>
      </c>
      <c r="K5523" s="3" t="s">
        <v>23</v>
      </c>
    </row>
    <row r="5524" spans="1:11" ht="42" customHeight="1">
      <c r="A5524" s="2" t="s">
        <v>14040</v>
      </c>
      <c r="B5524" s="2" t="s">
        <v>14041</v>
      </c>
      <c r="C5524" s="2" t="s">
        <v>26</v>
      </c>
      <c r="D5524" s="2" t="s">
        <v>27</v>
      </c>
      <c r="E5524" s="4">
        <v>-31976</v>
      </c>
      <c r="F5524" s="3" t="s">
        <v>54</v>
      </c>
      <c r="G5524" s="3" t="s">
        <v>1335</v>
      </c>
      <c r="H5524" s="2" t="s">
        <v>21</v>
      </c>
      <c r="I5524" s="2" t="s">
        <v>14042</v>
      </c>
      <c r="J5524" s="3" t="str">
        <f>HYPERLINK("https://www.boe.es/gazeta/dias/1812/06/13/pdfs/GRE-1812-73.pdf#page=7","Abrir facsímil")</f>
        <v>Abrir facsímil</v>
      </c>
      <c r="K5524" s="3" t="s">
        <v>23</v>
      </c>
    </row>
    <row r="5525" spans="1:11" ht="42" customHeight="1">
      <c r="A5525" s="2" t="s">
        <v>14043</v>
      </c>
      <c r="B5525" s="2" t="s">
        <v>14044</v>
      </c>
      <c r="C5525" s="2" t="s">
        <v>186</v>
      </c>
      <c r="D5525" s="2" t="s">
        <v>27</v>
      </c>
      <c r="E5525" s="4">
        <v>-32002</v>
      </c>
      <c r="F5525" s="3" t="s">
        <v>619</v>
      </c>
      <c r="G5525" s="3" t="s">
        <v>620</v>
      </c>
      <c r="H5525" s="2" t="s">
        <v>21</v>
      </c>
      <c r="I5525" s="2" t="s">
        <v>14045</v>
      </c>
      <c r="J5525" s="3" t="str">
        <f>HYPERLINK("https://www.boe.es/gazeta/dias/1812/05/18/pdfs/GMD-1812-139.pdf#page=2","Abrir facsímil")</f>
        <v>Abrir facsímil</v>
      </c>
      <c r="K5525" s="3" t="s">
        <v>23</v>
      </c>
    </row>
    <row r="5526" spans="1:11" ht="42" customHeight="1">
      <c r="A5526" s="2" t="s">
        <v>14046</v>
      </c>
      <c r="B5526" s="2" t="s">
        <v>14047</v>
      </c>
      <c r="C5526" s="2" t="s">
        <v>26</v>
      </c>
      <c r="D5526" s="2" t="s">
        <v>275</v>
      </c>
      <c r="E5526" s="4">
        <v>-31964</v>
      </c>
      <c r="F5526" s="3" t="s">
        <v>305</v>
      </c>
      <c r="G5526" s="3" t="s">
        <v>58</v>
      </c>
      <c r="H5526" s="2" t="s">
        <v>21</v>
      </c>
      <c r="I5526" s="2" t="s">
        <v>14048</v>
      </c>
      <c r="J5526" s="3" t="str">
        <f>HYPERLINK("https://www.boe.es/gazeta/dias/1812/06/25/pdfs/GMD-1812-177.pdf#page=2","Abrir facsímil")</f>
        <v>Abrir facsímil</v>
      </c>
      <c r="K5526" s="3" t="s">
        <v>23</v>
      </c>
    </row>
    <row r="5527" spans="1:11" ht="42" customHeight="1">
      <c r="A5527" s="2" t="s">
        <v>14049</v>
      </c>
      <c r="B5527" s="2" t="s">
        <v>14050</v>
      </c>
      <c r="C5527" s="2" t="s">
        <v>26</v>
      </c>
      <c r="D5527" s="2" t="s">
        <v>134</v>
      </c>
      <c r="E5527" s="4">
        <v>-31955</v>
      </c>
      <c r="F5527" s="3" t="s">
        <v>135</v>
      </c>
      <c r="G5527" s="3" t="s">
        <v>58</v>
      </c>
      <c r="H5527" s="2" t="s">
        <v>21</v>
      </c>
      <c r="I5527" s="2" t="s">
        <v>14051</v>
      </c>
      <c r="J5527" s="3" t="str">
        <f>HYPERLINK("https://www.boe.es/gazeta/dias/1812/07/04/pdfs/GRE-F-1812-82.pdf#page=6","Abrir facsímil")</f>
        <v>Abrir facsímil</v>
      </c>
      <c r="K5527" s="3" t="s">
        <v>23</v>
      </c>
    </row>
    <row r="5528" spans="1:11" ht="42" customHeight="1">
      <c r="A5528" s="2" t="s">
        <v>14052</v>
      </c>
      <c r="B5528" s="2" t="s">
        <v>14053</v>
      </c>
      <c r="C5528" s="2" t="s">
        <v>26</v>
      </c>
      <c r="D5528" s="2" t="s">
        <v>27</v>
      </c>
      <c r="E5528" s="4">
        <v>-31976</v>
      </c>
      <c r="F5528" s="3" t="s">
        <v>54</v>
      </c>
      <c r="G5528" s="3" t="s">
        <v>55</v>
      </c>
      <c r="H5528" s="2" t="s">
        <v>21</v>
      </c>
      <c r="I5528" s="2" t="s">
        <v>14054</v>
      </c>
      <c r="J5528" s="3" t="str">
        <f>HYPERLINK("https://www.boe.es/gazeta/dias/1812/06/13/pdfs/GRE-1812-73.pdf#page=6","Abrir facsímil")</f>
        <v>Abrir facsímil</v>
      </c>
      <c r="K5528" s="3" t="s">
        <v>23</v>
      </c>
    </row>
    <row r="5529" spans="1:11" ht="42" customHeight="1">
      <c r="A5529" s="2" t="s">
        <v>14055</v>
      </c>
      <c r="B5529" s="2" t="s">
        <v>14056</v>
      </c>
      <c r="C5529" s="2" t="s">
        <v>26</v>
      </c>
      <c r="D5529" s="2" t="s">
        <v>27</v>
      </c>
      <c r="E5529" s="4">
        <v>-31936</v>
      </c>
      <c r="F5529" s="3" t="s">
        <v>603</v>
      </c>
      <c r="G5529" s="3" t="s">
        <v>2410</v>
      </c>
      <c r="H5529" s="2" t="s">
        <v>21</v>
      </c>
      <c r="I5529" s="2" t="s">
        <v>14057</v>
      </c>
      <c r="J5529" s="3" t="str">
        <f>HYPERLINK("https://www.boe.es/gazeta/dias/1812/07/23/pdfs/GMD-1812-205.pdf#page=4","Abrir facsímil")</f>
        <v>Abrir facsímil</v>
      </c>
      <c r="K5529" s="3" t="s">
        <v>23</v>
      </c>
    </row>
    <row r="5530" spans="1:11" ht="42" customHeight="1">
      <c r="A5530" s="2" t="s">
        <v>14055</v>
      </c>
      <c r="B5530" s="2" t="s">
        <v>14056</v>
      </c>
      <c r="C5530" s="2" t="s">
        <v>26</v>
      </c>
      <c r="D5530" s="2" t="s">
        <v>27</v>
      </c>
      <c r="E5530" s="4">
        <v>-31935</v>
      </c>
      <c r="F5530" s="3" t="s">
        <v>2678</v>
      </c>
      <c r="G5530" s="3" t="s">
        <v>404</v>
      </c>
      <c r="H5530" s="2" t="s">
        <v>21</v>
      </c>
      <c r="I5530" s="2" t="s">
        <v>14058</v>
      </c>
      <c r="J5530" s="3" t="str">
        <f>HYPERLINK("https://www.boe.es/gazeta/dias/1812/07/24/pdfs/GMD-1812-206.pdf#page=1","Abrir facsímil")</f>
        <v>Abrir facsímil</v>
      </c>
      <c r="K5530" s="3" t="s">
        <v>23</v>
      </c>
    </row>
    <row r="5531" spans="1:11" ht="42" customHeight="1">
      <c r="A5531" s="2" t="s">
        <v>14059</v>
      </c>
      <c r="B5531" s="2" t="s">
        <v>14060</v>
      </c>
      <c r="C5531" s="2" t="s">
        <v>26</v>
      </c>
      <c r="D5531" s="2" t="s">
        <v>27</v>
      </c>
      <c r="E5531" s="4">
        <v>-31819</v>
      </c>
      <c r="F5531" s="3" t="s">
        <v>1770</v>
      </c>
      <c r="G5531" s="3" t="s">
        <v>1771</v>
      </c>
      <c r="H5531" s="2" t="s">
        <v>21</v>
      </c>
      <c r="I5531" s="2" t="s">
        <v>14061</v>
      </c>
      <c r="J5531" s="3" t="str">
        <f>HYPERLINK("https://www.boe.es/gazeta/dias/1812/11/17/pdfs/GRE-1812-153.pdf#page=4","Abrir facsímil")</f>
        <v>Abrir facsímil</v>
      </c>
      <c r="K5531" s="3" t="s">
        <v>23</v>
      </c>
    </row>
    <row r="5532" spans="1:11" ht="42" customHeight="1">
      <c r="A5532" s="2" t="s">
        <v>14062</v>
      </c>
      <c r="B5532" s="2" t="s">
        <v>14063</v>
      </c>
      <c r="C5532" s="2" t="s">
        <v>17</v>
      </c>
      <c r="D5532" s="2" t="s">
        <v>27</v>
      </c>
      <c r="E5532" s="4">
        <v>-32067</v>
      </c>
      <c r="F5532" s="3" t="s">
        <v>199</v>
      </c>
      <c r="G5532" s="3" t="s">
        <v>237</v>
      </c>
      <c r="H5532" s="2" t="s">
        <v>21</v>
      </c>
      <c r="I5532" s="2" t="s">
        <v>14064</v>
      </c>
      <c r="J5532" s="3" t="str">
        <f>HYPERLINK("https://www.boe.es/gazeta/dias/1812/03/14/pdfs/GRE-1812-33.pdf#page=8","Abrir facsímil")</f>
        <v>Abrir facsímil</v>
      </c>
      <c r="K5532" s="3" t="s">
        <v>23</v>
      </c>
    </row>
    <row r="5533" spans="1:11" ht="42" customHeight="1">
      <c r="A5533" s="2" t="s">
        <v>14065</v>
      </c>
      <c r="B5533" s="2" t="s">
        <v>14066</v>
      </c>
      <c r="C5533" s="2" t="s">
        <v>26</v>
      </c>
      <c r="D5533" s="2" t="s">
        <v>27</v>
      </c>
      <c r="E5533" s="4">
        <v>-31917</v>
      </c>
      <c r="F5533" s="3" t="s">
        <v>946</v>
      </c>
      <c r="G5533" s="3" t="s">
        <v>404</v>
      </c>
      <c r="H5533" s="2" t="s">
        <v>21</v>
      </c>
      <c r="I5533" s="2" t="s">
        <v>14067</v>
      </c>
      <c r="J5533" s="3" t="str">
        <f>HYPERLINK("https://www.boe.es/gazeta/dias/1812/08/11/pdfs/GRE-1812-103.pdf#page=2","Abrir facsímil")</f>
        <v>Abrir facsímil</v>
      </c>
      <c r="K5533" s="3" t="s">
        <v>23</v>
      </c>
    </row>
    <row r="5534" spans="1:11" ht="42" customHeight="1">
      <c r="A5534" s="2" t="s">
        <v>14068</v>
      </c>
      <c r="B5534" s="2" t="s">
        <v>14069</v>
      </c>
      <c r="C5534" s="2" t="s">
        <v>26</v>
      </c>
      <c r="D5534" s="2" t="s">
        <v>27</v>
      </c>
      <c r="E5534" s="4">
        <v>-31917</v>
      </c>
      <c r="F5534" s="3" t="s">
        <v>946</v>
      </c>
      <c r="G5534" s="3" t="s">
        <v>404</v>
      </c>
      <c r="H5534" s="2" t="s">
        <v>21</v>
      </c>
      <c r="I5534" s="2" t="s">
        <v>14070</v>
      </c>
      <c r="J5534" s="3" t="str">
        <f>HYPERLINK("https://www.boe.es/gazeta/dias/1812/08/11/pdfs/GRE-1812-103.pdf#page=2","Abrir facsímil")</f>
        <v>Abrir facsímil</v>
      </c>
      <c r="K5534" s="3" t="s">
        <v>23</v>
      </c>
    </row>
    <row r="5535" spans="1:11" ht="42" customHeight="1">
      <c r="A5535" s="2" t="s">
        <v>14071</v>
      </c>
      <c r="B5535" s="2" t="s">
        <v>14072</v>
      </c>
      <c r="C5535" s="2" t="s">
        <v>26</v>
      </c>
      <c r="D5535" s="2" t="s">
        <v>27</v>
      </c>
      <c r="E5535" s="4">
        <v>-32003</v>
      </c>
      <c r="F5535" s="3" t="s">
        <v>585</v>
      </c>
      <c r="G5535" s="3" t="s">
        <v>1805</v>
      </c>
      <c r="H5535" s="2" t="s">
        <v>21</v>
      </c>
      <c r="I5535" s="2" t="s">
        <v>14073</v>
      </c>
      <c r="J5535" s="3" t="str">
        <f>HYPERLINK("https://www.boe.es/gazeta/dias/1812/05/17/pdfs/GMD-1812-138.pdf#page=1","Abrir facsímil")</f>
        <v>Abrir facsímil</v>
      </c>
      <c r="K5535" s="3" t="s">
        <v>23</v>
      </c>
    </row>
    <row r="5536" spans="1:11" ht="42" customHeight="1">
      <c r="A5536" s="2" t="s">
        <v>14074</v>
      </c>
      <c r="B5536" s="2" t="s">
        <v>14074</v>
      </c>
      <c r="C5536" s="2" t="s">
        <v>17</v>
      </c>
      <c r="D5536" s="2" t="s">
        <v>18</v>
      </c>
      <c r="E5536" s="4">
        <v>-31847</v>
      </c>
      <c r="F5536" s="3" t="s">
        <v>219</v>
      </c>
      <c r="G5536" s="3" t="s">
        <v>2262</v>
      </c>
      <c r="H5536" s="2" t="s">
        <v>21</v>
      </c>
      <c r="I5536" s="2" t="s">
        <v>14075</v>
      </c>
      <c r="J5536" s="3" t="str">
        <f>HYPERLINK("https://www.boe.es/gazeta/dias/1812/10/20/pdfs/GRE-1812-141.pdf#page=5","Abrir facsímil")</f>
        <v>Abrir facsímil</v>
      </c>
      <c r="K5536" s="3" t="s">
        <v>23</v>
      </c>
    </row>
    <row r="5537" spans="1:11" ht="42" customHeight="1">
      <c r="A5537" s="2" t="s">
        <v>14076</v>
      </c>
      <c r="B5537" s="2" t="s">
        <v>14076</v>
      </c>
      <c r="C5537" s="2" t="s">
        <v>17</v>
      </c>
      <c r="D5537" s="2" t="s">
        <v>18</v>
      </c>
      <c r="E5537" s="4">
        <v>-31847</v>
      </c>
      <c r="F5537" s="3" t="s">
        <v>219</v>
      </c>
      <c r="G5537" s="3" t="s">
        <v>11496</v>
      </c>
      <c r="H5537" s="2" t="s">
        <v>21</v>
      </c>
      <c r="I5537" s="2" t="s">
        <v>14077</v>
      </c>
      <c r="J5537" s="3" t="str">
        <f>HYPERLINK("https://www.boe.es/gazeta/dias/1812/10/20/pdfs/GRE-1812-141.pdf#page=7","Abrir facsímil")</f>
        <v>Abrir facsímil</v>
      </c>
      <c r="K5537" s="3" t="s">
        <v>23</v>
      </c>
    </row>
    <row r="5538" spans="1:11" ht="42" customHeight="1">
      <c r="A5538" s="2" t="s">
        <v>14078</v>
      </c>
      <c r="B5538" s="2" t="s">
        <v>14079</v>
      </c>
      <c r="C5538" s="2" t="s">
        <v>26</v>
      </c>
      <c r="D5538" s="2" t="s">
        <v>27</v>
      </c>
      <c r="E5538" s="4">
        <v>-32067</v>
      </c>
      <c r="F5538" s="3" t="s">
        <v>199</v>
      </c>
      <c r="G5538" s="3" t="s">
        <v>237</v>
      </c>
      <c r="H5538" s="2" t="s">
        <v>21</v>
      </c>
      <c r="I5538" s="2" t="s">
        <v>14080</v>
      </c>
      <c r="J5538" s="3" t="str">
        <f>HYPERLINK("https://www.boe.es/gazeta/dias/1812/03/14/pdfs/GRE-1812-33.pdf#page=8","Abrir facsímil")</f>
        <v>Abrir facsímil</v>
      </c>
      <c r="K5538" s="3" t="s">
        <v>23</v>
      </c>
    </row>
    <row r="5539" spans="1:11" ht="42" customHeight="1">
      <c r="A5539" s="2" t="s">
        <v>14081</v>
      </c>
      <c r="B5539" s="2" t="s">
        <v>14081</v>
      </c>
      <c r="C5539" s="2" t="s">
        <v>115</v>
      </c>
      <c r="D5539" s="2" t="s">
        <v>27</v>
      </c>
      <c r="E5539" s="4">
        <v>-32088</v>
      </c>
      <c r="F5539" s="3" t="s">
        <v>1217</v>
      </c>
      <c r="G5539" s="3" t="s">
        <v>1218</v>
      </c>
      <c r="H5539" s="2" t="s">
        <v>21</v>
      </c>
      <c r="I5539" s="2" t="s">
        <v>14082</v>
      </c>
      <c r="J5539" s="3" t="str">
        <f>HYPERLINK("https://www.boe.es/gazeta/dias/1812/02/22/pdfs/GMD-1812-53.pdf#page=4","Abrir facsímil")</f>
        <v>Abrir facsímil</v>
      </c>
      <c r="K5539" s="3" t="s">
        <v>23</v>
      </c>
    </row>
    <row r="5540" spans="1:11" ht="42" customHeight="1">
      <c r="A5540" s="2" t="s">
        <v>14083</v>
      </c>
      <c r="B5540" s="2" t="s">
        <v>14083</v>
      </c>
      <c r="C5540" s="2" t="s">
        <v>17</v>
      </c>
      <c r="D5540" s="2" t="s">
        <v>18</v>
      </c>
      <c r="E5540" s="4">
        <v>-32063</v>
      </c>
      <c r="F5540" s="3" t="s">
        <v>384</v>
      </c>
      <c r="G5540" s="3" t="s">
        <v>20</v>
      </c>
      <c r="H5540" s="2" t="s">
        <v>21</v>
      </c>
      <c r="I5540" s="2" t="s">
        <v>14084</v>
      </c>
      <c r="J5540" s="3" t="str">
        <f>HYPERLINK("https://www.boe.es/gazeta/dias/1812/03/18/pdfs/GMD-1812-78.pdf#page=4","Abrir facsímil")</f>
        <v>Abrir facsímil</v>
      </c>
      <c r="K5540" s="3" t="s">
        <v>23</v>
      </c>
    </row>
    <row r="5541" spans="1:11" ht="42" customHeight="1">
      <c r="A5541" s="2" t="s">
        <v>14085</v>
      </c>
      <c r="B5541" s="2" t="s">
        <v>14086</v>
      </c>
      <c r="C5541" s="2" t="s">
        <v>26</v>
      </c>
      <c r="D5541" s="2" t="s">
        <v>27</v>
      </c>
      <c r="E5541" s="4">
        <v>-32095</v>
      </c>
      <c r="F5541" s="3" t="s">
        <v>284</v>
      </c>
      <c r="G5541" s="3" t="s">
        <v>101</v>
      </c>
      <c r="H5541" s="2" t="s">
        <v>21</v>
      </c>
      <c r="I5541" s="2" t="s">
        <v>14087</v>
      </c>
      <c r="J5541" s="3" t="str">
        <f>HYPERLINK("https://www.boe.es/gazeta/dias/1812/02/15/pdfs/GRE-1812-20.pdf#page=5","Abrir facsímil")</f>
        <v>Abrir facsímil</v>
      </c>
      <c r="K5541" s="3" t="s">
        <v>23</v>
      </c>
    </row>
    <row r="5542" spans="1:11" ht="42" customHeight="1">
      <c r="A5542" s="2" t="s">
        <v>14088</v>
      </c>
      <c r="B5542" s="2" t="s">
        <v>14089</v>
      </c>
      <c r="C5542" s="2" t="s">
        <v>26</v>
      </c>
      <c r="D5542" s="2" t="s">
        <v>27</v>
      </c>
      <c r="E5542" s="4">
        <v>-32067</v>
      </c>
      <c r="F5542" s="3" t="s">
        <v>199</v>
      </c>
      <c r="G5542" s="3" t="s">
        <v>237</v>
      </c>
      <c r="H5542" s="2" t="s">
        <v>21</v>
      </c>
      <c r="I5542" s="2" t="s">
        <v>14090</v>
      </c>
      <c r="J5542" s="3" t="str">
        <f>HYPERLINK("https://www.boe.es/gazeta/dias/1812/03/14/pdfs/GRE-1812-33.pdf#page=8","Abrir facsímil")</f>
        <v>Abrir facsímil</v>
      </c>
      <c r="K5542" s="3" t="s">
        <v>23</v>
      </c>
    </row>
    <row r="5543" spans="1:11" ht="42" customHeight="1">
      <c r="A5543" s="2" t="s">
        <v>14091</v>
      </c>
      <c r="B5543" s="2" t="s">
        <v>14092</v>
      </c>
      <c r="C5543" s="2" t="s">
        <v>26</v>
      </c>
      <c r="D5543" s="2" t="s">
        <v>27</v>
      </c>
      <c r="E5543" s="4">
        <v>-32125</v>
      </c>
      <c r="F5543" s="3" t="s">
        <v>335</v>
      </c>
      <c r="G5543" s="3" t="s">
        <v>336</v>
      </c>
      <c r="H5543" s="2" t="s">
        <v>21</v>
      </c>
      <c r="I5543" s="2" t="s">
        <v>14093</v>
      </c>
      <c r="J5543" s="3" t="str">
        <f>HYPERLINK("https://www.boe.es/gazeta/dias/1812/01/16/pdfs/GEI-1812-7.pdf#page=8","Abrir facsímil")</f>
        <v>Abrir facsímil</v>
      </c>
      <c r="K5543" s="3" t="s">
        <v>23</v>
      </c>
    </row>
    <row r="5544" spans="1:11" ht="42" customHeight="1">
      <c r="A5544" s="2" t="s">
        <v>14094</v>
      </c>
      <c r="B5544" s="2" t="s">
        <v>14095</v>
      </c>
      <c r="C5544" s="2" t="s">
        <v>26</v>
      </c>
      <c r="D5544" s="2" t="s">
        <v>27</v>
      </c>
      <c r="E5544" s="4">
        <v>-32034</v>
      </c>
      <c r="F5544" s="3" t="s">
        <v>28</v>
      </c>
      <c r="G5544" s="3" t="s">
        <v>317</v>
      </c>
      <c r="H5544" s="2" t="s">
        <v>21</v>
      </c>
      <c r="I5544" s="2" t="s">
        <v>14096</v>
      </c>
      <c r="J5544" s="3" t="str">
        <f>HYPERLINK("https://www.boe.es/gazeta/dias/1812/04/16/pdfs/GMD-1812-107.pdf#page=6","Abrir facsímil")</f>
        <v>Abrir facsímil</v>
      </c>
      <c r="K5544" s="3" t="s">
        <v>23</v>
      </c>
    </row>
    <row r="5545" spans="1:11" ht="42" customHeight="1">
      <c r="A5545" s="2" t="s">
        <v>14097</v>
      </c>
      <c r="B5545" s="2" t="s">
        <v>14098</v>
      </c>
      <c r="C5545" s="2" t="s">
        <v>26</v>
      </c>
      <c r="D5545" s="2" t="s">
        <v>27</v>
      </c>
      <c r="E5545" s="4">
        <v>-32039</v>
      </c>
      <c r="F5545" s="3" t="s">
        <v>557</v>
      </c>
      <c r="G5545" s="3" t="s">
        <v>20</v>
      </c>
      <c r="H5545" s="2" t="s">
        <v>21</v>
      </c>
      <c r="I5545" s="2" t="s">
        <v>14099</v>
      </c>
      <c r="J5545" s="3" t="str">
        <f>HYPERLINK("https://www.boe.es/gazeta/dias/1812/04/11/pdfs/GMD-1812-102.pdf#page=4","Abrir facsímil")</f>
        <v>Abrir facsímil</v>
      </c>
      <c r="K5545" s="3" t="s">
        <v>23</v>
      </c>
    </row>
    <row r="5546" spans="1:11" ht="42" customHeight="1">
      <c r="A5546" s="2" t="s">
        <v>14100</v>
      </c>
      <c r="B5546" s="2" t="s">
        <v>14101</v>
      </c>
      <c r="C5546" s="2" t="s">
        <v>17</v>
      </c>
      <c r="D5546" s="2" t="s">
        <v>27</v>
      </c>
      <c r="E5546" s="4">
        <v>-32139</v>
      </c>
      <c r="F5546" s="3" t="s">
        <v>518</v>
      </c>
      <c r="G5546" s="3" t="s">
        <v>125</v>
      </c>
      <c r="H5546" s="2" t="s">
        <v>21</v>
      </c>
      <c r="I5546" s="2" t="s">
        <v>14102</v>
      </c>
      <c r="J5546" s="3" t="str">
        <f>HYPERLINK("https://www.boe.es/gazeta/dias/1812/01/02/pdfs/GEI-1812-1.pdf#page=8","Abrir facsímil")</f>
        <v>Abrir facsímil</v>
      </c>
      <c r="K5546" s="3" t="s">
        <v>23</v>
      </c>
    </row>
    <row r="5547" spans="1:11" ht="42" customHeight="1">
      <c r="A5547" s="2" t="s">
        <v>14103</v>
      </c>
      <c r="B5547" s="2" t="s">
        <v>14103</v>
      </c>
      <c r="C5547" s="2" t="s">
        <v>17</v>
      </c>
      <c r="D5547" s="2" t="s">
        <v>27</v>
      </c>
      <c r="E5547" s="4">
        <v>-31990</v>
      </c>
      <c r="F5547" s="3" t="s">
        <v>5078</v>
      </c>
      <c r="G5547" s="3" t="s">
        <v>739</v>
      </c>
      <c r="H5547" s="2" t="s">
        <v>21</v>
      </c>
      <c r="I5547" s="2" t="s">
        <v>14104</v>
      </c>
      <c r="J5547" s="3" t="str">
        <f>HYPERLINK("https://www.boe.es/gazeta/dias/1812/05/30/pdfs/GRE-1812-67.pdf#page=2","Abrir facsímil")</f>
        <v>Abrir facsímil</v>
      </c>
      <c r="K5547" s="3" t="s">
        <v>23</v>
      </c>
    </row>
    <row r="5548" spans="1:11" ht="42" customHeight="1">
      <c r="A5548" s="2" t="s">
        <v>14105</v>
      </c>
      <c r="B5548" s="2" t="s">
        <v>14106</v>
      </c>
      <c r="C5548" s="2" t="s">
        <v>17</v>
      </c>
      <c r="D5548" s="2" t="s">
        <v>27</v>
      </c>
      <c r="E5548" s="4">
        <v>-31941</v>
      </c>
      <c r="F5548" s="3" t="s">
        <v>2048</v>
      </c>
      <c r="G5548" s="3" t="s">
        <v>237</v>
      </c>
      <c r="H5548" s="2" t="s">
        <v>21</v>
      </c>
      <c r="I5548" s="2" t="s">
        <v>14107</v>
      </c>
      <c r="J5548" s="3" t="str">
        <f>HYPERLINK("https://www.boe.es/gazeta/dias/1812/07/18/pdfs/GRE-1812-90.pdf#page=2","Abrir facsímil")</f>
        <v>Abrir facsímil</v>
      </c>
      <c r="K5548" s="3" t="s">
        <v>23</v>
      </c>
    </row>
    <row r="5549" spans="1:11" ht="42" customHeight="1">
      <c r="A5549" s="2" t="s">
        <v>14108</v>
      </c>
      <c r="B5549" s="2" t="s">
        <v>14109</v>
      </c>
      <c r="C5549" s="2" t="s">
        <v>49</v>
      </c>
      <c r="D5549" s="2" t="s">
        <v>194</v>
      </c>
      <c r="E5549" s="4">
        <v>-31988</v>
      </c>
      <c r="F5549" s="3" t="s">
        <v>1094</v>
      </c>
      <c r="G5549" s="3" t="s">
        <v>1095</v>
      </c>
      <c r="H5549" s="2" t="s">
        <v>21</v>
      </c>
      <c r="I5549" s="2" t="s">
        <v>14110</v>
      </c>
      <c r="J5549" s="3" t="str">
        <f>HYPERLINK("https://www.boe.es/gazeta/dias/1812/06/01/pdfs/GMD-1812-153.pdf#page=2","Abrir facsímil")</f>
        <v>Abrir facsímil</v>
      </c>
      <c r="K5549" s="3" t="s">
        <v>23</v>
      </c>
    </row>
    <row r="5550" spans="1:11" ht="42" customHeight="1">
      <c r="A5550" s="2" t="s">
        <v>14111</v>
      </c>
      <c r="B5550" s="2" t="s">
        <v>14112</v>
      </c>
      <c r="C5550" s="2" t="s">
        <v>17</v>
      </c>
      <c r="D5550" s="2" t="s">
        <v>573</v>
      </c>
      <c r="E5550" s="4">
        <v>-31928</v>
      </c>
      <c r="F5550" s="3" t="s">
        <v>3638</v>
      </c>
      <c r="G5550" s="3" t="s">
        <v>13690</v>
      </c>
      <c r="H5550" s="2" t="s">
        <v>21</v>
      </c>
      <c r="I5550" s="2" t="s">
        <v>14113</v>
      </c>
      <c r="J5550" s="3" t="str">
        <f>HYPERLINK("https://www.boe.es/gazeta/dias/1812/07/31/pdfs/GRE-1812-96E.pdf#page=3","Abrir facsímil")</f>
        <v>Abrir facsímil</v>
      </c>
      <c r="K5550" s="3" t="s">
        <v>23</v>
      </c>
    </row>
    <row r="5551" spans="1:11" ht="42" customHeight="1">
      <c r="A5551" s="2" t="s">
        <v>14114</v>
      </c>
      <c r="B5551" s="2" t="s">
        <v>14115</v>
      </c>
      <c r="C5551" s="2" t="s">
        <v>26</v>
      </c>
      <c r="D5551" s="2" t="s">
        <v>573</v>
      </c>
      <c r="E5551" s="4">
        <v>-31900</v>
      </c>
      <c r="F5551" s="3" t="s">
        <v>276</v>
      </c>
      <c r="G5551" s="3" t="s">
        <v>277</v>
      </c>
      <c r="H5551" s="2" t="s">
        <v>21</v>
      </c>
      <c r="I5551" s="2" t="s">
        <v>14116</v>
      </c>
      <c r="J5551" s="3" t="str">
        <f>HYPERLINK("https://www.boe.es/gazeta/dias/1812/08/28/pdfs/GRE-1812-113E.pdf#page=8","Abrir facsímil")</f>
        <v>Abrir facsímil</v>
      </c>
      <c r="K5551" s="3" t="s">
        <v>23</v>
      </c>
    </row>
    <row r="5552" spans="1:11" ht="42" customHeight="1">
      <c r="A5552" s="2" t="s">
        <v>14117</v>
      </c>
      <c r="B5552" s="2" t="s">
        <v>14118</v>
      </c>
      <c r="C5552" s="2" t="s">
        <v>17</v>
      </c>
      <c r="D5552" s="2" t="s">
        <v>27</v>
      </c>
      <c r="E5552" s="4">
        <v>-32109</v>
      </c>
      <c r="F5552" s="3" t="s">
        <v>62</v>
      </c>
      <c r="G5552" s="3" t="s">
        <v>472</v>
      </c>
      <c r="H5552" s="2" t="s">
        <v>21</v>
      </c>
      <c r="I5552" s="2" t="s">
        <v>14119</v>
      </c>
      <c r="J5552" s="3" t="str">
        <f>HYPERLINK("https://www.boe.es/gazeta/dias/1812/02/01/pdfs/GRE-1812-14.pdf#page=12","Abrir facsímil")</f>
        <v>Abrir facsímil</v>
      </c>
      <c r="K5552" s="3" t="s">
        <v>23</v>
      </c>
    </row>
    <row r="5553" spans="1:11" ht="42" customHeight="1">
      <c r="A5553" s="2" t="s">
        <v>14120</v>
      </c>
      <c r="B5553" s="2" t="s">
        <v>14121</v>
      </c>
      <c r="C5553" s="2" t="s">
        <v>115</v>
      </c>
      <c r="D5553" s="2" t="s">
        <v>27</v>
      </c>
      <c r="E5553" s="4">
        <v>-31809</v>
      </c>
      <c r="F5553" s="3" t="s">
        <v>116</v>
      </c>
      <c r="G5553" s="3" t="s">
        <v>117</v>
      </c>
      <c r="H5553" s="2" t="s">
        <v>30</v>
      </c>
      <c r="I5553" s="2" t="s">
        <v>14122</v>
      </c>
      <c r="J5553" s="3" t="str">
        <f>HYPERLINK("https://www.boe.es/gazeta/dias/1812/11/27/pdfs/GMR-1812-38.pdf#page=8","Abrir facsímil")</f>
        <v>Abrir facsímil</v>
      </c>
      <c r="K5553" s="3" t="s">
        <v>32</v>
      </c>
    </row>
    <row r="5554" spans="1:11" ht="42" customHeight="1">
      <c r="A5554" s="2" t="s">
        <v>14123</v>
      </c>
      <c r="B5554" s="2" t="s">
        <v>14124</v>
      </c>
      <c r="C5554" s="2" t="s">
        <v>49</v>
      </c>
      <c r="D5554" s="2" t="s">
        <v>275</v>
      </c>
      <c r="E5554" s="4">
        <v>-31988</v>
      </c>
      <c r="F5554" s="3" t="s">
        <v>1094</v>
      </c>
      <c r="G5554" s="3" t="s">
        <v>1095</v>
      </c>
      <c r="H5554" s="2" t="s">
        <v>21</v>
      </c>
      <c r="I5554" s="2" t="s">
        <v>14125</v>
      </c>
      <c r="J5554" s="3" t="str">
        <f>HYPERLINK("https://www.boe.es/gazeta/dias/1812/06/01/pdfs/GMD-1812-153.pdf#page=2","Abrir facsímil")</f>
        <v>Abrir facsímil</v>
      </c>
      <c r="K5554" s="3" t="s">
        <v>23</v>
      </c>
    </row>
    <row r="5555" spans="1:11" ht="42" customHeight="1">
      <c r="A5555" s="2" t="s">
        <v>14126</v>
      </c>
      <c r="B5555" s="2" t="s">
        <v>14127</v>
      </c>
      <c r="C5555" s="2" t="s">
        <v>26</v>
      </c>
      <c r="D5555" s="2" t="s">
        <v>27</v>
      </c>
      <c r="E5555" s="4">
        <v>-32018</v>
      </c>
      <c r="F5555" s="3" t="s">
        <v>365</v>
      </c>
      <c r="G5555" s="3" t="s">
        <v>392</v>
      </c>
      <c r="H5555" s="2" t="s">
        <v>21</v>
      </c>
      <c r="I5555" s="2" t="s">
        <v>14128</v>
      </c>
      <c r="J5555" s="3" t="str">
        <f>HYPERLINK("https://www.boe.es/gazeta/dias/1812/05/02/pdfs/GRE-1812-55.pdf#page=2","Abrir facsímil")</f>
        <v>Abrir facsímil</v>
      </c>
      <c r="K5555" s="3" t="s">
        <v>23</v>
      </c>
    </row>
    <row r="5556" spans="1:11" ht="42" customHeight="1">
      <c r="A5556" s="2" t="s">
        <v>14129</v>
      </c>
      <c r="B5556" s="2" t="s">
        <v>14130</v>
      </c>
      <c r="C5556" s="2" t="s">
        <v>26</v>
      </c>
      <c r="D5556" s="2" t="s">
        <v>27</v>
      </c>
      <c r="E5556" s="4">
        <v>-31938</v>
      </c>
      <c r="F5556" s="3" t="s">
        <v>324</v>
      </c>
      <c r="G5556" s="3" t="s">
        <v>497</v>
      </c>
      <c r="H5556" s="2" t="s">
        <v>21</v>
      </c>
      <c r="I5556" s="2" t="s">
        <v>14131</v>
      </c>
      <c r="J5556" s="3" t="str">
        <f>HYPERLINK("https://www.boe.es/gazeta/dias/1812/07/21/pdfs/GMD-1812-203.pdf#page=3","Abrir facsímil")</f>
        <v>Abrir facsímil</v>
      </c>
      <c r="K5556" s="3" t="s">
        <v>23</v>
      </c>
    </row>
    <row r="5557" spans="1:11" ht="42" customHeight="1">
      <c r="A5557" s="2" t="s">
        <v>14132</v>
      </c>
      <c r="B5557" s="2" t="s">
        <v>14133</v>
      </c>
      <c r="C5557" s="2" t="s">
        <v>549</v>
      </c>
      <c r="D5557" s="2" t="s">
        <v>27</v>
      </c>
      <c r="E5557" s="4">
        <v>-32132</v>
      </c>
      <c r="F5557" s="3" t="s">
        <v>484</v>
      </c>
      <c r="G5557" s="3" t="s">
        <v>485</v>
      </c>
      <c r="H5557" s="2" t="s">
        <v>21</v>
      </c>
      <c r="I5557" s="2" t="s">
        <v>14134</v>
      </c>
      <c r="J5557" s="3" t="str">
        <f>HYPERLINK("https://www.boe.es/gazeta/dias/1812/01/09/pdfs/GEI-1812-4.pdf#page=8","Abrir facsímil")</f>
        <v>Abrir facsímil</v>
      </c>
      <c r="K5557" s="3" t="s">
        <v>23</v>
      </c>
    </row>
    <row r="5558" spans="1:11" ht="42" customHeight="1">
      <c r="A5558" s="2" t="s">
        <v>14135</v>
      </c>
      <c r="B5558" s="2" t="s">
        <v>14136</v>
      </c>
      <c r="C5558" s="2" t="s">
        <v>17</v>
      </c>
      <c r="D5558" s="2" t="s">
        <v>18</v>
      </c>
      <c r="E5558" s="4">
        <v>-32109</v>
      </c>
      <c r="F5558" s="3" t="s">
        <v>62</v>
      </c>
      <c r="G5558" s="3" t="s">
        <v>472</v>
      </c>
      <c r="H5558" s="2" t="s">
        <v>21</v>
      </c>
      <c r="I5558" s="2" t="s">
        <v>14137</v>
      </c>
      <c r="J5558" s="3" t="str">
        <f>HYPERLINK("https://www.boe.es/gazeta/dias/1812/02/01/pdfs/GRE-1812-14.pdf#page=12","Abrir facsímil")</f>
        <v>Abrir facsímil</v>
      </c>
      <c r="K5558" s="3" t="s">
        <v>23</v>
      </c>
    </row>
    <row r="5559" spans="1:11" ht="42" customHeight="1">
      <c r="A5559" s="2" t="s">
        <v>14138</v>
      </c>
      <c r="B5559" s="2" t="s">
        <v>14139</v>
      </c>
      <c r="C5559" s="2" t="s">
        <v>26</v>
      </c>
      <c r="D5559" s="2" t="s">
        <v>27</v>
      </c>
      <c r="E5559" s="4">
        <v>-32065</v>
      </c>
      <c r="F5559" s="3" t="s">
        <v>259</v>
      </c>
      <c r="G5559" s="3" t="s">
        <v>20</v>
      </c>
      <c r="H5559" s="2" t="s">
        <v>21</v>
      </c>
      <c r="I5559" s="2" t="s">
        <v>14140</v>
      </c>
      <c r="J5559" s="3" t="str">
        <f>HYPERLINK("https://www.boe.es/gazeta/dias/1812/03/16/pdfs/GMD-1812-76.pdf#page=4","Abrir facsímil")</f>
        <v>Abrir facsímil</v>
      </c>
      <c r="K5559" s="3" t="s">
        <v>23</v>
      </c>
    </row>
    <row r="5560" spans="1:11" ht="42" customHeight="1">
      <c r="A5560" s="2" t="s">
        <v>14141</v>
      </c>
      <c r="B5560" s="2" t="s">
        <v>14142</v>
      </c>
      <c r="C5560" s="2" t="s">
        <v>26</v>
      </c>
      <c r="D5560" s="2" t="s">
        <v>27</v>
      </c>
      <c r="E5560" s="4">
        <v>-32069</v>
      </c>
      <c r="F5560" s="3" t="s">
        <v>445</v>
      </c>
      <c r="G5560" s="3" t="s">
        <v>623</v>
      </c>
      <c r="H5560" s="2" t="s">
        <v>21</v>
      </c>
      <c r="I5560" s="2" t="s">
        <v>14143</v>
      </c>
      <c r="J5560" s="3" t="str">
        <f>HYPERLINK("https://www.boe.es/gazeta/dias/1812/03/12/pdfs/GRE-1812-32.pdf#page=7","Abrir facsímil")</f>
        <v>Abrir facsímil</v>
      </c>
      <c r="K5560" s="3" t="s">
        <v>23</v>
      </c>
    </row>
    <row r="5561" spans="1:11" ht="42" customHeight="1">
      <c r="A5561" s="2" t="s">
        <v>14144</v>
      </c>
      <c r="B5561" s="2" t="s">
        <v>14144</v>
      </c>
      <c r="C5561" s="2" t="s">
        <v>17</v>
      </c>
      <c r="D5561" s="2" t="s">
        <v>27</v>
      </c>
      <c r="E5561" s="4">
        <v>-32011</v>
      </c>
      <c r="F5561" s="3" t="s">
        <v>1233</v>
      </c>
      <c r="G5561" s="3" t="s">
        <v>8021</v>
      </c>
      <c r="H5561" s="2" t="s">
        <v>21</v>
      </c>
      <c r="I5561" s="2" t="s">
        <v>14145</v>
      </c>
      <c r="J5561" s="3" t="str">
        <f>HYPERLINK("https://www.boe.es/gazeta/dias/1812/05/09/pdfs/GRE-1812-58.pdf#page=2","Abrir facsímil")</f>
        <v>Abrir facsímil</v>
      </c>
      <c r="K5561" s="3" t="s">
        <v>23</v>
      </c>
    </row>
    <row r="5562" spans="1:11" ht="42" customHeight="1">
      <c r="A5562" s="2" t="s">
        <v>14146</v>
      </c>
      <c r="B5562" s="2" t="s">
        <v>14146</v>
      </c>
      <c r="C5562" s="2" t="s">
        <v>17</v>
      </c>
      <c r="D5562" s="2" t="s">
        <v>18</v>
      </c>
      <c r="E5562" s="4">
        <v>-31980</v>
      </c>
      <c r="F5562" s="3" t="s">
        <v>40</v>
      </c>
      <c r="G5562" s="3" t="s">
        <v>7999</v>
      </c>
      <c r="H5562" s="2" t="s">
        <v>21</v>
      </c>
      <c r="I5562" s="2" t="s">
        <v>14147</v>
      </c>
      <c r="J5562" s="3" t="str">
        <f>HYPERLINK("https://www.boe.es/gazeta/dias/1812/06/09/pdfs/GRE-1812-71.pdf#page=4","Abrir facsímil")</f>
        <v>Abrir facsímil</v>
      </c>
      <c r="K5562" s="3" t="s">
        <v>23</v>
      </c>
    </row>
    <row r="5563" spans="1:11" ht="42" customHeight="1">
      <c r="A5563" s="2" t="s">
        <v>14148</v>
      </c>
      <c r="B5563" s="2" t="s">
        <v>14148</v>
      </c>
      <c r="C5563" s="2" t="s">
        <v>17</v>
      </c>
      <c r="D5563" s="2" t="s">
        <v>18</v>
      </c>
      <c r="E5563" s="4">
        <v>-32139</v>
      </c>
      <c r="F5563" s="3" t="s">
        <v>518</v>
      </c>
      <c r="G5563" s="3" t="s">
        <v>1923</v>
      </c>
      <c r="H5563" s="2" t="s">
        <v>21</v>
      </c>
      <c r="I5563" s="2" t="s">
        <v>14149</v>
      </c>
      <c r="J5563" s="3" t="str">
        <f>HYPERLINK("https://www.boe.es/gazeta/dias/1812/01/02/pdfs/GEI-1812-1.pdf#page=1","Abrir facsímil")</f>
        <v>Abrir facsímil</v>
      </c>
      <c r="K5563" s="3" t="s">
        <v>23</v>
      </c>
    </row>
    <row r="5564" spans="1:11" ht="42" customHeight="1">
      <c r="A5564" s="2" t="s">
        <v>14148</v>
      </c>
      <c r="B5564" s="2" t="s">
        <v>14148</v>
      </c>
      <c r="C5564" s="2" t="s">
        <v>17</v>
      </c>
      <c r="D5564" s="2" t="s">
        <v>27</v>
      </c>
      <c r="E5564" s="4">
        <v>-32120</v>
      </c>
      <c r="F5564" s="3" t="s">
        <v>3524</v>
      </c>
      <c r="G5564" s="3" t="s">
        <v>514</v>
      </c>
      <c r="H5564" s="2" t="s">
        <v>21</v>
      </c>
      <c r="I5564" s="2" t="s">
        <v>14150</v>
      </c>
      <c r="J5564" s="3" t="str">
        <f>HYPERLINK("https://www.boe.es/gazeta/dias/1812/01/21/pdfs/GEI-1812-9.pdf#page=7","Abrir facsímil")</f>
        <v>Abrir facsímil</v>
      </c>
      <c r="K5564" s="3" t="s">
        <v>23</v>
      </c>
    </row>
    <row r="5565" spans="1:11" ht="42" customHeight="1">
      <c r="A5565" s="2" t="s">
        <v>14148</v>
      </c>
      <c r="B5565" s="2" t="s">
        <v>14148</v>
      </c>
      <c r="C5565" s="2" t="s">
        <v>17</v>
      </c>
      <c r="D5565" s="2" t="s">
        <v>27</v>
      </c>
      <c r="E5565" s="4">
        <v>-32088</v>
      </c>
      <c r="F5565" s="3" t="s">
        <v>250</v>
      </c>
      <c r="G5565" s="3" t="s">
        <v>251</v>
      </c>
      <c r="H5565" s="2" t="s">
        <v>21</v>
      </c>
      <c r="I5565" s="2" t="s">
        <v>14151</v>
      </c>
      <c r="J5565" s="3" t="str">
        <f>HYPERLINK("https://www.boe.es/gazeta/dias/1812/02/22/pdfs/GRE-1812-23.pdf#page=8","Abrir facsímil")</f>
        <v>Abrir facsímil</v>
      </c>
      <c r="K5565" s="3" t="s">
        <v>23</v>
      </c>
    </row>
    <row r="5566" spans="1:11" ht="42" customHeight="1">
      <c r="A5566" s="2" t="s">
        <v>14148</v>
      </c>
      <c r="B5566" s="2" t="s">
        <v>14148</v>
      </c>
      <c r="C5566" s="2" t="s">
        <v>49</v>
      </c>
      <c r="D5566" s="2" t="s">
        <v>18</v>
      </c>
      <c r="E5566" s="4">
        <v>-32085</v>
      </c>
      <c r="F5566" s="3" t="s">
        <v>3321</v>
      </c>
      <c r="G5566" s="3" t="s">
        <v>3409</v>
      </c>
      <c r="H5566" s="2" t="s">
        <v>21</v>
      </c>
      <c r="I5566" s="2" t="s">
        <v>14152</v>
      </c>
      <c r="J5566" s="3" t="str">
        <f>HYPERLINK("https://www.boe.es/gazeta/dias/1812/02/25/pdfs/GRE-1812-25.pdf#page=1","Abrir facsímil")</f>
        <v>Abrir facsímil</v>
      </c>
      <c r="K5566" s="3" t="s">
        <v>23</v>
      </c>
    </row>
    <row r="5567" spans="1:11" ht="42" customHeight="1">
      <c r="A5567" s="2" t="s">
        <v>14153</v>
      </c>
      <c r="B5567" s="2" t="s">
        <v>14153</v>
      </c>
      <c r="C5567" s="2" t="s">
        <v>17</v>
      </c>
      <c r="D5567" s="2" t="s">
        <v>27</v>
      </c>
      <c r="E5567" s="4">
        <v>-32039</v>
      </c>
      <c r="F5567" s="3" t="s">
        <v>1910</v>
      </c>
      <c r="G5567" s="3" t="s">
        <v>13787</v>
      </c>
      <c r="H5567" s="2" t="s">
        <v>21</v>
      </c>
      <c r="I5567" s="2" t="s">
        <v>14154</v>
      </c>
      <c r="J5567" s="3" t="str">
        <f>HYPERLINK("https://www.boe.es/gazeta/dias/1812/04/11/pdfs/GRE-1812-46.pdf#page=6","Abrir facsímil")</f>
        <v>Abrir facsímil</v>
      </c>
      <c r="K5567" s="3" t="s">
        <v>23</v>
      </c>
    </row>
    <row r="5568" spans="1:11" ht="42" customHeight="1">
      <c r="A5568" s="2" t="s">
        <v>14148</v>
      </c>
      <c r="B5568" s="2" t="s">
        <v>14148</v>
      </c>
      <c r="C5568" s="2" t="s">
        <v>17</v>
      </c>
      <c r="D5568" s="2" t="s">
        <v>18</v>
      </c>
      <c r="E5568" s="4">
        <v>-31992</v>
      </c>
      <c r="F5568" s="3" t="s">
        <v>1292</v>
      </c>
      <c r="G5568" s="3" t="s">
        <v>10046</v>
      </c>
      <c r="H5568" s="2" t="s">
        <v>21</v>
      </c>
      <c r="I5568" s="2" t="s">
        <v>14155</v>
      </c>
      <c r="J5568" s="3" t="str">
        <f>HYPERLINK("https://www.boe.es/gazeta/dias/1812/05/28/pdfs/GRE-1812-66.pdf#page=1","Abrir facsímil")</f>
        <v>Abrir facsímil</v>
      </c>
      <c r="K5568" s="3" t="s">
        <v>23</v>
      </c>
    </row>
    <row r="5569" spans="1:11" ht="42" customHeight="1">
      <c r="A5569" s="2" t="s">
        <v>14148</v>
      </c>
      <c r="B5569" s="2" t="s">
        <v>14148</v>
      </c>
      <c r="C5569" s="2" t="s">
        <v>17</v>
      </c>
      <c r="D5569" s="2" t="s">
        <v>27</v>
      </c>
      <c r="E5569" s="4">
        <v>-31990</v>
      </c>
      <c r="F5569" s="3" t="s">
        <v>5078</v>
      </c>
      <c r="G5569" s="3" t="s">
        <v>14156</v>
      </c>
      <c r="H5569" s="2" t="s">
        <v>21</v>
      </c>
      <c r="I5569" s="2" t="s">
        <v>14157</v>
      </c>
      <c r="J5569" s="3" t="str">
        <f>HYPERLINK("https://www.boe.es/gazeta/dias/1812/05/30/pdfs/GRE-1812-67.pdf#page=6","Abrir facsímil")</f>
        <v>Abrir facsímil</v>
      </c>
      <c r="K5569" s="3" t="s">
        <v>23</v>
      </c>
    </row>
    <row r="5570" spans="1:11" ht="42" customHeight="1">
      <c r="A5570" s="2" t="s">
        <v>14148</v>
      </c>
      <c r="B5570" s="2" t="s">
        <v>14148</v>
      </c>
      <c r="C5570" s="2" t="s">
        <v>17</v>
      </c>
      <c r="D5570" s="2" t="s">
        <v>27</v>
      </c>
      <c r="E5570" s="4">
        <v>-31952</v>
      </c>
      <c r="F5570" s="3" t="s">
        <v>210</v>
      </c>
      <c r="G5570" s="3" t="s">
        <v>438</v>
      </c>
      <c r="H5570" s="2" t="s">
        <v>21</v>
      </c>
      <c r="I5570" s="2" t="s">
        <v>14158</v>
      </c>
      <c r="J5570" s="3" t="str">
        <f>HYPERLINK("https://www.boe.es/gazeta/dias/1812/07/07/pdfs/GRE-1812-83.pdf#page=5","Abrir facsímil")</f>
        <v>Abrir facsímil</v>
      </c>
      <c r="K5570" s="3" t="s">
        <v>23</v>
      </c>
    </row>
    <row r="5571" spans="1:11" ht="42" customHeight="1">
      <c r="A5571" s="2" t="s">
        <v>14148</v>
      </c>
      <c r="B5571" s="2" t="s">
        <v>14148</v>
      </c>
      <c r="C5571" s="2" t="s">
        <v>17</v>
      </c>
      <c r="D5571" s="2" t="s">
        <v>18</v>
      </c>
      <c r="E5571" s="4">
        <v>-31892</v>
      </c>
      <c r="F5571" s="3" t="s">
        <v>1825</v>
      </c>
      <c r="G5571" s="3" t="s">
        <v>217</v>
      </c>
      <c r="H5571" s="2" t="s">
        <v>21</v>
      </c>
      <c r="I5571" s="2" t="s">
        <v>14159</v>
      </c>
      <c r="J5571" s="3" t="str">
        <f>HYPERLINK("https://www.boe.es/gazeta/dias/1812/09/05/pdfs/GMR-1812-10.pdf#page=11","Abrir facsímil")</f>
        <v>Abrir facsímil</v>
      </c>
      <c r="K5571" s="3" t="s">
        <v>23</v>
      </c>
    </row>
    <row r="5572" spans="1:11" ht="42" customHeight="1">
      <c r="A5572" s="2" t="s">
        <v>14148</v>
      </c>
      <c r="B5572" s="2" t="s">
        <v>14148</v>
      </c>
      <c r="C5572" s="2" t="s">
        <v>17</v>
      </c>
      <c r="D5572" s="2" t="s">
        <v>18</v>
      </c>
      <c r="E5572" s="4">
        <v>-31889</v>
      </c>
      <c r="F5572" s="3" t="s">
        <v>424</v>
      </c>
      <c r="G5572" s="3" t="s">
        <v>438</v>
      </c>
      <c r="H5572" s="2" t="s">
        <v>21</v>
      </c>
      <c r="I5572" s="2" t="s">
        <v>14160</v>
      </c>
      <c r="J5572" s="3" t="str">
        <f>HYPERLINK("https://www.boe.es/gazeta/dias/1812/09/08/pdfs/GRE-1812-121.pdf#page=4","Abrir facsímil")</f>
        <v>Abrir facsímil</v>
      </c>
      <c r="K5572" s="3" t="s">
        <v>23</v>
      </c>
    </row>
    <row r="5573" spans="1:11" ht="42" customHeight="1">
      <c r="A5573" s="2" t="s">
        <v>14148</v>
      </c>
      <c r="B5573" s="2" t="s">
        <v>14148</v>
      </c>
      <c r="C5573" s="2" t="s">
        <v>17</v>
      </c>
      <c r="D5573" s="2" t="s">
        <v>18</v>
      </c>
      <c r="E5573" s="4">
        <v>-31789</v>
      </c>
      <c r="F5573" s="3" t="s">
        <v>350</v>
      </c>
      <c r="G5573" s="3" t="s">
        <v>130</v>
      </c>
      <c r="H5573" s="2" t="s">
        <v>21</v>
      </c>
      <c r="I5573" s="2" t="s">
        <v>14161</v>
      </c>
      <c r="J5573" s="3" t="str">
        <f>HYPERLINK("https://www.boe.es/gazeta/dias/1812/12/17/pdfs/GRE-1812-166.pdf#page=4","Abrir facsímil")</f>
        <v>Abrir facsímil</v>
      </c>
      <c r="K5573" s="3" t="s">
        <v>23</v>
      </c>
    </row>
    <row r="5574" spans="1:11" ht="42" customHeight="1">
      <c r="A5574" s="2" t="s">
        <v>14148</v>
      </c>
      <c r="B5574" s="2" t="s">
        <v>14148</v>
      </c>
      <c r="C5574" s="2" t="s">
        <v>17</v>
      </c>
      <c r="D5574" s="2" t="s">
        <v>27</v>
      </c>
      <c r="E5574" s="4">
        <v>-31789</v>
      </c>
      <c r="F5574" s="3" t="s">
        <v>350</v>
      </c>
      <c r="G5574" s="3" t="s">
        <v>351</v>
      </c>
      <c r="H5574" s="2" t="s">
        <v>21</v>
      </c>
      <c r="I5574" s="2" t="s">
        <v>14162</v>
      </c>
      <c r="J5574" s="3" t="str">
        <f>HYPERLINK("https://www.boe.es/gazeta/dias/1812/12/17/pdfs/GRE-1812-166.pdf#page=6","Abrir facsímil")</f>
        <v>Abrir facsímil</v>
      </c>
      <c r="K5574" s="3" t="s">
        <v>23</v>
      </c>
    </row>
    <row r="5575" spans="1:11" ht="42" customHeight="1">
      <c r="A5575" s="2" t="s">
        <v>14163</v>
      </c>
      <c r="B5575" s="2" t="s">
        <v>14164</v>
      </c>
      <c r="C5575" s="2" t="s">
        <v>26</v>
      </c>
      <c r="D5575" s="2" t="s">
        <v>27</v>
      </c>
      <c r="E5575" s="4">
        <v>-31966</v>
      </c>
      <c r="F5575" s="3" t="s">
        <v>387</v>
      </c>
      <c r="G5575" s="3" t="s">
        <v>388</v>
      </c>
      <c r="H5575" s="2" t="s">
        <v>21</v>
      </c>
      <c r="I5575" s="2" t="s">
        <v>14165</v>
      </c>
      <c r="J5575" s="3" t="str">
        <f>HYPERLINK("https://www.boe.es/gazeta/dias/1812/06/23/pdfs/GMD-1812-175.pdf#page=2","Abrir facsímil")</f>
        <v>Abrir facsímil</v>
      </c>
      <c r="K5575" s="3" t="s">
        <v>23</v>
      </c>
    </row>
    <row r="5576" spans="1:11" ht="42" customHeight="1">
      <c r="A5576" s="2" t="s">
        <v>14166</v>
      </c>
      <c r="B5576" s="2" t="s">
        <v>14167</v>
      </c>
      <c r="C5576" s="2" t="s">
        <v>17</v>
      </c>
      <c r="D5576" s="2" t="s">
        <v>27</v>
      </c>
      <c r="E5576" s="4">
        <v>-32139</v>
      </c>
      <c r="F5576" s="3" t="s">
        <v>518</v>
      </c>
      <c r="G5576" s="3" t="s">
        <v>125</v>
      </c>
      <c r="H5576" s="2" t="s">
        <v>21</v>
      </c>
      <c r="I5576" s="2" t="s">
        <v>14168</v>
      </c>
      <c r="J5576" s="3" t="str">
        <f>HYPERLINK("https://www.boe.es/gazeta/dias/1812/01/02/pdfs/GEI-1812-1.pdf#page=8","Abrir facsímil")</f>
        <v>Abrir facsímil</v>
      </c>
      <c r="K5576" s="3" t="s">
        <v>23</v>
      </c>
    </row>
    <row r="5577" spans="1:11" ht="42" customHeight="1">
      <c r="A5577" s="2" t="s">
        <v>14169</v>
      </c>
      <c r="B5577" s="2" t="s">
        <v>14170</v>
      </c>
      <c r="C5577" s="2" t="s">
        <v>26</v>
      </c>
      <c r="D5577" s="2" t="s">
        <v>27</v>
      </c>
      <c r="E5577" s="4">
        <v>-31980</v>
      </c>
      <c r="F5577" s="3" t="s">
        <v>40</v>
      </c>
      <c r="G5577" s="3" t="s">
        <v>41</v>
      </c>
      <c r="H5577" s="2" t="s">
        <v>21</v>
      </c>
      <c r="I5577" s="2" t="s">
        <v>14171</v>
      </c>
      <c r="J5577" s="3" t="str">
        <f>HYPERLINK("https://www.boe.es/gazeta/dias/1812/06/09/pdfs/GRE-1812-71.pdf#page=6","Abrir facsímil")</f>
        <v>Abrir facsímil</v>
      </c>
      <c r="K5577" s="3" t="s">
        <v>23</v>
      </c>
    </row>
    <row r="5578" spans="1:11" ht="42" customHeight="1">
      <c r="A5578" s="2" t="s">
        <v>14172</v>
      </c>
      <c r="B5578" s="2" t="s">
        <v>14172</v>
      </c>
      <c r="C5578" s="2" t="s">
        <v>17</v>
      </c>
      <c r="D5578" s="2" t="s">
        <v>27</v>
      </c>
      <c r="E5578" s="4">
        <v>-31905</v>
      </c>
      <c r="F5578" s="3" t="s">
        <v>855</v>
      </c>
      <c r="G5578" s="3" t="s">
        <v>63</v>
      </c>
      <c r="H5578" s="2" t="s">
        <v>21</v>
      </c>
      <c r="I5578" s="2" t="s">
        <v>14173</v>
      </c>
      <c r="J5578" s="3" t="str">
        <f>HYPERLINK("https://www.boe.es/gazeta/dias/1812/08/23/pdfs/GMR-1812-4.pdf#page=10","Abrir facsímil")</f>
        <v>Abrir facsímil</v>
      </c>
      <c r="K5578" s="3" t="s">
        <v>23</v>
      </c>
    </row>
    <row r="5579" spans="1:11" ht="42" customHeight="1">
      <c r="A5579" s="2" t="s">
        <v>14174</v>
      </c>
      <c r="B5579" s="2" t="s">
        <v>14175</v>
      </c>
      <c r="C5579" s="2" t="s">
        <v>26</v>
      </c>
      <c r="D5579" s="2" t="s">
        <v>27</v>
      </c>
      <c r="E5579" s="4">
        <v>-31980</v>
      </c>
      <c r="F5579" s="3" t="s">
        <v>40</v>
      </c>
      <c r="G5579" s="3" t="s">
        <v>41</v>
      </c>
      <c r="H5579" s="2" t="s">
        <v>21</v>
      </c>
      <c r="I5579" s="2" t="s">
        <v>14176</v>
      </c>
      <c r="J5579" s="3" t="str">
        <f>HYPERLINK("https://www.boe.es/gazeta/dias/1812/06/09/pdfs/GRE-1812-71.pdf#page=6","Abrir facsímil")</f>
        <v>Abrir facsímil</v>
      </c>
      <c r="K5579" s="3" t="s">
        <v>23</v>
      </c>
    </row>
    <row r="5580" spans="1:11" ht="42" customHeight="1">
      <c r="A5580" s="2" t="s">
        <v>14177</v>
      </c>
      <c r="B5580" s="2" t="s">
        <v>14178</v>
      </c>
      <c r="C5580" s="2" t="s">
        <v>186</v>
      </c>
      <c r="D5580" s="2" t="s">
        <v>27</v>
      </c>
      <c r="E5580" s="4">
        <v>-31968</v>
      </c>
      <c r="F5580" s="3" t="s">
        <v>4011</v>
      </c>
      <c r="G5580" s="3" t="s">
        <v>237</v>
      </c>
      <c r="H5580" s="2" t="s">
        <v>21</v>
      </c>
      <c r="I5580" s="2" t="s">
        <v>14179</v>
      </c>
      <c r="J5580" s="3" t="str">
        <f>HYPERLINK("https://www.boe.es/gazeta/dias/1812/06/21/pdfs/GMD-1812-173.pdf#page=4","Abrir facsímil")</f>
        <v>Abrir facsímil</v>
      </c>
      <c r="K5580" s="3" t="s">
        <v>23</v>
      </c>
    </row>
    <row r="5581" spans="1:11" ht="42" customHeight="1">
      <c r="A5581" s="2" t="s">
        <v>14180</v>
      </c>
      <c r="B5581" s="2" t="s">
        <v>14181</v>
      </c>
      <c r="C5581" s="2" t="s">
        <v>26</v>
      </c>
      <c r="D5581" s="2" t="s">
        <v>27</v>
      </c>
      <c r="E5581" s="4">
        <v>-31955</v>
      </c>
      <c r="F5581" s="3" t="s">
        <v>789</v>
      </c>
      <c r="G5581" s="3" t="s">
        <v>237</v>
      </c>
      <c r="H5581" s="2" t="s">
        <v>21</v>
      </c>
      <c r="I5581" s="2" t="s">
        <v>14182</v>
      </c>
      <c r="J5581" s="3" t="str">
        <f>HYPERLINK("https://www.boe.es/gazeta/dias/1812/07/04/pdfs/GRE-1812-82.pdf#page=8","Abrir facsímil")</f>
        <v>Abrir facsímil</v>
      </c>
      <c r="K5581" s="3" t="s">
        <v>23</v>
      </c>
    </row>
    <row r="5582" spans="1:11" ht="42" customHeight="1">
      <c r="A5582" s="2" t="s">
        <v>14183</v>
      </c>
      <c r="B5582" s="2" t="s">
        <v>14184</v>
      </c>
      <c r="C5582" s="2" t="s">
        <v>17</v>
      </c>
      <c r="D5582" s="2" t="s">
        <v>18</v>
      </c>
      <c r="E5582" s="4">
        <v>-31894</v>
      </c>
      <c r="F5582" s="3" t="s">
        <v>793</v>
      </c>
      <c r="G5582" s="3" t="s">
        <v>644</v>
      </c>
      <c r="H5582" s="2" t="s">
        <v>21</v>
      </c>
      <c r="I5582" s="2" t="s">
        <v>14185</v>
      </c>
      <c r="J5582" s="3" t="str">
        <f>HYPERLINK("https://www.boe.es/gazeta/dias/1812/09/03/pdfs/GRE-1812-119.pdf#page=4","Abrir facsímil")</f>
        <v>Abrir facsímil</v>
      </c>
      <c r="K5582" s="3" t="s">
        <v>23</v>
      </c>
    </row>
    <row r="5583" spans="1:11" ht="42" customHeight="1">
      <c r="A5583" s="2" t="s">
        <v>14186</v>
      </c>
      <c r="B5583" s="2" t="s">
        <v>14187</v>
      </c>
      <c r="C5583" s="2" t="s">
        <v>26</v>
      </c>
      <c r="D5583" s="2" t="s">
        <v>27</v>
      </c>
      <c r="E5583" s="4">
        <v>-32024</v>
      </c>
      <c r="F5583" s="3" t="s">
        <v>11824</v>
      </c>
      <c r="G5583" s="3" t="s">
        <v>36</v>
      </c>
      <c r="H5583" s="2" t="s">
        <v>21</v>
      </c>
      <c r="I5583" s="2" t="s">
        <v>14188</v>
      </c>
      <c r="J5583" s="3" t="str">
        <f>HYPERLINK("https://www.boe.es/gazeta/dias/1812/04/26/pdfs/GMD-1812-117.pdf#page=3","Abrir facsímil")</f>
        <v>Abrir facsímil</v>
      </c>
      <c r="K5583" s="3" t="s">
        <v>23</v>
      </c>
    </row>
    <row r="5584" spans="1:11" ht="42" customHeight="1">
      <c r="A5584" s="2" t="s">
        <v>14189</v>
      </c>
      <c r="B5584" s="2" t="s">
        <v>14190</v>
      </c>
      <c r="C5584" s="2" t="s">
        <v>67</v>
      </c>
      <c r="D5584" s="2" t="s">
        <v>27</v>
      </c>
      <c r="E5584" s="4">
        <v>-32066</v>
      </c>
      <c r="F5584" s="3" t="s">
        <v>291</v>
      </c>
      <c r="G5584" s="3" t="s">
        <v>125</v>
      </c>
      <c r="H5584" s="2" t="s">
        <v>21</v>
      </c>
      <c r="I5584" s="2" t="s">
        <v>14191</v>
      </c>
      <c r="J5584" s="3" t="str">
        <f>HYPERLINK("https://www.boe.es/gazeta/dias/1812/03/15/pdfs/GMD-1812-75.pdf#page=4","Abrir facsímil")</f>
        <v>Abrir facsímil</v>
      </c>
      <c r="K5584" s="3" t="s">
        <v>23</v>
      </c>
    </row>
    <row r="5585" spans="1:11" ht="42" customHeight="1">
      <c r="A5585" s="2" t="s">
        <v>14192</v>
      </c>
      <c r="B5585" s="2" t="s">
        <v>14193</v>
      </c>
      <c r="C5585" s="2" t="s">
        <v>105</v>
      </c>
      <c r="D5585" s="2" t="s">
        <v>27</v>
      </c>
      <c r="E5585" s="4">
        <v>-31816</v>
      </c>
      <c r="F5585" s="3" t="s">
        <v>270</v>
      </c>
      <c r="G5585" s="3" t="s">
        <v>271</v>
      </c>
      <c r="H5585" s="2" t="s">
        <v>21</v>
      </c>
      <c r="I5585" s="2" t="s">
        <v>14194</v>
      </c>
      <c r="J5585" s="3" t="str">
        <f>HYPERLINK("https://www.boe.es/gazeta/dias/1812/11/20/pdfs/GMR-1812-36.pdf#page=6","Abrir facsímil")</f>
        <v>Abrir facsímil</v>
      </c>
      <c r="K5585" s="3" t="s">
        <v>23</v>
      </c>
    </row>
    <row r="5586" spans="1:11" ht="42" customHeight="1">
      <c r="A5586" s="2" t="s">
        <v>14195</v>
      </c>
      <c r="B5586" s="2" t="s">
        <v>14196</v>
      </c>
      <c r="C5586" s="2" t="s">
        <v>105</v>
      </c>
      <c r="D5586" s="2" t="s">
        <v>27</v>
      </c>
      <c r="E5586" s="4">
        <v>-31833</v>
      </c>
      <c r="F5586" s="3" t="s">
        <v>267</v>
      </c>
      <c r="G5586" s="3" t="s">
        <v>268</v>
      </c>
      <c r="H5586" s="2" t="s">
        <v>21</v>
      </c>
      <c r="I5586" s="2" t="s">
        <v>14197</v>
      </c>
      <c r="J5586" s="3" t="str">
        <f>HYPERLINK("https://www.boe.es/gazeta/dias/1812/11/03/pdfs/GRE-1812-147.pdf#page=8","Abrir facsímil")</f>
        <v>Abrir facsímil</v>
      </c>
      <c r="K5586" s="3" t="s">
        <v>23</v>
      </c>
    </row>
    <row r="5587" spans="1:11" ht="42" customHeight="1">
      <c r="A5587" s="2" t="s">
        <v>14198</v>
      </c>
      <c r="B5587" s="2" t="s">
        <v>14198</v>
      </c>
      <c r="C5587" s="2" t="s">
        <v>17</v>
      </c>
      <c r="D5587" s="2" t="s">
        <v>18</v>
      </c>
      <c r="E5587" s="4">
        <v>-31777</v>
      </c>
      <c r="F5587" s="3" t="s">
        <v>960</v>
      </c>
      <c r="G5587" s="3" t="s">
        <v>125</v>
      </c>
      <c r="H5587" s="2" t="s">
        <v>21</v>
      </c>
      <c r="I5587" s="2" t="s">
        <v>14199</v>
      </c>
      <c r="J5587" s="3" t="str">
        <f>HYPERLINK("https://www.boe.es/gazeta/dias/1812/12/29/pdfs/GMD-1812-252.pdf#page=3","Abrir facsímil")</f>
        <v>Abrir facsímil</v>
      </c>
      <c r="K5587" s="3" t="s">
        <v>23</v>
      </c>
    </row>
    <row r="5588" spans="1:11" ht="42" customHeight="1">
      <c r="A5588" s="2" t="s">
        <v>14200</v>
      </c>
      <c r="B5588" s="2" t="s">
        <v>14201</v>
      </c>
      <c r="C5588" s="2" t="s">
        <v>17</v>
      </c>
      <c r="D5588" s="2" t="s">
        <v>27</v>
      </c>
      <c r="E5588" s="4">
        <v>-31948</v>
      </c>
      <c r="F5588" s="3" t="s">
        <v>431</v>
      </c>
      <c r="G5588" s="3" t="s">
        <v>20</v>
      </c>
      <c r="H5588" s="2" t="s">
        <v>21</v>
      </c>
      <c r="I5588" s="2" t="s">
        <v>14202</v>
      </c>
      <c r="J5588" s="3" t="str">
        <f>HYPERLINK("https://www.boe.es/gazeta/dias/1812/07/11/pdfs/GRE-1812-86.pdf#page=4","Abrir facsímil")</f>
        <v>Abrir facsímil</v>
      </c>
      <c r="K5588" s="3" t="s">
        <v>23</v>
      </c>
    </row>
    <row r="5589" spans="1:11" ht="42" customHeight="1">
      <c r="A5589" s="2" t="s">
        <v>14203</v>
      </c>
      <c r="B5589" s="2" t="s">
        <v>14203</v>
      </c>
      <c r="C5589" s="2" t="s">
        <v>17</v>
      </c>
      <c r="D5589" s="2" t="s">
        <v>27</v>
      </c>
      <c r="E5589" s="4">
        <v>-32076</v>
      </c>
      <c r="F5589" s="3" t="s">
        <v>2486</v>
      </c>
      <c r="G5589" s="3" t="s">
        <v>1852</v>
      </c>
      <c r="H5589" s="2" t="s">
        <v>21</v>
      </c>
      <c r="I5589" s="2" t="s">
        <v>14204</v>
      </c>
      <c r="J5589" s="3" t="str">
        <f>HYPERLINK("https://www.boe.es/gazeta/dias/1812/03/05/pdfs/GRE-1812-29.pdf#page=5","Abrir facsímil")</f>
        <v>Abrir facsímil</v>
      </c>
      <c r="K5589" s="3" t="s">
        <v>23</v>
      </c>
    </row>
    <row r="5590" spans="1:11" ht="42" customHeight="1">
      <c r="A5590" s="2" t="s">
        <v>14203</v>
      </c>
      <c r="B5590" s="2" t="s">
        <v>14203</v>
      </c>
      <c r="C5590" s="2" t="s">
        <v>17</v>
      </c>
      <c r="D5590" s="2" t="s">
        <v>27</v>
      </c>
      <c r="E5590" s="4">
        <v>-31990</v>
      </c>
      <c r="F5590" s="3" t="s">
        <v>5078</v>
      </c>
      <c r="G5590" s="3" t="s">
        <v>6482</v>
      </c>
      <c r="H5590" s="2" t="s">
        <v>21</v>
      </c>
      <c r="I5590" s="2" t="s">
        <v>14205</v>
      </c>
      <c r="J5590" s="3" t="str">
        <f>HYPERLINK("https://www.boe.es/gazeta/dias/1812/05/30/pdfs/GRE-1812-67.pdf#page=1","Abrir facsímil")</f>
        <v>Abrir facsímil</v>
      </c>
      <c r="K5590" s="3" t="s">
        <v>23</v>
      </c>
    </row>
    <row r="5591" spans="1:11" ht="42" customHeight="1">
      <c r="A5591" s="2" t="s">
        <v>14203</v>
      </c>
      <c r="B5591" s="2" t="s">
        <v>14203</v>
      </c>
      <c r="C5591" s="2" t="s">
        <v>17</v>
      </c>
      <c r="D5591" s="2" t="s">
        <v>27</v>
      </c>
      <c r="E5591" s="4">
        <v>-31983</v>
      </c>
      <c r="F5591" s="3" t="s">
        <v>809</v>
      </c>
      <c r="G5591" s="3" t="s">
        <v>2655</v>
      </c>
      <c r="H5591" s="2" t="s">
        <v>21</v>
      </c>
      <c r="I5591" s="2" t="s">
        <v>14206</v>
      </c>
      <c r="J5591" s="3" t="str">
        <f>HYPERLINK("https://www.boe.es/gazeta/dias/1812/06/06/pdfs/GRE-1812-70.pdf#page=6","Abrir facsímil")</f>
        <v>Abrir facsímil</v>
      </c>
      <c r="K5591" s="3" t="s">
        <v>23</v>
      </c>
    </row>
    <row r="5592" spans="1:11" ht="42" customHeight="1">
      <c r="A5592" s="2" t="s">
        <v>14203</v>
      </c>
      <c r="B5592" s="2" t="s">
        <v>14203</v>
      </c>
      <c r="C5592" s="2" t="s">
        <v>17</v>
      </c>
      <c r="D5592" s="2" t="s">
        <v>18</v>
      </c>
      <c r="E5592" s="4">
        <v>-31980</v>
      </c>
      <c r="F5592" s="3" t="s">
        <v>40</v>
      </c>
      <c r="G5592" s="3" t="s">
        <v>7999</v>
      </c>
      <c r="H5592" s="2" t="s">
        <v>21</v>
      </c>
      <c r="I5592" s="2" t="s">
        <v>14207</v>
      </c>
      <c r="J5592" s="3" t="str">
        <f>HYPERLINK("https://www.boe.es/gazeta/dias/1812/06/09/pdfs/GRE-1812-71.pdf#page=4","Abrir facsímil")</f>
        <v>Abrir facsímil</v>
      </c>
      <c r="K5592" s="3" t="s">
        <v>23</v>
      </c>
    </row>
    <row r="5593" spans="1:11" ht="42" customHeight="1">
      <c r="A5593" s="2" t="s">
        <v>14203</v>
      </c>
      <c r="B5593" s="2" t="s">
        <v>14203</v>
      </c>
      <c r="C5593" s="2" t="s">
        <v>17</v>
      </c>
      <c r="D5593" s="2" t="s">
        <v>27</v>
      </c>
      <c r="E5593" s="4">
        <v>-31980</v>
      </c>
      <c r="F5593" s="3" t="s">
        <v>40</v>
      </c>
      <c r="G5593" s="3" t="s">
        <v>14208</v>
      </c>
      <c r="H5593" s="2" t="s">
        <v>21</v>
      </c>
      <c r="I5593" s="2" t="s">
        <v>14209</v>
      </c>
      <c r="J5593" s="3" t="str">
        <f>HYPERLINK("https://www.boe.es/gazeta/dias/1812/06/09/pdfs/GRE-1812-71.pdf#page=7","Abrir facsímil")</f>
        <v>Abrir facsímil</v>
      </c>
      <c r="K5593" s="3" t="s">
        <v>23</v>
      </c>
    </row>
    <row r="5594" spans="1:11" ht="42" customHeight="1">
      <c r="A5594" s="2" t="s">
        <v>14203</v>
      </c>
      <c r="B5594" s="2" t="s">
        <v>14203</v>
      </c>
      <c r="C5594" s="2" t="s">
        <v>17</v>
      </c>
      <c r="D5594" s="2" t="s">
        <v>27</v>
      </c>
      <c r="E5594" s="4">
        <v>-31950</v>
      </c>
      <c r="F5594" s="3" t="s">
        <v>1024</v>
      </c>
      <c r="G5594" s="3" t="s">
        <v>667</v>
      </c>
      <c r="H5594" s="2" t="s">
        <v>21</v>
      </c>
      <c r="I5594" s="2" t="s">
        <v>14210</v>
      </c>
      <c r="J5594" s="3" t="str">
        <f>HYPERLINK("https://www.boe.es/gazeta/dias/1812/07/09/pdfs/GRE-1812-84.pdf#page=5","Abrir facsímil")</f>
        <v>Abrir facsímil</v>
      </c>
      <c r="K5594" s="3" t="s">
        <v>23</v>
      </c>
    </row>
    <row r="5595" spans="1:11" ht="42" customHeight="1">
      <c r="A5595" s="2" t="s">
        <v>14203</v>
      </c>
      <c r="B5595" s="2" t="s">
        <v>14203</v>
      </c>
      <c r="C5595" s="2" t="s">
        <v>17</v>
      </c>
      <c r="D5595" s="2" t="s">
        <v>194</v>
      </c>
      <c r="E5595" s="4">
        <v>-31948</v>
      </c>
      <c r="F5595" s="3" t="s">
        <v>431</v>
      </c>
      <c r="G5595" s="3" t="s">
        <v>20</v>
      </c>
      <c r="H5595" s="2" t="s">
        <v>21</v>
      </c>
      <c r="I5595" s="2" t="s">
        <v>14211</v>
      </c>
      <c r="J5595" s="3" t="str">
        <f>HYPERLINK("https://www.boe.es/gazeta/dias/1812/07/11/pdfs/GRE-1812-86.pdf#page=4","Abrir facsímil")</f>
        <v>Abrir facsímil</v>
      </c>
      <c r="K5595" s="3" t="s">
        <v>23</v>
      </c>
    </row>
    <row r="5596" spans="1:11" ht="42" customHeight="1">
      <c r="A5596" s="2" t="s">
        <v>14203</v>
      </c>
      <c r="B5596" s="2" t="s">
        <v>14203</v>
      </c>
      <c r="C5596" s="2" t="s">
        <v>17</v>
      </c>
      <c r="D5596" s="2" t="s">
        <v>18</v>
      </c>
      <c r="E5596" s="4">
        <v>-31854</v>
      </c>
      <c r="F5596" s="3" t="s">
        <v>717</v>
      </c>
      <c r="G5596" s="3" t="s">
        <v>14212</v>
      </c>
      <c r="H5596" s="2" t="s">
        <v>21</v>
      </c>
      <c r="I5596" s="2" t="s">
        <v>14213</v>
      </c>
      <c r="J5596" s="3" t="str">
        <f>HYPERLINK("https://www.boe.es/gazeta/dias/1812/10/13/pdfs/GRE-1812-138.pdf#page=5","Abrir facsímil")</f>
        <v>Abrir facsímil</v>
      </c>
      <c r="K5596" s="3" t="s">
        <v>23</v>
      </c>
    </row>
    <row r="5597" spans="1:11" ht="42" customHeight="1">
      <c r="A5597" s="2" t="s">
        <v>14214</v>
      </c>
      <c r="B5597" s="2" t="s">
        <v>14215</v>
      </c>
      <c r="C5597" s="2" t="s">
        <v>26</v>
      </c>
      <c r="D5597" s="2" t="s">
        <v>27</v>
      </c>
      <c r="E5597" s="4">
        <v>-32034</v>
      </c>
      <c r="F5597" s="3" t="s">
        <v>1008</v>
      </c>
      <c r="G5597" s="3" t="s">
        <v>1009</v>
      </c>
      <c r="H5597" s="2" t="s">
        <v>21</v>
      </c>
      <c r="I5597" s="2" t="s">
        <v>14216</v>
      </c>
      <c r="J5597" s="3" t="str">
        <f>HYPERLINK("https://www.boe.es/gazeta/dias/1812/04/16/pdfs/GRE-1812-48.pdf#page=8","Abrir facsímil")</f>
        <v>Abrir facsímil</v>
      </c>
      <c r="K5597" s="3" t="s">
        <v>23</v>
      </c>
    </row>
    <row r="5598" spans="1:11" ht="42" customHeight="1">
      <c r="A5598" s="2" t="s">
        <v>14217</v>
      </c>
      <c r="B5598" s="2" t="s">
        <v>14218</v>
      </c>
      <c r="C5598" s="2" t="s">
        <v>17</v>
      </c>
      <c r="D5598" s="2" t="s">
        <v>18</v>
      </c>
      <c r="E5598" s="4">
        <v>-31903</v>
      </c>
      <c r="F5598" s="3" t="s">
        <v>626</v>
      </c>
      <c r="G5598" s="3" t="s">
        <v>1883</v>
      </c>
      <c r="H5598" s="2" t="s">
        <v>21</v>
      </c>
      <c r="I5598" s="2" t="s">
        <v>14219</v>
      </c>
      <c r="J5598" s="3" t="str">
        <f>HYPERLINK("https://www.boe.es/gazeta/dias/1812/08/25/pdfs/GMR-1812-5.pdf#page=8","Abrir facsímil")</f>
        <v>Abrir facsímil</v>
      </c>
      <c r="K5598" s="3" t="s">
        <v>23</v>
      </c>
    </row>
    <row r="5599" spans="1:11" ht="42" customHeight="1">
      <c r="A5599" s="2" t="s">
        <v>14220</v>
      </c>
      <c r="B5599" s="2" t="s">
        <v>14221</v>
      </c>
      <c r="C5599" s="2" t="s">
        <v>17</v>
      </c>
      <c r="D5599" s="2" t="s">
        <v>134</v>
      </c>
      <c r="E5599" s="4">
        <v>-31983</v>
      </c>
      <c r="F5599" s="3" t="s">
        <v>1437</v>
      </c>
      <c r="G5599" s="3" t="s">
        <v>1438</v>
      </c>
      <c r="H5599" s="2" t="s">
        <v>21</v>
      </c>
      <c r="I5599" s="2" t="s">
        <v>14222</v>
      </c>
      <c r="J5599" s="3" t="str">
        <f>HYPERLINK("https://www.boe.es/gazeta/dias/1812/06/06/pdfs/GRE-F-1812-70.pdf#page=4","Abrir facsímil")</f>
        <v>Abrir facsímil</v>
      </c>
      <c r="K5599" s="3" t="s">
        <v>23</v>
      </c>
    </row>
    <row r="5600" spans="1:11" ht="42" customHeight="1">
      <c r="A5600" s="2" t="s">
        <v>14223</v>
      </c>
      <c r="B5600" s="2" t="s">
        <v>14224</v>
      </c>
      <c r="C5600" s="2" t="s">
        <v>105</v>
      </c>
      <c r="D5600" s="2" t="s">
        <v>27</v>
      </c>
      <c r="E5600" s="4">
        <v>-31824</v>
      </c>
      <c r="F5600" s="3" t="s">
        <v>3123</v>
      </c>
      <c r="G5600" s="3" t="s">
        <v>336</v>
      </c>
      <c r="H5600" s="2" t="s">
        <v>21</v>
      </c>
      <c r="I5600" s="2" t="s">
        <v>14225</v>
      </c>
      <c r="J5600" s="3" t="str">
        <f>HYPERLINK("https://www.boe.es/gazeta/dias/1812/11/12/pdfs/GRE-1812-151.pdf#page=4","Abrir facsímil")</f>
        <v>Abrir facsímil</v>
      </c>
      <c r="K5600" s="3" t="s">
        <v>23</v>
      </c>
    </row>
    <row r="5601" spans="1:11" ht="42" customHeight="1">
      <c r="A5601" s="2" t="s">
        <v>14226</v>
      </c>
      <c r="B5601" s="2" t="s">
        <v>14227</v>
      </c>
      <c r="C5601" s="2" t="s">
        <v>26</v>
      </c>
      <c r="D5601" s="2" t="s">
        <v>27</v>
      </c>
      <c r="E5601" s="4">
        <v>-32132</v>
      </c>
      <c r="F5601" s="3" t="s">
        <v>484</v>
      </c>
      <c r="G5601" s="3" t="s">
        <v>485</v>
      </c>
      <c r="H5601" s="2" t="s">
        <v>21</v>
      </c>
      <c r="I5601" s="2" t="s">
        <v>14228</v>
      </c>
      <c r="J5601" s="3" t="str">
        <f>HYPERLINK("https://www.boe.es/gazeta/dias/1812/01/09/pdfs/GEI-1812-4.pdf#page=8","Abrir facsímil")</f>
        <v>Abrir facsímil</v>
      </c>
      <c r="K5601" s="3" t="s">
        <v>23</v>
      </c>
    </row>
    <row r="5602" spans="1:11" ht="42" customHeight="1">
      <c r="A5602" s="2" t="s">
        <v>14229</v>
      </c>
      <c r="B5602" s="2" t="s">
        <v>14229</v>
      </c>
      <c r="C5602" s="2" t="s">
        <v>17</v>
      </c>
      <c r="D5602" s="2" t="s">
        <v>27</v>
      </c>
      <c r="E5602" s="4">
        <v>-31985</v>
      </c>
      <c r="F5602" s="3" t="s">
        <v>1942</v>
      </c>
      <c r="G5602" s="3" t="s">
        <v>1943</v>
      </c>
      <c r="H5602" s="2" t="s">
        <v>21</v>
      </c>
      <c r="I5602" s="2" t="s">
        <v>14230</v>
      </c>
      <c r="J5602" s="3" t="str">
        <f>HYPERLINK("https://www.boe.es/gazeta/dias/1812/06/04/pdfs/GRE-1812-69.pdf#page=6","Abrir facsímil")</f>
        <v>Abrir facsímil</v>
      </c>
      <c r="K5602" s="3" t="s">
        <v>23</v>
      </c>
    </row>
    <row r="5603" spans="1:11" ht="42" customHeight="1">
      <c r="A5603" s="2" t="s">
        <v>14231</v>
      </c>
      <c r="B5603" s="2" t="s">
        <v>14231</v>
      </c>
      <c r="C5603" s="2" t="s">
        <v>17</v>
      </c>
      <c r="D5603" s="2" t="s">
        <v>27</v>
      </c>
      <c r="E5603" s="4">
        <v>-31793</v>
      </c>
      <c r="F5603" s="3" t="s">
        <v>2570</v>
      </c>
      <c r="G5603" s="3" t="s">
        <v>217</v>
      </c>
      <c r="H5603" s="2" t="s">
        <v>21</v>
      </c>
      <c r="I5603" s="2" t="s">
        <v>14232</v>
      </c>
      <c r="J5603" s="3" t="str">
        <f>HYPERLINK("https://www.boe.es/gazeta/dias/1812/12/13/pdfs/GMD-1812-236.pdf#page=4","Abrir facsímil")</f>
        <v>Abrir facsímil</v>
      </c>
      <c r="K5603" s="3" t="s">
        <v>23</v>
      </c>
    </row>
    <row r="5604" spans="1:11" ht="42" customHeight="1">
      <c r="A5604" s="2" t="s">
        <v>14233</v>
      </c>
      <c r="B5604" s="2" t="s">
        <v>14234</v>
      </c>
      <c r="C5604" s="2" t="s">
        <v>26</v>
      </c>
      <c r="D5604" s="2" t="s">
        <v>27</v>
      </c>
      <c r="E5604" s="4">
        <v>-31957</v>
      </c>
      <c r="F5604" s="3" t="s">
        <v>2173</v>
      </c>
      <c r="G5604" s="3" t="s">
        <v>14235</v>
      </c>
      <c r="H5604" s="2" t="s">
        <v>21</v>
      </c>
      <c r="I5604" s="2" t="s">
        <v>14236</v>
      </c>
      <c r="J5604" s="3" t="str">
        <f>HYPERLINK("https://www.boe.es/gazeta/dias/1812/07/02/pdfs/GRE-1812-81.pdf#page=7","Abrir facsímil")</f>
        <v>Abrir facsímil</v>
      </c>
      <c r="K5604" s="3" t="s">
        <v>23</v>
      </c>
    </row>
    <row r="5605" spans="1:11" ht="42" customHeight="1">
      <c r="A5605" s="2" t="s">
        <v>14233</v>
      </c>
      <c r="B5605" s="2" t="s">
        <v>14234</v>
      </c>
      <c r="C5605" s="2" t="s">
        <v>17</v>
      </c>
      <c r="D5605" s="2" t="s">
        <v>18</v>
      </c>
      <c r="E5605" s="4">
        <v>-31957</v>
      </c>
      <c r="F5605" s="3" t="s">
        <v>2173</v>
      </c>
      <c r="G5605" s="3" t="s">
        <v>620</v>
      </c>
      <c r="H5605" s="2" t="s">
        <v>21</v>
      </c>
      <c r="I5605" s="2" t="s">
        <v>14237</v>
      </c>
      <c r="J5605" s="3" t="str">
        <f>HYPERLINK("https://www.boe.es/gazeta/dias/1812/07/02/pdfs/GRE-1812-81.pdf#page=8","Abrir facsímil")</f>
        <v>Abrir facsímil</v>
      </c>
      <c r="K5605" s="3" t="s">
        <v>23</v>
      </c>
    </row>
    <row r="5606" spans="1:11" ht="42" customHeight="1">
      <c r="A5606" s="2" t="s">
        <v>14238</v>
      </c>
      <c r="B5606" s="2" t="s">
        <v>14239</v>
      </c>
      <c r="C5606" s="2" t="s">
        <v>549</v>
      </c>
      <c r="D5606" s="2" t="s">
        <v>194</v>
      </c>
      <c r="E5606" s="4">
        <v>-31994</v>
      </c>
      <c r="F5606" s="3" t="s">
        <v>207</v>
      </c>
      <c r="G5606" s="3" t="s">
        <v>1176</v>
      </c>
      <c r="H5606" s="2" t="s">
        <v>21</v>
      </c>
      <c r="I5606" s="2" t="s">
        <v>14240</v>
      </c>
      <c r="J5606" s="3" t="str">
        <f>HYPERLINK("https://www.boe.es/gazeta/dias/1812/05/26/pdfs/GRE-1812-65.pdf#page=8","Abrir facsímil")</f>
        <v>Abrir facsímil</v>
      </c>
      <c r="K5606" s="3" t="s">
        <v>23</v>
      </c>
    </row>
    <row r="5607" spans="1:11" ht="42" customHeight="1">
      <c r="A5607" s="2" t="s">
        <v>14241</v>
      </c>
      <c r="B5607" s="2" t="s">
        <v>14242</v>
      </c>
      <c r="C5607" s="2" t="s">
        <v>26</v>
      </c>
      <c r="D5607" s="2" t="s">
        <v>27</v>
      </c>
      <c r="E5607" s="4">
        <v>-32019</v>
      </c>
      <c r="F5607" s="3" t="s">
        <v>476</v>
      </c>
      <c r="G5607" s="3" t="s">
        <v>404</v>
      </c>
      <c r="H5607" s="2" t="s">
        <v>21</v>
      </c>
      <c r="I5607" s="2" t="s">
        <v>14243</v>
      </c>
      <c r="J5607" s="3" t="str">
        <f>HYPERLINK("https://www.boe.es/gazeta/dias/1812/05/01/pdfs/GMD-1812-122.pdf#page=3","Abrir facsímil")</f>
        <v>Abrir facsímil</v>
      </c>
      <c r="K5607" s="3" t="s">
        <v>23</v>
      </c>
    </row>
    <row r="5608" spans="1:11" ht="42" customHeight="1">
      <c r="A5608" s="2" t="s">
        <v>14244</v>
      </c>
      <c r="B5608" s="2" t="s">
        <v>14245</v>
      </c>
      <c r="C5608" s="2" t="s">
        <v>17</v>
      </c>
      <c r="D5608" s="2" t="s">
        <v>134</v>
      </c>
      <c r="E5608" s="4">
        <v>-31955</v>
      </c>
      <c r="F5608" s="3" t="s">
        <v>135</v>
      </c>
      <c r="G5608" s="3" t="s">
        <v>514</v>
      </c>
      <c r="H5608" s="2" t="s">
        <v>21</v>
      </c>
      <c r="I5608" s="2" t="s">
        <v>14246</v>
      </c>
      <c r="J5608" s="3" t="str">
        <f>HYPERLINK("https://www.boe.es/gazeta/dias/1812/07/04/pdfs/GRE-F-1812-82.pdf#page=7","Abrir facsímil")</f>
        <v>Abrir facsímil</v>
      </c>
      <c r="K5608" s="3" t="s">
        <v>23</v>
      </c>
    </row>
    <row r="5609" spans="1:11" ht="42" customHeight="1">
      <c r="A5609" s="2" t="s">
        <v>14247</v>
      </c>
      <c r="B5609" s="2" t="s">
        <v>14248</v>
      </c>
      <c r="C5609" s="2" t="s">
        <v>26</v>
      </c>
      <c r="D5609" s="2" t="s">
        <v>275</v>
      </c>
      <c r="E5609" s="4">
        <v>-32114</v>
      </c>
      <c r="F5609" s="3" t="s">
        <v>480</v>
      </c>
      <c r="G5609" s="3" t="s">
        <v>481</v>
      </c>
      <c r="H5609" s="2" t="s">
        <v>21</v>
      </c>
      <c r="I5609" s="2" t="s">
        <v>14249</v>
      </c>
      <c r="J5609" s="3" t="str">
        <f>HYPERLINK("https://www.boe.es/gazeta/dias/1812/01/27/pdfs/GMD-1812-27.pdf#page=4","Abrir facsímil")</f>
        <v>Abrir facsímil</v>
      </c>
      <c r="K5609" s="3" t="s">
        <v>23</v>
      </c>
    </row>
    <row r="5610" spans="1:11" ht="42" customHeight="1">
      <c r="A5610" s="2" t="s">
        <v>14250</v>
      </c>
      <c r="B5610" s="2" t="s">
        <v>14251</v>
      </c>
      <c r="C5610" s="2" t="s">
        <v>17</v>
      </c>
      <c r="D5610" s="2" t="s">
        <v>27</v>
      </c>
      <c r="E5610" s="4">
        <v>-32110</v>
      </c>
      <c r="F5610" s="3" t="s">
        <v>68</v>
      </c>
      <c r="G5610" s="3" t="s">
        <v>20</v>
      </c>
      <c r="H5610" s="2" t="s">
        <v>21</v>
      </c>
      <c r="I5610" s="2" t="s">
        <v>14252</v>
      </c>
      <c r="J5610" s="3" t="str">
        <f>HYPERLINK("https://www.boe.es/gazeta/dias/1812/01/31/pdfs/GMD-1812-31.pdf#page=3","Abrir facsímil")</f>
        <v>Abrir facsímil</v>
      </c>
      <c r="K5610" s="3" t="s">
        <v>23</v>
      </c>
    </row>
    <row r="5611" spans="1:11" ht="42" customHeight="1">
      <c r="A5611" s="2" t="s">
        <v>14250</v>
      </c>
      <c r="B5611" s="2" t="s">
        <v>14251</v>
      </c>
      <c r="C5611" s="2" t="s">
        <v>17</v>
      </c>
      <c r="D5611" s="2" t="s">
        <v>18</v>
      </c>
      <c r="E5611" s="4">
        <v>-31966</v>
      </c>
      <c r="F5611" s="3" t="s">
        <v>387</v>
      </c>
      <c r="G5611" s="3" t="s">
        <v>388</v>
      </c>
      <c r="H5611" s="2" t="s">
        <v>21</v>
      </c>
      <c r="I5611" s="2" t="s">
        <v>14253</v>
      </c>
      <c r="J5611" s="3" t="str">
        <f>HYPERLINK("https://www.boe.es/gazeta/dias/1812/06/23/pdfs/GMD-1812-175.pdf#page=2","Abrir facsímil")</f>
        <v>Abrir facsímil</v>
      </c>
      <c r="K5611" s="3" t="s">
        <v>23</v>
      </c>
    </row>
    <row r="5612" spans="1:11" ht="42" customHeight="1">
      <c r="A5612" s="2" t="s">
        <v>14254</v>
      </c>
      <c r="B5612" s="2" t="s">
        <v>14255</v>
      </c>
      <c r="C5612" s="2" t="s">
        <v>26</v>
      </c>
      <c r="D5612" s="2" t="s">
        <v>27</v>
      </c>
      <c r="E5612" s="4">
        <v>-31994</v>
      </c>
      <c r="F5612" s="3" t="s">
        <v>207</v>
      </c>
      <c r="G5612" s="3" t="s">
        <v>1176</v>
      </c>
      <c r="H5612" s="2" t="s">
        <v>21</v>
      </c>
      <c r="I5612" s="2" t="s">
        <v>14256</v>
      </c>
      <c r="J5612" s="3" t="str">
        <f>HYPERLINK("https://www.boe.es/gazeta/dias/1812/05/26/pdfs/GRE-1812-65.pdf#page=8","Abrir facsímil")</f>
        <v>Abrir facsímil</v>
      </c>
      <c r="K5612" s="3" t="s">
        <v>23</v>
      </c>
    </row>
    <row r="5613" spans="1:11" ht="42" customHeight="1">
      <c r="A5613" s="2" t="s">
        <v>14257</v>
      </c>
      <c r="B5613" s="2" t="s">
        <v>14258</v>
      </c>
      <c r="C5613" s="2" t="s">
        <v>26</v>
      </c>
      <c r="D5613" s="2" t="s">
        <v>27</v>
      </c>
      <c r="E5613" s="4">
        <v>-32034</v>
      </c>
      <c r="F5613" s="3" t="s">
        <v>1008</v>
      </c>
      <c r="G5613" s="3" t="s">
        <v>1009</v>
      </c>
      <c r="H5613" s="2" t="s">
        <v>21</v>
      </c>
      <c r="I5613" s="2" t="s">
        <v>14259</v>
      </c>
      <c r="J5613" s="3" t="str">
        <f>HYPERLINK("https://www.boe.es/gazeta/dias/1812/04/16/pdfs/GRE-1812-48.pdf#page=8","Abrir facsímil")</f>
        <v>Abrir facsímil</v>
      </c>
      <c r="K5613" s="3" t="s">
        <v>23</v>
      </c>
    </row>
    <row r="5614" spans="1:11" ht="42" customHeight="1">
      <c r="A5614" s="2" t="s">
        <v>14260</v>
      </c>
      <c r="B5614" s="2" t="s">
        <v>14260</v>
      </c>
      <c r="C5614" s="2" t="s">
        <v>17</v>
      </c>
      <c r="D5614" s="2" t="s">
        <v>27</v>
      </c>
      <c r="E5614" s="4">
        <v>-31928</v>
      </c>
      <c r="F5614" s="3" t="s">
        <v>7417</v>
      </c>
      <c r="G5614" s="3" t="s">
        <v>3409</v>
      </c>
      <c r="H5614" s="2" t="s">
        <v>21</v>
      </c>
      <c r="I5614" s="2" t="s">
        <v>14261</v>
      </c>
      <c r="J5614" s="3" t="str">
        <f>HYPERLINK("https://www.boe.es/gazeta/dias/1812/07/31/pdfs/GMD-1812-213.pdf#page=1","Abrir facsímil")</f>
        <v>Abrir facsímil</v>
      </c>
      <c r="K5614" s="3" t="s">
        <v>23</v>
      </c>
    </row>
    <row r="5615" spans="1:11" ht="42" customHeight="1">
      <c r="A5615" s="2" t="s">
        <v>14262</v>
      </c>
      <c r="B5615" s="2" t="s">
        <v>14263</v>
      </c>
      <c r="C5615" s="2" t="s">
        <v>26</v>
      </c>
      <c r="D5615" s="2" t="s">
        <v>27</v>
      </c>
      <c r="E5615" s="4">
        <v>-31994</v>
      </c>
      <c r="F5615" s="3" t="s">
        <v>207</v>
      </c>
      <c r="G5615" s="3" t="s">
        <v>1176</v>
      </c>
      <c r="H5615" s="2" t="s">
        <v>21</v>
      </c>
      <c r="I5615" s="2" t="s">
        <v>14264</v>
      </c>
      <c r="J5615" s="3" t="str">
        <f>HYPERLINK("https://www.boe.es/gazeta/dias/1812/05/26/pdfs/GRE-1812-65.pdf#page=8","Abrir facsímil")</f>
        <v>Abrir facsímil</v>
      </c>
      <c r="K5615" s="3" t="s">
        <v>23</v>
      </c>
    </row>
    <row r="5616" spans="1:11" ht="42" customHeight="1">
      <c r="A5616" s="2" t="s">
        <v>14265</v>
      </c>
      <c r="B5616" s="2" t="s">
        <v>14266</v>
      </c>
      <c r="C5616" s="2" t="s">
        <v>26</v>
      </c>
      <c r="D5616" s="2" t="s">
        <v>27</v>
      </c>
      <c r="E5616" s="4">
        <v>-32034</v>
      </c>
      <c r="F5616" s="3" t="s">
        <v>28</v>
      </c>
      <c r="G5616" s="3" t="s">
        <v>45</v>
      </c>
      <c r="H5616" s="2" t="s">
        <v>21</v>
      </c>
      <c r="I5616" s="2" t="s">
        <v>14267</v>
      </c>
      <c r="J5616" s="3" t="str">
        <f>HYPERLINK("https://www.boe.es/gazeta/dias/1812/04/16/pdfs/GMD-1812-107.pdf#page=5","Abrir facsímil")</f>
        <v>Abrir facsímil</v>
      </c>
      <c r="K5616" s="3" t="s">
        <v>23</v>
      </c>
    </row>
    <row r="5617" spans="1:11" ht="42" customHeight="1">
      <c r="A5617" s="2" t="s">
        <v>14268</v>
      </c>
      <c r="B5617" s="2" t="s">
        <v>14269</v>
      </c>
      <c r="C5617" s="2" t="s">
        <v>26</v>
      </c>
      <c r="D5617" s="2" t="s">
        <v>27</v>
      </c>
      <c r="E5617" s="4">
        <v>-32127</v>
      </c>
      <c r="F5617" s="3" t="s">
        <v>88</v>
      </c>
      <c r="G5617" s="3" t="s">
        <v>89</v>
      </c>
      <c r="H5617" s="2" t="s">
        <v>21</v>
      </c>
      <c r="I5617" s="2" t="s">
        <v>14270</v>
      </c>
      <c r="J5617" s="3" t="str">
        <f>HYPERLINK("https://www.boe.es/gazeta/dias/1812/01/14/pdfs/GEI-1812-6.pdf#page=8","Abrir facsímil")</f>
        <v>Abrir facsímil</v>
      </c>
      <c r="K5617" s="3" t="s">
        <v>23</v>
      </c>
    </row>
    <row r="5618" spans="1:11" ht="42" customHeight="1">
      <c r="A5618" s="2" t="s">
        <v>14271</v>
      </c>
      <c r="B5618" s="2" t="s">
        <v>14272</v>
      </c>
      <c r="C5618" s="2" t="s">
        <v>26</v>
      </c>
      <c r="D5618" s="2" t="s">
        <v>27</v>
      </c>
      <c r="E5618" s="4">
        <v>-32034</v>
      </c>
      <c r="F5618" s="3" t="s">
        <v>28</v>
      </c>
      <c r="G5618" s="3" t="s">
        <v>29</v>
      </c>
      <c r="H5618" s="2" t="s">
        <v>21</v>
      </c>
      <c r="I5618" s="2" t="s">
        <v>14273</v>
      </c>
      <c r="J5618" s="3" t="str">
        <f>HYPERLINK("https://www.boe.es/gazeta/dias/1812/04/16/pdfs/GMD-1812-107.pdf#page=8","Abrir facsímil")</f>
        <v>Abrir facsímil</v>
      </c>
      <c r="K5618" s="3" t="s">
        <v>23</v>
      </c>
    </row>
    <row r="5619" spans="1:11" ht="42" customHeight="1">
      <c r="A5619" s="2" t="s">
        <v>14274</v>
      </c>
      <c r="B5619" s="2" t="s">
        <v>14274</v>
      </c>
      <c r="C5619" s="2" t="s">
        <v>26</v>
      </c>
      <c r="D5619" s="2" t="s">
        <v>27</v>
      </c>
      <c r="E5619" s="4">
        <v>-31951</v>
      </c>
      <c r="F5619" s="3" t="s">
        <v>1603</v>
      </c>
      <c r="G5619" s="3" t="s">
        <v>1886</v>
      </c>
      <c r="H5619" s="2" t="s">
        <v>21</v>
      </c>
      <c r="I5619" s="2" t="s">
        <v>14275</v>
      </c>
      <c r="J5619" s="3" t="str">
        <f>HYPERLINK("https://www.boe.es/gazeta/dias/1812/07/08/pdfs/GMD-1812-190.pdf#page=1","Abrir facsímil")</f>
        <v>Abrir facsímil</v>
      </c>
      <c r="K5619" s="3" t="s">
        <v>23</v>
      </c>
    </row>
    <row r="5620" spans="1:11" ht="42" customHeight="1">
      <c r="A5620" s="2" t="s">
        <v>14276</v>
      </c>
      <c r="B5620" s="2" t="s">
        <v>14277</v>
      </c>
      <c r="C5620" s="2" t="s">
        <v>26</v>
      </c>
      <c r="D5620" s="2" t="s">
        <v>27</v>
      </c>
      <c r="E5620" s="4">
        <v>-31936</v>
      </c>
      <c r="F5620" s="3" t="s">
        <v>614</v>
      </c>
      <c r="G5620" s="3" t="s">
        <v>615</v>
      </c>
      <c r="H5620" s="2" t="s">
        <v>21</v>
      </c>
      <c r="I5620" s="2" t="s">
        <v>14278</v>
      </c>
      <c r="J5620" s="3" t="str">
        <f>HYPERLINK("https://www.boe.es/gazeta/dias/1812/07/23/pdfs/GRE-1812-92.pdf#page=8","Abrir facsímil")</f>
        <v>Abrir facsímil</v>
      </c>
      <c r="K5620" s="3" t="s">
        <v>23</v>
      </c>
    </row>
    <row r="5621" spans="1:11" ht="42" customHeight="1">
      <c r="A5621" s="2" t="s">
        <v>14279</v>
      </c>
      <c r="B5621" s="2" t="s">
        <v>14280</v>
      </c>
      <c r="C5621" s="2" t="s">
        <v>186</v>
      </c>
      <c r="D5621" s="2" t="s">
        <v>27</v>
      </c>
      <c r="E5621" s="4">
        <v>-31805</v>
      </c>
      <c r="F5621" s="3" t="s">
        <v>895</v>
      </c>
      <c r="G5621" s="3" t="s">
        <v>6011</v>
      </c>
      <c r="H5621" s="2" t="s">
        <v>21</v>
      </c>
      <c r="I5621" s="2" t="s">
        <v>14281</v>
      </c>
      <c r="J5621" s="3" t="str">
        <f>HYPERLINK("https://www.boe.es/gazeta/dias/1812/12/01/pdfs/GMR-1812-39.pdf#page=16","Abrir facsímil")</f>
        <v>Abrir facsímil</v>
      </c>
      <c r="K5621" s="3" t="s">
        <v>23</v>
      </c>
    </row>
    <row r="5622" spans="1:11" ht="42" customHeight="1">
      <c r="A5622" s="2" t="s">
        <v>14282</v>
      </c>
      <c r="B5622" s="2" t="s">
        <v>14283</v>
      </c>
      <c r="C5622" s="2" t="s">
        <v>105</v>
      </c>
      <c r="D5622" s="2" t="s">
        <v>27</v>
      </c>
      <c r="E5622" s="4">
        <v>-31966</v>
      </c>
      <c r="F5622" s="3" t="s">
        <v>3665</v>
      </c>
      <c r="G5622" s="3" t="s">
        <v>3666</v>
      </c>
      <c r="H5622" s="2" t="s">
        <v>21</v>
      </c>
      <c r="I5622" s="2" t="s">
        <v>14284</v>
      </c>
      <c r="J5622" s="3" t="str">
        <f>HYPERLINK("https://www.boe.es/gazeta/dias/1812/06/23/pdfs/GRE-1812-77.pdf#page=8","Abrir facsímil")</f>
        <v>Abrir facsímil</v>
      </c>
      <c r="K5622" s="3" t="s">
        <v>23</v>
      </c>
    </row>
    <row r="5623" spans="1:11" ht="42" customHeight="1">
      <c r="A5623" s="2" t="s">
        <v>14285</v>
      </c>
      <c r="B5623" s="2" t="s">
        <v>14286</v>
      </c>
      <c r="C5623" s="2" t="s">
        <v>26</v>
      </c>
      <c r="D5623" s="2" t="s">
        <v>27</v>
      </c>
      <c r="E5623" s="4">
        <v>-31938</v>
      </c>
      <c r="F5623" s="3" t="s">
        <v>324</v>
      </c>
      <c r="G5623" s="3" t="s">
        <v>497</v>
      </c>
      <c r="H5623" s="2" t="s">
        <v>21</v>
      </c>
      <c r="I5623" s="2" t="s">
        <v>14287</v>
      </c>
      <c r="J5623" s="3" t="str">
        <f>HYPERLINK("https://www.boe.es/gazeta/dias/1812/07/21/pdfs/GMD-1812-203.pdf#page=3","Abrir facsímil")</f>
        <v>Abrir facsímil</v>
      </c>
      <c r="K5623" s="3" t="s">
        <v>23</v>
      </c>
    </row>
    <row r="5624" spans="1:11" ht="42" customHeight="1">
      <c r="A5624" s="2" t="s">
        <v>14288</v>
      </c>
      <c r="B5624" s="2" t="s">
        <v>14289</v>
      </c>
      <c r="C5624" s="2" t="s">
        <v>26</v>
      </c>
      <c r="D5624" s="2" t="s">
        <v>27</v>
      </c>
      <c r="E5624" s="4">
        <v>-31988</v>
      </c>
      <c r="F5624" s="3" t="s">
        <v>1094</v>
      </c>
      <c r="G5624" s="3" t="s">
        <v>1095</v>
      </c>
      <c r="H5624" s="2" t="s">
        <v>21</v>
      </c>
      <c r="I5624" s="2" t="s">
        <v>14290</v>
      </c>
      <c r="J5624" s="3" t="str">
        <f>HYPERLINK("https://www.boe.es/gazeta/dias/1812/06/01/pdfs/GMD-1812-153.pdf#page=2","Abrir facsímil")</f>
        <v>Abrir facsímil</v>
      </c>
      <c r="K5624" s="3" t="s">
        <v>23</v>
      </c>
    </row>
    <row r="5625" spans="1:11" ht="42" customHeight="1">
      <c r="A5625" s="2" t="s">
        <v>14291</v>
      </c>
      <c r="B5625" s="2" t="s">
        <v>14291</v>
      </c>
      <c r="C5625" s="2" t="s">
        <v>17</v>
      </c>
      <c r="D5625" s="2" t="s">
        <v>27</v>
      </c>
      <c r="E5625" s="4">
        <v>-31868</v>
      </c>
      <c r="F5625" s="3" t="s">
        <v>711</v>
      </c>
      <c r="G5625" s="3" t="s">
        <v>1131</v>
      </c>
      <c r="H5625" s="2" t="s">
        <v>21</v>
      </c>
      <c r="I5625" s="2" t="s">
        <v>14292</v>
      </c>
      <c r="J5625" s="3" t="str">
        <f>HYPERLINK("https://www.boe.es/gazeta/dias/1812/09/29/pdfs/GRE-1812-132.pdf#page=3","Abrir facsímil")</f>
        <v>Abrir facsímil</v>
      </c>
      <c r="K5625" s="3" t="s">
        <v>23</v>
      </c>
    </row>
    <row r="5626" spans="1:11" ht="42" customHeight="1">
      <c r="A5626" s="2" t="s">
        <v>14293</v>
      </c>
      <c r="B5626" s="2" t="s">
        <v>14294</v>
      </c>
      <c r="C5626" s="2" t="s">
        <v>26</v>
      </c>
      <c r="D5626" s="2" t="s">
        <v>27</v>
      </c>
      <c r="E5626" s="4">
        <v>-31969</v>
      </c>
      <c r="F5626" s="3" t="s">
        <v>83</v>
      </c>
      <c r="G5626" s="3" t="s">
        <v>84</v>
      </c>
      <c r="H5626" s="2" t="s">
        <v>21</v>
      </c>
      <c r="I5626" s="2" t="s">
        <v>14295</v>
      </c>
      <c r="J5626" s="3" t="str">
        <f>HYPERLINK("https://www.boe.es/gazeta/dias/1812/06/20/pdfs/GRE-1812-76.pdf#page=8","Abrir facsímil")</f>
        <v>Abrir facsímil</v>
      </c>
      <c r="K5626" s="3" t="s">
        <v>23</v>
      </c>
    </row>
    <row r="5627" spans="1:11" ht="42" customHeight="1">
      <c r="A5627" s="2" t="s">
        <v>14296</v>
      </c>
      <c r="B5627" s="2" t="s">
        <v>14297</v>
      </c>
      <c r="C5627" s="2" t="s">
        <v>26</v>
      </c>
      <c r="D5627" s="2" t="s">
        <v>27</v>
      </c>
      <c r="E5627" s="4">
        <v>-32081</v>
      </c>
      <c r="F5627" s="3" t="s">
        <v>232</v>
      </c>
      <c r="G5627" s="3" t="s">
        <v>233</v>
      </c>
      <c r="H5627" s="2" t="s">
        <v>21</v>
      </c>
      <c r="I5627" s="2" t="s">
        <v>14298</v>
      </c>
      <c r="J5627" s="3" t="str">
        <f>HYPERLINK("https://www.boe.es/gazeta/dias/1812/02/29/pdfs/GRE-1812-27.pdf#page=8","Abrir facsímil")</f>
        <v>Abrir facsímil</v>
      </c>
      <c r="K5627" s="3" t="s">
        <v>23</v>
      </c>
    </row>
    <row r="5628" spans="1:11" ht="42" customHeight="1">
      <c r="A5628" s="2" t="s">
        <v>14299</v>
      </c>
      <c r="B5628" s="2" t="s">
        <v>14300</v>
      </c>
      <c r="C5628" s="2" t="s">
        <v>26</v>
      </c>
      <c r="D5628" s="2" t="s">
        <v>27</v>
      </c>
      <c r="E5628" s="4">
        <v>-32139</v>
      </c>
      <c r="F5628" s="3" t="s">
        <v>518</v>
      </c>
      <c r="G5628" s="3" t="s">
        <v>125</v>
      </c>
      <c r="H5628" s="2" t="s">
        <v>21</v>
      </c>
      <c r="I5628" s="2" t="s">
        <v>14301</v>
      </c>
      <c r="J5628" s="3" t="str">
        <f>HYPERLINK("https://www.boe.es/gazeta/dias/1812/01/02/pdfs/GEI-1812-1.pdf#page=8","Abrir facsímil")</f>
        <v>Abrir facsímil</v>
      </c>
      <c r="K5628" s="3" t="s">
        <v>23</v>
      </c>
    </row>
    <row r="5629" spans="1:11" ht="42" customHeight="1">
      <c r="A5629" s="2" t="s">
        <v>14302</v>
      </c>
      <c r="B5629" s="2" t="s">
        <v>14303</v>
      </c>
      <c r="C5629" s="2" t="s">
        <v>26</v>
      </c>
      <c r="D5629" s="2" t="s">
        <v>27</v>
      </c>
      <c r="E5629" s="4">
        <v>-32005</v>
      </c>
      <c r="F5629" s="3" t="s">
        <v>2696</v>
      </c>
      <c r="G5629" s="3" t="s">
        <v>140</v>
      </c>
      <c r="H5629" s="2" t="s">
        <v>21</v>
      </c>
      <c r="I5629" s="2" t="s">
        <v>14304</v>
      </c>
      <c r="J5629" s="3" t="str">
        <f>HYPERLINK("https://www.boe.es/gazeta/dias/1812/05/15/pdfs/GMD-1812-136.pdf#page=2","Abrir facsímil")</f>
        <v>Abrir facsímil</v>
      </c>
      <c r="K5629" s="3" t="s">
        <v>23</v>
      </c>
    </row>
    <row r="5630" spans="1:11" ht="42" customHeight="1">
      <c r="A5630" s="2" t="s">
        <v>14305</v>
      </c>
      <c r="B5630" s="2" t="s">
        <v>14305</v>
      </c>
      <c r="C5630" s="2" t="s">
        <v>17</v>
      </c>
      <c r="D5630" s="2" t="s">
        <v>18</v>
      </c>
      <c r="E5630" s="4">
        <v>-32051</v>
      </c>
      <c r="F5630" s="3" t="s">
        <v>2534</v>
      </c>
      <c r="G5630" s="3" t="s">
        <v>125</v>
      </c>
      <c r="H5630" s="2" t="s">
        <v>21</v>
      </c>
      <c r="I5630" s="2" t="s">
        <v>14306</v>
      </c>
      <c r="J5630" s="3" t="str">
        <f>HYPERLINK("https://www.boe.es/gazeta/dias/1812/03/30/pdfs/GMD-1812-90.pdf#page=4","Abrir facsímil")</f>
        <v>Abrir facsímil</v>
      </c>
      <c r="K5630" s="3" t="s">
        <v>23</v>
      </c>
    </row>
    <row r="5631" spans="1:11" ht="42" customHeight="1">
      <c r="A5631" s="2" t="s">
        <v>14307</v>
      </c>
      <c r="B5631" s="2" t="s">
        <v>14307</v>
      </c>
      <c r="C5631" s="2" t="s">
        <v>26</v>
      </c>
      <c r="D5631" s="2" t="s">
        <v>27</v>
      </c>
      <c r="E5631" s="4">
        <v>-31910</v>
      </c>
      <c r="F5631" s="3" t="s">
        <v>72</v>
      </c>
      <c r="G5631" s="3" t="s">
        <v>317</v>
      </c>
      <c r="H5631" s="2" t="s">
        <v>21</v>
      </c>
      <c r="I5631" s="2" t="s">
        <v>14308</v>
      </c>
      <c r="J5631" s="3" t="str">
        <f>HYPERLINK("https://www.boe.es/gazeta/dias/1812/08/18/pdfs/GRE-1812-106.pdf#page=6","Abrir facsímil")</f>
        <v>Abrir facsímil</v>
      </c>
      <c r="K5631" s="3" t="s">
        <v>23</v>
      </c>
    </row>
    <row r="5632" spans="1:11" ht="42" customHeight="1">
      <c r="A5632" s="2" t="s">
        <v>14309</v>
      </c>
      <c r="B5632" s="2" t="s">
        <v>14310</v>
      </c>
      <c r="C5632" s="2" t="s">
        <v>26</v>
      </c>
      <c r="D5632" s="2" t="s">
        <v>27</v>
      </c>
      <c r="E5632" s="4">
        <v>-32034</v>
      </c>
      <c r="F5632" s="3" t="s">
        <v>28</v>
      </c>
      <c r="G5632" s="3" t="s">
        <v>29</v>
      </c>
      <c r="H5632" s="2" t="s">
        <v>21</v>
      </c>
      <c r="I5632" s="2" t="s">
        <v>14311</v>
      </c>
      <c r="J5632" s="3" t="str">
        <f>HYPERLINK("https://www.boe.es/gazeta/dias/1812/04/16/pdfs/GMD-1812-107.pdf#page=8","Abrir facsímil")</f>
        <v>Abrir facsímil</v>
      </c>
      <c r="K5632" s="3" t="s">
        <v>23</v>
      </c>
    </row>
    <row r="5633" spans="1:11" ht="42" customHeight="1">
      <c r="A5633" s="2" t="s">
        <v>14312</v>
      </c>
      <c r="B5633" s="2" t="s">
        <v>14312</v>
      </c>
      <c r="C5633" s="2" t="s">
        <v>26</v>
      </c>
      <c r="D5633" s="2" t="s">
        <v>27</v>
      </c>
      <c r="E5633" s="4">
        <v>-32001</v>
      </c>
      <c r="F5633" s="3" t="s">
        <v>1938</v>
      </c>
      <c r="G5633" s="3" t="s">
        <v>7796</v>
      </c>
      <c r="H5633" s="2" t="s">
        <v>21</v>
      </c>
      <c r="I5633" s="2" t="s">
        <v>14313</v>
      </c>
      <c r="J5633" s="3" t="str">
        <f>HYPERLINK("https://www.boe.es/gazeta/dias/1812/05/19/pdfs/GRE-1812-62.pdf#page=5","Abrir facsímil")</f>
        <v>Abrir facsímil</v>
      </c>
      <c r="K5633" s="3" t="s">
        <v>23</v>
      </c>
    </row>
    <row r="5634" spans="1:11" ht="42" customHeight="1">
      <c r="A5634" s="2" t="s">
        <v>14314</v>
      </c>
      <c r="B5634" s="2" t="s">
        <v>14315</v>
      </c>
      <c r="C5634" s="2" t="s">
        <v>26</v>
      </c>
      <c r="D5634" s="2" t="s">
        <v>134</v>
      </c>
      <c r="E5634" s="4">
        <v>-31983</v>
      </c>
      <c r="F5634" s="3" t="s">
        <v>1437</v>
      </c>
      <c r="G5634" s="3" t="s">
        <v>1438</v>
      </c>
      <c r="H5634" s="2" t="s">
        <v>21</v>
      </c>
      <c r="I5634" s="2" t="s">
        <v>14316</v>
      </c>
      <c r="J5634" s="3" t="str">
        <f>HYPERLINK("https://www.boe.es/gazeta/dias/1812/06/06/pdfs/GRE-F-1812-70.pdf#page=4","Abrir facsímil")</f>
        <v>Abrir facsímil</v>
      </c>
      <c r="K5634" s="3" t="s">
        <v>23</v>
      </c>
    </row>
    <row r="5635" spans="1:11" ht="42" customHeight="1">
      <c r="A5635" s="2" t="s">
        <v>14317</v>
      </c>
      <c r="B5635" s="2" t="s">
        <v>14318</v>
      </c>
      <c r="C5635" s="2" t="s">
        <v>26</v>
      </c>
      <c r="D5635" s="2" t="s">
        <v>27</v>
      </c>
      <c r="E5635" s="4">
        <v>-32095</v>
      </c>
      <c r="F5635" s="3" t="s">
        <v>284</v>
      </c>
      <c r="G5635" s="3" t="s">
        <v>29</v>
      </c>
      <c r="H5635" s="2" t="s">
        <v>21</v>
      </c>
      <c r="I5635" s="2" t="s">
        <v>14319</v>
      </c>
      <c r="J5635" s="3" t="str">
        <f>HYPERLINK("https://www.boe.es/gazeta/dias/1812/02/15/pdfs/GRE-1812-20.pdf#page=8","Abrir facsímil")</f>
        <v>Abrir facsímil</v>
      </c>
      <c r="K5635" s="3" t="s">
        <v>23</v>
      </c>
    </row>
    <row r="5636" spans="1:11" ht="42" customHeight="1">
      <c r="A5636" s="2" t="s">
        <v>14320</v>
      </c>
      <c r="B5636" s="2" t="s">
        <v>14321</v>
      </c>
      <c r="C5636" s="2" t="s">
        <v>67</v>
      </c>
      <c r="D5636" s="2" t="s">
        <v>27</v>
      </c>
      <c r="E5636" s="4">
        <v>-32069</v>
      </c>
      <c r="F5636" s="3" t="s">
        <v>445</v>
      </c>
      <c r="G5636" s="3" t="s">
        <v>446</v>
      </c>
      <c r="H5636" s="2" t="s">
        <v>21</v>
      </c>
      <c r="I5636" s="2" t="s">
        <v>14322</v>
      </c>
      <c r="J5636" s="3" t="str">
        <f>HYPERLINK("https://www.boe.es/gazeta/dias/1812/03/12/pdfs/GRE-1812-32.pdf#page=8","Abrir facsímil")</f>
        <v>Abrir facsímil</v>
      </c>
      <c r="K5636" s="3" t="s">
        <v>23</v>
      </c>
    </row>
    <row r="5637" spans="1:11" ht="42" customHeight="1">
      <c r="A5637" s="2" t="s">
        <v>14323</v>
      </c>
      <c r="B5637" s="2" t="s">
        <v>14324</v>
      </c>
      <c r="C5637" s="2" t="s">
        <v>17</v>
      </c>
      <c r="D5637" s="2" t="s">
        <v>27</v>
      </c>
      <c r="E5637" s="4">
        <v>-32015</v>
      </c>
      <c r="F5637" s="3" t="s">
        <v>77</v>
      </c>
      <c r="G5637" s="3" t="s">
        <v>78</v>
      </c>
      <c r="H5637" s="2" t="s">
        <v>21</v>
      </c>
      <c r="I5637" s="2" t="s">
        <v>14325</v>
      </c>
      <c r="J5637" s="3" t="str">
        <f>HYPERLINK("https://www.boe.es/gazeta/dias/1812/05/05/pdfs/GRE-1812-56.pdf#page=8","Abrir facsímil")</f>
        <v>Abrir facsímil</v>
      </c>
      <c r="K5637" s="3" t="s">
        <v>23</v>
      </c>
    </row>
    <row r="5638" spans="1:11" ht="42" customHeight="1">
      <c r="A5638" s="2" t="s">
        <v>14326</v>
      </c>
      <c r="B5638" s="2" t="s">
        <v>14326</v>
      </c>
      <c r="C5638" s="2" t="s">
        <v>549</v>
      </c>
      <c r="D5638" s="2" t="s">
        <v>27</v>
      </c>
      <c r="E5638" s="4">
        <v>-31969</v>
      </c>
      <c r="F5638" s="3" t="s">
        <v>83</v>
      </c>
      <c r="G5638" s="3" t="s">
        <v>84</v>
      </c>
      <c r="H5638" s="2" t="s">
        <v>21</v>
      </c>
      <c r="I5638" s="2" t="s">
        <v>14327</v>
      </c>
      <c r="J5638" s="3" t="str">
        <f>HYPERLINK("https://www.boe.es/gazeta/dias/1812/06/20/pdfs/GRE-1812-76.pdf#page=8","Abrir facsímil")</f>
        <v>Abrir facsímil</v>
      </c>
      <c r="K5638" s="3" t="s">
        <v>23</v>
      </c>
    </row>
    <row r="5639" spans="1:11" ht="42" customHeight="1">
      <c r="A5639" s="2" t="s">
        <v>14328</v>
      </c>
      <c r="B5639" s="2" t="s">
        <v>14328</v>
      </c>
      <c r="C5639" s="2" t="s">
        <v>26</v>
      </c>
      <c r="D5639" s="2" t="s">
        <v>27</v>
      </c>
      <c r="E5639" s="4">
        <v>-32068</v>
      </c>
      <c r="F5639" s="3" t="s">
        <v>2608</v>
      </c>
      <c r="G5639" s="3" t="s">
        <v>130</v>
      </c>
      <c r="H5639" s="2" t="s">
        <v>21</v>
      </c>
      <c r="I5639" s="2" t="s">
        <v>14329</v>
      </c>
      <c r="J5639" s="3" t="str">
        <f>HYPERLINK("https://www.boe.es/gazeta/dias/1812/03/13/pdfs/GMD-1812-73.pdf#page=4","Abrir facsímil")</f>
        <v>Abrir facsímil</v>
      </c>
      <c r="K5639" s="3" t="s">
        <v>23</v>
      </c>
    </row>
    <row r="5640" spans="1:11" ht="42" customHeight="1">
      <c r="A5640" s="2" t="s">
        <v>14330</v>
      </c>
      <c r="B5640" s="2" t="s">
        <v>14330</v>
      </c>
      <c r="C5640" s="2" t="s">
        <v>26</v>
      </c>
      <c r="D5640" s="2" t="s">
        <v>27</v>
      </c>
      <c r="E5640" s="4">
        <v>-31938</v>
      </c>
      <c r="F5640" s="3" t="s">
        <v>324</v>
      </c>
      <c r="G5640" s="3" t="s">
        <v>237</v>
      </c>
      <c r="H5640" s="2" t="s">
        <v>21</v>
      </c>
      <c r="I5640" s="2" t="s">
        <v>14331</v>
      </c>
      <c r="J5640" s="3" t="str">
        <f>HYPERLINK("https://www.boe.es/gazeta/dias/1812/07/21/pdfs/GMD-1812-203.pdf#page=2","Abrir facsímil")</f>
        <v>Abrir facsímil</v>
      </c>
      <c r="K5640" s="3" t="s">
        <v>23</v>
      </c>
    </row>
    <row r="5641" spans="1:11" ht="42" customHeight="1">
      <c r="A5641" s="2" t="s">
        <v>14332</v>
      </c>
      <c r="B5641" s="2" t="s">
        <v>14333</v>
      </c>
      <c r="C5641" s="2" t="s">
        <v>26</v>
      </c>
      <c r="D5641" s="2" t="s">
        <v>27</v>
      </c>
      <c r="E5641" s="4">
        <v>-31964</v>
      </c>
      <c r="F5641" s="3" t="s">
        <v>305</v>
      </c>
      <c r="G5641" s="3" t="s">
        <v>306</v>
      </c>
      <c r="H5641" s="2" t="s">
        <v>21</v>
      </c>
      <c r="I5641" s="2" t="s">
        <v>14334</v>
      </c>
      <c r="J5641" s="3" t="str">
        <f>HYPERLINK("https://www.boe.es/gazeta/dias/1812/06/25/pdfs/GMD-1812-177.pdf#page=3","Abrir facsímil")</f>
        <v>Abrir facsímil</v>
      </c>
      <c r="K5641" s="3" t="s">
        <v>23</v>
      </c>
    </row>
    <row r="5642" spans="1:11" ht="42" customHeight="1">
      <c r="A5642" s="2" t="s">
        <v>14335</v>
      </c>
      <c r="B5642" s="2" t="s">
        <v>14335</v>
      </c>
      <c r="C5642" s="2" t="s">
        <v>26</v>
      </c>
      <c r="D5642" s="2" t="s">
        <v>27</v>
      </c>
      <c r="E5642" s="4">
        <v>-32140</v>
      </c>
      <c r="F5642" s="3" t="s">
        <v>822</v>
      </c>
      <c r="G5642" s="3" t="s">
        <v>45</v>
      </c>
      <c r="H5642" s="2" t="s">
        <v>21</v>
      </c>
      <c r="I5642" s="2" t="s">
        <v>14336</v>
      </c>
      <c r="J5642" s="3" t="str">
        <f>HYPERLINK("https://www.boe.es/gazeta/dias/1812/01/01/pdfs/GMD-1812-1.pdf#page=2","Abrir facsímil")</f>
        <v>Abrir facsímil</v>
      </c>
      <c r="K5642" s="3" t="s">
        <v>23</v>
      </c>
    </row>
    <row r="5643" spans="1:11" ht="42" customHeight="1">
      <c r="A5643" s="2" t="s">
        <v>14335</v>
      </c>
      <c r="B5643" s="2" t="s">
        <v>14335</v>
      </c>
      <c r="C5643" s="2" t="s">
        <v>17</v>
      </c>
      <c r="D5643" s="2" t="s">
        <v>27</v>
      </c>
      <c r="E5643" s="4">
        <v>-32139</v>
      </c>
      <c r="F5643" s="3" t="s">
        <v>288</v>
      </c>
      <c r="G5643" s="3" t="s">
        <v>20</v>
      </c>
      <c r="H5643" s="2" t="s">
        <v>21</v>
      </c>
      <c r="I5643" s="2" t="s">
        <v>14337</v>
      </c>
      <c r="J5643" s="3" t="str">
        <f>HYPERLINK("https://www.boe.es/gazeta/dias/1812/01/02/pdfs/GMD-1812-2.pdf#page=3","Abrir facsímil")</f>
        <v>Abrir facsímil</v>
      </c>
      <c r="K5643" s="3" t="s">
        <v>23</v>
      </c>
    </row>
    <row r="5644" spans="1:11" ht="42" customHeight="1">
      <c r="A5644" s="2" t="s">
        <v>14335</v>
      </c>
      <c r="B5644" s="2" t="s">
        <v>14335</v>
      </c>
      <c r="C5644" s="2" t="s">
        <v>17</v>
      </c>
      <c r="D5644" s="2" t="s">
        <v>27</v>
      </c>
      <c r="E5644" s="4">
        <v>-32043</v>
      </c>
      <c r="F5644" s="3" t="s">
        <v>4582</v>
      </c>
      <c r="G5644" s="3" t="s">
        <v>336</v>
      </c>
      <c r="H5644" s="2" t="s">
        <v>21</v>
      </c>
      <c r="I5644" s="2" t="s">
        <v>14338</v>
      </c>
      <c r="J5644" s="3" t="str">
        <f>HYPERLINK("https://www.boe.es/gazeta/dias/1812/04/07/pdfs/GRE-1812-43.pdf#page=3","Abrir facsímil")</f>
        <v>Abrir facsímil</v>
      </c>
      <c r="K5644" s="3" t="s">
        <v>23</v>
      </c>
    </row>
    <row r="5645" spans="1:11" ht="42" customHeight="1">
      <c r="A5645" s="2" t="s">
        <v>14335</v>
      </c>
      <c r="B5645" s="2" t="s">
        <v>14335</v>
      </c>
      <c r="C5645" s="2" t="s">
        <v>17</v>
      </c>
      <c r="D5645" s="2" t="s">
        <v>18</v>
      </c>
      <c r="E5645" s="4">
        <v>-32030</v>
      </c>
      <c r="F5645" s="3" t="s">
        <v>2226</v>
      </c>
      <c r="G5645" s="3" t="s">
        <v>20</v>
      </c>
      <c r="H5645" s="2" t="s">
        <v>21</v>
      </c>
      <c r="I5645" s="2" t="s">
        <v>14339</v>
      </c>
      <c r="J5645" s="3" t="str">
        <f>HYPERLINK("https://www.boe.es/gazeta/dias/1812/04/20/pdfs/GMD-1812-111.pdf#page=4","Abrir facsímil")</f>
        <v>Abrir facsímil</v>
      </c>
      <c r="K5645" s="3" t="s">
        <v>23</v>
      </c>
    </row>
    <row r="5646" spans="1:11" ht="42" customHeight="1">
      <c r="A5646" s="2" t="s">
        <v>14335</v>
      </c>
      <c r="B5646" s="2" t="s">
        <v>14335</v>
      </c>
      <c r="C5646" s="2" t="s">
        <v>17</v>
      </c>
      <c r="D5646" s="2" t="s">
        <v>18</v>
      </c>
      <c r="E5646" s="4">
        <v>-31991</v>
      </c>
      <c r="F5646" s="3" t="s">
        <v>663</v>
      </c>
      <c r="G5646" s="3" t="s">
        <v>404</v>
      </c>
      <c r="H5646" s="2" t="s">
        <v>21</v>
      </c>
      <c r="I5646" s="2" t="s">
        <v>14340</v>
      </c>
      <c r="J5646" s="3" t="str">
        <f>HYPERLINK("https://www.boe.es/gazeta/dias/1812/05/29/pdfs/GMD-1812-150.pdf#page=4","Abrir facsímil")</f>
        <v>Abrir facsímil</v>
      </c>
      <c r="K5646" s="3" t="s">
        <v>23</v>
      </c>
    </row>
    <row r="5647" spans="1:11" ht="42" customHeight="1">
      <c r="A5647" s="2" t="s">
        <v>14335</v>
      </c>
      <c r="B5647" s="2" t="s">
        <v>14335</v>
      </c>
      <c r="C5647" s="2" t="s">
        <v>26</v>
      </c>
      <c r="D5647" s="2" t="s">
        <v>27</v>
      </c>
      <c r="E5647" s="4">
        <v>-31964</v>
      </c>
      <c r="F5647" s="3" t="s">
        <v>93</v>
      </c>
      <c r="G5647" s="3" t="s">
        <v>1722</v>
      </c>
      <c r="H5647" s="2" t="s">
        <v>21</v>
      </c>
      <c r="I5647" s="2" t="s">
        <v>14341</v>
      </c>
      <c r="J5647" s="3" t="str">
        <f>HYPERLINK("https://www.boe.es/gazeta/dias/1812/06/25/pdfs/GRE-1812-78.pdf#page=8","Abrir facsímil")</f>
        <v>Abrir facsímil</v>
      </c>
      <c r="K5647" s="3" t="s">
        <v>23</v>
      </c>
    </row>
    <row r="5648" spans="1:11" ht="42" customHeight="1">
      <c r="A5648" s="2" t="s">
        <v>14335</v>
      </c>
      <c r="B5648" s="2" t="s">
        <v>14335</v>
      </c>
      <c r="C5648" s="2" t="s">
        <v>26</v>
      </c>
      <c r="D5648" s="2" t="s">
        <v>27</v>
      </c>
      <c r="E5648" s="4">
        <v>-31940</v>
      </c>
      <c r="F5648" s="3" t="s">
        <v>187</v>
      </c>
      <c r="G5648" s="3" t="s">
        <v>404</v>
      </c>
      <c r="H5648" s="2" t="s">
        <v>21</v>
      </c>
      <c r="I5648" s="2" t="s">
        <v>14342</v>
      </c>
      <c r="J5648" s="3" t="str">
        <f>HYPERLINK("https://www.boe.es/gazeta/dias/1812/07/19/pdfs/GMD-1812-201.pdf#page=3","Abrir facsímil")</f>
        <v>Abrir facsímil</v>
      </c>
      <c r="K5648" s="3" t="s">
        <v>23</v>
      </c>
    </row>
    <row r="5649" spans="1:11" ht="42" customHeight="1">
      <c r="A5649" s="2" t="s">
        <v>14335</v>
      </c>
      <c r="B5649" s="2" t="s">
        <v>14335</v>
      </c>
      <c r="C5649" s="2" t="s">
        <v>26</v>
      </c>
      <c r="D5649" s="2" t="s">
        <v>27</v>
      </c>
      <c r="E5649" s="4">
        <v>-31840</v>
      </c>
      <c r="F5649" s="3" t="s">
        <v>2181</v>
      </c>
      <c r="G5649" s="3" t="s">
        <v>14343</v>
      </c>
      <c r="H5649" s="2" t="s">
        <v>21</v>
      </c>
      <c r="I5649" s="2" t="s">
        <v>14344</v>
      </c>
      <c r="J5649" s="3" t="str">
        <f>HYPERLINK("https://www.boe.es/gazeta/dias/1812/10/27/pdfs/GMR-1812-32.pdf#page=7","Abrir facsímil")</f>
        <v>Abrir facsímil</v>
      </c>
      <c r="K5649" s="3" t="s">
        <v>23</v>
      </c>
    </row>
    <row r="5650" spans="1:11" ht="42" customHeight="1">
      <c r="A5650" s="2" t="s">
        <v>14335</v>
      </c>
      <c r="B5650" s="2" t="s">
        <v>14335</v>
      </c>
      <c r="C5650" s="2" t="s">
        <v>26</v>
      </c>
      <c r="D5650" s="2" t="s">
        <v>27</v>
      </c>
      <c r="E5650" s="4">
        <v>-31796</v>
      </c>
      <c r="F5650" s="3" t="s">
        <v>741</v>
      </c>
      <c r="G5650" s="3" t="s">
        <v>217</v>
      </c>
      <c r="H5650" s="2" t="s">
        <v>21</v>
      </c>
      <c r="I5650" s="2" t="s">
        <v>14345</v>
      </c>
      <c r="J5650" s="3" t="str">
        <f>HYPERLINK("https://www.boe.es/gazeta/dias/1812/12/10/pdfs/GRE-1812-163.pdf#page=4","Abrir facsímil")</f>
        <v>Abrir facsímil</v>
      </c>
      <c r="K5650" s="3" t="s">
        <v>23</v>
      </c>
    </row>
    <row r="5651" spans="1:11" ht="42" customHeight="1">
      <c r="A5651" s="2" t="s">
        <v>14346</v>
      </c>
      <c r="B5651" s="2" t="s">
        <v>14347</v>
      </c>
      <c r="C5651" s="2" t="s">
        <v>105</v>
      </c>
      <c r="D5651" s="2" t="s">
        <v>27</v>
      </c>
      <c r="E5651" s="4">
        <v>-32002</v>
      </c>
      <c r="F5651" s="3" t="s">
        <v>619</v>
      </c>
      <c r="G5651" s="3" t="s">
        <v>620</v>
      </c>
      <c r="H5651" s="2" t="s">
        <v>21</v>
      </c>
      <c r="I5651" s="2" t="s">
        <v>14348</v>
      </c>
      <c r="J5651" s="3" t="str">
        <f>HYPERLINK("https://www.boe.es/gazeta/dias/1812/05/18/pdfs/GMD-1812-139.pdf#page=2","Abrir facsímil")</f>
        <v>Abrir facsímil</v>
      </c>
      <c r="K5651" s="3" t="s">
        <v>23</v>
      </c>
    </row>
    <row r="5652" spans="1:11" ht="42" customHeight="1">
      <c r="A5652" s="2" t="s">
        <v>14349</v>
      </c>
      <c r="B5652" s="2" t="s">
        <v>14349</v>
      </c>
      <c r="C5652" s="2" t="s">
        <v>67</v>
      </c>
      <c r="D5652" s="2" t="s">
        <v>194</v>
      </c>
      <c r="E5652" s="4">
        <v>-32044</v>
      </c>
      <c r="F5652" s="3" t="s">
        <v>1031</v>
      </c>
      <c r="G5652" s="3" t="s">
        <v>125</v>
      </c>
      <c r="H5652" s="2" t="s">
        <v>21</v>
      </c>
      <c r="I5652" s="2" t="s">
        <v>14350</v>
      </c>
      <c r="J5652" s="3" t="str">
        <f>HYPERLINK("https://www.boe.es/gazeta/dias/1812/04/06/pdfs/GMD-1812-97.pdf#page=2","Abrir facsímil")</f>
        <v>Abrir facsímil</v>
      </c>
      <c r="K5652" s="3" t="s">
        <v>23</v>
      </c>
    </row>
    <row r="5653" spans="1:11" ht="42" customHeight="1">
      <c r="A5653" s="2" t="s">
        <v>14351</v>
      </c>
      <c r="B5653" s="2" t="s">
        <v>14351</v>
      </c>
      <c r="C5653" s="2" t="s">
        <v>17</v>
      </c>
      <c r="D5653" s="2" t="s">
        <v>18</v>
      </c>
      <c r="E5653" s="4">
        <v>-32120</v>
      </c>
      <c r="F5653" s="3" t="s">
        <v>3524</v>
      </c>
      <c r="G5653" s="3" t="s">
        <v>599</v>
      </c>
      <c r="H5653" s="2" t="s">
        <v>21</v>
      </c>
      <c r="I5653" s="2" t="s">
        <v>14352</v>
      </c>
      <c r="J5653" s="3" t="str">
        <f>HYPERLINK("https://www.boe.es/gazeta/dias/1812/01/21/pdfs/GEI-1812-9.pdf#page=6","Abrir facsímil")</f>
        <v>Abrir facsímil</v>
      </c>
      <c r="K5653" s="3" t="s">
        <v>23</v>
      </c>
    </row>
    <row r="5654" spans="1:11" ht="42" customHeight="1">
      <c r="A5654" s="2" t="s">
        <v>14353</v>
      </c>
      <c r="B5654" s="2" t="s">
        <v>14354</v>
      </c>
      <c r="C5654" s="2" t="s">
        <v>26</v>
      </c>
      <c r="D5654" s="2" t="s">
        <v>27</v>
      </c>
      <c r="E5654" s="4">
        <v>-31976</v>
      </c>
      <c r="F5654" s="3" t="s">
        <v>54</v>
      </c>
      <c r="G5654" s="3" t="s">
        <v>1335</v>
      </c>
      <c r="H5654" s="2" t="s">
        <v>21</v>
      </c>
      <c r="I5654" s="2" t="s">
        <v>14355</v>
      </c>
      <c r="J5654" s="3" t="str">
        <f>HYPERLINK("https://www.boe.es/gazeta/dias/1812/06/13/pdfs/GRE-1812-73.pdf#page=7","Abrir facsímil")</f>
        <v>Abrir facsímil</v>
      </c>
      <c r="K5654" s="3" t="s">
        <v>23</v>
      </c>
    </row>
    <row r="5655" spans="1:11" ht="42" customHeight="1">
      <c r="A5655" s="2" t="s">
        <v>14356</v>
      </c>
      <c r="B5655" s="2" t="s">
        <v>14356</v>
      </c>
      <c r="C5655" s="2" t="s">
        <v>17</v>
      </c>
      <c r="D5655" s="2" t="s">
        <v>27</v>
      </c>
      <c r="E5655" s="4">
        <v>-31957</v>
      </c>
      <c r="F5655" s="3" t="s">
        <v>2173</v>
      </c>
      <c r="G5655" s="3" t="s">
        <v>1820</v>
      </c>
      <c r="H5655" s="2" t="s">
        <v>21</v>
      </c>
      <c r="I5655" s="2" t="s">
        <v>14357</v>
      </c>
      <c r="J5655" s="3" t="str">
        <f>HYPERLINK("https://www.boe.es/gazeta/dias/1812/07/02/pdfs/GRE-1812-81.pdf#page=4","Abrir facsímil")</f>
        <v>Abrir facsímil</v>
      </c>
      <c r="K5655" s="3" t="s">
        <v>23</v>
      </c>
    </row>
    <row r="5656" spans="1:11" ht="42" customHeight="1">
      <c r="A5656" s="2" t="s">
        <v>14358</v>
      </c>
      <c r="B5656" s="2" t="s">
        <v>14359</v>
      </c>
      <c r="C5656" s="2" t="s">
        <v>17</v>
      </c>
      <c r="D5656" s="2" t="s">
        <v>18</v>
      </c>
      <c r="E5656" s="4">
        <v>-31955</v>
      </c>
      <c r="F5656" s="3" t="s">
        <v>135</v>
      </c>
      <c r="G5656" s="3" t="s">
        <v>136</v>
      </c>
      <c r="H5656" s="2" t="s">
        <v>21</v>
      </c>
      <c r="I5656" s="2" t="s">
        <v>14360</v>
      </c>
      <c r="J5656" s="3" t="str">
        <f>HYPERLINK("https://www.boe.es/gazeta/dias/1812/07/04/pdfs/GRE-F-1812-82.pdf#page=8","Abrir facsímil")</f>
        <v>Abrir facsímil</v>
      </c>
      <c r="K5656" s="3" t="s">
        <v>23</v>
      </c>
    </row>
    <row r="5657" spans="1:11" ht="42" customHeight="1">
      <c r="A5657" s="2" t="s">
        <v>14361</v>
      </c>
      <c r="B5657" s="2" t="s">
        <v>14361</v>
      </c>
      <c r="C5657" s="2" t="s">
        <v>17</v>
      </c>
      <c r="D5657" s="2" t="s">
        <v>18</v>
      </c>
      <c r="E5657" s="4">
        <v>-31928</v>
      </c>
      <c r="F5657" s="3" t="s">
        <v>7417</v>
      </c>
      <c r="G5657" s="3" t="s">
        <v>3409</v>
      </c>
      <c r="H5657" s="2" t="s">
        <v>21</v>
      </c>
      <c r="I5657" s="2" t="s">
        <v>14362</v>
      </c>
      <c r="J5657" s="3" t="str">
        <f>HYPERLINK("https://www.boe.es/gazeta/dias/1812/07/31/pdfs/GMD-1812-213.pdf#page=1","Abrir facsímil")</f>
        <v>Abrir facsímil</v>
      </c>
      <c r="K5657" s="3" t="s">
        <v>23</v>
      </c>
    </row>
    <row r="5658" spans="1:11" ht="42" customHeight="1">
      <c r="A5658" s="2" t="s">
        <v>14363</v>
      </c>
      <c r="B5658" s="2" t="s">
        <v>14363</v>
      </c>
      <c r="C5658" s="2" t="s">
        <v>17</v>
      </c>
      <c r="D5658" s="2" t="s">
        <v>18</v>
      </c>
      <c r="E5658" s="4">
        <v>-31878</v>
      </c>
      <c r="F5658" s="3" t="s">
        <v>2891</v>
      </c>
      <c r="G5658" s="3" t="s">
        <v>4308</v>
      </c>
      <c r="H5658" s="2" t="s">
        <v>21</v>
      </c>
      <c r="I5658" s="2" t="s">
        <v>14364</v>
      </c>
      <c r="J5658" s="3" t="str">
        <f>HYPERLINK("https://www.boe.es/gazeta/dias/1812/09/19/pdfs/GRE-1812-127.pdf#page=8","Abrir facsímil")</f>
        <v>Abrir facsímil</v>
      </c>
      <c r="K5658" s="3" t="s">
        <v>23</v>
      </c>
    </row>
    <row r="5659" spans="1:11" ht="42" customHeight="1">
      <c r="A5659" s="2" t="s">
        <v>14365</v>
      </c>
      <c r="B5659" s="2" t="s">
        <v>14366</v>
      </c>
      <c r="C5659" s="2" t="s">
        <v>17</v>
      </c>
      <c r="D5659" s="2" t="s">
        <v>18</v>
      </c>
      <c r="E5659" s="4">
        <v>-31978</v>
      </c>
      <c r="F5659" s="3" t="s">
        <v>1790</v>
      </c>
      <c r="G5659" s="3" t="s">
        <v>2320</v>
      </c>
      <c r="H5659" s="2" t="s">
        <v>21</v>
      </c>
      <c r="I5659" s="2" t="s">
        <v>14367</v>
      </c>
      <c r="J5659" s="3" t="str">
        <f>HYPERLINK("https://www.boe.es/gazeta/dias/1812/06/11/pdfs/GRE-1812-72.pdf#page=7","Abrir facsímil")</f>
        <v>Abrir facsímil</v>
      </c>
      <c r="K5659" s="3" t="s">
        <v>23</v>
      </c>
    </row>
    <row r="5660" spans="1:11" ht="42" customHeight="1">
      <c r="A5660" s="2" t="s">
        <v>14368</v>
      </c>
      <c r="B5660" s="2" t="s">
        <v>14369</v>
      </c>
      <c r="C5660" s="2" t="s">
        <v>26</v>
      </c>
      <c r="D5660" s="2" t="s">
        <v>27</v>
      </c>
      <c r="E5660" s="4">
        <v>-32050</v>
      </c>
      <c r="F5660" s="3" t="s">
        <v>864</v>
      </c>
      <c r="G5660" s="3" t="s">
        <v>29</v>
      </c>
      <c r="H5660" s="2" t="s">
        <v>21</v>
      </c>
      <c r="I5660" s="2" t="s">
        <v>14370</v>
      </c>
      <c r="J5660" s="3" t="str">
        <f>HYPERLINK("https://www.boe.es/gazeta/dias/1812/03/31/pdfs/GRE-1812-40.pdf#page=8","Abrir facsímil")</f>
        <v>Abrir facsímil</v>
      </c>
      <c r="K5660" s="3" t="s">
        <v>23</v>
      </c>
    </row>
    <row r="5661" spans="1:11" ht="42" customHeight="1">
      <c r="A5661" s="2" t="s">
        <v>14371</v>
      </c>
      <c r="B5661" s="2" t="s">
        <v>14372</v>
      </c>
      <c r="C5661" s="2" t="s">
        <v>67</v>
      </c>
      <c r="D5661" s="2" t="s">
        <v>275</v>
      </c>
      <c r="E5661" s="4">
        <v>-31938</v>
      </c>
      <c r="F5661" s="3" t="s">
        <v>324</v>
      </c>
      <c r="G5661" s="3" t="s">
        <v>237</v>
      </c>
      <c r="H5661" s="2" t="s">
        <v>21</v>
      </c>
      <c r="I5661" s="2" t="s">
        <v>14373</v>
      </c>
      <c r="J5661" s="3" t="str">
        <f>HYPERLINK("https://www.boe.es/gazeta/dias/1812/07/21/pdfs/GMD-1812-203.pdf#page=2","Abrir facsímil")</f>
        <v>Abrir facsímil</v>
      </c>
      <c r="K5661" s="3" t="s">
        <v>23</v>
      </c>
    </row>
    <row r="5662" spans="1:11" ht="42" customHeight="1">
      <c r="A5662" s="2" t="s">
        <v>14374</v>
      </c>
      <c r="B5662" s="2" t="s">
        <v>14374</v>
      </c>
      <c r="C5662" s="2" t="s">
        <v>17</v>
      </c>
      <c r="D5662" s="2" t="s">
        <v>27</v>
      </c>
      <c r="E5662" s="4">
        <v>-31962</v>
      </c>
      <c r="F5662" s="3" t="s">
        <v>153</v>
      </c>
      <c r="G5662" s="3" t="s">
        <v>3010</v>
      </c>
      <c r="H5662" s="2" t="s">
        <v>21</v>
      </c>
      <c r="I5662" s="2" t="s">
        <v>14375</v>
      </c>
      <c r="J5662" s="3" t="str">
        <f>HYPERLINK("https://www.boe.es/gazeta/dias/1812/06/27/pdfs/GRE-1812-79.pdf#page=4","Abrir facsímil")</f>
        <v>Abrir facsímil</v>
      </c>
      <c r="K5662" s="3" t="s">
        <v>23</v>
      </c>
    </row>
    <row r="5663" spans="1:11" ht="42" customHeight="1">
      <c r="A5663" s="2" t="s">
        <v>14376</v>
      </c>
      <c r="B5663" s="2" t="s">
        <v>14376</v>
      </c>
      <c r="C5663" s="2" t="s">
        <v>17</v>
      </c>
      <c r="D5663" s="2" t="s">
        <v>27</v>
      </c>
      <c r="E5663" s="4">
        <v>-31957</v>
      </c>
      <c r="F5663" s="3" t="s">
        <v>2173</v>
      </c>
      <c r="G5663" s="3" t="s">
        <v>1820</v>
      </c>
      <c r="H5663" s="2" t="s">
        <v>21</v>
      </c>
      <c r="I5663" s="2" t="s">
        <v>14377</v>
      </c>
      <c r="J5663" s="3" t="str">
        <f>HYPERLINK("https://www.boe.es/gazeta/dias/1812/07/02/pdfs/GRE-1812-81.pdf#page=4","Abrir facsímil")</f>
        <v>Abrir facsímil</v>
      </c>
      <c r="K5663" s="3" t="s">
        <v>23</v>
      </c>
    </row>
    <row r="5664" spans="1:11" ht="42" customHeight="1">
      <c r="A5664" s="2" t="s">
        <v>14374</v>
      </c>
      <c r="B5664" s="2" t="s">
        <v>14374</v>
      </c>
      <c r="C5664" s="2" t="s">
        <v>17</v>
      </c>
      <c r="D5664" s="2" t="s">
        <v>27</v>
      </c>
      <c r="E5664" s="4">
        <v>-31868</v>
      </c>
      <c r="F5664" s="3" t="s">
        <v>1833</v>
      </c>
      <c r="G5664" s="3" t="s">
        <v>20</v>
      </c>
      <c r="H5664" s="2" t="s">
        <v>21</v>
      </c>
      <c r="I5664" s="2" t="s">
        <v>14378</v>
      </c>
      <c r="J5664" s="3" t="str">
        <f>HYPERLINK("https://www.boe.es/gazeta/dias/1812/09/29/pdfs/GMR-1812-20.pdf#page=6","Abrir facsímil")</f>
        <v>Abrir facsímil</v>
      </c>
      <c r="K5664" s="3" t="s">
        <v>23</v>
      </c>
    </row>
    <row r="5665" spans="1:11" ht="42" customHeight="1">
      <c r="A5665" s="2" t="s">
        <v>14374</v>
      </c>
      <c r="B5665" s="2" t="s">
        <v>14374</v>
      </c>
      <c r="C5665" s="2" t="s">
        <v>17</v>
      </c>
      <c r="D5665" s="2" t="s">
        <v>27</v>
      </c>
      <c r="E5665" s="4">
        <v>-31796</v>
      </c>
      <c r="F5665" s="3" t="s">
        <v>741</v>
      </c>
      <c r="G5665" s="3" t="s">
        <v>14379</v>
      </c>
      <c r="H5665" s="2" t="s">
        <v>21</v>
      </c>
      <c r="I5665" s="2" t="s">
        <v>14380</v>
      </c>
      <c r="J5665" s="3" t="str">
        <f>HYPERLINK("https://www.boe.es/gazeta/dias/1812/12/10/pdfs/GRE-1812-163.pdf#page=3","Abrir facsímil")</f>
        <v>Abrir facsímil</v>
      </c>
      <c r="K5665" s="3" t="s">
        <v>23</v>
      </c>
    </row>
    <row r="5666" spans="1:11" ht="42" customHeight="1">
      <c r="A5666" s="2" t="s">
        <v>14381</v>
      </c>
      <c r="B5666" s="2" t="s">
        <v>14381</v>
      </c>
      <c r="C5666" s="2" t="s">
        <v>17</v>
      </c>
      <c r="D5666" s="2" t="s">
        <v>275</v>
      </c>
      <c r="E5666" s="4">
        <v>-32109</v>
      </c>
      <c r="F5666" s="3" t="s">
        <v>62</v>
      </c>
      <c r="G5666" s="3" t="s">
        <v>1650</v>
      </c>
      <c r="H5666" s="2" t="s">
        <v>21</v>
      </c>
      <c r="I5666" s="2" t="s">
        <v>14382</v>
      </c>
      <c r="J5666" s="3" t="str">
        <f>HYPERLINK("https://www.boe.es/gazeta/dias/1812/02/01/pdfs/GRE-1812-14.pdf#page=4","Abrir facsímil")</f>
        <v>Abrir facsímil</v>
      </c>
      <c r="K5666" s="3" t="s">
        <v>23</v>
      </c>
    </row>
    <row r="5667" spans="1:11" ht="42" customHeight="1">
      <c r="A5667" s="2" t="s">
        <v>14383</v>
      </c>
      <c r="B5667" s="2" t="s">
        <v>14384</v>
      </c>
      <c r="C5667" s="2" t="s">
        <v>26</v>
      </c>
      <c r="D5667" s="2" t="s">
        <v>573</v>
      </c>
      <c r="E5667" s="4">
        <v>-31900</v>
      </c>
      <c r="F5667" s="3" t="s">
        <v>276</v>
      </c>
      <c r="G5667" s="3" t="s">
        <v>277</v>
      </c>
      <c r="H5667" s="2" t="s">
        <v>21</v>
      </c>
      <c r="I5667" s="2" t="s">
        <v>14385</v>
      </c>
      <c r="J5667" s="3" t="str">
        <f>HYPERLINK("https://www.boe.es/gazeta/dias/1812/08/28/pdfs/GRE-1812-113E.pdf#page=8","Abrir facsímil")</f>
        <v>Abrir facsímil</v>
      </c>
      <c r="K5667" s="3" t="s">
        <v>23</v>
      </c>
    </row>
    <row r="5668" spans="1:11" ht="42" customHeight="1">
      <c r="A5668" s="2" t="s">
        <v>14386</v>
      </c>
      <c r="B5668" s="2" t="s">
        <v>14387</v>
      </c>
      <c r="C5668" s="2" t="s">
        <v>26</v>
      </c>
      <c r="D5668" s="2" t="s">
        <v>27</v>
      </c>
      <c r="E5668" s="4">
        <v>-32067</v>
      </c>
      <c r="F5668" s="3" t="s">
        <v>199</v>
      </c>
      <c r="G5668" s="3" t="s">
        <v>237</v>
      </c>
      <c r="H5668" s="2" t="s">
        <v>21</v>
      </c>
      <c r="I5668" s="2" t="s">
        <v>14388</v>
      </c>
      <c r="J5668" s="3" t="str">
        <f>HYPERLINK("https://www.boe.es/gazeta/dias/1812/03/14/pdfs/GRE-1812-33.pdf#page=8","Abrir facsímil")</f>
        <v>Abrir facsímil</v>
      </c>
      <c r="K5668" s="3" t="s">
        <v>23</v>
      </c>
    </row>
    <row r="5669" spans="1:11" ht="42" customHeight="1">
      <c r="A5669" s="2" t="s">
        <v>14389</v>
      </c>
      <c r="B5669" s="2" t="s">
        <v>14389</v>
      </c>
      <c r="C5669" s="2" t="s">
        <v>17</v>
      </c>
      <c r="D5669" s="2" t="s">
        <v>27</v>
      </c>
      <c r="E5669" s="4">
        <v>-31775</v>
      </c>
      <c r="F5669" s="3" t="s">
        <v>660</v>
      </c>
      <c r="G5669" s="3" t="s">
        <v>4071</v>
      </c>
      <c r="H5669" s="2" t="s">
        <v>21</v>
      </c>
      <c r="I5669" s="2" t="s">
        <v>14390</v>
      </c>
      <c r="J5669" s="3" t="str">
        <f>HYPERLINK("https://www.boe.es/gazeta/dias/1812/12/31/pdfs/GRE-1812-172.pdf#page=4","Abrir facsímil")</f>
        <v>Abrir facsímil</v>
      </c>
      <c r="K5669" s="3" t="s">
        <v>23</v>
      </c>
    </row>
    <row r="5670" spans="1:11" ht="42" customHeight="1">
      <c r="A5670" s="2" t="s">
        <v>14391</v>
      </c>
      <c r="B5670" s="2" t="s">
        <v>14392</v>
      </c>
      <c r="C5670" s="2" t="s">
        <v>17</v>
      </c>
      <c r="D5670" s="2" t="s">
        <v>27</v>
      </c>
      <c r="E5670" s="4">
        <v>-31936</v>
      </c>
      <c r="F5670" s="3" t="s">
        <v>614</v>
      </c>
      <c r="G5670" s="3" t="s">
        <v>615</v>
      </c>
      <c r="H5670" s="2" t="s">
        <v>21</v>
      </c>
      <c r="I5670" s="2" t="s">
        <v>14393</v>
      </c>
      <c r="J5670" s="3" t="str">
        <f>HYPERLINK("https://www.boe.es/gazeta/dias/1812/07/23/pdfs/GRE-1812-92.pdf#page=8","Abrir facsímil")</f>
        <v>Abrir facsímil</v>
      </c>
      <c r="K5670" s="3" t="s">
        <v>23</v>
      </c>
    </row>
    <row r="5671" spans="1:11" ht="42" customHeight="1">
      <c r="A5671" s="2" t="s">
        <v>14394</v>
      </c>
      <c r="B5671" s="2" t="s">
        <v>14395</v>
      </c>
      <c r="C5671" s="2" t="s">
        <v>26</v>
      </c>
      <c r="D5671" s="2" t="s">
        <v>27</v>
      </c>
      <c r="E5671" s="4">
        <v>-32120</v>
      </c>
      <c r="F5671" s="3" t="s">
        <v>522</v>
      </c>
      <c r="G5671" s="3" t="s">
        <v>523</v>
      </c>
      <c r="H5671" s="2" t="s">
        <v>21</v>
      </c>
      <c r="I5671" s="2" t="s">
        <v>14396</v>
      </c>
      <c r="J5671" s="3" t="str">
        <f>HYPERLINK("https://www.boe.es/gazeta/dias/1812/01/21/pdfs/GMD-1812-21.pdf#page=4","Abrir facsímil")</f>
        <v>Abrir facsímil</v>
      </c>
      <c r="K5671" s="3" t="s">
        <v>23</v>
      </c>
    </row>
    <row r="5672" spans="1:11" ht="42" customHeight="1">
      <c r="A5672" s="2" t="s">
        <v>14397</v>
      </c>
      <c r="B5672" s="2" t="s">
        <v>14398</v>
      </c>
      <c r="C5672" s="2" t="s">
        <v>17</v>
      </c>
      <c r="D5672" s="2" t="s">
        <v>27</v>
      </c>
      <c r="E5672" s="4">
        <v>-32062</v>
      </c>
      <c r="F5672" s="3" t="s">
        <v>280</v>
      </c>
      <c r="G5672" s="3" t="s">
        <v>20</v>
      </c>
      <c r="H5672" s="2" t="s">
        <v>21</v>
      </c>
      <c r="I5672" s="2" t="s">
        <v>14399</v>
      </c>
      <c r="J5672" s="3" t="str">
        <f>HYPERLINK("https://www.boe.es/gazeta/dias/1812/03/19/pdfs/GMD-1812-79.pdf#page=4","Abrir facsímil")</f>
        <v>Abrir facsímil</v>
      </c>
      <c r="K5672" s="3" t="s">
        <v>23</v>
      </c>
    </row>
    <row r="5673" spans="1:11" ht="42" customHeight="1">
      <c r="A5673" s="2" t="s">
        <v>14400</v>
      </c>
      <c r="B5673" s="2" t="s">
        <v>14400</v>
      </c>
      <c r="C5673" s="2" t="s">
        <v>17</v>
      </c>
      <c r="D5673" s="2" t="s">
        <v>27</v>
      </c>
      <c r="E5673" s="4">
        <v>-31780</v>
      </c>
      <c r="F5673" s="3" t="s">
        <v>3317</v>
      </c>
      <c r="G5673" s="3" t="s">
        <v>7918</v>
      </c>
      <c r="H5673" s="2" t="s">
        <v>21</v>
      </c>
      <c r="I5673" s="2" t="s">
        <v>14401</v>
      </c>
      <c r="J5673" s="3" t="str">
        <f>HYPERLINK("https://www.boe.es/gazeta/dias/1812/12/26/pdfs/GRE-1812-170.pdf#page=1","Abrir facsímil")</f>
        <v>Abrir facsímil</v>
      </c>
      <c r="K5673" s="3" t="s">
        <v>23</v>
      </c>
    </row>
    <row r="5674" spans="1:11" ht="42" customHeight="1">
      <c r="A5674" s="2" t="s">
        <v>14402</v>
      </c>
      <c r="B5674" s="2" t="s">
        <v>14403</v>
      </c>
      <c r="C5674" s="2" t="s">
        <v>26</v>
      </c>
      <c r="D5674" s="2" t="s">
        <v>27</v>
      </c>
      <c r="E5674" s="4">
        <v>-31857</v>
      </c>
      <c r="F5674" s="3" t="s">
        <v>1000</v>
      </c>
      <c r="G5674" s="3" t="s">
        <v>1001</v>
      </c>
      <c r="H5674" s="2" t="s">
        <v>21</v>
      </c>
      <c r="I5674" s="2" t="s">
        <v>14404</v>
      </c>
      <c r="J5674" s="3" t="str">
        <f>HYPERLINK("https://www.boe.es/gazeta/dias/1812/10/10/pdfs/GRE-1812-137.pdf#page=7","Abrir facsímil")</f>
        <v>Abrir facsímil</v>
      </c>
      <c r="K5674" s="3" t="s">
        <v>23</v>
      </c>
    </row>
    <row r="5675" spans="1:11" ht="42" customHeight="1">
      <c r="A5675" s="2" t="s">
        <v>14405</v>
      </c>
      <c r="B5675" s="2" t="s">
        <v>14405</v>
      </c>
      <c r="C5675" s="2" t="s">
        <v>17</v>
      </c>
      <c r="D5675" s="2" t="s">
        <v>27</v>
      </c>
      <c r="E5675" s="4">
        <v>-32130</v>
      </c>
      <c r="F5675" s="3" t="s">
        <v>927</v>
      </c>
      <c r="G5675" s="3" t="s">
        <v>125</v>
      </c>
      <c r="H5675" s="2" t="s">
        <v>21</v>
      </c>
      <c r="I5675" s="2" t="s">
        <v>14406</v>
      </c>
      <c r="J5675" s="3" t="str">
        <f>HYPERLINK("https://www.boe.es/gazeta/dias/1812/01/11/pdfs/GMD-1812-11.pdf#page=2","Abrir facsímil")</f>
        <v>Abrir facsímil</v>
      </c>
      <c r="K5675" s="3" t="s">
        <v>23</v>
      </c>
    </row>
    <row r="5676" spans="1:11" ht="42" customHeight="1">
      <c r="A5676" s="2" t="s">
        <v>14405</v>
      </c>
      <c r="B5676" s="2" t="s">
        <v>14405</v>
      </c>
      <c r="C5676" s="2" t="s">
        <v>49</v>
      </c>
      <c r="D5676" s="2" t="s">
        <v>27</v>
      </c>
      <c r="E5676" s="4">
        <v>-32102</v>
      </c>
      <c r="F5676" s="3" t="s">
        <v>1783</v>
      </c>
      <c r="G5676" s="3" t="s">
        <v>125</v>
      </c>
      <c r="H5676" s="2" t="s">
        <v>21</v>
      </c>
      <c r="I5676" s="2" t="s">
        <v>14407</v>
      </c>
      <c r="J5676" s="3" t="str">
        <f>HYPERLINK("https://www.boe.es/gazeta/dias/1812/02/08/pdfs/GRE-1812-17.pdf#page=5","Abrir facsímil")</f>
        <v>Abrir facsímil</v>
      </c>
      <c r="K5676" s="3" t="s">
        <v>23</v>
      </c>
    </row>
    <row r="5677" spans="1:11" ht="42" customHeight="1">
      <c r="A5677" s="2" t="s">
        <v>14405</v>
      </c>
      <c r="B5677" s="2" t="s">
        <v>14405</v>
      </c>
      <c r="C5677" s="2" t="s">
        <v>17</v>
      </c>
      <c r="D5677" s="2" t="s">
        <v>18</v>
      </c>
      <c r="E5677" s="4">
        <v>-31892</v>
      </c>
      <c r="F5677" s="3" t="s">
        <v>1825</v>
      </c>
      <c r="G5677" s="3" t="s">
        <v>217</v>
      </c>
      <c r="H5677" s="2" t="s">
        <v>21</v>
      </c>
      <c r="I5677" s="2" t="s">
        <v>14408</v>
      </c>
      <c r="J5677" s="3" t="str">
        <f>HYPERLINK("https://www.boe.es/gazeta/dias/1812/09/05/pdfs/GMR-1812-10.pdf#page=11","Abrir facsímil")</f>
        <v>Abrir facsímil</v>
      </c>
      <c r="K5677" s="3" t="s">
        <v>23</v>
      </c>
    </row>
    <row r="5678" spans="1:11" ht="42" customHeight="1">
      <c r="A5678" s="2" t="s">
        <v>14405</v>
      </c>
      <c r="B5678" s="2" t="s">
        <v>14405</v>
      </c>
      <c r="C5678" s="2" t="s">
        <v>17</v>
      </c>
      <c r="D5678" s="2" t="s">
        <v>27</v>
      </c>
      <c r="E5678" s="4">
        <v>-31889</v>
      </c>
      <c r="F5678" s="3" t="s">
        <v>699</v>
      </c>
      <c r="G5678" s="3" t="s">
        <v>125</v>
      </c>
      <c r="H5678" s="2" t="s">
        <v>21</v>
      </c>
      <c r="I5678" s="2" t="s">
        <v>14409</v>
      </c>
      <c r="J5678" s="3" t="str">
        <f>HYPERLINK("https://www.boe.es/gazeta/dias/1812/09/08/pdfs/GMR-1812-11.pdf#page=7","Abrir facsímil")</f>
        <v>Abrir facsímil</v>
      </c>
      <c r="K5678" s="3" t="s">
        <v>23</v>
      </c>
    </row>
    <row r="5679" spans="1:11" ht="42" customHeight="1">
      <c r="A5679" s="2" t="s">
        <v>14405</v>
      </c>
      <c r="B5679" s="2" t="s">
        <v>14405</v>
      </c>
      <c r="C5679" s="2" t="s">
        <v>17</v>
      </c>
      <c r="D5679" s="2" t="s">
        <v>27</v>
      </c>
      <c r="E5679" s="4">
        <v>-31882</v>
      </c>
      <c r="F5679" s="3" t="s">
        <v>1798</v>
      </c>
      <c r="G5679" s="3" t="s">
        <v>8253</v>
      </c>
      <c r="H5679" s="2" t="s">
        <v>21</v>
      </c>
      <c r="I5679" s="2" t="s">
        <v>14410</v>
      </c>
      <c r="J5679" s="3" t="str">
        <f>HYPERLINK("https://www.boe.es/gazeta/dias/1812/09/15/pdfs/GMR-1812-14.pdf#page=6","Abrir facsímil")</f>
        <v>Abrir facsímil</v>
      </c>
      <c r="K5679" s="3" t="s">
        <v>23</v>
      </c>
    </row>
    <row r="5680" spans="1:11" ht="42" customHeight="1">
      <c r="A5680" s="2" t="s">
        <v>14405</v>
      </c>
      <c r="B5680" s="2" t="s">
        <v>14405</v>
      </c>
      <c r="C5680" s="2" t="s">
        <v>17</v>
      </c>
      <c r="D5680" s="2" t="s">
        <v>18</v>
      </c>
      <c r="E5680" s="4">
        <v>-31880</v>
      </c>
      <c r="F5680" s="3" t="s">
        <v>9383</v>
      </c>
      <c r="G5680" s="3" t="s">
        <v>9384</v>
      </c>
      <c r="H5680" s="2" t="s">
        <v>21</v>
      </c>
      <c r="I5680" s="2" t="s">
        <v>14411</v>
      </c>
      <c r="J5680" s="3" t="str">
        <f>HYPERLINK("https://www.boe.es/gazeta/dias/1812/09/17/pdfs/GRE-F-1812-126.pdf#page=4","Abrir facsímil")</f>
        <v>Abrir facsímil</v>
      </c>
      <c r="K5680" s="3" t="s">
        <v>23</v>
      </c>
    </row>
    <row r="5681" spans="1:11" ht="42" customHeight="1">
      <c r="A5681" s="2" t="s">
        <v>14405</v>
      </c>
      <c r="B5681" s="2" t="s">
        <v>14405</v>
      </c>
      <c r="C5681" s="2" t="s">
        <v>17</v>
      </c>
      <c r="D5681" s="2" t="s">
        <v>27</v>
      </c>
      <c r="E5681" s="4">
        <v>-31878</v>
      </c>
      <c r="F5681" s="3" t="s">
        <v>2891</v>
      </c>
      <c r="G5681" s="3" t="s">
        <v>2892</v>
      </c>
      <c r="H5681" s="2" t="s">
        <v>21</v>
      </c>
      <c r="I5681" s="2" t="s">
        <v>14412</v>
      </c>
      <c r="J5681" s="3" t="str">
        <f>HYPERLINK("https://www.boe.es/gazeta/dias/1812/09/19/pdfs/GRE-1812-127.pdf#page=3","Abrir facsímil")</f>
        <v>Abrir facsímil</v>
      </c>
      <c r="K5681" s="3" t="s">
        <v>23</v>
      </c>
    </row>
    <row r="5682" spans="1:11" ht="42" customHeight="1">
      <c r="A5682" s="2" t="s">
        <v>14405</v>
      </c>
      <c r="B5682" s="2" t="s">
        <v>14405</v>
      </c>
      <c r="C5682" s="2" t="s">
        <v>17</v>
      </c>
      <c r="D5682" s="2" t="s">
        <v>27</v>
      </c>
      <c r="E5682" s="4">
        <v>-31873</v>
      </c>
      <c r="F5682" s="3" t="s">
        <v>213</v>
      </c>
      <c r="G5682" s="3" t="s">
        <v>214</v>
      </c>
      <c r="H5682" s="2" t="s">
        <v>21</v>
      </c>
      <c r="I5682" s="2" t="s">
        <v>14413</v>
      </c>
      <c r="J5682" s="3" t="str">
        <f>HYPERLINK("https://www.boe.es/gazeta/dias/1812/09/24/pdfs/GMR-1812-18.pdf#page=6","Abrir facsímil")</f>
        <v>Abrir facsímil</v>
      </c>
      <c r="K5682" s="3" t="s">
        <v>23</v>
      </c>
    </row>
    <row r="5683" spans="1:11" ht="42" customHeight="1">
      <c r="A5683" s="2" t="s">
        <v>14405</v>
      </c>
      <c r="B5683" s="2" t="s">
        <v>14405</v>
      </c>
      <c r="C5683" s="2" t="s">
        <v>17</v>
      </c>
      <c r="D5683" s="2" t="s">
        <v>27</v>
      </c>
      <c r="E5683" s="4">
        <v>-31843</v>
      </c>
      <c r="F5683" s="3" t="s">
        <v>3493</v>
      </c>
      <c r="G5683" s="3" t="s">
        <v>136</v>
      </c>
      <c r="H5683" s="2" t="s">
        <v>21</v>
      </c>
      <c r="I5683" s="2" t="s">
        <v>14414</v>
      </c>
      <c r="J5683" s="3" t="str">
        <f>HYPERLINK("https://www.boe.es/gazeta/dias/1812/10/24/pdfs/GMR-1812-31.pdf#page=4","Abrir facsímil")</f>
        <v>Abrir facsímil</v>
      </c>
      <c r="K5683" s="3" t="s">
        <v>23</v>
      </c>
    </row>
    <row r="5684" spans="1:11" ht="42" customHeight="1">
      <c r="A5684" s="2" t="s">
        <v>14405</v>
      </c>
      <c r="B5684" s="2" t="s">
        <v>14405</v>
      </c>
      <c r="C5684" s="2" t="s">
        <v>17</v>
      </c>
      <c r="D5684" s="2" t="s">
        <v>27</v>
      </c>
      <c r="E5684" s="4">
        <v>-31840</v>
      </c>
      <c r="F5684" s="3" t="s">
        <v>2181</v>
      </c>
      <c r="G5684" s="3" t="s">
        <v>1076</v>
      </c>
      <c r="H5684" s="2" t="s">
        <v>21</v>
      </c>
      <c r="I5684" s="2" t="s">
        <v>14415</v>
      </c>
      <c r="J5684" s="3" t="str">
        <f>HYPERLINK("https://www.boe.es/gazeta/dias/1812/10/27/pdfs/GMR-1812-32.pdf#page=6","Abrir facsímil")</f>
        <v>Abrir facsímil</v>
      </c>
      <c r="K5684" s="3" t="s">
        <v>23</v>
      </c>
    </row>
    <row r="5685" spans="1:11" ht="42" customHeight="1">
      <c r="A5685" s="2" t="s">
        <v>14405</v>
      </c>
      <c r="B5685" s="2" t="s">
        <v>14405</v>
      </c>
      <c r="C5685" s="2" t="s">
        <v>17</v>
      </c>
      <c r="D5685" s="2" t="s">
        <v>27</v>
      </c>
      <c r="E5685" s="4">
        <v>-31833</v>
      </c>
      <c r="F5685" s="3" t="s">
        <v>267</v>
      </c>
      <c r="G5685" s="3" t="s">
        <v>14416</v>
      </c>
      <c r="H5685" s="2" t="s">
        <v>21</v>
      </c>
      <c r="I5685" s="2" t="s">
        <v>14417</v>
      </c>
      <c r="J5685" s="3" t="str">
        <f>HYPERLINK("https://www.boe.es/gazeta/dias/1812/11/03/pdfs/GRE-1812-147.pdf#page=3","Abrir facsímil")</f>
        <v>Abrir facsímil</v>
      </c>
      <c r="K5685" s="3" t="s">
        <v>23</v>
      </c>
    </row>
    <row r="5686" spans="1:11" ht="42" customHeight="1">
      <c r="A5686" s="2" t="s">
        <v>14418</v>
      </c>
      <c r="B5686" s="2" t="s">
        <v>14419</v>
      </c>
      <c r="C5686" s="2" t="s">
        <v>26</v>
      </c>
      <c r="D5686" s="2" t="s">
        <v>27</v>
      </c>
      <c r="E5686" s="4">
        <v>-32034</v>
      </c>
      <c r="F5686" s="3" t="s">
        <v>1008</v>
      </c>
      <c r="G5686" s="3" t="s">
        <v>1009</v>
      </c>
      <c r="H5686" s="2" t="s">
        <v>21</v>
      </c>
      <c r="I5686" s="2" t="s">
        <v>14420</v>
      </c>
      <c r="J5686" s="3" t="str">
        <f>HYPERLINK("https://www.boe.es/gazeta/dias/1812/04/16/pdfs/GRE-1812-48.pdf#page=8","Abrir facsímil")</f>
        <v>Abrir facsímil</v>
      </c>
      <c r="K5686" s="3" t="s">
        <v>23</v>
      </c>
    </row>
    <row r="5687" spans="1:11" ht="42" customHeight="1">
      <c r="A5687" s="2" t="s">
        <v>14421</v>
      </c>
      <c r="B5687" s="2" t="s">
        <v>14421</v>
      </c>
      <c r="C5687" s="2" t="s">
        <v>49</v>
      </c>
      <c r="D5687" s="2" t="s">
        <v>27</v>
      </c>
      <c r="E5687" s="4">
        <v>-31974</v>
      </c>
      <c r="F5687" s="3" t="s">
        <v>2986</v>
      </c>
      <c r="G5687" s="3" t="s">
        <v>130</v>
      </c>
      <c r="H5687" s="2" t="s">
        <v>21</v>
      </c>
      <c r="I5687" s="2" t="s">
        <v>14422</v>
      </c>
      <c r="J5687" s="3" t="str">
        <f>HYPERLINK("https://www.boe.es/gazeta/dias/1812/06/15/pdfs/GMD-1812-167.pdf#page=4","Abrir facsímil")</f>
        <v>Abrir facsímil</v>
      </c>
      <c r="K5687" s="3" t="s">
        <v>23</v>
      </c>
    </row>
    <row r="5688" spans="1:11" ht="42" customHeight="1">
      <c r="A5688" s="2" t="s">
        <v>14423</v>
      </c>
      <c r="B5688" s="2" t="s">
        <v>14424</v>
      </c>
      <c r="C5688" s="2" t="s">
        <v>26</v>
      </c>
      <c r="D5688" s="2" t="s">
        <v>27</v>
      </c>
      <c r="E5688" s="4">
        <v>-31963</v>
      </c>
      <c r="F5688" s="3" t="s">
        <v>171</v>
      </c>
      <c r="G5688" s="3" t="s">
        <v>172</v>
      </c>
      <c r="H5688" s="2" t="s">
        <v>21</v>
      </c>
      <c r="I5688" s="2" t="s">
        <v>14425</v>
      </c>
      <c r="J5688" s="3" t="str">
        <f>HYPERLINK("https://www.boe.es/gazeta/dias/1812/06/26/pdfs/GMD-1812-178.pdf#page=3","Abrir facsímil")</f>
        <v>Abrir facsímil</v>
      </c>
      <c r="K5688" s="3" t="s">
        <v>23</v>
      </c>
    </row>
    <row r="5689" spans="1:11" ht="42" customHeight="1">
      <c r="A5689" s="2" t="s">
        <v>14426</v>
      </c>
      <c r="B5689" s="2" t="s">
        <v>14426</v>
      </c>
      <c r="C5689" s="2" t="s">
        <v>49</v>
      </c>
      <c r="D5689" s="2" t="s">
        <v>27</v>
      </c>
      <c r="E5689" s="4">
        <v>-31955</v>
      </c>
      <c r="F5689" s="3" t="s">
        <v>1195</v>
      </c>
      <c r="G5689" s="3" t="s">
        <v>2584</v>
      </c>
      <c r="H5689" s="2" t="s">
        <v>21</v>
      </c>
      <c r="I5689" s="2" t="s">
        <v>14427</v>
      </c>
      <c r="J5689" s="3" t="str">
        <f>HYPERLINK("https://www.boe.es/gazeta/dias/1812/07/04/pdfs/GMD-1812-186.pdf#page=1","Abrir facsímil")</f>
        <v>Abrir facsímil</v>
      </c>
      <c r="K5689" s="3" t="s">
        <v>23</v>
      </c>
    </row>
    <row r="5690" spans="1:11" ht="42" customHeight="1">
      <c r="A5690" s="2" t="s">
        <v>14428</v>
      </c>
      <c r="B5690" s="2" t="s">
        <v>14429</v>
      </c>
      <c r="C5690" s="2" t="s">
        <v>186</v>
      </c>
      <c r="D5690" s="2" t="s">
        <v>275</v>
      </c>
      <c r="E5690" s="4">
        <v>-32034</v>
      </c>
      <c r="F5690" s="3" t="s">
        <v>1008</v>
      </c>
      <c r="G5690" s="3" t="s">
        <v>1009</v>
      </c>
      <c r="H5690" s="2" t="s">
        <v>21</v>
      </c>
      <c r="I5690" s="2" t="s">
        <v>14430</v>
      </c>
      <c r="J5690" s="3" t="str">
        <f>HYPERLINK("https://www.boe.es/gazeta/dias/1812/04/16/pdfs/GRE-1812-48.pdf#page=8","Abrir facsímil")</f>
        <v>Abrir facsímil</v>
      </c>
      <c r="K5690" s="3" t="s">
        <v>23</v>
      </c>
    </row>
    <row r="5691" spans="1:11" ht="42" customHeight="1">
      <c r="A5691" s="2" t="s">
        <v>14428</v>
      </c>
      <c r="B5691" s="2" t="s">
        <v>14429</v>
      </c>
      <c r="C5691" s="2" t="s">
        <v>26</v>
      </c>
      <c r="D5691" s="2" t="s">
        <v>27</v>
      </c>
      <c r="E5691" s="4">
        <v>-31831</v>
      </c>
      <c r="F5691" s="3" t="s">
        <v>1963</v>
      </c>
      <c r="G5691" s="3" t="s">
        <v>10767</v>
      </c>
      <c r="H5691" s="2" t="s">
        <v>21</v>
      </c>
      <c r="I5691" s="2" t="s">
        <v>14431</v>
      </c>
      <c r="J5691" s="3" t="str">
        <f>HYPERLINK("https://www.boe.es/gazeta/dias/1812/11/05/pdfs/GRE-1812-148.pdf#page=7","Abrir facsímil")</f>
        <v>Abrir facsímil</v>
      </c>
      <c r="K5691" s="3" t="s">
        <v>23</v>
      </c>
    </row>
    <row r="5692" spans="1:11" ht="42" customHeight="1">
      <c r="A5692" s="2" t="s">
        <v>14432</v>
      </c>
      <c r="B5692" s="2" t="s">
        <v>14433</v>
      </c>
      <c r="C5692" s="2" t="s">
        <v>17</v>
      </c>
      <c r="D5692" s="2" t="s">
        <v>27</v>
      </c>
      <c r="E5692" s="4">
        <v>-31931</v>
      </c>
      <c r="F5692" s="3" t="s">
        <v>2350</v>
      </c>
      <c r="G5692" s="3" t="s">
        <v>2351</v>
      </c>
      <c r="H5692" s="2" t="s">
        <v>21</v>
      </c>
      <c r="I5692" s="2" t="s">
        <v>14434</v>
      </c>
      <c r="J5692" s="3" t="str">
        <f>HYPERLINK("https://www.boe.es/gazeta/dias/1812/07/28/pdfs/GMD-1812-210.pdf#page=2","Abrir facsímil")</f>
        <v>Abrir facsímil</v>
      </c>
      <c r="K5692" s="3" t="s">
        <v>23</v>
      </c>
    </row>
    <row r="5693" spans="1:11" ht="42" customHeight="1">
      <c r="A5693" s="2" t="s">
        <v>14435</v>
      </c>
      <c r="B5693" s="2" t="s">
        <v>14436</v>
      </c>
      <c r="C5693" s="2" t="s">
        <v>26</v>
      </c>
      <c r="D5693" s="2" t="s">
        <v>27</v>
      </c>
      <c r="E5693" s="4">
        <v>-31829</v>
      </c>
      <c r="F5693" s="3" t="s">
        <v>3229</v>
      </c>
      <c r="G5693" s="3" t="s">
        <v>1980</v>
      </c>
      <c r="H5693" s="2" t="s">
        <v>21</v>
      </c>
      <c r="I5693" s="2" t="s">
        <v>14437</v>
      </c>
      <c r="J5693" s="3" t="str">
        <f>HYPERLINK("https://www.boe.es/gazeta/dias/1812/11/07/pdfs/GRE-1812-149.pdf#page=3","Abrir facsímil")</f>
        <v>Abrir facsímil</v>
      </c>
      <c r="K5693" s="3" t="s">
        <v>23</v>
      </c>
    </row>
    <row r="5694" spans="1:11" ht="42" customHeight="1">
      <c r="A5694" s="2" t="s">
        <v>14438</v>
      </c>
      <c r="B5694" s="2" t="s">
        <v>14439</v>
      </c>
      <c r="C5694" s="2" t="s">
        <v>26</v>
      </c>
      <c r="D5694" s="2" t="s">
        <v>27</v>
      </c>
      <c r="E5694" s="4">
        <v>-32132</v>
      </c>
      <c r="F5694" s="3" t="s">
        <v>484</v>
      </c>
      <c r="G5694" s="3" t="s">
        <v>485</v>
      </c>
      <c r="H5694" s="2" t="s">
        <v>21</v>
      </c>
      <c r="I5694" s="2" t="s">
        <v>14440</v>
      </c>
      <c r="J5694" s="3" t="str">
        <f>HYPERLINK("https://www.boe.es/gazeta/dias/1812/01/09/pdfs/GEI-1812-4.pdf#page=8","Abrir facsímil")</f>
        <v>Abrir facsímil</v>
      </c>
      <c r="K5694" s="3" t="s">
        <v>23</v>
      </c>
    </row>
    <row r="5695" spans="1:11" ht="42" customHeight="1">
      <c r="A5695" s="2" t="s">
        <v>14441</v>
      </c>
      <c r="B5695" s="2" t="s">
        <v>14442</v>
      </c>
      <c r="C5695" s="2" t="s">
        <v>26</v>
      </c>
      <c r="D5695" s="2" t="s">
        <v>27</v>
      </c>
      <c r="E5695" s="4">
        <v>-32067</v>
      </c>
      <c r="F5695" s="3" t="s">
        <v>199</v>
      </c>
      <c r="G5695" s="3" t="s">
        <v>237</v>
      </c>
      <c r="H5695" s="2" t="s">
        <v>21</v>
      </c>
      <c r="I5695" s="2" t="s">
        <v>14443</v>
      </c>
      <c r="J5695" s="3" t="str">
        <f>HYPERLINK("https://www.boe.es/gazeta/dias/1812/03/14/pdfs/GRE-1812-33.pdf#page=8","Abrir facsímil")</f>
        <v>Abrir facsímil</v>
      </c>
      <c r="K5695" s="3" t="s">
        <v>23</v>
      </c>
    </row>
    <row r="5696" spans="1:11" ht="42" customHeight="1">
      <c r="A5696" s="2" t="s">
        <v>14444</v>
      </c>
      <c r="B5696" s="2" t="s">
        <v>14444</v>
      </c>
      <c r="C5696" s="2" t="s">
        <v>49</v>
      </c>
      <c r="D5696" s="2" t="s">
        <v>27</v>
      </c>
      <c r="E5696" s="4">
        <v>-32125</v>
      </c>
      <c r="F5696" s="3" t="s">
        <v>7016</v>
      </c>
      <c r="G5696" s="3" t="s">
        <v>36</v>
      </c>
      <c r="H5696" s="2" t="s">
        <v>21</v>
      </c>
      <c r="I5696" s="2" t="s">
        <v>14445</v>
      </c>
      <c r="J5696" s="3" t="str">
        <f>HYPERLINK("https://www.boe.es/gazeta/dias/1812/01/16/pdfs/GMD-1812-16.pdf#page=3","Abrir facsímil")</f>
        <v>Abrir facsímil</v>
      </c>
      <c r="K5696" s="3" t="s">
        <v>23</v>
      </c>
    </row>
    <row r="5697" spans="1:11" ht="42" customHeight="1">
      <c r="A5697" s="2" t="s">
        <v>14444</v>
      </c>
      <c r="B5697" s="2" t="s">
        <v>14444</v>
      </c>
      <c r="C5697" s="2" t="s">
        <v>26</v>
      </c>
      <c r="D5697" s="2" t="s">
        <v>27</v>
      </c>
      <c r="E5697" s="4">
        <v>-32111</v>
      </c>
      <c r="F5697" s="3" t="s">
        <v>553</v>
      </c>
      <c r="G5697" s="3" t="s">
        <v>58</v>
      </c>
      <c r="H5697" s="2" t="s">
        <v>21</v>
      </c>
      <c r="I5697" s="2" t="s">
        <v>14446</v>
      </c>
      <c r="J5697" s="3" t="str">
        <f>HYPERLINK("https://www.boe.es/gazeta/dias/1812/01/30/pdfs/GRE-1812-13.pdf#page=4","Abrir facsímil")</f>
        <v>Abrir facsímil</v>
      </c>
      <c r="K5697" s="3" t="s">
        <v>23</v>
      </c>
    </row>
    <row r="5698" spans="1:11" ht="42" customHeight="1">
      <c r="A5698" s="2" t="s">
        <v>14444</v>
      </c>
      <c r="B5698" s="2" t="s">
        <v>14444</v>
      </c>
      <c r="C5698" s="2" t="s">
        <v>17</v>
      </c>
      <c r="D5698" s="2" t="s">
        <v>27</v>
      </c>
      <c r="E5698" s="4">
        <v>-32051</v>
      </c>
      <c r="F5698" s="3" t="s">
        <v>2534</v>
      </c>
      <c r="G5698" s="3" t="s">
        <v>125</v>
      </c>
      <c r="H5698" s="2" t="s">
        <v>21</v>
      </c>
      <c r="I5698" s="2" t="s">
        <v>14447</v>
      </c>
      <c r="J5698" s="3" t="str">
        <f>HYPERLINK("https://www.boe.es/gazeta/dias/1812/03/30/pdfs/GMD-1812-90.pdf#page=3","Abrir facsímil")</f>
        <v>Abrir facsímil</v>
      </c>
      <c r="K5698" s="3" t="s">
        <v>23</v>
      </c>
    </row>
    <row r="5699" spans="1:11" ht="42" customHeight="1">
      <c r="A5699" s="2" t="s">
        <v>14444</v>
      </c>
      <c r="B5699" s="2" t="s">
        <v>14444</v>
      </c>
      <c r="C5699" s="2" t="s">
        <v>17</v>
      </c>
      <c r="D5699" s="2" t="s">
        <v>27</v>
      </c>
      <c r="E5699" s="4">
        <v>-32038</v>
      </c>
      <c r="F5699" s="3" t="s">
        <v>195</v>
      </c>
      <c r="G5699" s="3" t="s">
        <v>58</v>
      </c>
      <c r="H5699" s="2" t="s">
        <v>21</v>
      </c>
      <c r="I5699" s="2" t="s">
        <v>14448</v>
      </c>
      <c r="J5699" s="3" t="str">
        <f>HYPERLINK("https://www.boe.es/gazeta/dias/1812/04/12/pdfs/GMD-1812-103.pdf#page=4","Abrir facsímil")</f>
        <v>Abrir facsímil</v>
      </c>
      <c r="K5699" s="3" t="s">
        <v>23</v>
      </c>
    </row>
    <row r="5700" spans="1:11" ht="42" customHeight="1">
      <c r="A5700" s="2" t="s">
        <v>14444</v>
      </c>
      <c r="B5700" s="2" t="s">
        <v>14444</v>
      </c>
      <c r="C5700" s="2" t="s">
        <v>17</v>
      </c>
      <c r="D5700" s="2" t="s">
        <v>275</v>
      </c>
      <c r="E5700" s="4">
        <v>-32035</v>
      </c>
      <c r="F5700" s="3" t="s">
        <v>2646</v>
      </c>
      <c r="G5700" s="3" t="s">
        <v>45</v>
      </c>
      <c r="H5700" s="2" t="s">
        <v>21</v>
      </c>
      <c r="I5700" s="2" t="s">
        <v>14449</v>
      </c>
      <c r="J5700" s="3" t="str">
        <f>HYPERLINK("https://www.boe.es/gazeta/dias/1812/04/15/pdfs/GMD-1812-106.pdf#page=3","Abrir facsímil")</f>
        <v>Abrir facsímil</v>
      </c>
      <c r="K5700" s="3" t="s">
        <v>23</v>
      </c>
    </row>
    <row r="5701" spans="1:11" ht="42" customHeight="1">
      <c r="A5701" s="2" t="s">
        <v>14444</v>
      </c>
      <c r="B5701" s="2" t="s">
        <v>14444</v>
      </c>
      <c r="C5701" s="2" t="s">
        <v>17</v>
      </c>
      <c r="D5701" s="2" t="s">
        <v>27</v>
      </c>
      <c r="E5701" s="4">
        <v>-32033</v>
      </c>
      <c r="F5701" s="3" t="s">
        <v>771</v>
      </c>
      <c r="G5701" s="3" t="s">
        <v>13197</v>
      </c>
      <c r="H5701" s="2" t="s">
        <v>21</v>
      </c>
      <c r="I5701" s="2" t="s">
        <v>14450</v>
      </c>
      <c r="J5701" s="3" t="str">
        <f>HYPERLINK("https://www.boe.es/gazeta/dias/1812/04/17/pdfs/GMD-1812-108.pdf#page=2","Abrir facsímil")</f>
        <v>Abrir facsímil</v>
      </c>
      <c r="K5701" s="3" t="s">
        <v>23</v>
      </c>
    </row>
    <row r="5702" spans="1:11" ht="42" customHeight="1">
      <c r="A5702" s="2" t="s">
        <v>14444</v>
      </c>
      <c r="B5702" s="2" t="s">
        <v>14444</v>
      </c>
      <c r="C5702" s="2" t="s">
        <v>17</v>
      </c>
      <c r="D5702" s="2" t="s">
        <v>18</v>
      </c>
      <c r="E5702" s="4">
        <v>-32033</v>
      </c>
      <c r="F5702" s="3" t="s">
        <v>771</v>
      </c>
      <c r="G5702" s="3" t="s">
        <v>217</v>
      </c>
      <c r="H5702" s="2" t="s">
        <v>21</v>
      </c>
      <c r="I5702" s="2" t="s">
        <v>14451</v>
      </c>
      <c r="J5702" s="3" t="str">
        <f>HYPERLINK("https://www.boe.es/gazeta/dias/1812/04/17/pdfs/GMD-1812-108.pdf#page=3","Abrir facsímil")</f>
        <v>Abrir facsímil</v>
      </c>
      <c r="K5702" s="3" t="s">
        <v>23</v>
      </c>
    </row>
    <row r="5703" spans="1:11" ht="42" customHeight="1">
      <c r="A5703" s="2" t="s">
        <v>14444</v>
      </c>
      <c r="B5703" s="2" t="s">
        <v>14444</v>
      </c>
      <c r="C5703" s="2" t="s">
        <v>17</v>
      </c>
      <c r="D5703" s="2" t="s">
        <v>27</v>
      </c>
      <c r="E5703" s="4">
        <v>-32031</v>
      </c>
      <c r="F5703" s="3" t="s">
        <v>1343</v>
      </c>
      <c r="G5703" s="3" t="s">
        <v>514</v>
      </c>
      <c r="H5703" s="2" t="s">
        <v>21</v>
      </c>
      <c r="I5703" s="2" t="s">
        <v>14452</v>
      </c>
      <c r="J5703" s="3" t="str">
        <f>HYPERLINK("https://www.boe.es/gazeta/dias/1812/04/19/pdfs/GMD-1812-110.pdf#page=1","Abrir facsímil")</f>
        <v>Abrir facsímil</v>
      </c>
      <c r="K5703" s="3" t="s">
        <v>23</v>
      </c>
    </row>
    <row r="5704" spans="1:11" ht="42" customHeight="1">
      <c r="A5704" s="2" t="s">
        <v>14444</v>
      </c>
      <c r="B5704" s="2" t="s">
        <v>14444</v>
      </c>
      <c r="C5704" s="2" t="s">
        <v>17</v>
      </c>
      <c r="D5704" s="2" t="s">
        <v>27</v>
      </c>
      <c r="E5704" s="4">
        <v>-31985</v>
      </c>
      <c r="F5704" s="3" t="s">
        <v>2770</v>
      </c>
      <c r="G5704" s="3" t="s">
        <v>58</v>
      </c>
      <c r="H5704" s="2" t="s">
        <v>21</v>
      </c>
      <c r="I5704" s="2" t="s">
        <v>14453</v>
      </c>
      <c r="J5704" s="3" t="str">
        <f>HYPERLINK("https://www.boe.es/gazeta/dias/1812/06/04/pdfs/GMD-1812-156.pdf#page=1","Abrir facsímil")</f>
        <v>Abrir facsímil</v>
      </c>
      <c r="K5704" s="3" t="s">
        <v>23</v>
      </c>
    </row>
    <row r="5705" spans="1:11" ht="42" customHeight="1">
      <c r="A5705" s="2" t="s">
        <v>14444</v>
      </c>
      <c r="B5705" s="2" t="s">
        <v>14444</v>
      </c>
      <c r="C5705" s="2" t="s">
        <v>17</v>
      </c>
      <c r="D5705" s="2" t="s">
        <v>18</v>
      </c>
      <c r="E5705" s="4">
        <v>-31903</v>
      </c>
      <c r="F5705" s="3" t="s">
        <v>626</v>
      </c>
      <c r="G5705" s="3" t="s">
        <v>20</v>
      </c>
      <c r="H5705" s="2" t="s">
        <v>21</v>
      </c>
      <c r="I5705" s="2" t="s">
        <v>14454</v>
      </c>
      <c r="J5705" s="3" t="str">
        <f>HYPERLINK("https://www.boe.es/gazeta/dias/1812/08/25/pdfs/GMR-1812-5.pdf#page=5","Abrir facsímil")</f>
        <v>Abrir facsímil</v>
      </c>
      <c r="K5705" s="3" t="s">
        <v>23</v>
      </c>
    </row>
    <row r="5706" spans="1:11" ht="42" customHeight="1">
      <c r="A5706" s="2" t="s">
        <v>14455</v>
      </c>
      <c r="B5706" s="2" t="s">
        <v>14456</v>
      </c>
      <c r="C5706" s="2" t="s">
        <v>26</v>
      </c>
      <c r="D5706" s="2" t="s">
        <v>27</v>
      </c>
      <c r="E5706" s="4">
        <v>-32034</v>
      </c>
      <c r="F5706" s="3" t="s">
        <v>1008</v>
      </c>
      <c r="G5706" s="3" t="s">
        <v>1009</v>
      </c>
      <c r="H5706" s="2" t="s">
        <v>21</v>
      </c>
      <c r="I5706" s="2" t="s">
        <v>14457</v>
      </c>
      <c r="J5706" s="3" t="str">
        <f>HYPERLINK("https://www.boe.es/gazeta/dias/1812/04/16/pdfs/GRE-1812-48.pdf#page=8","Abrir facsímil")</f>
        <v>Abrir facsímil</v>
      </c>
      <c r="K5706" s="3" t="s">
        <v>23</v>
      </c>
    </row>
    <row r="5707" spans="1:11" ht="42" customHeight="1">
      <c r="A5707" s="2" t="s">
        <v>14458</v>
      </c>
      <c r="B5707" s="2" t="s">
        <v>14459</v>
      </c>
      <c r="C5707" s="2" t="s">
        <v>17</v>
      </c>
      <c r="D5707" s="2" t="s">
        <v>18</v>
      </c>
      <c r="E5707" s="4">
        <v>-32123</v>
      </c>
      <c r="F5707" s="3" t="s">
        <v>3501</v>
      </c>
      <c r="G5707" s="3" t="s">
        <v>14460</v>
      </c>
      <c r="H5707" s="2" t="s">
        <v>21</v>
      </c>
      <c r="I5707" s="2" t="s">
        <v>14461</v>
      </c>
      <c r="J5707" s="3" t="str">
        <f>HYPERLINK("https://www.boe.es/gazeta/dias/1812/01/18/pdfs/GEI-1812-8.pdf#page=4","Abrir facsímil")</f>
        <v>Abrir facsímil</v>
      </c>
      <c r="K5707" s="3" t="s">
        <v>23</v>
      </c>
    </row>
    <row r="5708" spans="1:11" ht="42" customHeight="1">
      <c r="A5708" s="2" t="s">
        <v>14458</v>
      </c>
      <c r="B5708" s="2" t="s">
        <v>14459</v>
      </c>
      <c r="C5708" s="2" t="s">
        <v>26</v>
      </c>
      <c r="D5708" s="2" t="s">
        <v>27</v>
      </c>
      <c r="E5708" s="4">
        <v>-32118</v>
      </c>
      <c r="F5708" s="3" t="s">
        <v>964</v>
      </c>
      <c r="G5708" s="3" t="s">
        <v>5298</v>
      </c>
      <c r="H5708" s="2" t="s">
        <v>21</v>
      </c>
      <c r="I5708" s="2" t="s">
        <v>14462</v>
      </c>
      <c r="J5708" s="3" t="str">
        <f>HYPERLINK("https://www.boe.es/gazeta/dias/1812/01/23/pdfs/GEI-H-1812-10.pdf#page=3","Abrir facsímil")</f>
        <v>Abrir facsímil</v>
      </c>
      <c r="K5708" s="3" t="s">
        <v>23</v>
      </c>
    </row>
    <row r="5709" spans="1:11" ht="42" customHeight="1">
      <c r="A5709" s="2" t="s">
        <v>14463</v>
      </c>
      <c r="B5709" s="2" t="s">
        <v>14464</v>
      </c>
      <c r="C5709" s="2" t="s">
        <v>26</v>
      </c>
      <c r="D5709" s="2" t="s">
        <v>275</v>
      </c>
      <c r="E5709" s="4">
        <v>-31982</v>
      </c>
      <c r="F5709" s="3" t="s">
        <v>1630</v>
      </c>
      <c r="G5709" s="3" t="s">
        <v>1631</v>
      </c>
      <c r="H5709" s="2" t="s">
        <v>21</v>
      </c>
      <c r="I5709" s="2" t="s">
        <v>14465</v>
      </c>
      <c r="J5709" s="3" t="str">
        <f>HYPERLINK("https://www.boe.es/gazeta/dias/1812/06/07/pdfs/GMD-1812-159.pdf#page=4","Abrir facsímil")</f>
        <v>Abrir facsímil</v>
      </c>
      <c r="K5709" s="3" t="s">
        <v>23</v>
      </c>
    </row>
    <row r="5710" spans="1:11" ht="42" customHeight="1">
      <c r="A5710" s="2" t="s">
        <v>14463</v>
      </c>
      <c r="B5710" s="2" t="s">
        <v>14464</v>
      </c>
      <c r="C5710" s="2" t="s">
        <v>17</v>
      </c>
      <c r="D5710" s="2" t="s">
        <v>275</v>
      </c>
      <c r="E5710" s="4">
        <v>-31961</v>
      </c>
      <c r="F5710" s="3" t="s">
        <v>1193</v>
      </c>
      <c r="G5710" s="3" t="s">
        <v>644</v>
      </c>
      <c r="H5710" s="2" t="s">
        <v>21</v>
      </c>
      <c r="I5710" s="2" t="s">
        <v>14466</v>
      </c>
      <c r="J5710" s="3" t="str">
        <f>HYPERLINK("https://www.boe.es/gazeta/dias/1812/06/28/pdfs/GMD-1812-180.pdf#page=3","Abrir facsímil")</f>
        <v>Abrir facsímil</v>
      </c>
      <c r="K5710" s="3" t="s">
        <v>23</v>
      </c>
    </row>
    <row r="5711" spans="1:11" ht="42" customHeight="1">
      <c r="A5711" s="2" t="s">
        <v>14467</v>
      </c>
      <c r="B5711" s="2" t="s">
        <v>14468</v>
      </c>
      <c r="C5711" s="2" t="s">
        <v>17</v>
      </c>
      <c r="D5711" s="2" t="s">
        <v>27</v>
      </c>
      <c r="E5711" s="4">
        <v>-32111</v>
      </c>
      <c r="F5711" s="3" t="s">
        <v>553</v>
      </c>
      <c r="G5711" s="3" t="s">
        <v>58</v>
      </c>
      <c r="H5711" s="2" t="s">
        <v>21</v>
      </c>
      <c r="I5711" s="2" t="s">
        <v>14469</v>
      </c>
      <c r="J5711" s="3" t="str">
        <f>HYPERLINK("https://www.boe.es/gazeta/dias/1812/01/30/pdfs/GRE-1812-13.pdf#page=4","Abrir facsímil")</f>
        <v>Abrir facsímil</v>
      </c>
      <c r="K5711" s="3" t="s">
        <v>23</v>
      </c>
    </row>
    <row r="5712" spans="1:11" ht="42" customHeight="1">
      <c r="A5712" s="2" t="s">
        <v>14470</v>
      </c>
      <c r="B5712" s="2" t="s">
        <v>14471</v>
      </c>
      <c r="C5712" s="2" t="s">
        <v>17</v>
      </c>
      <c r="D5712" s="2" t="s">
        <v>18</v>
      </c>
      <c r="E5712" s="4">
        <v>-32095</v>
      </c>
      <c r="F5712" s="3" t="s">
        <v>181</v>
      </c>
      <c r="G5712" s="3" t="s">
        <v>777</v>
      </c>
      <c r="H5712" s="2" t="s">
        <v>21</v>
      </c>
      <c r="I5712" s="2" t="s">
        <v>14472</v>
      </c>
      <c r="J5712" s="3" t="str">
        <f>HYPERLINK("https://www.boe.es/gazeta/dias/1812/02/15/pdfs/GMD-1812-47.pdf#page=3","Abrir facsímil")</f>
        <v>Abrir facsímil</v>
      </c>
      <c r="K5712" s="3" t="s">
        <v>23</v>
      </c>
    </row>
    <row r="5713" spans="1:11" ht="42" customHeight="1">
      <c r="A5713" s="2" t="s">
        <v>14470</v>
      </c>
      <c r="B5713" s="2" t="s">
        <v>14471</v>
      </c>
      <c r="C5713" s="2" t="s">
        <v>17</v>
      </c>
      <c r="D5713" s="2" t="s">
        <v>18</v>
      </c>
      <c r="E5713" s="4">
        <v>-32094</v>
      </c>
      <c r="F5713" s="3" t="s">
        <v>181</v>
      </c>
      <c r="G5713" s="3" t="s">
        <v>777</v>
      </c>
      <c r="H5713" s="2" t="s">
        <v>21</v>
      </c>
      <c r="I5713" s="2" t="s">
        <v>14472</v>
      </c>
      <c r="J5713" s="3" t="str">
        <f>HYPERLINK("https://www.boe.es/gazeta/dias/1812/02/16/pdfs/GMD-1812-47.pdf#page=3","Abrir facsímil")</f>
        <v>Abrir facsímil</v>
      </c>
      <c r="K5713" s="3" t="s">
        <v>23</v>
      </c>
    </row>
    <row r="5714" spans="1:11" ht="42" customHeight="1">
      <c r="A5714" s="2" t="s">
        <v>14473</v>
      </c>
      <c r="B5714" s="2" t="s">
        <v>14474</v>
      </c>
      <c r="C5714" s="2" t="s">
        <v>26</v>
      </c>
      <c r="D5714" s="2" t="s">
        <v>27</v>
      </c>
      <c r="E5714" s="4">
        <v>-32034</v>
      </c>
      <c r="F5714" s="3" t="s">
        <v>1008</v>
      </c>
      <c r="G5714" s="3" t="s">
        <v>1009</v>
      </c>
      <c r="H5714" s="2" t="s">
        <v>21</v>
      </c>
      <c r="I5714" s="2" t="s">
        <v>14475</v>
      </c>
      <c r="J5714" s="3" t="str">
        <f>HYPERLINK("https://www.boe.es/gazeta/dias/1812/04/16/pdfs/GRE-1812-48.pdf#page=8","Abrir facsímil")</f>
        <v>Abrir facsímil</v>
      </c>
      <c r="K5714" s="3" t="s">
        <v>23</v>
      </c>
    </row>
    <row r="5715" spans="1:11" ht="42" customHeight="1">
      <c r="A5715" s="2" t="s">
        <v>14476</v>
      </c>
      <c r="B5715" s="2" t="s">
        <v>14477</v>
      </c>
      <c r="C5715" s="2" t="s">
        <v>26</v>
      </c>
      <c r="D5715" s="2" t="s">
        <v>27</v>
      </c>
      <c r="E5715" s="4">
        <v>-32071</v>
      </c>
      <c r="F5715" s="3" t="s">
        <v>3601</v>
      </c>
      <c r="G5715" s="3" t="s">
        <v>2708</v>
      </c>
      <c r="H5715" s="2" t="s">
        <v>21</v>
      </c>
      <c r="I5715" s="2" t="s">
        <v>14478</v>
      </c>
      <c r="J5715" s="3" t="str">
        <f>HYPERLINK("https://www.boe.es/gazeta/dias/1812/03/10/pdfs/GMD-1812-70.pdf#page=4","Abrir facsímil")</f>
        <v>Abrir facsímil</v>
      </c>
      <c r="K5715" s="3" t="s">
        <v>23</v>
      </c>
    </row>
    <row r="5716" spans="1:11" ht="42" customHeight="1">
      <c r="A5716" s="2" t="s">
        <v>14479</v>
      </c>
      <c r="B5716" s="2" t="s">
        <v>14479</v>
      </c>
      <c r="C5716" s="2" t="s">
        <v>17</v>
      </c>
      <c r="D5716" s="2" t="s">
        <v>18</v>
      </c>
      <c r="E5716" s="4">
        <v>-31778</v>
      </c>
      <c r="F5716" s="3" t="s">
        <v>1966</v>
      </c>
      <c r="G5716" s="3" t="s">
        <v>237</v>
      </c>
      <c r="H5716" s="2" t="s">
        <v>21</v>
      </c>
      <c r="I5716" s="2" t="s">
        <v>14480</v>
      </c>
      <c r="J5716" s="3" t="str">
        <f>HYPERLINK("https://www.boe.es/gazeta/dias/1812/12/28/pdfs/GMD-1812-251.pdf#page=2","Abrir facsímil")</f>
        <v>Abrir facsímil</v>
      </c>
      <c r="K5716" s="3" t="s">
        <v>23</v>
      </c>
    </row>
    <row r="5717" spans="1:11" ht="42" customHeight="1">
      <c r="A5717" s="2" t="s">
        <v>14481</v>
      </c>
      <c r="B5717" s="2" t="s">
        <v>14481</v>
      </c>
      <c r="C5717" s="2" t="s">
        <v>105</v>
      </c>
      <c r="D5717" s="2" t="s">
        <v>27</v>
      </c>
      <c r="E5717" s="4">
        <v>-31962</v>
      </c>
      <c r="F5717" s="3" t="s">
        <v>643</v>
      </c>
      <c r="G5717" s="3" t="s">
        <v>644</v>
      </c>
      <c r="H5717" s="2" t="s">
        <v>21</v>
      </c>
      <c r="I5717" s="2" t="s">
        <v>14482</v>
      </c>
      <c r="J5717" s="3" t="str">
        <f>HYPERLINK("https://www.boe.es/gazeta/dias/1812/06/27/pdfs/GMD-1812-179.pdf#page=2","Abrir facsímil")</f>
        <v>Abrir facsímil</v>
      </c>
      <c r="K5717" s="3" t="s">
        <v>23</v>
      </c>
    </row>
    <row r="5718" spans="1:11" ht="42" customHeight="1">
      <c r="A5718" s="2" t="s">
        <v>14483</v>
      </c>
      <c r="B5718" s="2" t="s">
        <v>14483</v>
      </c>
      <c r="C5718" s="2" t="s">
        <v>17</v>
      </c>
      <c r="D5718" s="2" t="s">
        <v>27</v>
      </c>
      <c r="E5718" s="4">
        <v>-31864</v>
      </c>
      <c r="F5718" s="3" t="s">
        <v>3014</v>
      </c>
      <c r="G5718" s="3" t="s">
        <v>8995</v>
      </c>
      <c r="H5718" s="2" t="s">
        <v>21</v>
      </c>
      <c r="I5718" s="2" t="s">
        <v>14484</v>
      </c>
      <c r="J5718" s="3" t="str">
        <f>HYPERLINK("https://www.boe.es/gazeta/dias/1812/10/03/pdfs/GRE-1812-134.pdf#page=7","Abrir facsímil")</f>
        <v>Abrir facsímil</v>
      </c>
      <c r="K5718" s="3" t="s">
        <v>23</v>
      </c>
    </row>
    <row r="5719" spans="1:11" ht="42" customHeight="1">
      <c r="A5719" s="2" t="s">
        <v>14483</v>
      </c>
      <c r="B5719" s="2" t="s">
        <v>14483</v>
      </c>
      <c r="C5719" s="2" t="s">
        <v>17</v>
      </c>
      <c r="D5719" s="2" t="s">
        <v>27</v>
      </c>
      <c r="E5719" s="4">
        <v>-31838</v>
      </c>
      <c r="F5719" s="3" t="s">
        <v>1452</v>
      </c>
      <c r="G5719" s="3" t="s">
        <v>8753</v>
      </c>
      <c r="H5719" s="2" t="s">
        <v>21</v>
      </c>
      <c r="I5719" s="2" t="s">
        <v>14485</v>
      </c>
      <c r="J5719" s="3" t="str">
        <f>HYPERLINK("https://www.boe.es/gazeta/dias/1812/10/29/pdfs/GMR-1812-33.pdf#page=7","Abrir facsímil")</f>
        <v>Abrir facsímil</v>
      </c>
      <c r="K5719" s="3" t="s">
        <v>23</v>
      </c>
    </row>
    <row r="5720" spans="1:11" ht="42" customHeight="1">
      <c r="A5720" s="2" t="s">
        <v>14486</v>
      </c>
      <c r="B5720" s="2" t="s">
        <v>14487</v>
      </c>
      <c r="C5720" s="2" t="s">
        <v>17</v>
      </c>
      <c r="D5720" s="2" t="s">
        <v>18</v>
      </c>
      <c r="E5720" s="4">
        <v>-31822</v>
      </c>
      <c r="F5720" s="3" t="s">
        <v>541</v>
      </c>
      <c r="G5720" s="3" t="s">
        <v>1459</v>
      </c>
      <c r="H5720" s="2" t="s">
        <v>21</v>
      </c>
      <c r="I5720" s="2" t="s">
        <v>14488</v>
      </c>
      <c r="J5720" s="3" t="str">
        <f>HYPERLINK("https://www.boe.es/gazeta/dias/1812/11/14/pdfs/GRE-1812-152.pdf#page=8","Abrir facsímil")</f>
        <v>Abrir facsímil</v>
      </c>
      <c r="K5720" s="3" t="s">
        <v>23</v>
      </c>
    </row>
    <row r="5721" spans="1:11" ht="42" customHeight="1">
      <c r="A5721" s="2" t="s">
        <v>14489</v>
      </c>
      <c r="B5721" s="2" t="s">
        <v>14490</v>
      </c>
      <c r="C5721" s="2" t="s">
        <v>26</v>
      </c>
      <c r="D5721" s="2" t="s">
        <v>27</v>
      </c>
      <c r="E5721" s="4">
        <v>-31988</v>
      </c>
      <c r="F5721" s="3" t="s">
        <v>1094</v>
      </c>
      <c r="G5721" s="3" t="s">
        <v>1095</v>
      </c>
      <c r="H5721" s="2" t="s">
        <v>21</v>
      </c>
      <c r="I5721" s="2" t="s">
        <v>14491</v>
      </c>
      <c r="J5721" s="3" t="str">
        <f>HYPERLINK("https://www.boe.es/gazeta/dias/1812/06/01/pdfs/GMD-1812-153.pdf#page=2","Abrir facsímil")</f>
        <v>Abrir facsímil</v>
      </c>
      <c r="K5721" s="3" t="s">
        <v>23</v>
      </c>
    </row>
    <row r="5722" spans="1:11" ht="42" customHeight="1">
      <c r="A5722" s="2" t="s">
        <v>14492</v>
      </c>
      <c r="B5722" s="2" t="s">
        <v>14493</v>
      </c>
      <c r="C5722" s="2" t="s">
        <v>49</v>
      </c>
      <c r="D5722" s="2" t="s">
        <v>27</v>
      </c>
      <c r="E5722" s="4">
        <v>-32075</v>
      </c>
      <c r="F5722" s="3" t="s">
        <v>301</v>
      </c>
      <c r="G5722" s="3" t="s">
        <v>20</v>
      </c>
      <c r="H5722" s="2" t="s">
        <v>21</v>
      </c>
      <c r="I5722" s="2" t="s">
        <v>14494</v>
      </c>
      <c r="J5722" s="3" t="str">
        <f>HYPERLINK("https://www.boe.es/gazeta/dias/1812/03/06/pdfs/GMD-1812-66.pdf#page=4","Abrir facsímil")</f>
        <v>Abrir facsímil</v>
      </c>
      <c r="K5722" s="3" t="s">
        <v>23</v>
      </c>
    </row>
    <row r="5723" spans="1:11" ht="42" customHeight="1">
      <c r="A5723" s="2" t="s">
        <v>14495</v>
      </c>
      <c r="B5723" s="2" t="s">
        <v>14496</v>
      </c>
      <c r="C5723" s="2" t="s">
        <v>26</v>
      </c>
      <c r="D5723" s="2" t="s">
        <v>27</v>
      </c>
      <c r="E5723" s="4">
        <v>-31938</v>
      </c>
      <c r="F5723" s="3" t="s">
        <v>324</v>
      </c>
      <c r="G5723" s="3" t="s">
        <v>404</v>
      </c>
      <c r="H5723" s="2" t="s">
        <v>21</v>
      </c>
      <c r="I5723" s="2" t="s">
        <v>14497</v>
      </c>
      <c r="J5723" s="3" t="str">
        <f>HYPERLINK("https://www.boe.es/gazeta/dias/1812/07/21/pdfs/GMD-1812-203.pdf#page=4","Abrir facsímil")</f>
        <v>Abrir facsímil</v>
      </c>
      <c r="K5723" s="3" t="s">
        <v>23</v>
      </c>
    </row>
    <row r="5724" spans="1:11" ht="42" customHeight="1">
      <c r="A5724" s="2" t="s">
        <v>14498</v>
      </c>
      <c r="B5724" s="2" t="s">
        <v>14499</v>
      </c>
      <c r="C5724" s="2" t="s">
        <v>26</v>
      </c>
      <c r="D5724" s="2" t="s">
        <v>27</v>
      </c>
      <c r="E5724" s="4">
        <v>-32050</v>
      </c>
      <c r="F5724" s="3" t="s">
        <v>864</v>
      </c>
      <c r="G5724" s="3" t="s">
        <v>29</v>
      </c>
      <c r="H5724" s="2" t="s">
        <v>21</v>
      </c>
      <c r="I5724" s="2" t="s">
        <v>14500</v>
      </c>
      <c r="J5724" s="3" t="str">
        <f>HYPERLINK("https://www.boe.es/gazeta/dias/1812/03/31/pdfs/GRE-1812-40.pdf#page=8","Abrir facsímil")</f>
        <v>Abrir facsímil</v>
      </c>
      <c r="K5724" s="3" t="s">
        <v>23</v>
      </c>
    </row>
    <row r="5725" spans="1:11" ht="42" customHeight="1">
      <c r="A5725" s="2" t="s">
        <v>14501</v>
      </c>
      <c r="B5725" s="2" t="s">
        <v>14502</v>
      </c>
      <c r="C5725" s="2" t="s">
        <v>17</v>
      </c>
      <c r="D5725" s="2" t="s">
        <v>18</v>
      </c>
      <c r="E5725" s="4">
        <v>-32009</v>
      </c>
      <c r="F5725" s="3" t="s">
        <v>8049</v>
      </c>
      <c r="G5725" s="3" t="s">
        <v>130</v>
      </c>
      <c r="H5725" s="2" t="s">
        <v>21</v>
      </c>
      <c r="I5725" s="2" t="s">
        <v>14503</v>
      </c>
      <c r="J5725" s="3" t="str">
        <f>HYPERLINK("https://www.boe.es/gazeta/dias/1812/05/11/pdfs/GMD-1812-132.pdf#page=4","Abrir facsímil")</f>
        <v>Abrir facsímil</v>
      </c>
      <c r="K5725" s="3" t="s">
        <v>23</v>
      </c>
    </row>
    <row r="5726" spans="1:11" ht="42" customHeight="1">
      <c r="A5726" s="2" t="s">
        <v>14504</v>
      </c>
      <c r="B5726" s="2" t="s">
        <v>14504</v>
      </c>
      <c r="C5726" s="2" t="s">
        <v>17</v>
      </c>
      <c r="D5726" s="2" t="s">
        <v>27</v>
      </c>
      <c r="E5726" s="4">
        <v>-31957</v>
      </c>
      <c r="F5726" s="3" t="s">
        <v>2173</v>
      </c>
      <c r="G5726" s="3" t="s">
        <v>3034</v>
      </c>
      <c r="H5726" s="2" t="s">
        <v>21</v>
      </c>
      <c r="I5726" s="2" t="s">
        <v>14505</v>
      </c>
      <c r="J5726" s="3" t="str">
        <f>HYPERLINK("https://www.boe.es/gazeta/dias/1812/07/02/pdfs/GRE-1812-81.pdf#page=5","Abrir facsímil")</f>
        <v>Abrir facsímil</v>
      </c>
      <c r="K5726" s="3" t="s">
        <v>23</v>
      </c>
    </row>
    <row r="5727" spans="1:11" ht="42" customHeight="1">
      <c r="A5727" s="2" t="s">
        <v>14506</v>
      </c>
      <c r="B5727" s="2" t="s">
        <v>14507</v>
      </c>
      <c r="C5727" s="2" t="s">
        <v>17</v>
      </c>
      <c r="D5727" s="2" t="s">
        <v>27</v>
      </c>
      <c r="E5727" s="4">
        <v>-31957</v>
      </c>
      <c r="F5727" s="3" t="s">
        <v>2173</v>
      </c>
      <c r="G5727" s="3" t="s">
        <v>3034</v>
      </c>
      <c r="H5727" s="2" t="s">
        <v>21</v>
      </c>
      <c r="I5727" s="2" t="s">
        <v>14508</v>
      </c>
      <c r="J5727" s="3" t="str">
        <f>HYPERLINK("https://www.boe.es/gazeta/dias/1812/07/02/pdfs/GRE-1812-81.pdf#page=5","Abrir facsímil")</f>
        <v>Abrir facsímil</v>
      </c>
      <c r="K5727" s="3" t="s">
        <v>23</v>
      </c>
    </row>
    <row r="5728" spans="1:11" ht="42" customHeight="1">
      <c r="A5728" s="2" t="s">
        <v>14509</v>
      </c>
      <c r="B5728" s="2" t="s">
        <v>14509</v>
      </c>
      <c r="C5728" s="2" t="s">
        <v>105</v>
      </c>
      <c r="D5728" s="2" t="s">
        <v>27</v>
      </c>
      <c r="E5728" s="4">
        <v>-31944</v>
      </c>
      <c r="F5728" s="3" t="s">
        <v>5796</v>
      </c>
      <c r="G5728" s="3" t="s">
        <v>45</v>
      </c>
      <c r="H5728" s="2" t="s">
        <v>21</v>
      </c>
      <c r="I5728" s="2" t="s">
        <v>14510</v>
      </c>
      <c r="J5728" s="3" t="str">
        <f>HYPERLINK("https://www.boe.es/gazeta/dias/1812/07/15/pdfs/GMD-1812-197.pdf#page=4","Abrir facsímil")</f>
        <v>Abrir facsímil</v>
      </c>
      <c r="K5728" s="3" t="s">
        <v>23</v>
      </c>
    </row>
    <row r="5729" spans="1:11" ht="42" customHeight="1">
      <c r="A5729" s="2" t="s">
        <v>14511</v>
      </c>
      <c r="B5729" s="2" t="s">
        <v>14511</v>
      </c>
      <c r="C5729" s="2" t="s">
        <v>17</v>
      </c>
      <c r="D5729" s="2" t="s">
        <v>18</v>
      </c>
      <c r="E5729" s="4">
        <v>-32032</v>
      </c>
      <c r="F5729" s="3" t="s">
        <v>531</v>
      </c>
      <c r="G5729" s="3" t="s">
        <v>4086</v>
      </c>
      <c r="H5729" s="2" t="s">
        <v>21</v>
      </c>
      <c r="I5729" s="2" t="s">
        <v>14512</v>
      </c>
      <c r="J5729" s="3" t="str">
        <f>HYPERLINK("https://www.boe.es/gazeta/dias/1812/04/18/pdfs/GMD-1812-109.pdf#page=3","Abrir facsímil")</f>
        <v>Abrir facsímil</v>
      </c>
      <c r="K5729" s="3" t="s">
        <v>23</v>
      </c>
    </row>
    <row r="5730" spans="1:11" ht="42" customHeight="1">
      <c r="A5730" s="2" t="s">
        <v>14513</v>
      </c>
      <c r="B5730" s="2" t="s">
        <v>14514</v>
      </c>
      <c r="C5730" s="2" t="s">
        <v>26</v>
      </c>
      <c r="D5730" s="2" t="s">
        <v>27</v>
      </c>
      <c r="E5730" s="4">
        <v>-31976</v>
      </c>
      <c r="F5730" s="3" t="s">
        <v>54</v>
      </c>
      <c r="G5730" s="3" t="s">
        <v>55</v>
      </c>
      <c r="H5730" s="2" t="s">
        <v>21</v>
      </c>
      <c r="I5730" s="2" t="s">
        <v>14515</v>
      </c>
      <c r="J5730" s="3" t="str">
        <f>HYPERLINK("https://www.boe.es/gazeta/dias/1812/06/13/pdfs/GRE-1812-73.pdf#page=6","Abrir facsímil")</f>
        <v>Abrir facsímil</v>
      </c>
      <c r="K5730" s="3" t="s">
        <v>23</v>
      </c>
    </row>
    <row r="5731" spans="1:11" ht="42" customHeight="1">
      <c r="A5731" s="2" t="s">
        <v>14516</v>
      </c>
      <c r="B5731" s="2" t="s">
        <v>14516</v>
      </c>
      <c r="C5731" s="2" t="s">
        <v>17</v>
      </c>
      <c r="D5731" s="2" t="s">
        <v>18</v>
      </c>
      <c r="E5731" s="4">
        <v>-32078</v>
      </c>
      <c r="F5731" s="3" t="s">
        <v>145</v>
      </c>
      <c r="G5731" s="3" t="s">
        <v>739</v>
      </c>
      <c r="H5731" s="2" t="s">
        <v>21</v>
      </c>
      <c r="I5731" s="2" t="s">
        <v>14517</v>
      </c>
      <c r="J5731" s="3" t="str">
        <f>HYPERLINK("https://www.boe.es/gazeta/dias/1812/03/03/pdfs/GRE-1812-28.pdf#page=1","Abrir facsímil")</f>
        <v>Abrir facsímil</v>
      </c>
      <c r="K5731" s="3" t="s">
        <v>23</v>
      </c>
    </row>
    <row r="5732" spans="1:11" ht="42" customHeight="1">
      <c r="A5732" s="2" t="s">
        <v>14518</v>
      </c>
      <c r="B5732" s="2" t="s">
        <v>14518</v>
      </c>
      <c r="C5732" s="2" t="s">
        <v>17</v>
      </c>
      <c r="D5732" s="2" t="s">
        <v>573</v>
      </c>
      <c r="E5732" s="4">
        <v>-31874</v>
      </c>
      <c r="F5732" s="3" t="s">
        <v>1697</v>
      </c>
      <c r="G5732" s="3" t="s">
        <v>1976</v>
      </c>
      <c r="H5732" s="2" t="s">
        <v>21</v>
      </c>
      <c r="I5732" s="2" t="s">
        <v>14519</v>
      </c>
      <c r="J5732" s="3" t="str">
        <f>HYPERLINK("https://www.boe.es/gazeta/dias/1812/09/23/pdfs/GRE-1812-129E.pdf#page=4","Abrir facsímil")</f>
        <v>Abrir facsímil</v>
      </c>
      <c r="K5732" s="3" t="s">
        <v>23</v>
      </c>
    </row>
    <row r="5733" spans="1:11" ht="42" customHeight="1">
      <c r="A5733" s="2" t="s">
        <v>14520</v>
      </c>
      <c r="B5733" s="2" t="s">
        <v>14521</v>
      </c>
      <c r="C5733" s="2" t="s">
        <v>105</v>
      </c>
      <c r="D5733" s="2" t="s">
        <v>275</v>
      </c>
      <c r="E5733" s="4">
        <v>-31942</v>
      </c>
      <c r="F5733" s="3" t="s">
        <v>3065</v>
      </c>
      <c r="G5733" s="3" t="s">
        <v>3066</v>
      </c>
      <c r="H5733" s="2" t="s">
        <v>21</v>
      </c>
      <c r="I5733" s="2" t="s">
        <v>14522</v>
      </c>
      <c r="J5733" s="3" t="str">
        <f>HYPERLINK("https://www.boe.es/gazeta/dias/1812/07/17/pdfs/GMD-1812-199.pdf#page=3","Abrir facsímil")</f>
        <v>Abrir facsímil</v>
      </c>
      <c r="K5733" s="3" t="s">
        <v>23</v>
      </c>
    </row>
    <row r="5734" spans="1:11" ht="42" customHeight="1">
      <c r="A5734" s="2" t="s">
        <v>14523</v>
      </c>
      <c r="B5734" s="2" t="s">
        <v>14523</v>
      </c>
      <c r="C5734" s="2" t="s">
        <v>17</v>
      </c>
      <c r="D5734" s="2" t="s">
        <v>27</v>
      </c>
      <c r="E5734" s="4">
        <v>-31929</v>
      </c>
      <c r="F5734" s="3" t="s">
        <v>2786</v>
      </c>
      <c r="G5734" s="3" t="s">
        <v>2313</v>
      </c>
      <c r="H5734" s="2" t="s">
        <v>21</v>
      </c>
      <c r="I5734" s="2" t="s">
        <v>14524</v>
      </c>
      <c r="J5734" s="3" t="str">
        <f>HYPERLINK("https://www.boe.es/gazeta/dias/1812/07/30/pdfs/GMD-1812-212.pdf#page=1","Abrir facsímil")</f>
        <v>Abrir facsímil</v>
      </c>
      <c r="K5734" s="3" t="s">
        <v>23</v>
      </c>
    </row>
    <row r="5735" spans="1:11" ht="42" customHeight="1">
      <c r="A5735" s="2" t="s">
        <v>14523</v>
      </c>
      <c r="B5735" s="2" t="s">
        <v>14523</v>
      </c>
      <c r="C5735" s="2" t="s">
        <v>17</v>
      </c>
      <c r="D5735" s="2" t="s">
        <v>134</v>
      </c>
      <c r="E5735" s="4">
        <v>-31915</v>
      </c>
      <c r="F5735" s="3" t="s">
        <v>2827</v>
      </c>
      <c r="G5735" s="3" t="s">
        <v>2828</v>
      </c>
      <c r="H5735" s="2" t="s">
        <v>21</v>
      </c>
      <c r="I5735" s="2" t="s">
        <v>14525</v>
      </c>
      <c r="J5735" s="3" t="str">
        <f>HYPERLINK("https://www.boe.es/gazeta/dias/1812/08/13/pdfs/GRE-F-1812-104.pdf#page=3","Abrir facsímil")</f>
        <v>Abrir facsímil</v>
      </c>
      <c r="K5735" s="3" t="s">
        <v>23</v>
      </c>
    </row>
    <row r="5736" spans="1:11" ht="42" customHeight="1">
      <c r="A5736" s="2" t="s">
        <v>14526</v>
      </c>
      <c r="B5736" s="2" t="s">
        <v>14527</v>
      </c>
      <c r="C5736" s="2" t="s">
        <v>17</v>
      </c>
      <c r="D5736" s="2" t="s">
        <v>18</v>
      </c>
      <c r="E5736" s="4">
        <v>-32053</v>
      </c>
      <c r="F5736" s="3" t="s">
        <v>910</v>
      </c>
      <c r="G5736" s="3" t="s">
        <v>911</v>
      </c>
      <c r="H5736" s="2" t="s">
        <v>21</v>
      </c>
      <c r="I5736" s="2" t="s">
        <v>14528</v>
      </c>
      <c r="J5736" s="3" t="str">
        <f>HYPERLINK("https://www.boe.es/gazeta/dias/1812/03/28/pdfs/GRE-1812-39.pdf#page=8","Abrir facsímil")</f>
        <v>Abrir facsímil</v>
      </c>
      <c r="K5736" s="3" t="s">
        <v>23</v>
      </c>
    </row>
    <row r="5737" spans="1:11" ht="42" customHeight="1">
      <c r="A5737" s="2" t="s">
        <v>14529</v>
      </c>
      <c r="B5737" s="2" t="s">
        <v>14529</v>
      </c>
      <c r="C5737" s="2" t="s">
        <v>17</v>
      </c>
      <c r="D5737" s="2" t="s">
        <v>27</v>
      </c>
      <c r="E5737" s="4">
        <v>-31793</v>
      </c>
      <c r="F5737" s="3" t="s">
        <v>2570</v>
      </c>
      <c r="G5737" s="3" t="s">
        <v>20</v>
      </c>
      <c r="H5737" s="2" t="s">
        <v>21</v>
      </c>
      <c r="I5737" s="2" t="s">
        <v>14530</v>
      </c>
      <c r="J5737" s="3" t="str">
        <f>HYPERLINK("https://www.boe.es/gazeta/dias/1812/12/13/pdfs/GMD-1812-236.pdf#page=2","Abrir facsímil")</f>
        <v>Abrir facsímil</v>
      </c>
      <c r="K5737" s="3" t="s">
        <v>23</v>
      </c>
    </row>
    <row r="5738" spans="1:11" ht="42" customHeight="1">
      <c r="A5738" s="2" t="s">
        <v>14531</v>
      </c>
      <c r="B5738" s="2" t="s">
        <v>14532</v>
      </c>
      <c r="C5738" s="2" t="s">
        <v>49</v>
      </c>
      <c r="D5738" s="2" t="s">
        <v>27</v>
      </c>
      <c r="E5738" s="4">
        <v>-32085</v>
      </c>
      <c r="F5738" s="3" t="s">
        <v>3321</v>
      </c>
      <c r="G5738" s="3" t="s">
        <v>3409</v>
      </c>
      <c r="H5738" s="2" t="s">
        <v>21</v>
      </c>
      <c r="I5738" s="2" t="s">
        <v>14533</v>
      </c>
      <c r="J5738" s="3" t="str">
        <f>HYPERLINK("https://www.boe.es/gazeta/dias/1812/02/25/pdfs/GRE-1812-25.pdf#page=1","Abrir facsímil")</f>
        <v>Abrir facsímil</v>
      </c>
      <c r="K5738" s="3" t="s">
        <v>23</v>
      </c>
    </row>
    <row r="5739" spans="1:11" ht="42" customHeight="1">
      <c r="A5739" s="2" t="s">
        <v>14534</v>
      </c>
      <c r="B5739" s="2" t="s">
        <v>14534</v>
      </c>
      <c r="C5739" s="2" t="s">
        <v>26</v>
      </c>
      <c r="D5739" s="2" t="s">
        <v>27</v>
      </c>
      <c r="E5739" s="4">
        <v>-32048</v>
      </c>
      <c r="F5739" s="3" t="s">
        <v>3938</v>
      </c>
      <c r="G5739" s="3" t="s">
        <v>3939</v>
      </c>
      <c r="H5739" s="2" t="s">
        <v>21</v>
      </c>
      <c r="I5739" s="2" t="s">
        <v>14535</v>
      </c>
      <c r="J5739" s="3" t="str">
        <f>HYPERLINK("https://www.boe.es/gazeta/dias/1812/04/02/pdfs/GMD-1812-93.pdf#page=2","Abrir facsímil")</f>
        <v>Abrir facsímil</v>
      </c>
      <c r="K5739" s="3" t="s">
        <v>23</v>
      </c>
    </row>
    <row r="5740" spans="1:11" ht="42" customHeight="1">
      <c r="A5740" s="2" t="s">
        <v>14536</v>
      </c>
      <c r="B5740" s="2" t="s">
        <v>14537</v>
      </c>
      <c r="C5740" s="2" t="s">
        <v>67</v>
      </c>
      <c r="D5740" s="2" t="s">
        <v>27</v>
      </c>
      <c r="E5740" s="4">
        <v>-32062</v>
      </c>
      <c r="F5740" s="3" t="s">
        <v>280</v>
      </c>
      <c r="G5740" s="3" t="s">
        <v>20</v>
      </c>
      <c r="H5740" s="2" t="s">
        <v>21</v>
      </c>
      <c r="I5740" s="2" t="s">
        <v>14538</v>
      </c>
      <c r="J5740" s="3" t="str">
        <f>HYPERLINK("https://www.boe.es/gazeta/dias/1812/03/19/pdfs/GMD-1812-79.pdf#page=4","Abrir facsímil")</f>
        <v>Abrir facsímil</v>
      </c>
      <c r="K5740" s="3" t="s">
        <v>23</v>
      </c>
    </row>
    <row r="5741" spans="1:11" ht="42" customHeight="1">
      <c r="A5741" s="2" t="s">
        <v>14539</v>
      </c>
      <c r="B5741" s="2" t="s">
        <v>14540</v>
      </c>
      <c r="C5741" s="2" t="s">
        <v>17</v>
      </c>
      <c r="D5741" s="2" t="s">
        <v>27</v>
      </c>
      <c r="E5741" s="4">
        <v>-31938</v>
      </c>
      <c r="F5741" s="3" t="s">
        <v>370</v>
      </c>
      <c r="G5741" s="3" t="s">
        <v>371</v>
      </c>
      <c r="H5741" s="2" t="s">
        <v>21</v>
      </c>
      <c r="I5741" s="2" t="s">
        <v>14541</v>
      </c>
      <c r="J5741" s="3" t="str">
        <f>HYPERLINK("https://www.boe.es/gazeta/dias/1812/07/21/pdfs/GRE-1812-91.pdf#page=8","Abrir facsímil")</f>
        <v>Abrir facsímil</v>
      </c>
      <c r="K5741" s="3" t="s">
        <v>23</v>
      </c>
    </row>
    <row r="5742" spans="1:11" ht="42" customHeight="1">
      <c r="A5742" s="2" t="s">
        <v>14542</v>
      </c>
      <c r="B5742" s="2" t="s">
        <v>14543</v>
      </c>
      <c r="C5742" s="2" t="s">
        <v>26</v>
      </c>
      <c r="D5742" s="2" t="s">
        <v>27</v>
      </c>
      <c r="E5742" s="4">
        <v>-31833</v>
      </c>
      <c r="F5742" s="3" t="s">
        <v>267</v>
      </c>
      <c r="G5742" s="3" t="s">
        <v>268</v>
      </c>
      <c r="H5742" s="2" t="s">
        <v>21</v>
      </c>
      <c r="I5742" s="2" t="s">
        <v>14544</v>
      </c>
      <c r="J5742" s="3" t="str">
        <f>HYPERLINK("https://www.boe.es/gazeta/dias/1812/11/03/pdfs/GRE-1812-147.pdf#page=8","Abrir facsímil")</f>
        <v>Abrir facsímil</v>
      </c>
      <c r="K5742" s="3" t="s">
        <v>23</v>
      </c>
    </row>
    <row r="5743" spans="1:11" ht="42" customHeight="1">
      <c r="A5743" s="2" t="s">
        <v>14545</v>
      </c>
      <c r="B5743" s="2" t="s">
        <v>14546</v>
      </c>
      <c r="C5743" s="2" t="s">
        <v>26</v>
      </c>
      <c r="D5743" s="2" t="s">
        <v>27</v>
      </c>
      <c r="E5743" s="4">
        <v>-32062</v>
      </c>
      <c r="F5743" s="3" t="s">
        <v>280</v>
      </c>
      <c r="G5743" s="3" t="s">
        <v>20</v>
      </c>
      <c r="H5743" s="2" t="s">
        <v>21</v>
      </c>
      <c r="I5743" s="2" t="s">
        <v>14547</v>
      </c>
      <c r="J5743" s="3" t="str">
        <f>HYPERLINK("https://www.boe.es/gazeta/dias/1812/03/19/pdfs/GMD-1812-79.pdf#page=4","Abrir facsímil")</f>
        <v>Abrir facsímil</v>
      </c>
      <c r="K5743" s="3" t="s">
        <v>23</v>
      </c>
    </row>
    <row r="5744" spans="1:11" ht="42" customHeight="1">
      <c r="A5744" s="2" t="s">
        <v>14548</v>
      </c>
      <c r="B5744" s="2" t="s">
        <v>14549</v>
      </c>
      <c r="C5744" s="2" t="s">
        <v>26</v>
      </c>
      <c r="D5744" s="2" t="s">
        <v>27</v>
      </c>
      <c r="E5744" s="4">
        <v>-31816</v>
      </c>
      <c r="F5744" s="3" t="s">
        <v>270</v>
      </c>
      <c r="G5744" s="3" t="s">
        <v>271</v>
      </c>
      <c r="H5744" s="2" t="s">
        <v>21</v>
      </c>
      <c r="I5744" s="2" t="s">
        <v>14550</v>
      </c>
      <c r="J5744" s="3" t="str">
        <f>HYPERLINK("https://www.boe.es/gazeta/dias/1812/11/20/pdfs/GMR-1812-36.pdf#page=6","Abrir facsímil")</f>
        <v>Abrir facsímil</v>
      </c>
      <c r="K5744" s="3" t="s">
        <v>23</v>
      </c>
    </row>
    <row r="5745" spans="1:11" ht="42" customHeight="1">
      <c r="A5745" s="2" t="s">
        <v>14551</v>
      </c>
      <c r="B5745" s="2" t="s">
        <v>14552</v>
      </c>
      <c r="C5745" s="2" t="s">
        <v>26</v>
      </c>
      <c r="D5745" s="2" t="s">
        <v>27</v>
      </c>
      <c r="E5745" s="4">
        <v>-31939</v>
      </c>
      <c r="F5745" s="3" t="s">
        <v>408</v>
      </c>
      <c r="G5745" s="3" t="s">
        <v>20</v>
      </c>
      <c r="H5745" s="2" t="s">
        <v>21</v>
      </c>
      <c r="I5745" s="2" t="s">
        <v>14553</v>
      </c>
      <c r="J5745" s="3" t="str">
        <f>HYPERLINK("https://www.boe.es/gazeta/dias/1812/07/20/pdfs/GMD-1812-202.pdf#page=4","Abrir facsímil")</f>
        <v>Abrir facsímil</v>
      </c>
      <c r="K5745" s="3" t="s">
        <v>23</v>
      </c>
    </row>
    <row r="5746" spans="1:11" ht="42" customHeight="1">
      <c r="A5746" s="2" t="s">
        <v>14554</v>
      </c>
      <c r="B5746" s="2" t="s">
        <v>14555</v>
      </c>
      <c r="C5746" s="2" t="s">
        <v>26</v>
      </c>
      <c r="D5746" s="2" t="s">
        <v>27</v>
      </c>
      <c r="E5746" s="4">
        <v>-31936</v>
      </c>
      <c r="F5746" s="3" t="s">
        <v>614</v>
      </c>
      <c r="G5746" s="3" t="s">
        <v>1350</v>
      </c>
      <c r="H5746" s="2" t="s">
        <v>21</v>
      </c>
      <c r="I5746" s="2" t="s">
        <v>14556</v>
      </c>
      <c r="J5746" s="3" t="str">
        <f>HYPERLINK("https://www.boe.es/gazeta/dias/1812/07/23/pdfs/GRE-1812-92.pdf#page=7","Abrir facsímil")</f>
        <v>Abrir facsímil</v>
      </c>
      <c r="K5746" s="3" t="s">
        <v>23</v>
      </c>
    </row>
    <row r="5747" spans="1:11" ht="42" customHeight="1">
      <c r="A5747" s="2" t="s">
        <v>14557</v>
      </c>
      <c r="B5747" s="2" t="s">
        <v>14558</v>
      </c>
      <c r="C5747" s="2" t="s">
        <v>26</v>
      </c>
      <c r="D5747" s="2" t="s">
        <v>27</v>
      </c>
      <c r="E5747" s="4">
        <v>-31938</v>
      </c>
      <c r="F5747" s="3" t="s">
        <v>324</v>
      </c>
      <c r="G5747" s="3" t="s">
        <v>237</v>
      </c>
      <c r="H5747" s="2" t="s">
        <v>21</v>
      </c>
      <c r="I5747" s="2" t="s">
        <v>14559</v>
      </c>
      <c r="J5747" s="3" t="str">
        <f>HYPERLINK("https://www.boe.es/gazeta/dias/1812/07/21/pdfs/GMD-1812-203.pdf#page=2","Abrir facsímil")</f>
        <v>Abrir facsímil</v>
      </c>
      <c r="K5747" s="3" t="s">
        <v>23</v>
      </c>
    </row>
    <row r="5748" spans="1:11" ht="42" customHeight="1">
      <c r="A5748" s="2" t="s">
        <v>14560</v>
      </c>
      <c r="B5748" s="2" t="s">
        <v>14561</v>
      </c>
      <c r="C5748" s="2" t="s">
        <v>67</v>
      </c>
      <c r="D5748" s="2" t="s">
        <v>27</v>
      </c>
      <c r="E5748" s="4">
        <v>-31942</v>
      </c>
      <c r="F5748" s="3" t="s">
        <v>3065</v>
      </c>
      <c r="G5748" s="3" t="s">
        <v>3066</v>
      </c>
      <c r="H5748" s="2" t="s">
        <v>21</v>
      </c>
      <c r="I5748" s="2" t="s">
        <v>14562</v>
      </c>
      <c r="J5748" s="3" t="str">
        <f>HYPERLINK("https://www.boe.es/gazeta/dias/1812/07/17/pdfs/GMD-1812-199.pdf#page=3","Abrir facsímil")</f>
        <v>Abrir facsímil</v>
      </c>
      <c r="K5748" s="3" t="s">
        <v>23</v>
      </c>
    </row>
    <row r="5749" spans="1:11" ht="42" customHeight="1">
      <c r="A5749" s="2" t="s">
        <v>14563</v>
      </c>
      <c r="B5749" s="2" t="s">
        <v>14564</v>
      </c>
      <c r="C5749" s="2" t="s">
        <v>26</v>
      </c>
      <c r="D5749" s="2" t="s">
        <v>27</v>
      </c>
      <c r="E5749" s="4">
        <v>-31955</v>
      </c>
      <c r="F5749" s="3" t="s">
        <v>789</v>
      </c>
      <c r="G5749" s="3" t="s">
        <v>237</v>
      </c>
      <c r="H5749" s="2" t="s">
        <v>21</v>
      </c>
      <c r="I5749" s="2" t="s">
        <v>14565</v>
      </c>
      <c r="J5749" s="3" t="str">
        <f>HYPERLINK("https://www.boe.es/gazeta/dias/1812/07/04/pdfs/GRE-1812-82.pdf#page=8","Abrir facsímil")</f>
        <v>Abrir facsímil</v>
      </c>
      <c r="K5749" s="3" t="s">
        <v>23</v>
      </c>
    </row>
    <row r="5750" spans="1:11" ht="42" customHeight="1">
      <c r="A5750" s="2" t="s">
        <v>14566</v>
      </c>
      <c r="B5750" s="2" t="s">
        <v>14567</v>
      </c>
      <c r="C5750" s="2" t="s">
        <v>17</v>
      </c>
      <c r="D5750" s="2" t="s">
        <v>18</v>
      </c>
      <c r="E5750" s="4">
        <v>-31989</v>
      </c>
      <c r="F5750" s="3" t="s">
        <v>263</v>
      </c>
      <c r="G5750" s="3" t="s">
        <v>58</v>
      </c>
      <c r="H5750" s="2" t="s">
        <v>21</v>
      </c>
      <c r="I5750" s="2" t="s">
        <v>14568</v>
      </c>
      <c r="J5750" s="3" t="str">
        <f>HYPERLINK("https://www.boe.es/gazeta/dias/1812/05/31/pdfs/GMD-1812-152.pdf#page=4","Abrir facsímil")</f>
        <v>Abrir facsímil</v>
      </c>
      <c r="K5750" s="3" t="s">
        <v>23</v>
      </c>
    </row>
    <row r="5751" spans="1:11" ht="42" customHeight="1">
      <c r="A5751" s="2" t="s">
        <v>14569</v>
      </c>
      <c r="B5751" s="2" t="s">
        <v>14570</v>
      </c>
      <c r="C5751" s="2" t="s">
        <v>26</v>
      </c>
      <c r="D5751" s="2" t="s">
        <v>27</v>
      </c>
      <c r="E5751" s="4">
        <v>-31963</v>
      </c>
      <c r="F5751" s="3" t="s">
        <v>171</v>
      </c>
      <c r="G5751" s="3" t="s">
        <v>172</v>
      </c>
      <c r="H5751" s="2" t="s">
        <v>21</v>
      </c>
      <c r="I5751" s="2" t="s">
        <v>14571</v>
      </c>
      <c r="J5751" s="3" t="str">
        <f>HYPERLINK("https://www.boe.es/gazeta/dias/1812/06/26/pdfs/GMD-1812-178.pdf#page=3","Abrir facsímil")</f>
        <v>Abrir facsímil</v>
      </c>
      <c r="K5751" s="3" t="s">
        <v>23</v>
      </c>
    </row>
    <row r="5752" spans="1:11" ht="42" customHeight="1">
      <c r="A5752" s="2" t="s">
        <v>14572</v>
      </c>
      <c r="B5752" s="2" t="s">
        <v>14573</v>
      </c>
      <c r="C5752" s="2" t="s">
        <v>26</v>
      </c>
      <c r="D5752" s="2" t="s">
        <v>27</v>
      </c>
      <c r="E5752" s="4">
        <v>-32114</v>
      </c>
      <c r="F5752" s="3" t="s">
        <v>480</v>
      </c>
      <c r="G5752" s="3" t="s">
        <v>481</v>
      </c>
      <c r="H5752" s="2" t="s">
        <v>21</v>
      </c>
      <c r="I5752" s="2" t="s">
        <v>14574</v>
      </c>
      <c r="J5752" s="3" t="str">
        <f>HYPERLINK("https://www.boe.es/gazeta/dias/1812/01/27/pdfs/GMD-1812-27.pdf#page=4","Abrir facsímil")</f>
        <v>Abrir facsímil</v>
      </c>
      <c r="K5752" s="3" t="s">
        <v>23</v>
      </c>
    </row>
    <row r="5753" spans="1:11" ht="42" customHeight="1">
      <c r="A5753" s="2" t="s">
        <v>14575</v>
      </c>
      <c r="B5753" s="2" t="s">
        <v>14575</v>
      </c>
      <c r="C5753" s="2" t="s">
        <v>17</v>
      </c>
      <c r="D5753" s="2" t="s">
        <v>27</v>
      </c>
      <c r="E5753" s="4">
        <v>-32113</v>
      </c>
      <c r="F5753" s="3" t="s">
        <v>4341</v>
      </c>
      <c r="G5753" s="3" t="s">
        <v>237</v>
      </c>
      <c r="H5753" s="2" t="s">
        <v>21</v>
      </c>
      <c r="I5753" s="2" t="s">
        <v>14576</v>
      </c>
      <c r="J5753" s="3" t="str">
        <f>HYPERLINK("https://www.boe.es/gazeta/dias/1812/01/28/pdfs/GMD-1812-28.pdf#page=4","Abrir facsímil")</f>
        <v>Abrir facsímil</v>
      </c>
      <c r="K5753" s="3" t="s">
        <v>23</v>
      </c>
    </row>
    <row r="5754" spans="1:11" ht="42" customHeight="1">
      <c r="A5754" s="2" t="s">
        <v>14577</v>
      </c>
      <c r="B5754" s="2" t="s">
        <v>14578</v>
      </c>
      <c r="C5754" s="2" t="s">
        <v>26</v>
      </c>
      <c r="D5754" s="2" t="s">
        <v>27</v>
      </c>
      <c r="E5754" s="4">
        <v>-32127</v>
      </c>
      <c r="F5754" s="3" t="s">
        <v>88</v>
      </c>
      <c r="G5754" s="3" t="s">
        <v>89</v>
      </c>
      <c r="H5754" s="2" t="s">
        <v>21</v>
      </c>
      <c r="I5754" s="2" t="s">
        <v>14579</v>
      </c>
      <c r="J5754" s="3" t="str">
        <f>HYPERLINK("https://www.boe.es/gazeta/dias/1812/01/14/pdfs/GEI-1812-6.pdf#page=8","Abrir facsímil")</f>
        <v>Abrir facsímil</v>
      </c>
      <c r="K5754" s="3" t="s">
        <v>23</v>
      </c>
    </row>
    <row r="5755" spans="1:11" ht="42" customHeight="1">
      <c r="A5755" s="2" t="s">
        <v>14580</v>
      </c>
      <c r="B5755" s="2" t="s">
        <v>14581</v>
      </c>
      <c r="C5755" s="2" t="s">
        <v>17</v>
      </c>
      <c r="D5755" s="2" t="s">
        <v>18</v>
      </c>
      <c r="E5755" s="4">
        <v>-32130</v>
      </c>
      <c r="F5755" s="3" t="s">
        <v>927</v>
      </c>
      <c r="G5755" s="3" t="s">
        <v>130</v>
      </c>
      <c r="H5755" s="2" t="s">
        <v>21</v>
      </c>
      <c r="I5755" s="2" t="s">
        <v>14582</v>
      </c>
      <c r="J5755" s="3" t="str">
        <f>HYPERLINK("https://www.boe.es/gazeta/dias/1812/01/11/pdfs/GMD-1812-11.pdf#page=4","Abrir facsímil")</f>
        <v>Abrir facsímil</v>
      </c>
      <c r="K5755" s="3" t="s">
        <v>23</v>
      </c>
    </row>
    <row r="5756" spans="1:11" ht="42" customHeight="1">
      <c r="A5756" s="2" t="s">
        <v>14583</v>
      </c>
      <c r="B5756" s="2" t="s">
        <v>14584</v>
      </c>
      <c r="C5756" s="2" t="s">
        <v>49</v>
      </c>
      <c r="D5756" s="2" t="s">
        <v>18</v>
      </c>
      <c r="E5756" s="4">
        <v>-32053</v>
      </c>
      <c r="F5756" s="3" t="s">
        <v>910</v>
      </c>
      <c r="G5756" s="3" t="s">
        <v>911</v>
      </c>
      <c r="H5756" s="2" t="s">
        <v>21</v>
      </c>
      <c r="I5756" s="2" t="s">
        <v>14585</v>
      </c>
      <c r="J5756" s="3" t="str">
        <f>HYPERLINK("https://www.boe.es/gazeta/dias/1812/03/28/pdfs/GRE-1812-39.pdf#page=8","Abrir facsímil")</f>
        <v>Abrir facsímil</v>
      </c>
      <c r="K5756" s="3" t="s">
        <v>23</v>
      </c>
    </row>
    <row r="5757" spans="1:11" ht="42" customHeight="1">
      <c r="A5757" s="2" t="s">
        <v>14586</v>
      </c>
      <c r="B5757" s="2" t="s">
        <v>14587</v>
      </c>
      <c r="C5757" s="2" t="s">
        <v>26</v>
      </c>
      <c r="D5757" s="2" t="s">
        <v>27</v>
      </c>
      <c r="E5757" s="4">
        <v>-31885</v>
      </c>
      <c r="F5757" s="3" t="s">
        <v>609</v>
      </c>
      <c r="G5757" s="3" t="s">
        <v>13739</v>
      </c>
      <c r="H5757" s="2" t="s">
        <v>21</v>
      </c>
      <c r="I5757" s="2" t="s">
        <v>14588</v>
      </c>
      <c r="J5757" s="3" t="str">
        <f>HYPERLINK("https://www.boe.es/gazeta/dias/1812/09/12/pdfs/GRE-1812-124.pdf#page=3","Abrir facsímil")</f>
        <v>Abrir facsímil</v>
      </c>
      <c r="K5757" s="3" t="s">
        <v>23</v>
      </c>
    </row>
    <row r="5758" spans="1:11" ht="42" customHeight="1">
      <c r="A5758" s="2" t="s">
        <v>14589</v>
      </c>
      <c r="B5758" s="2" t="s">
        <v>14590</v>
      </c>
      <c r="C5758" s="2" t="s">
        <v>17</v>
      </c>
      <c r="D5758" s="2" t="s">
        <v>18</v>
      </c>
      <c r="E5758" s="4">
        <v>-31885</v>
      </c>
      <c r="F5758" s="3" t="s">
        <v>609</v>
      </c>
      <c r="G5758" s="3" t="s">
        <v>13739</v>
      </c>
      <c r="H5758" s="2" t="s">
        <v>21</v>
      </c>
      <c r="I5758" s="2" t="s">
        <v>14591</v>
      </c>
      <c r="J5758" s="3" t="str">
        <f>HYPERLINK("https://www.boe.es/gazeta/dias/1812/09/12/pdfs/GRE-1812-124.pdf#page=3","Abrir facsímil")</f>
        <v>Abrir facsímil</v>
      </c>
      <c r="K5758" s="3" t="s">
        <v>23</v>
      </c>
    </row>
    <row r="5759" spans="1:11" ht="42" customHeight="1">
      <c r="A5759" s="2" t="s">
        <v>14592</v>
      </c>
      <c r="B5759" s="2" t="s">
        <v>14592</v>
      </c>
      <c r="C5759" s="2" t="s">
        <v>17</v>
      </c>
      <c r="D5759" s="2" t="s">
        <v>27</v>
      </c>
      <c r="E5759" s="4">
        <v>-31829</v>
      </c>
      <c r="F5759" s="3" t="s">
        <v>328</v>
      </c>
      <c r="G5759" s="3" t="s">
        <v>217</v>
      </c>
      <c r="H5759" s="2" t="s">
        <v>21</v>
      </c>
      <c r="I5759" s="2" t="s">
        <v>14593</v>
      </c>
      <c r="J5759" s="3" t="str">
        <f>HYPERLINK("https://www.boe.es/gazeta/dias/1812/11/07/pdfs/GMD-1812-227.pdf#page=2","Abrir facsímil")</f>
        <v>Abrir facsímil</v>
      </c>
      <c r="K5759" s="3" t="s">
        <v>23</v>
      </c>
    </row>
    <row r="5760" spans="1:11" ht="42" customHeight="1">
      <c r="A5760" s="2" t="s">
        <v>14594</v>
      </c>
      <c r="B5760" s="2" t="s">
        <v>14595</v>
      </c>
      <c r="C5760" s="2" t="s">
        <v>17</v>
      </c>
      <c r="D5760" s="2" t="s">
        <v>27</v>
      </c>
      <c r="E5760" s="4">
        <v>-31966</v>
      </c>
      <c r="F5760" s="3" t="s">
        <v>387</v>
      </c>
      <c r="G5760" s="3" t="s">
        <v>388</v>
      </c>
      <c r="H5760" s="2" t="s">
        <v>21</v>
      </c>
      <c r="I5760" s="2" t="s">
        <v>14596</v>
      </c>
      <c r="J5760" s="3" t="str">
        <f>HYPERLINK("https://www.boe.es/gazeta/dias/1812/06/23/pdfs/GMD-1812-175.pdf#page=2","Abrir facsímil")</f>
        <v>Abrir facsímil</v>
      </c>
      <c r="K5760" s="3" t="s">
        <v>23</v>
      </c>
    </row>
    <row r="5761" spans="1:11" ht="42" customHeight="1">
      <c r="A5761" s="2" t="s">
        <v>14597</v>
      </c>
      <c r="B5761" s="2" t="s">
        <v>14598</v>
      </c>
      <c r="C5761" s="2" t="s">
        <v>26</v>
      </c>
      <c r="D5761" s="2" t="s">
        <v>27</v>
      </c>
      <c r="E5761" s="4">
        <v>-32060</v>
      </c>
      <c r="F5761" s="3" t="s">
        <v>399</v>
      </c>
      <c r="G5761" s="3" t="s">
        <v>136</v>
      </c>
      <c r="H5761" s="2" t="s">
        <v>21</v>
      </c>
      <c r="I5761" s="2" t="s">
        <v>14599</v>
      </c>
      <c r="J5761" s="3" t="str">
        <f>HYPERLINK("https://www.boe.es/gazeta/dias/1812/03/21/pdfs/GMD-1812-81.pdf#page=4","Abrir facsímil")</f>
        <v>Abrir facsímil</v>
      </c>
      <c r="K5761" s="3" t="s">
        <v>23</v>
      </c>
    </row>
    <row r="5762" spans="1:11" ht="42" customHeight="1">
      <c r="A5762" s="2" t="s">
        <v>14600</v>
      </c>
      <c r="B5762" s="2" t="s">
        <v>14601</v>
      </c>
      <c r="C5762" s="2" t="s">
        <v>17</v>
      </c>
      <c r="D5762" s="2" t="s">
        <v>27</v>
      </c>
      <c r="E5762" s="4">
        <v>-31964</v>
      </c>
      <c r="F5762" s="3" t="s">
        <v>93</v>
      </c>
      <c r="G5762" s="3" t="s">
        <v>4894</v>
      </c>
      <c r="H5762" s="2" t="s">
        <v>21</v>
      </c>
      <c r="I5762" s="2" t="s">
        <v>14602</v>
      </c>
      <c r="J5762" s="3" t="str">
        <f>HYPERLINK("https://www.boe.es/gazeta/dias/1812/06/25/pdfs/GRE-1812-78.pdf#page=6","Abrir facsímil")</f>
        <v>Abrir facsímil</v>
      </c>
      <c r="K5762" s="3" t="s">
        <v>23</v>
      </c>
    </row>
    <row r="5763" spans="1:11" ht="42" customHeight="1">
      <c r="A5763" s="2" t="s">
        <v>14603</v>
      </c>
      <c r="B5763" s="2" t="s">
        <v>14603</v>
      </c>
      <c r="C5763" s="2" t="s">
        <v>17</v>
      </c>
      <c r="D5763" s="2" t="s">
        <v>27</v>
      </c>
      <c r="E5763" s="4">
        <v>-32062</v>
      </c>
      <c r="F5763" s="3" t="s">
        <v>2168</v>
      </c>
      <c r="G5763" s="3" t="s">
        <v>196</v>
      </c>
      <c r="H5763" s="2" t="s">
        <v>21</v>
      </c>
      <c r="I5763" s="2" t="s">
        <v>14604</v>
      </c>
      <c r="J5763" s="3" t="str">
        <f>HYPERLINK("https://www.boe.es/gazeta/dias/1812/03/19/pdfs/GRE-1812-35.pdf#page=2","Abrir facsímil")</f>
        <v>Abrir facsímil</v>
      </c>
      <c r="K5763" s="3" t="s">
        <v>23</v>
      </c>
    </row>
    <row r="5764" spans="1:11" ht="42" customHeight="1">
      <c r="A5764" s="2" t="s">
        <v>14605</v>
      </c>
      <c r="B5764" s="2" t="s">
        <v>14606</v>
      </c>
      <c r="C5764" s="2" t="s">
        <v>17</v>
      </c>
      <c r="D5764" s="2" t="s">
        <v>275</v>
      </c>
      <c r="E5764" s="4">
        <v>-31951</v>
      </c>
      <c r="F5764" s="3" t="s">
        <v>1603</v>
      </c>
      <c r="G5764" s="3" t="s">
        <v>214</v>
      </c>
      <c r="H5764" s="2" t="s">
        <v>21</v>
      </c>
      <c r="I5764" s="2" t="s">
        <v>14607</v>
      </c>
      <c r="J5764" s="3" t="str">
        <f>HYPERLINK("https://www.boe.es/gazeta/dias/1812/07/08/pdfs/GMD-1812-190.pdf#page=4","Abrir facsímil")</f>
        <v>Abrir facsímil</v>
      </c>
      <c r="K5764" s="3" t="s">
        <v>23</v>
      </c>
    </row>
    <row r="5765" spans="1:11" ht="42" customHeight="1">
      <c r="A5765" s="2" t="s">
        <v>14608</v>
      </c>
      <c r="B5765" s="2" t="s">
        <v>14609</v>
      </c>
      <c r="C5765" s="2" t="s">
        <v>26</v>
      </c>
      <c r="D5765" s="2" t="s">
        <v>27</v>
      </c>
      <c r="E5765" s="4">
        <v>-32034</v>
      </c>
      <c r="F5765" s="3" t="s">
        <v>1008</v>
      </c>
      <c r="G5765" s="3" t="s">
        <v>1009</v>
      </c>
      <c r="H5765" s="2" t="s">
        <v>21</v>
      </c>
      <c r="I5765" s="2" t="s">
        <v>14610</v>
      </c>
      <c r="J5765" s="3" t="str">
        <f>HYPERLINK("https://www.boe.es/gazeta/dias/1812/04/16/pdfs/GRE-1812-48.pdf#page=8","Abrir facsímil")</f>
        <v>Abrir facsímil</v>
      </c>
      <c r="K5765" s="3" t="s">
        <v>23</v>
      </c>
    </row>
    <row r="5766" spans="1:11" ht="42" customHeight="1">
      <c r="A5766" s="2" t="s">
        <v>14611</v>
      </c>
      <c r="B5766" s="2" t="s">
        <v>14611</v>
      </c>
      <c r="C5766" s="2" t="s">
        <v>17</v>
      </c>
      <c r="D5766" s="2" t="s">
        <v>27</v>
      </c>
      <c r="E5766" s="4">
        <v>-31861</v>
      </c>
      <c r="F5766" s="3" t="s">
        <v>1080</v>
      </c>
      <c r="G5766" s="3" t="s">
        <v>8852</v>
      </c>
      <c r="H5766" s="2" t="s">
        <v>21</v>
      </c>
      <c r="I5766" s="2" t="s">
        <v>14612</v>
      </c>
      <c r="J5766" s="3" t="str">
        <f>HYPERLINK("https://www.boe.es/gazeta/dias/1812/10/06/pdfs/GMR-1812-23.pdf#page=11","Abrir facsímil")</f>
        <v>Abrir facsímil</v>
      </c>
      <c r="K5766" s="3" t="s">
        <v>23</v>
      </c>
    </row>
    <row r="5767" spans="1:11" ht="42" customHeight="1">
      <c r="A5767" s="2" t="s">
        <v>14613</v>
      </c>
      <c r="B5767" s="2" t="s">
        <v>14614</v>
      </c>
      <c r="C5767" s="2" t="s">
        <v>17</v>
      </c>
      <c r="D5767" s="2" t="s">
        <v>27</v>
      </c>
      <c r="E5767" s="4">
        <v>-31829</v>
      </c>
      <c r="F5767" s="3" t="s">
        <v>3229</v>
      </c>
      <c r="G5767" s="3" t="s">
        <v>965</v>
      </c>
      <c r="H5767" s="2" t="s">
        <v>21</v>
      </c>
      <c r="I5767" s="2" t="s">
        <v>14615</v>
      </c>
      <c r="J5767" s="3" t="str">
        <f>HYPERLINK("https://www.boe.es/gazeta/dias/1812/11/07/pdfs/GRE-1812-149.pdf#page=6","Abrir facsímil")</f>
        <v>Abrir facsímil</v>
      </c>
      <c r="K5767" s="3" t="s">
        <v>23</v>
      </c>
    </row>
    <row r="5768" spans="1:11" ht="42" customHeight="1">
      <c r="A5768" s="2" t="s">
        <v>14616</v>
      </c>
      <c r="B5768" s="2" t="s">
        <v>14617</v>
      </c>
      <c r="C5768" s="2" t="s">
        <v>26</v>
      </c>
      <c r="D5768" s="2" t="s">
        <v>27</v>
      </c>
      <c r="E5768" s="4">
        <v>-32134</v>
      </c>
      <c r="F5768" s="3" t="s">
        <v>50</v>
      </c>
      <c r="G5768" s="3" t="s">
        <v>233</v>
      </c>
      <c r="H5768" s="2" t="s">
        <v>21</v>
      </c>
      <c r="I5768" s="2" t="s">
        <v>14618</v>
      </c>
      <c r="J5768" s="3" t="str">
        <f>HYPERLINK("https://www.boe.es/gazeta/dias/1812/01/07/pdfs/GEI-1812-3.pdf#page=8","Abrir facsímil")</f>
        <v>Abrir facsímil</v>
      </c>
      <c r="K5768" s="3" t="s">
        <v>23</v>
      </c>
    </row>
    <row r="5769" spans="1:11" ht="42" customHeight="1">
      <c r="A5769" s="2" t="s">
        <v>14619</v>
      </c>
      <c r="B5769" s="2" t="s">
        <v>14620</v>
      </c>
      <c r="C5769" s="2" t="s">
        <v>26</v>
      </c>
      <c r="D5769" s="2" t="s">
        <v>27</v>
      </c>
      <c r="E5769" s="4">
        <v>-31980</v>
      </c>
      <c r="F5769" s="3" t="s">
        <v>40</v>
      </c>
      <c r="G5769" s="3" t="s">
        <v>41</v>
      </c>
      <c r="H5769" s="2" t="s">
        <v>21</v>
      </c>
      <c r="I5769" s="2" t="s">
        <v>14621</v>
      </c>
      <c r="J5769" s="3" t="str">
        <f>HYPERLINK("https://www.boe.es/gazeta/dias/1812/06/09/pdfs/GRE-1812-71.pdf#page=6","Abrir facsímil")</f>
        <v>Abrir facsímil</v>
      </c>
      <c r="K5769" s="3" t="s">
        <v>23</v>
      </c>
    </row>
    <row r="5770" spans="1:11" ht="42" customHeight="1">
      <c r="A5770" s="2" t="s">
        <v>14622</v>
      </c>
      <c r="B5770" s="2" t="s">
        <v>14623</v>
      </c>
      <c r="C5770" s="2" t="s">
        <v>17</v>
      </c>
      <c r="D5770" s="2" t="s">
        <v>275</v>
      </c>
      <c r="E5770" s="4">
        <v>-31957</v>
      </c>
      <c r="F5770" s="3" t="s">
        <v>598</v>
      </c>
      <c r="G5770" s="3" t="s">
        <v>599</v>
      </c>
      <c r="H5770" s="2" t="s">
        <v>21</v>
      </c>
      <c r="I5770" s="2" t="s">
        <v>14624</v>
      </c>
      <c r="J5770" s="3" t="str">
        <f>HYPERLINK("https://www.boe.es/gazeta/dias/1812/07/02/pdfs/GMD-1812-184.pdf#page=2","Abrir facsímil")</f>
        <v>Abrir facsímil</v>
      </c>
      <c r="K5770" s="3" t="s">
        <v>23</v>
      </c>
    </row>
    <row r="5771" spans="1:11" ht="42" customHeight="1">
      <c r="A5771" s="2" t="s">
        <v>14625</v>
      </c>
      <c r="B5771" s="2" t="s">
        <v>14625</v>
      </c>
      <c r="C5771" s="2" t="s">
        <v>17</v>
      </c>
      <c r="D5771" s="2" t="s">
        <v>27</v>
      </c>
      <c r="E5771" s="4">
        <v>-32113</v>
      </c>
      <c r="F5771" s="3" t="s">
        <v>4341</v>
      </c>
      <c r="G5771" s="3" t="s">
        <v>237</v>
      </c>
      <c r="H5771" s="2" t="s">
        <v>21</v>
      </c>
      <c r="I5771" s="2" t="s">
        <v>14626</v>
      </c>
      <c r="J5771" s="3" t="str">
        <f>HYPERLINK("https://www.boe.es/gazeta/dias/1812/01/28/pdfs/GMD-1812-28.pdf#page=4","Abrir facsímil")</f>
        <v>Abrir facsímil</v>
      </c>
      <c r="K5771" s="3" t="s">
        <v>23</v>
      </c>
    </row>
    <row r="5772" spans="1:11" ht="42" customHeight="1">
      <c r="A5772" s="2" t="s">
        <v>14627</v>
      </c>
      <c r="B5772" s="2" t="s">
        <v>14627</v>
      </c>
      <c r="C5772" s="2" t="s">
        <v>17</v>
      </c>
      <c r="D5772" s="2" t="s">
        <v>18</v>
      </c>
      <c r="E5772" s="4">
        <v>-32139</v>
      </c>
      <c r="F5772" s="3" t="s">
        <v>518</v>
      </c>
      <c r="G5772" s="3" t="s">
        <v>125</v>
      </c>
      <c r="H5772" s="2" t="s">
        <v>21</v>
      </c>
      <c r="I5772" s="2" t="s">
        <v>14628</v>
      </c>
      <c r="J5772" s="3" t="str">
        <f>HYPERLINK("https://www.boe.es/gazeta/dias/1812/01/02/pdfs/GEI-1812-1.pdf#page=3","Abrir facsímil")</f>
        <v>Abrir facsímil</v>
      </c>
      <c r="K5772" s="3" t="s">
        <v>23</v>
      </c>
    </row>
    <row r="5773" spans="1:11" ht="42" customHeight="1">
      <c r="A5773" s="2" t="s">
        <v>14627</v>
      </c>
      <c r="B5773" s="2" t="s">
        <v>14627</v>
      </c>
      <c r="C5773" s="2" t="s">
        <v>17</v>
      </c>
      <c r="D5773" s="2" t="s">
        <v>18</v>
      </c>
      <c r="E5773" s="4">
        <v>-32128</v>
      </c>
      <c r="F5773" s="3" t="s">
        <v>1927</v>
      </c>
      <c r="G5773" s="3" t="s">
        <v>20</v>
      </c>
      <c r="H5773" s="2" t="s">
        <v>21</v>
      </c>
      <c r="I5773" s="2" t="s">
        <v>14629</v>
      </c>
      <c r="J5773" s="3" t="str">
        <f>HYPERLINK("https://www.boe.es/gazeta/dias/1812/01/13/pdfs/GMD-1812-13.pdf#page=4","Abrir facsímil")</f>
        <v>Abrir facsímil</v>
      </c>
      <c r="K5773" s="3" t="s">
        <v>23</v>
      </c>
    </row>
    <row r="5774" spans="1:11" ht="42" customHeight="1">
      <c r="A5774" s="2" t="s">
        <v>14627</v>
      </c>
      <c r="B5774" s="2" t="s">
        <v>14627</v>
      </c>
      <c r="C5774" s="2" t="s">
        <v>17</v>
      </c>
      <c r="D5774" s="2" t="s">
        <v>27</v>
      </c>
      <c r="E5774" s="4">
        <v>-32113</v>
      </c>
      <c r="F5774" s="3" t="s">
        <v>4341</v>
      </c>
      <c r="G5774" s="3" t="s">
        <v>237</v>
      </c>
      <c r="H5774" s="2" t="s">
        <v>21</v>
      </c>
      <c r="I5774" s="2" t="s">
        <v>14630</v>
      </c>
      <c r="J5774" s="3" t="str">
        <f>HYPERLINK("https://www.boe.es/gazeta/dias/1812/01/28/pdfs/GMD-1812-28.pdf#page=4","Abrir facsímil")</f>
        <v>Abrir facsímil</v>
      </c>
      <c r="K5774" s="3" t="s">
        <v>23</v>
      </c>
    </row>
    <row r="5775" spans="1:11" ht="42" customHeight="1">
      <c r="A5775" s="2" t="s">
        <v>14627</v>
      </c>
      <c r="B5775" s="2" t="s">
        <v>14627</v>
      </c>
      <c r="C5775" s="2" t="s">
        <v>17</v>
      </c>
      <c r="D5775" s="2" t="s">
        <v>27</v>
      </c>
      <c r="E5775" s="4">
        <v>-32088</v>
      </c>
      <c r="F5775" s="3" t="s">
        <v>250</v>
      </c>
      <c r="G5775" s="3" t="s">
        <v>9230</v>
      </c>
      <c r="H5775" s="2" t="s">
        <v>21</v>
      </c>
      <c r="I5775" s="2" t="s">
        <v>14631</v>
      </c>
      <c r="J5775" s="3" t="str">
        <f>HYPERLINK("https://www.boe.es/gazeta/dias/1812/02/22/pdfs/GRE-1812-23.pdf#page=6","Abrir facsímil")</f>
        <v>Abrir facsímil</v>
      </c>
      <c r="K5775" s="3" t="s">
        <v>23</v>
      </c>
    </row>
    <row r="5776" spans="1:11" ht="42" customHeight="1">
      <c r="A5776" s="2" t="s">
        <v>14627</v>
      </c>
      <c r="B5776" s="2" t="s">
        <v>14627</v>
      </c>
      <c r="C5776" s="2" t="s">
        <v>17</v>
      </c>
      <c r="D5776" s="2" t="s">
        <v>27</v>
      </c>
      <c r="E5776" s="4">
        <v>-32081</v>
      </c>
      <c r="F5776" s="3" t="s">
        <v>232</v>
      </c>
      <c r="G5776" s="3" t="s">
        <v>130</v>
      </c>
      <c r="H5776" s="2" t="s">
        <v>21</v>
      </c>
      <c r="I5776" s="2" t="s">
        <v>14632</v>
      </c>
      <c r="J5776" s="3" t="str">
        <f>HYPERLINK("https://www.boe.es/gazeta/dias/1812/02/29/pdfs/GRE-1812-27.pdf#page=4","Abrir facsímil")</f>
        <v>Abrir facsímil</v>
      </c>
      <c r="K5776" s="3" t="s">
        <v>23</v>
      </c>
    </row>
    <row r="5777" spans="1:11" ht="42" customHeight="1">
      <c r="A5777" s="2" t="s">
        <v>14627</v>
      </c>
      <c r="B5777" s="2" t="s">
        <v>14627</v>
      </c>
      <c r="C5777" s="2" t="s">
        <v>49</v>
      </c>
      <c r="D5777" s="2" t="s">
        <v>18</v>
      </c>
      <c r="E5777" s="4">
        <v>-32062</v>
      </c>
      <c r="F5777" s="3" t="s">
        <v>2168</v>
      </c>
      <c r="G5777" s="3" t="s">
        <v>196</v>
      </c>
      <c r="H5777" s="2" t="s">
        <v>21</v>
      </c>
      <c r="I5777" s="2" t="s">
        <v>14633</v>
      </c>
      <c r="J5777" s="3" t="str">
        <f>HYPERLINK("https://www.boe.es/gazeta/dias/1812/03/19/pdfs/GRE-1812-35.pdf#page=2","Abrir facsímil")</f>
        <v>Abrir facsímil</v>
      </c>
      <c r="K5777" s="3" t="s">
        <v>23</v>
      </c>
    </row>
    <row r="5778" spans="1:11" ht="42" customHeight="1">
      <c r="A5778" s="2" t="s">
        <v>14627</v>
      </c>
      <c r="B5778" s="2" t="s">
        <v>14627</v>
      </c>
      <c r="C5778" s="2" t="s">
        <v>17</v>
      </c>
      <c r="D5778" s="2" t="s">
        <v>194</v>
      </c>
      <c r="E5778" s="4">
        <v>-32062</v>
      </c>
      <c r="F5778" s="3" t="s">
        <v>2168</v>
      </c>
      <c r="G5778" s="3" t="s">
        <v>2169</v>
      </c>
      <c r="H5778" s="2" t="s">
        <v>21</v>
      </c>
      <c r="I5778" s="2" t="s">
        <v>14634</v>
      </c>
      <c r="J5778" s="3" t="str">
        <f>HYPERLINK("https://www.boe.es/gazeta/dias/1812/03/19/pdfs/GRE-1812-35.pdf#page=4","Abrir facsímil")</f>
        <v>Abrir facsímil</v>
      </c>
      <c r="K5778" s="3" t="s">
        <v>23</v>
      </c>
    </row>
    <row r="5779" spans="1:11" ht="42" customHeight="1">
      <c r="A5779" s="2" t="s">
        <v>14635</v>
      </c>
      <c r="B5779" s="2" t="s">
        <v>14635</v>
      </c>
      <c r="C5779" s="2" t="s">
        <v>17</v>
      </c>
      <c r="D5779" s="2" t="s">
        <v>27</v>
      </c>
      <c r="E5779" s="4">
        <v>-32006</v>
      </c>
      <c r="F5779" s="3" t="s">
        <v>190</v>
      </c>
      <c r="G5779" s="3" t="s">
        <v>994</v>
      </c>
      <c r="H5779" s="2" t="s">
        <v>21</v>
      </c>
      <c r="I5779" s="2" t="s">
        <v>14636</v>
      </c>
      <c r="J5779" s="3" t="str">
        <f>HYPERLINK("https://www.boe.es/gazeta/dias/1812/05/14/pdfs/GRE-1812-60.pdf#page=2","Abrir facsímil")</f>
        <v>Abrir facsímil</v>
      </c>
      <c r="K5779" s="3" t="s">
        <v>23</v>
      </c>
    </row>
    <row r="5780" spans="1:11" ht="42" customHeight="1">
      <c r="A5780" s="2" t="s">
        <v>14637</v>
      </c>
      <c r="B5780" s="2" t="s">
        <v>14638</v>
      </c>
      <c r="C5780" s="2" t="s">
        <v>26</v>
      </c>
      <c r="D5780" s="2" t="s">
        <v>27</v>
      </c>
      <c r="E5780" s="4">
        <v>-32118</v>
      </c>
      <c r="F5780" s="3" t="s">
        <v>1420</v>
      </c>
      <c r="G5780" s="3" t="s">
        <v>217</v>
      </c>
      <c r="H5780" s="2" t="s">
        <v>21</v>
      </c>
      <c r="I5780" s="2" t="s">
        <v>14639</v>
      </c>
      <c r="J5780" s="3" t="str">
        <f>HYPERLINK("https://www.boe.es/gazeta/dias/1812/01/23/pdfs/GEI-1812-10.pdf#page=5","Abrir facsímil")</f>
        <v>Abrir facsímil</v>
      </c>
      <c r="K5780" s="3" t="s">
        <v>23</v>
      </c>
    </row>
    <row r="5781" spans="1:11" ht="42" customHeight="1">
      <c r="A5781" s="2" t="s">
        <v>14640</v>
      </c>
      <c r="B5781" s="2" t="s">
        <v>14641</v>
      </c>
      <c r="C5781" s="2" t="s">
        <v>26</v>
      </c>
      <c r="D5781" s="2" t="s">
        <v>27</v>
      </c>
      <c r="E5781" s="4">
        <v>-32034</v>
      </c>
      <c r="F5781" s="3" t="s">
        <v>28</v>
      </c>
      <c r="G5781" s="3" t="s">
        <v>29</v>
      </c>
      <c r="H5781" s="2" t="s">
        <v>21</v>
      </c>
      <c r="I5781" s="2" t="s">
        <v>14642</v>
      </c>
      <c r="J5781" s="3" t="str">
        <f>HYPERLINK("https://www.boe.es/gazeta/dias/1812/04/16/pdfs/GMD-1812-107.pdf#page=8","Abrir facsímil")</f>
        <v>Abrir facsímil</v>
      </c>
      <c r="K5781" s="3" t="s">
        <v>23</v>
      </c>
    </row>
    <row r="5782" spans="1:11" ht="42" customHeight="1">
      <c r="A5782" s="2" t="s">
        <v>14643</v>
      </c>
      <c r="B5782" s="2" t="s">
        <v>14643</v>
      </c>
      <c r="C5782" s="2" t="s">
        <v>17</v>
      </c>
      <c r="D5782" s="2" t="s">
        <v>27</v>
      </c>
      <c r="E5782" s="4">
        <v>-32089</v>
      </c>
      <c r="F5782" s="3" t="s">
        <v>1918</v>
      </c>
      <c r="G5782" s="3" t="s">
        <v>136</v>
      </c>
      <c r="H5782" s="2" t="s">
        <v>21</v>
      </c>
      <c r="I5782" s="2" t="s">
        <v>14644</v>
      </c>
      <c r="J5782" s="3" t="str">
        <f>HYPERLINK("https://www.boe.es/gazeta/dias/1812/02/21/pdfs/GMD-1812-52.pdf#page=4","Abrir facsímil")</f>
        <v>Abrir facsímil</v>
      </c>
      <c r="K5782" s="3" t="s">
        <v>23</v>
      </c>
    </row>
    <row r="5783" spans="1:11" ht="42" customHeight="1">
      <c r="A5783" s="2" t="s">
        <v>14645</v>
      </c>
      <c r="B5783" s="2" t="s">
        <v>14646</v>
      </c>
      <c r="C5783" s="2" t="s">
        <v>26</v>
      </c>
      <c r="D5783" s="2" t="s">
        <v>27</v>
      </c>
      <c r="E5783" s="4">
        <v>-32034</v>
      </c>
      <c r="F5783" s="3" t="s">
        <v>28</v>
      </c>
      <c r="G5783" s="3" t="s">
        <v>29</v>
      </c>
      <c r="H5783" s="2" t="s">
        <v>21</v>
      </c>
      <c r="I5783" s="2" t="s">
        <v>14647</v>
      </c>
      <c r="J5783" s="3" t="str">
        <f>HYPERLINK("https://www.boe.es/gazeta/dias/1812/04/16/pdfs/GMD-1812-107.pdf#page=8","Abrir facsímil")</f>
        <v>Abrir facsímil</v>
      </c>
      <c r="K5783" s="3" t="s">
        <v>23</v>
      </c>
    </row>
    <row r="5784" spans="1:11" ht="42" customHeight="1">
      <c r="A5784" s="2" t="s">
        <v>14648</v>
      </c>
      <c r="B5784" s="2" t="s">
        <v>14649</v>
      </c>
      <c r="C5784" s="2" t="s">
        <v>26</v>
      </c>
      <c r="D5784" s="2" t="s">
        <v>27</v>
      </c>
      <c r="E5784" s="4">
        <v>-31965</v>
      </c>
      <c r="F5784" s="3" t="s">
        <v>1180</v>
      </c>
      <c r="G5784" s="3" t="s">
        <v>777</v>
      </c>
      <c r="H5784" s="2" t="s">
        <v>21</v>
      </c>
      <c r="I5784" s="2" t="s">
        <v>14650</v>
      </c>
      <c r="J5784" s="3" t="str">
        <f>HYPERLINK("https://www.boe.es/gazeta/dias/1812/06/24/pdfs/GMD-1812-176.pdf#page=2","Abrir facsímil")</f>
        <v>Abrir facsímil</v>
      </c>
      <c r="K5784" s="3" t="s">
        <v>23</v>
      </c>
    </row>
    <row r="5785" spans="1:11" ht="42" customHeight="1">
      <c r="A5785" s="2" t="s">
        <v>14651</v>
      </c>
      <c r="B5785" s="2" t="s">
        <v>14652</v>
      </c>
      <c r="C5785" s="2" t="s">
        <v>82</v>
      </c>
      <c r="D5785" s="2" t="s">
        <v>27</v>
      </c>
      <c r="E5785" s="4">
        <v>-31962</v>
      </c>
      <c r="F5785" s="3" t="s">
        <v>643</v>
      </c>
      <c r="G5785" s="3" t="s">
        <v>644</v>
      </c>
      <c r="H5785" s="2" t="s">
        <v>21</v>
      </c>
      <c r="I5785" s="2" t="s">
        <v>14653</v>
      </c>
      <c r="J5785" s="3" t="str">
        <f>HYPERLINK("https://www.boe.es/gazeta/dias/1812/06/27/pdfs/GMD-1812-179.pdf#page=2","Abrir facsímil")</f>
        <v>Abrir facsímil</v>
      </c>
      <c r="K5785" s="3" t="s">
        <v>23</v>
      </c>
    </row>
    <row r="5786" spans="1:11" ht="42" customHeight="1">
      <c r="A5786" s="2" t="s">
        <v>14654</v>
      </c>
      <c r="B5786" s="2" t="s">
        <v>14655</v>
      </c>
      <c r="C5786" s="2" t="s">
        <v>17</v>
      </c>
      <c r="D5786" s="2" t="s">
        <v>27</v>
      </c>
      <c r="E5786" s="4">
        <v>-31917</v>
      </c>
      <c r="F5786" s="3" t="s">
        <v>946</v>
      </c>
      <c r="G5786" s="3" t="s">
        <v>947</v>
      </c>
      <c r="H5786" s="2" t="s">
        <v>21</v>
      </c>
      <c r="I5786" s="2" t="s">
        <v>14656</v>
      </c>
      <c r="J5786" s="3" t="str">
        <f>HYPERLINK("https://www.boe.es/gazeta/dias/1812/08/11/pdfs/GRE-1812-103.pdf#page=8","Abrir facsímil")</f>
        <v>Abrir facsímil</v>
      </c>
      <c r="K5786" s="3" t="s">
        <v>23</v>
      </c>
    </row>
    <row r="5787" spans="1:11" ht="42" customHeight="1">
      <c r="A5787" s="2" t="s">
        <v>14657</v>
      </c>
      <c r="B5787" s="2" t="s">
        <v>14658</v>
      </c>
      <c r="C5787" s="2" t="s">
        <v>26</v>
      </c>
      <c r="D5787" s="2" t="s">
        <v>27</v>
      </c>
      <c r="E5787" s="4">
        <v>-32114</v>
      </c>
      <c r="F5787" s="3" t="s">
        <v>480</v>
      </c>
      <c r="G5787" s="3" t="s">
        <v>481</v>
      </c>
      <c r="H5787" s="2" t="s">
        <v>21</v>
      </c>
      <c r="I5787" s="2" t="s">
        <v>14659</v>
      </c>
      <c r="J5787" s="3" t="str">
        <f>HYPERLINK("https://www.boe.es/gazeta/dias/1812/01/27/pdfs/GMD-1812-27.pdf#page=4","Abrir facsímil")</f>
        <v>Abrir facsímil</v>
      </c>
      <c r="K5787" s="3" t="s">
        <v>23</v>
      </c>
    </row>
    <row r="5788" spans="1:11" ht="42" customHeight="1">
      <c r="A5788" s="2" t="s">
        <v>14657</v>
      </c>
      <c r="B5788" s="2" t="s">
        <v>14658</v>
      </c>
      <c r="C5788" s="2" t="s">
        <v>26</v>
      </c>
      <c r="D5788" s="2" t="s">
        <v>27</v>
      </c>
      <c r="E5788" s="4">
        <v>-32032</v>
      </c>
      <c r="F5788" s="3" t="s">
        <v>421</v>
      </c>
      <c r="G5788" s="3" t="s">
        <v>777</v>
      </c>
      <c r="H5788" s="2" t="s">
        <v>21</v>
      </c>
      <c r="I5788" s="2" t="s">
        <v>14660</v>
      </c>
      <c r="J5788" s="3" t="str">
        <f>HYPERLINK("https://www.boe.es/gazeta/dias/1812/04/18/pdfs/GRE-1812-49.pdf#page=3","Abrir facsímil")</f>
        <v>Abrir facsímil</v>
      </c>
      <c r="K5788" s="3" t="s">
        <v>23</v>
      </c>
    </row>
    <row r="5789" spans="1:11" ht="42" customHeight="1">
      <c r="A5789" s="2" t="s">
        <v>14661</v>
      </c>
      <c r="B5789" s="2" t="s">
        <v>14662</v>
      </c>
      <c r="C5789" s="2" t="s">
        <v>26</v>
      </c>
      <c r="D5789" s="2" t="s">
        <v>27</v>
      </c>
      <c r="E5789" s="4">
        <v>-32034</v>
      </c>
      <c r="F5789" s="3" t="s">
        <v>1008</v>
      </c>
      <c r="G5789" s="3" t="s">
        <v>1009</v>
      </c>
      <c r="H5789" s="2" t="s">
        <v>21</v>
      </c>
      <c r="I5789" s="2" t="s">
        <v>14663</v>
      </c>
      <c r="J5789" s="3" t="str">
        <f>HYPERLINK("https://www.boe.es/gazeta/dias/1812/04/16/pdfs/GRE-1812-48.pdf#page=8","Abrir facsímil")</f>
        <v>Abrir facsímil</v>
      </c>
      <c r="K5789" s="3" t="s">
        <v>23</v>
      </c>
    </row>
    <row r="5790" spans="1:11" ht="42" customHeight="1">
      <c r="A5790" s="2" t="s">
        <v>14664</v>
      </c>
      <c r="B5790" s="2" t="s">
        <v>14665</v>
      </c>
      <c r="C5790" s="2" t="s">
        <v>26</v>
      </c>
      <c r="D5790" s="2" t="s">
        <v>27</v>
      </c>
      <c r="E5790" s="4">
        <v>-31812</v>
      </c>
      <c r="F5790" s="3" t="s">
        <v>1533</v>
      </c>
      <c r="G5790" s="3" t="s">
        <v>3939</v>
      </c>
      <c r="H5790" s="2" t="s">
        <v>21</v>
      </c>
      <c r="I5790" s="2" t="s">
        <v>14666</v>
      </c>
      <c r="J5790" s="3" t="str">
        <f>HYPERLINK("https://www.boe.es/gazeta/dias/1812/11/24/pdfs/GMR-1812-37.pdf#page=6","Abrir facsímil")</f>
        <v>Abrir facsímil</v>
      </c>
      <c r="K5790" s="3" t="s">
        <v>23</v>
      </c>
    </row>
    <row r="5791" spans="1:11" ht="42" customHeight="1">
      <c r="A5791" s="2" t="s">
        <v>14667</v>
      </c>
      <c r="B5791" s="2" t="s">
        <v>14668</v>
      </c>
      <c r="C5791" s="2" t="s">
        <v>82</v>
      </c>
      <c r="D5791" s="2" t="s">
        <v>27</v>
      </c>
      <c r="E5791" s="4">
        <v>-31939</v>
      </c>
      <c r="F5791" s="3" t="s">
        <v>408</v>
      </c>
      <c r="G5791" s="3" t="s">
        <v>409</v>
      </c>
      <c r="H5791" s="2" t="s">
        <v>21</v>
      </c>
      <c r="I5791" s="2" t="s">
        <v>14669</v>
      </c>
      <c r="J5791" s="3" t="str">
        <f>HYPERLINK("https://www.boe.es/gazeta/dias/1812/07/20/pdfs/GMD-1812-202.pdf#page=3","Abrir facsímil")</f>
        <v>Abrir facsímil</v>
      </c>
      <c r="K5791" s="3" t="s">
        <v>23</v>
      </c>
    </row>
    <row r="5792" spans="1:11" ht="42" customHeight="1">
      <c r="A5792" s="2" t="s">
        <v>14670</v>
      </c>
      <c r="B5792" s="2" t="s">
        <v>14671</v>
      </c>
      <c r="C5792" s="2" t="s">
        <v>26</v>
      </c>
      <c r="D5792" s="2" t="s">
        <v>275</v>
      </c>
      <c r="E5792" s="4">
        <v>-32065</v>
      </c>
      <c r="F5792" s="3" t="s">
        <v>259</v>
      </c>
      <c r="G5792" s="3" t="s">
        <v>20</v>
      </c>
      <c r="H5792" s="2" t="s">
        <v>21</v>
      </c>
      <c r="I5792" s="2" t="s">
        <v>14672</v>
      </c>
      <c r="J5792" s="3" t="str">
        <f>HYPERLINK("https://www.boe.es/gazeta/dias/1812/03/16/pdfs/GMD-1812-76.pdf#page=4","Abrir facsímil")</f>
        <v>Abrir facsímil</v>
      </c>
      <c r="K5792" s="3" t="s">
        <v>23</v>
      </c>
    </row>
    <row r="5793" spans="1:11" ht="42" customHeight="1">
      <c r="A5793" s="2" t="s">
        <v>14673</v>
      </c>
      <c r="B5793" s="2" t="s">
        <v>14673</v>
      </c>
      <c r="C5793" s="2" t="s">
        <v>17</v>
      </c>
      <c r="D5793" s="2" t="s">
        <v>27</v>
      </c>
      <c r="E5793" s="4">
        <v>-31931</v>
      </c>
      <c r="F5793" s="3" t="s">
        <v>4174</v>
      </c>
      <c r="G5793" s="3" t="s">
        <v>6688</v>
      </c>
      <c r="H5793" s="2" t="s">
        <v>21</v>
      </c>
      <c r="I5793" s="2" t="s">
        <v>14674</v>
      </c>
      <c r="J5793" s="3" t="str">
        <f>HYPERLINK("https://www.boe.es/gazeta/dias/1812/07/28/pdfs/GRE-1812-94.pdf#page=6","Abrir facsímil")</f>
        <v>Abrir facsímil</v>
      </c>
      <c r="K5793" s="3" t="s">
        <v>23</v>
      </c>
    </row>
    <row r="5794" spans="1:11" ht="42" customHeight="1">
      <c r="A5794" s="2" t="s">
        <v>14673</v>
      </c>
      <c r="B5794" s="2" t="s">
        <v>14673</v>
      </c>
      <c r="C5794" s="2" t="s">
        <v>49</v>
      </c>
      <c r="D5794" s="2" t="s">
        <v>27</v>
      </c>
      <c r="E5794" s="4">
        <v>-31821</v>
      </c>
      <c r="F5794" s="3" t="s">
        <v>1979</v>
      </c>
      <c r="G5794" s="3" t="s">
        <v>1380</v>
      </c>
      <c r="H5794" s="2" t="s">
        <v>21</v>
      </c>
      <c r="I5794" s="2" t="s">
        <v>14675</v>
      </c>
      <c r="J5794" s="3" t="str">
        <f>HYPERLINK("https://www.boe.es/gazeta/dias/1812/11/15/pdfs/GMR-1812-34.pdf#page=8","Abrir facsímil")</f>
        <v>Abrir facsímil</v>
      </c>
      <c r="K5794" s="3" t="s">
        <v>23</v>
      </c>
    </row>
    <row r="5795" spans="1:11" ht="42" customHeight="1">
      <c r="A5795" s="2" t="s">
        <v>14676</v>
      </c>
      <c r="B5795" s="2" t="s">
        <v>14677</v>
      </c>
      <c r="C5795" s="2" t="s">
        <v>49</v>
      </c>
      <c r="D5795" s="2" t="s">
        <v>18</v>
      </c>
      <c r="E5795" s="4">
        <v>-31805</v>
      </c>
      <c r="F5795" s="3" t="s">
        <v>4346</v>
      </c>
      <c r="G5795" s="3" t="s">
        <v>1923</v>
      </c>
      <c r="H5795" s="2" t="s">
        <v>21</v>
      </c>
      <c r="I5795" s="2" t="s">
        <v>14678</v>
      </c>
      <c r="J5795" s="3" t="str">
        <f>HYPERLINK("https://www.boe.es/gazeta/dias/1812/12/01/pdfs/GRE-1812-159.pdf#page=6","Abrir facsímil")</f>
        <v>Abrir facsímil</v>
      </c>
      <c r="K5795" s="3" t="s">
        <v>23</v>
      </c>
    </row>
    <row r="5796" spans="1:11" ht="42" customHeight="1">
      <c r="A5796" s="2" t="s">
        <v>14679</v>
      </c>
      <c r="B5796" s="2" t="s">
        <v>14679</v>
      </c>
      <c r="C5796" s="2" t="s">
        <v>17</v>
      </c>
      <c r="D5796" s="2" t="s">
        <v>27</v>
      </c>
      <c r="E5796" s="4">
        <v>-32130</v>
      </c>
      <c r="F5796" s="3" t="s">
        <v>927</v>
      </c>
      <c r="G5796" s="3" t="s">
        <v>125</v>
      </c>
      <c r="H5796" s="2" t="s">
        <v>21</v>
      </c>
      <c r="I5796" s="2" t="s">
        <v>14680</v>
      </c>
      <c r="J5796" s="3" t="str">
        <f>HYPERLINK("https://www.boe.es/gazeta/dias/1812/01/11/pdfs/GMD-1812-11.pdf#page=2","Abrir facsímil")</f>
        <v>Abrir facsímil</v>
      </c>
      <c r="K5796" s="3" t="s">
        <v>23</v>
      </c>
    </row>
    <row r="5797" spans="1:11" ht="42" customHeight="1">
      <c r="A5797" s="2" t="s">
        <v>14681</v>
      </c>
      <c r="B5797" s="2" t="s">
        <v>14682</v>
      </c>
      <c r="C5797" s="2" t="s">
        <v>26</v>
      </c>
      <c r="D5797" s="2" t="s">
        <v>27</v>
      </c>
      <c r="E5797" s="4">
        <v>-31964</v>
      </c>
      <c r="F5797" s="3" t="s">
        <v>305</v>
      </c>
      <c r="G5797" s="3" t="s">
        <v>58</v>
      </c>
      <c r="H5797" s="2" t="s">
        <v>21</v>
      </c>
      <c r="I5797" s="2" t="s">
        <v>14683</v>
      </c>
      <c r="J5797" s="3" t="str">
        <f>HYPERLINK("https://www.boe.es/gazeta/dias/1812/06/25/pdfs/GMD-1812-177.pdf#page=2","Abrir facsímil")</f>
        <v>Abrir facsímil</v>
      </c>
      <c r="K5797" s="3" t="s">
        <v>23</v>
      </c>
    </row>
    <row r="5798" spans="1:11" ht="42" customHeight="1">
      <c r="A5798" s="2" t="s">
        <v>14684</v>
      </c>
      <c r="B5798" s="2" t="s">
        <v>14685</v>
      </c>
      <c r="C5798" s="2" t="s">
        <v>49</v>
      </c>
      <c r="D5798" s="2" t="s">
        <v>27</v>
      </c>
      <c r="E5798" s="4">
        <v>-32075</v>
      </c>
      <c r="F5798" s="3" t="s">
        <v>301</v>
      </c>
      <c r="G5798" s="3" t="s">
        <v>20</v>
      </c>
      <c r="H5798" s="2" t="s">
        <v>21</v>
      </c>
      <c r="I5798" s="2" t="s">
        <v>14686</v>
      </c>
      <c r="J5798" s="3" t="str">
        <f>HYPERLINK("https://www.boe.es/gazeta/dias/1812/03/06/pdfs/GMD-1812-66.pdf#page=4","Abrir facsímil")</f>
        <v>Abrir facsímil</v>
      </c>
      <c r="K5798" s="3" t="s">
        <v>23</v>
      </c>
    </row>
    <row r="5799" spans="1:11" ht="42" customHeight="1">
      <c r="A5799" s="2" t="s">
        <v>14687</v>
      </c>
      <c r="B5799" s="2" t="s">
        <v>14688</v>
      </c>
      <c r="C5799" s="2" t="s">
        <v>17</v>
      </c>
      <c r="D5799" s="2" t="s">
        <v>27</v>
      </c>
      <c r="E5799" s="4">
        <v>-32046</v>
      </c>
      <c r="F5799" s="3" t="s">
        <v>1013</v>
      </c>
      <c r="G5799" s="3" t="s">
        <v>1014</v>
      </c>
      <c r="H5799" s="2" t="s">
        <v>21</v>
      </c>
      <c r="I5799" s="2" t="s">
        <v>14689</v>
      </c>
      <c r="J5799" s="3" t="str">
        <f>HYPERLINK("https://www.boe.es/gazeta/dias/1812/04/04/pdfs/GRE-1812-42.pdf#page=4","Abrir facsímil")</f>
        <v>Abrir facsímil</v>
      </c>
      <c r="K5799" s="3" t="s">
        <v>23</v>
      </c>
    </row>
    <row r="5800" spans="1:11" ht="42" customHeight="1">
      <c r="A5800" s="2" t="s">
        <v>14690</v>
      </c>
      <c r="B5800" s="2" t="s">
        <v>14691</v>
      </c>
      <c r="C5800" s="2" t="s">
        <v>82</v>
      </c>
      <c r="D5800" s="2" t="s">
        <v>27</v>
      </c>
      <c r="E5800" s="4">
        <v>-32118</v>
      </c>
      <c r="F5800" s="3" t="s">
        <v>964</v>
      </c>
      <c r="G5800" s="3" t="s">
        <v>965</v>
      </c>
      <c r="H5800" s="2" t="s">
        <v>21</v>
      </c>
      <c r="I5800" s="2" t="s">
        <v>14692</v>
      </c>
      <c r="J5800" s="3" t="str">
        <f>HYPERLINK("https://www.boe.es/gazeta/dias/1812/01/23/pdfs/GEI-H-1812-10.pdf#page=4","Abrir facsímil")</f>
        <v>Abrir facsímil</v>
      </c>
      <c r="K5800" s="3" t="s">
        <v>23</v>
      </c>
    </row>
    <row r="5801" spans="1:11" ht="42" customHeight="1">
      <c r="A5801" s="2" t="s">
        <v>14693</v>
      </c>
      <c r="B5801" s="2" t="s">
        <v>14694</v>
      </c>
      <c r="C5801" s="2" t="s">
        <v>49</v>
      </c>
      <c r="D5801" s="2" t="s">
        <v>27</v>
      </c>
      <c r="E5801" s="4">
        <v>-32018</v>
      </c>
      <c r="F5801" s="3" t="s">
        <v>365</v>
      </c>
      <c r="G5801" s="3" t="s">
        <v>366</v>
      </c>
      <c r="H5801" s="2" t="s">
        <v>21</v>
      </c>
      <c r="I5801" s="2" t="s">
        <v>14695</v>
      </c>
      <c r="J5801" s="3" t="str">
        <f>HYPERLINK("https://www.boe.es/gazeta/dias/1812/05/02/pdfs/GRE-1812-55.pdf#page=3","Abrir facsímil")</f>
        <v>Abrir facsímil</v>
      </c>
      <c r="K5801" s="3" t="s">
        <v>23</v>
      </c>
    </row>
    <row r="5802" spans="1:11" ht="42" customHeight="1">
      <c r="A5802" s="2" t="s">
        <v>14696</v>
      </c>
      <c r="B5802" s="2" t="s">
        <v>14697</v>
      </c>
      <c r="C5802" s="2" t="s">
        <v>26</v>
      </c>
      <c r="D5802" s="2" t="s">
        <v>27</v>
      </c>
      <c r="E5802" s="4">
        <v>-32044</v>
      </c>
      <c r="F5802" s="3" t="s">
        <v>1031</v>
      </c>
      <c r="G5802" s="3" t="s">
        <v>20</v>
      </c>
      <c r="H5802" s="2" t="s">
        <v>21</v>
      </c>
      <c r="I5802" s="2" t="s">
        <v>14698</v>
      </c>
      <c r="J5802" s="3" t="str">
        <f>HYPERLINK("https://www.boe.es/gazeta/dias/1812/04/06/pdfs/GMD-1812-97.pdf#page=3","Abrir facsímil")</f>
        <v>Abrir facsímil</v>
      </c>
      <c r="K5802" s="3" t="s">
        <v>23</v>
      </c>
    </row>
    <row r="5803" spans="1:11" ht="42" customHeight="1">
      <c r="A5803" s="2" t="s">
        <v>14699</v>
      </c>
      <c r="B5803" s="2" t="s">
        <v>14699</v>
      </c>
      <c r="C5803" s="2" t="s">
        <v>17</v>
      </c>
      <c r="D5803" s="2" t="s">
        <v>275</v>
      </c>
      <c r="E5803" s="4">
        <v>-32107</v>
      </c>
      <c r="F5803" s="3" t="s">
        <v>9281</v>
      </c>
      <c r="G5803" s="3" t="s">
        <v>1631</v>
      </c>
      <c r="H5803" s="2" t="s">
        <v>21</v>
      </c>
      <c r="I5803" s="2" t="s">
        <v>14700</v>
      </c>
      <c r="J5803" s="3" t="str">
        <f>HYPERLINK("https://www.boe.es/gazeta/dias/1812/02/03/pdfs/GMD-1812-34.pdf#page=2","Abrir facsímil")</f>
        <v>Abrir facsímil</v>
      </c>
      <c r="K5803" s="3" t="s">
        <v>23</v>
      </c>
    </row>
    <row r="5804" spans="1:11" ht="42" customHeight="1">
      <c r="A5804" s="2" t="s">
        <v>14699</v>
      </c>
      <c r="B5804" s="2" t="s">
        <v>14699</v>
      </c>
      <c r="C5804" s="2" t="s">
        <v>17</v>
      </c>
      <c r="D5804" s="2" t="s">
        <v>275</v>
      </c>
      <c r="E5804" s="4">
        <v>-32106</v>
      </c>
      <c r="F5804" s="3" t="s">
        <v>9281</v>
      </c>
      <c r="G5804" s="3" t="s">
        <v>1631</v>
      </c>
      <c r="H5804" s="2" t="s">
        <v>21</v>
      </c>
      <c r="I5804" s="2" t="s">
        <v>14700</v>
      </c>
      <c r="J5804" s="3" t="str">
        <f>HYPERLINK("https://www.boe.es/gazeta/dias/1812/02/04/pdfs/GMD-1812-34.pdf#page=2","Abrir facsímil")</f>
        <v>Abrir facsímil</v>
      </c>
      <c r="K5804" s="3" t="s">
        <v>23</v>
      </c>
    </row>
    <row r="5805" spans="1:11" ht="42" customHeight="1">
      <c r="A5805" s="2" t="s">
        <v>14701</v>
      </c>
      <c r="B5805" s="2" t="s">
        <v>14702</v>
      </c>
      <c r="C5805" s="2" t="s">
        <v>17</v>
      </c>
      <c r="D5805" s="2" t="s">
        <v>18</v>
      </c>
      <c r="E5805" s="4">
        <v>-32015</v>
      </c>
      <c r="F5805" s="3" t="s">
        <v>77</v>
      </c>
      <c r="G5805" s="3" t="s">
        <v>78</v>
      </c>
      <c r="H5805" s="2" t="s">
        <v>21</v>
      </c>
      <c r="I5805" s="2" t="s">
        <v>14703</v>
      </c>
      <c r="J5805" s="3" t="str">
        <f>HYPERLINK("https://www.boe.es/gazeta/dias/1812/05/05/pdfs/GRE-1812-56.pdf#page=8","Abrir facsímil")</f>
        <v>Abrir facsímil</v>
      </c>
      <c r="K5805" s="3" t="s">
        <v>23</v>
      </c>
    </row>
    <row r="5806" spans="1:11" ht="42" customHeight="1">
      <c r="A5806" s="2" t="s">
        <v>14704</v>
      </c>
      <c r="B5806" s="2" t="s">
        <v>14705</v>
      </c>
      <c r="C5806" s="2" t="s">
        <v>26</v>
      </c>
      <c r="D5806" s="2" t="s">
        <v>27</v>
      </c>
      <c r="E5806" s="4">
        <v>-31822</v>
      </c>
      <c r="F5806" s="3" t="s">
        <v>541</v>
      </c>
      <c r="G5806" s="3" t="s">
        <v>3583</v>
      </c>
      <c r="H5806" s="2" t="s">
        <v>21</v>
      </c>
      <c r="I5806" s="2" t="s">
        <v>14706</v>
      </c>
      <c r="J5806" s="3" t="str">
        <f>HYPERLINK("https://www.boe.es/gazeta/dias/1812/11/14/pdfs/GRE-1812-152.pdf#page=6","Abrir facsímil")</f>
        <v>Abrir facsímil</v>
      </c>
      <c r="K5806" s="3" t="s">
        <v>23</v>
      </c>
    </row>
    <row r="5807" spans="1:11" ht="42" customHeight="1">
      <c r="A5807" s="2" t="s">
        <v>14707</v>
      </c>
      <c r="B5807" s="2" t="s">
        <v>14708</v>
      </c>
      <c r="C5807" s="2" t="s">
        <v>26</v>
      </c>
      <c r="D5807" s="2" t="s">
        <v>27</v>
      </c>
      <c r="E5807" s="4">
        <v>-32097</v>
      </c>
      <c r="F5807" s="3" t="s">
        <v>3797</v>
      </c>
      <c r="G5807" s="3" t="s">
        <v>196</v>
      </c>
      <c r="H5807" s="2" t="s">
        <v>21</v>
      </c>
      <c r="I5807" s="2" t="s">
        <v>14709</v>
      </c>
      <c r="J5807" s="3" t="str">
        <f>HYPERLINK("https://www.boe.es/gazeta/dias/1812/02/13/pdfs/GRE-1812-19.pdf#page=1","Abrir facsímil")</f>
        <v>Abrir facsímil</v>
      </c>
      <c r="K5807" s="3" t="s">
        <v>23</v>
      </c>
    </row>
    <row r="5808" spans="1:11" ht="42" customHeight="1">
      <c r="A5808" s="2" t="s">
        <v>14710</v>
      </c>
      <c r="B5808" s="2" t="s">
        <v>14710</v>
      </c>
      <c r="C5808" s="2" t="s">
        <v>26</v>
      </c>
      <c r="D5808" s="2" t="s">
        <v>27</v>
      </c>
      <c r="E5808" s="4">
        <v>-31791</v>
      </c>
      <c r="F5808" s="3" t="s">
        <v>1668</v>
      </c>
      <c r="G5808" s="3" t="s">
        <v>1852</v>
      </c>
      <c r="H5808" s="2" t="s">
        <v>21</v>
      </c>
      <c r="I5808" s="2" t="s">
        <v>14711</v>
      </c>
      <c r="J5808" s="3" t="str">
        <f>HYPERLINK("https://www.boe.es/gazeta/dias/1812/12/15/pdfs/GMD-1812-238.pdf#page=2","Abrir facsímil")</f>
        <v>Abrir facsímil</v>
      </c>
      <c r="K5808" s="3" t="s">
        <v>23</v>
      </c>
    </row>
    <row r="5809" spans="1:11" ht="42" customHeight="1">
      <c r="A5809" s="2" t="s">
        <v>14712</v>
      </c>
      <c r="B5809" s="2" t="s">
        <v>14713</v>
      </c>
      <c r="C5809" s="2" t="s">
        <v>26</v>
      </c>
      <c r="D5809" s="2" t="s">
        <v>27</v>
      </c>
      <c r="E5809" s="4">
        <v>-32011</v>
      </c>
      <c r="F5809" s="3" t="s">
        <v>1656</v>
      </c>
      <c r="G5809" s="3" t="s">
        <v>777</v>
      </c>
      <c r="H5809" s="2" t="s">
        <v>21</v>
      </c>
      <c r="I5809" s="2" t="s">
        <v>14714</v>
      </c>
      <c r="J5809" s="3" t="str">
        <f>HYPERLINK("https://www.boe.es/gazeta/dias/1812/05/09/pdfs/GMD-1812-130.pdf#page=2","Abrir facsímil")</f>
        <v>Abrir facsímil</v>
      </c>
      <c r="K5809" s="3" t="s">
        <v>23</v>
      </c>
    </row>
    <row r="5810" spans="1:11" ht="42" customHeight="1">
      <c r="A5810" s="2" t="s">
        <v>14715</v>
      </c>
      <c r="B5810" s="2" t="s">
        <v>14716</v>
      </c>
      <c r="C5810" s="2" t="s">
        <v>26</v>
      </c>
      <c r="D5810" s="2" t="s">
        <v>27</v>
      </c>
      <c r="E5810" s="4">
        <v>-32090</v>
      </c>
      <c r="F5810" s="3" t="s">
        <v>142</v>
      </c>
      <c r="G5810" s="3" t="s">
        <v>29</v>
      </c>
      <c r="H5810" s="2" t="s">
        <v>21</v>
      </c>
      <c r="I5810" s="2" t="s">
        <v>14717</v>
      </c>
      <c r="J5810" s="3" t="str">
        <f>HYPERLINK("https://www.boe.es/gazeta/dias/1812/02/20/pdfs/GRE-1812-22.pdf#page=8","Abrir facsímil")</f>
        <v>Abrir facsímil</v>
      </c>
      <c r="K5810" s="3" t="s">
        <v>23</v>
      </c>
    </row>
    <row r="5811" spans="1:11" ht="42" customHeight="1">
      <c r="A5811" s="2" t="s">
        <v>14718</v>
      </c>
      <c r="B5811" s="2" t="s">
        <v>14719</v>
      </c>
      <c r="C5811" s="2" t="s">
        <v>26</v>
      </c>
      <c r="D5811" s="2" t="s">
        <v>27</v>
      </c>
      <c r="E5811" s="4">
        <v>-31957</v>
      </c>
      <c r="F5811" s="3" t="s">
        <v>598</v>
      </c>
      <c r="G5811" s="3" t="s">
        <v>599</v>
      </c>
      <c r="H5811" s="2" t="s">
        <v>21</v>
      </c>
      <c r="I5811" s="2" t="s">
        <v>14720</v>
      </c>
      <c r="J5811" s="3" t="str">
        <f>HYPERLINK("https://www.boe.es/gazeta/dias/1812/07/02/pdfs/GMD-1812-184.pdf#page=2","Abrir facsímil")</f>
        <v>Abrir facsímil</v>
      </c>
      <c r="K5811" s="3" t="s">
        <v>23</v>
      </c>
    </row>
    <row r="5812" spans="1:11" ht="42" customHeight="1">
      <c r="A5812" s="2" t="s">
        <v>14721</v>
      </c>
      <c r="B5812" s="2" t="s">
        <v>14722</v>
      </c>
      <c r="C5812" s="2" t="s">
        <v>26</v>
      </c>
      <c r="D5812" s="2" t="s">
        <v>27</v>
      </c>
      <c r="E5812" s="4">
        <v>-31964</v>
      </c>
      <c r="F5812" s="3" t="s">
        <v>305</v>
      </c>
      <c r="G5812" s="3" t="s">
        <v>58</v>
      </c>
      <c r="H5812" s="2" t="s">
        <v>21</v>
      </c>
      <c r="I5812" s="2" t="s">
        <v>14723</v>
      </c>
      <c r="J5812" s="3" t="str">
        <f>HYPERLINK("https://www.boe.es/gazeta/dias/1812/06/25/pdfs/GMD-1812-177.pdf#page=2","Abrir facsímil")</f>
        <v>Abrir facsímil</v>
      </c>
      <c r="K5812" s="3" t="s">
        <v>23</v>
      </c>
    </row>
    <row r="5813" spans="1:11" ht="42" customHeight="1">
      <c r="A5813" s="2" t="s">
        <v>14721</v>
      </c>
      <c r="B5813" s="2" t="s">
        <v>14722</v>
      </c>
      <c r="C5813" s="2" t="s">
        <v>26</v>
      </c>
      <c r="D5813" s="2" t="s">
        <v>27</v>
      </c>
      <c r="E5813" s="4">
        <v>-31957</v>
      </c>
      <c r="F5813" s="3" t="s">
        <v>598</v>
      </c>
      <c r="G5813" s="3" t="s">
        <v>599</v>
      </c>
      <c r="H5813" s="2" t="s">
        <v>21</v>
      </c>
      <c r="I5813" s="2" t="s">
        <v>14724</v>
      </c>
      <c r="J5813" s="3" t="str">
        <f>HYPERLINK("https://www.boe.es/gazeta/dias/1812/07/02/pdfs/GMD-1812-184.pdf#page=2","Abrir facsímil")</f>
        <v>Abrir facsímil</v>
      </c>
      <c r="K5813" s="3" t="s">
        <v>23</v>
      </c>
    </row>
    <row r="5814" spans="1:11" ht="42" customHeight="1">
      <c r="A5814" s="2" t="s">
        <v>14725</v>
      </c>
      <c r="B5814" s="2" t="s">
        <v>14726</v>
      </c>
      <c r="C5814" s="2" t="s">
        <v>17</v>
      </c>
      <c r="D5814" s="2" t="s">
        <v>27</v>
      </c>
      <c r="E5814" s="4">
        <v>-32015</v>
      </c>
      <c r="F5814" s="3" t="s">
        <v>77</v>
      </c>
      <c r="G5814" s="3" t="s">
        <v>78</v>
      </c>
      <c r="H5814" s="2" t="s">
        <v>21</v>
      </c>
      <c r="I5814" s="2" t="s">
        <v>14727</v>
      </c>
      <c r="J5814" s="3" t="str">
        <f>HYPERLINK("https://www.boe.es/gazeta/dias/1812/05/05/pdfs/GRE-1812-56.pdf#page=8","Abrir facsímil")</f>
        <v>Abrir facsímil</v>
      </c>
      <c r="K5814" s="3" t="s">
        <v>23</v>
      </c>
    </row>
    <row r="5815" spans="1:11" ht="42" customHeight="1">
      <c r="A5815" s="2" t="s">
        <v>14725</v>
      </c>
      <c r="B5815" s="2" t="s">
        <v>14726</v>
      </c>
      <c r="C5815" s="2" t="s">
        <v>186</v>
      </c>
      <c r="D5815" s="2" t="s">
        <v>275</v>
      </c>
      <c r="E5815" s="4">
        <v>-31922</v>
      </c>
      <c r="F5815" s="3" t="s">
        <v>375</v>
      </c>
      <c r="G5815" s="3" t="s">
        <v>986</v>
      </c>
      <c r="H5815" s="2" t="s">
        <v>21</v>
      </c>
      <c r="I5815" s="2" t="s">
        <v>14728</v>
      </c>
      <c r="J5815" s="3" t="str">
        <f>HYPERLINK("https://www.boe.es/gazeta/dias/1812/08/06/pdfs/GRE-1812-100.pdf#page=8","Abrir facsímil")</f>
        <v>Abrir facsímil</v>
      </c>
      <c r="K5815" s="3" t="s">
        <v>23</v>
      </c>
    </row>
    <row r="5816" spans="1:11" ht="42" customHeight="1">
      <c r="A5816" s="2" t="s">
        <v>14729</v>
      </c>
      <c r="B5816" s="2" t="s">
        <v>14730</v>
      </c>
      <c r="C5816" s="2" t="s">
        <v>26</v>
      </c>
      <c r="D5816" s="2" t="s">
        <v>27</v>
      </c>
      <c r="E5816" s="4">
        <v>-31964</v>
      </c>
      <c r="F5816" s="3" t="s">
        <v>305</v>
      </c>
      <c r="G5816" s="3" t="s">
        <v>58</v>
      </c>
      <c r="H5816" s="2" t="s">
        <v>21</v>
      </c>
      <c r="I5816" s="2" t="s">
        <v>14731</v>
      </c>
      <c r="J5816" s="3" t="str">
        <f>HYPERLINK("https://www.boe.es/gazeta/dias/1812/06/25/pdfs/GMD-1812-177.pdf#page=2","Abrir facsímil")</f>
        <v>Abrir facsímil</v>
      </c>
      <c r="K5816" s="3" t="s">
        <v>23</v>
      </c>
    </row>
    <row r="5817" spans="1:11" ht="42" customHeight="1">
      <c r="A5817" s="2" t="s">
        <v>14732</v>
      </c>
      <c r="B5817" s="2" t="s">
        <v>14733</v>
      </c>
      <c r="C5817" s="2" t="s">
        <v>105</v>
      </c>
      <c r="D5817" s="2" t="s">
        <v>27</v>
      </c>
      <c r="E5817" s="4">
        <v>-32130</v>
      </c>
      <c r="F5817" s="3" t="s">
        <v>927</v>
      </c>
      <c r="G5817" s="3" t="s">
        <v>130</v>
      </c>
      <c r="H5817" s="2" t="s">
        <v>21</v>
      </c>
      <c r="I5817" s="2" t="s">
        <v>14734</v>
      </c>
      <c r="J5817" s="3" t="str">
        <f>HYPERLINK("https://www.boe.es/gazeta/dias/1812/01/11/pdfs/GMD-1812-11.pdf#page=4","Abrir facsímil")</f>
        <v>Abrir facsímil</v>
      </c>
      <c r="K5817" s="3" t="s">
        <v>23</v>
      </c>
    </row>
    <row r="5818" spans="1:11" ht="42" customHeight="1">
      <c r="A5818" s="2" t="s">
        <v>14735</v>
      </c>
      <c r="B5818" s="2" t="s">
        <v>14736</v>
      </c>
      <c r="C5818" s="2" t="s">
        <v>105</v>
      </c>
      <c r="D5818" s="2" t="s">
        <v>27</v>
      </c>
      <c r="E5818" s="4">
        <v>-31922</v>
      </c>
      <c r="F5818" s="3" t="s">
        <v>375</v>
      </c>
      <c r="G5818" s="3" t="s">
        <v>986</v>
      </c>
      <c r="H5818" s="2" t="s">
        <v>21</v>
      </c>
      <c r="I5818" s="2" t="s">
        <v>14737</v>
      </c>
      <c r="J5818" s="3" t="str">
        <f>HYPERLINK("https://www.boe.es/gazeta/dias/1812/08/06/pdfs/GRE-1812-100.pdf#page=8","Abrir facsímil")</f>
        <v>Abrir facsímil</v>
      </c>
      <c r="K5818" s="3" t="s">
        <v>23</v>
      </c>
    </row>
    <row r="5819" spans="1:11" ht="42" customHeight="1">
      <c r="A5819" s="2" t="s">
        <v>14738</v>
      </c>
      <c r="B5819" s="2" t="s">
        <v>14739</v>
      </c>
      <c r="C5819" s="2" t="s">
        <v>26</v>
      </c>
      <c r="D5819" s="2" t="s">
        <v>27</v>
      </c>
      <c r="E5819" s="4">
        <v>-31976</v>
      </c>
      <c r="F5819" s="3" t="s">
        <v>54</v>
      </c>
      <c r="G5819" s="3" t="s">
        <v>55</v>
      </c>
      <c r="H5819" s="2" t="s">
        <v>21</v>
      </c>
      <c r="I5819" s="2" t="s">
        <v>14740</v>
      </c>
      <c r="J5819" s="3" t="str">
        <f>HYPERLINK("https://www.boe.es/gazeta/dias/1812/06/13/pdfs/GRE-1812-73.pdf#page=6","Abrir facsímil")</f>
        <v>Abrir facsímil</v>
      </c>
      <c r="K5819" s="3" t="s">
        <v>23</v>
      </c>
    </row>
    <row r="5820" spans="1:11" ht="42" customHeight="1">
      <c r="A5820" s="2" t="s">
        <v>14741</v>
      </c>
      <c r="B5820" s="2" t="s">
        <v>14742</v>
      </c>
      <c r="C5820" s="2" t="s">
        <v>26</v>
      </c>
      <c r="D5820" s="2" t="s">
        <v>573</v>
      </c>
      <c r="E5820" s="4">
        <v>-31900</v>
      </c>
      <c r="F5820" s="3" t="s">
        <v>276</v>
      </c>
      <c r="G5820" s="3" t="s">
        <v>277</v>
      </c>
      <c r="H5820" s="2" t="s">
        <v>21</v>
      </c>
      <c r="I5820" s="2" t="s">
        <v>14743</v>
      </c>
      <c r="J5820" s="3" t="str">
        <f>HYPERLINK("https://www.boe.es/gazeta/dias/1812/08/28/pdfs/GRE-1812-113E.pdf#page=8","Abrir facsímil")</f>
        <v>Abrir facsímil</v>
      </c>
      <c r="K5820" s="3" t="s">
        <v>23</v>
      </c>
    </row>
    <row r="5821" spans="1:11" ht="42" customHeight="1">
      <c r="A5821" s="2" t="s">
        <v>14744</v>
      </c>
      <c r="B5821" s="2" t="s">
        <v>14745</v>
      </c>
      <c r="C5821" s="2" t="s">
        <v>26</v>
      </c>
      <c r="D5821" s="2" t="s">
        <v>27</v>
      </c>
      <c r="E5821" s="4">
        <v>-32013</v>
      </c>
      <c r="F5821" s="3" t="s">
        <v>849</v>
      </c>
      <c r="G5821" s="3" t="s">
        <v>6831</v>
      </c>
      <c r="H5821" s="2" t="s">
        <v>21</v>
      </c>
      <c r="I5821" s="2" t="s">
        <v>14746</v>
      </c>
      <c r="J5821" s="3" t="str">
        <f>HYPERLINK("https://www.boe.es/gazeta/dias/1812/05/07/pdfs/GRE-1812-57.pdf#page=3","Abrir facsímil")</f>
        <v>Abrir facsímil</v>
      </c>
      <c r="K5821" s="3" t="s">
        <v>23</v>
      </c>
    </row>
    <row r="5822" spans="1:11" ht="42" customHeight="1">
      <c r="A5822" s="2" t="s">
        <v>14747</v>
      </c>
      <c r="B5822" s="2" t="s">
        <v>14748</v>
      </c>
      <c r="C5822" s="2" t="s">
        <v>17</v>
      </c>
      <c r="D5822" s="2" t="s">
        <v>27</v>
      </c>
      <c r="E5822" s="4">
        <v>-31991</v>
      </c>
      <c r="F5822" s="3" t="s">
        <v>663</v>
      </c>
      <c r="G5822" s="3" t="s">
        <v>45</v>
      </c>
      <c r="H5822" s="2" t="s">
        <v>21</v>
      </c>
      <c r="I5822" s="2" t="s">
        <v>14749</v>
      </c>
      <c r="J5822" s="3" t="str">
        <f>HYPERLINK("https://www.boe.es/gazeta/dias/1812/05/29/pdfs/GMD-1812-150.pdf#page=3","Abrir facsímil")</f>
        <v>Abrir facsímil</v>
      </c>
      <c r="K5822" s="3" t="s">
        <v>23</v>
      </c>
    </row>
    <row r="5823" spans="1:11" ht="42" customHeight="1">
      <c r="A5823" s="2" t="s">
        <v>14750</v>
      </c>
      <c r="B5823" s="2" t="s">
        <v>14751</v>
      </c>
      <c r="C5823" s="2" t="s">
        <v>26</v>
      </c>
      <c r="D5823" s="2" t="s">
        <v>27</v>
      </c>
      <c r="E5823" s="4">
        <v>-32075</v>
      </c>
      <c r="F5823" s="3" t="s">
        <v>301</v>
      </c>
      <c r="G5823" s="3" t="s">
        <v>20</v>
      </c>
      <c r="H5823" s="2" t="s">
        <v>21</v>
      </c>
      <c r="I5823" s="2" t="s">
        <v>14752</v>
      </c>
      <c r="J5823" s="3" t="str">
        <f>HYPERLINK("https://www.boe.es/gazeta/dias/1812/03/06/pdfs/GMD-1812-66.pdf#page=4","Abrir facsímil")</f>
        <v>Abrir facsímil</v>
      </c>
      <c r="K5823" s="3" t="s">
        <v>23</v>
      </c>
    </row>
    <row r="5824" spans="1:11" ht="42" customHeight="1">
      <c r="A5824" s="2" t="s">
        <v>14750</v>
      </c>
      <c r="B5824" s="2" t="s">
        <v>14751</v>
      </c>
      <c r="C5824" s="2" t="s">
        <v>26</v>
      </c>
      <c r="D5824" s="2" t="s">
        <v>573</v>
      </c>
      <c r="E5824" s="4">
        <v>-31900</v>
      </c>
      <c r="F5824" s="3" t="s">
        <v>276</v>
      </c>
      <c r="G5824" s="3" t="s">
        <v>277</v>
      </c>
      <c r="H5824" s="2" t="s">
        <v>21</v>
      </c>
      <c r="I5824" s="2" t="s">
        <v>14753</v>
      </c>
      <c r="J5824" s="3" t="str">
        <f>HYPERLINK("https://www.boe.es/gazeta/dias/1812/08/28/pdfs/GRE-1812-113E.pdf#page=8","Abrir facsímil")</f>
        <v>Abrir facsímil</v>
      </c>
      <c r="K5824" s="3" t="s">
        <v>23</v>
      </c>
    </row>
    <row r="5825" spans="1:11" ht="42" customHeight="1">
      <c r="A5825" s="2" t="s">
        <v>14754</v>
      </c>
      <c r="B5825" s="2" t="s">
        <v>14755</v>
      </c>
      <c r="C5825" s="2" t="s">
        <v>26</v>
      </c>
      <c r="D5825" s="2" t="s">
        <v>27</v>
      </c>
      <c r="E5825" s="4">
        <v>-32114</v>
      </c>
      <c r="F5825" s="3" t="s">
        <v>480</v>
      </c>
      <c r="G5825" s="3" t="s">
        <v>481</v>
      </c>
      <c r="H5825" s="2" t="s">
        <v>21</v>
      </c>
      <c r="I5825" s="2" t="s">
        <v>14756</v>
      </c>
      <c r="J5825" s="3" t="str">
        <f>HYPERLINK("https://www.boe.es/gazeta/dias/1812/01/27/pdfs/GMD-1812-27.pdf#page=4","Abrir facsímil")</f>
        <v>Abrir facsímil</v>
      </c>
      <c r="K5825" s="3" t="s">
        <v>23</v>
      </c>
    </row>
    <row r="5826" spans="1:11" ht="42" customHeight="1">
      <c r="A5826" s="2" t="s">
        <v>14757</v>
      </c>
      <c r="B5826" s="2" t="s">
        <v>14757</v>
      </c>
      <c r="C5826" s="2" t="s">
        <v>17</v>
      </c>
      <c r="D5826" s="2" t="s">
        <v>27</v>
      </c>
      <c r="E5826" s="4">
        <v>-31819</v>
      </c>
      <c r="F5826" s="3" t="s">
        <v>1856</v>
      </c>
      <c r="G5826" s="3" t="s">
        <v>45</v>
      </c>
      <c r="H5826" s="2" t="s">
        <v>21</v>
      </c>
      <c r="I5826" s="2" t="s">
        <v>14758</v>
      </c>
      <c r="J5826" s="3" t="str">
        <f>HYPERLINK("https://www.boe.es/gazeta/dias/1812/11/17/pdfs/GMR-1812-35.pdf#page=4","Abrir facsímil")</f>
        <v>Abrir facsímil</v>
      </c>
      <c r="K5826" s="3" t="s">
        <v>23</v>
      </c>
    </row>
    <row r="5827" spans="1:11" ht="42" customHeight="1">
      <c r="A5827" s="2" t="s">
        <v>14759</v>
      </c>
      <c r="B5827" s="2" t="s">
        <v>14760</v>
      </c>
      <c r="C5827" s="2" t="s">
        <v>82</v>
      </c>
      <c r="D5827" s="2" t="s">
        <v>27</v>
      </c>
      <c r="E5827" s="4">
        <v>-31969</v>
      </c>
      <c r="F5827" s="3" t="s">
        <v>83</v>
      </c>
      <c r="G5827" s="3" t="s">
        <v>84</v>
      </c>
      <c r="H5827" s="2" t="s">
        <v>21</v>
      </c>
      <c r="I5827" s="2" t="s">
        <v>14761</v>
      </c>
      <c r="J5827" s="3" t="str">
        <f>HYPERLINK("https://www.boe.es/gazeta/dias/1812/06/20/pdfs/GRE-1812-76.pdf#page=8","Abrir facsímil")</f>
        <v>Abrir facsímil</v>
      </c>
      <c r="K5827" s="3" t="s">
        <v>23</v>
      </c>
    </row>
    <row r="5828" spans="1:11" ht="42" customHeight="1">
      <c r="A5828" s="2" t="s">
        <v>14759</v>
      </c>
      <c r="B5828" s="2" t="s">
        <v>14760</v>
      </c>
      <c r="C5828" s="2" t="s">
        <v>26</v>
      </c>
      <c r="D5828" s="2" t="s">
        <v>27</v>
      </c>
      <c r="E5828" s="4">
        <v>-31938</v>
      </c>
      <c r="F5828" s="3" t="s">
        <v>370</v>
      </c>
      <c r="G5828" s="3" t="s">
        <v>371</v>
      </c>
      <c r="H5828" s="2" t="s">
        <v>21</v>
      </c>
      <c r="I5828" s="2" t="s">
        <v>14762</v>
      </c>
      <c r="J5828" s="3" t="str">
        <f>HYPERLINK("https://www.boe.es/gazeta/dias/1812/07/21/pdfs/GRE-1812-91.pdf#page=8","Abrir facsímil")</f>
        <v>Abrir facsímil</v>
      </c>
      <c r="K5828" s="3" t="s">
        <v>23</v>
      </c>
    </row>
    <row r="5829" spans="1:11" ht="42" customHeight="1">
      <c r="A5829" s="2" t="s">
        <v>14763</v>
      </c>
      <c r="B5829" s="2" t="s">
        <v>14764</v>
      </c>
      <c r="C5829" s="2" t="s">
        <v>549</v>
      </c>
      <c r="D5829" s="2" t="s">
        <v>27</v>
      </c>
      <c r="E5829" s="4">
        <v>-32074</v>
      </c>
      <c r="F5829" s="3" t="s">
        <v>816</v>
      </c>
      <c r="G5829" s="3" t="s">
        <v>777</v>
      </c>
      <c r="H5829" s="2" t="s">
        <v>21</v>
      </c>
      <c r="I5829" s="2" t="s">
        <v>14765</v>
      </c>
      <c r="J5829" s="3" t="str">
        <f>HYPERLINK("https://www.boe.es/gazeta/dias/1812/03/07/pdfs/GRE-1812-30.pdf#page=8","Abrir facsímil")</f>
        <v>Abrir facsímil</v>
      </c>
      <c r="K5829" s="3" t="s">
        <v>23</v>
      </c>
    </row>
    <row r="5830" spans="1:11" ht="42" customHeight="1">
      <c r="A5830" s="2" t="s">
        <v>14766</v>
      </c>
      <c r="B5830" s="2" t="s">
        <v>14767</v>
      </c>
      <c r="C5830" s="2" t="s">
        <v>186</v>
      </c>
      <c r="D5830" s="2" t="s">
        <v>275</v>
      </c>
      <c r="E5830" s="4">
        <v>-31983</v>
      </c>
      <c r="F5830" s="3" t="s">
        <v>1437</v>
      </c>
      <c r="G5830" s="3" t="s">
        <v>1438</v>
      </c>
      <c r="H5830" s="2" t="s">
        <v>21</v>
      </c>
      <c r="I5830" s="2" t="s">
        <v>14768</v>
      </c>
      <c r="J5830" s="3" t="str">
        <f>HYPERLINK("https://www.boe.es/gazeta/dias/1812/06/06/pdfs/GRE-F-1812-70.pdf#page=4","Abrir facsímil")</f>
        <v>Abrir facsímil</v>
      </c>
      <c r="K5830" s="3" t="s">
        <v>23</v>
      </c>
    </row>
    <row r="5831" spans="1:11" ht="42" customHeight="1">
      <c r="A5831" s="2" t="s">
        <v>14769</v>
      </c>
      <c r="B5831" s="2" t="s">
        <v>14769</v>
      </c>
      <c r="C5831" s="2" t="s">
        <v>17</v>
      </c>
      <c r="D5831" s="2" t="s">
        <v>27</v>
      </c>
      <c r="E5831" s="4">
        <v>-31843</v>
      </c>
      <c r="F5831" s="3" t="s">
        <v>3493</v>
      </c>
      <c r="G5831" s="3" t="s">
        <v>136</v>
      </c>
      <c r="H5831" s="2" t="s">
        <v>21</v>
      </c>
      <c r="I5831" s="2" t="s">
        <v>14770</v>
      </c>
      <c r="J5831" s="3" t="str">
        <f>HYPERLINK("https://www.boe.es/gazeta/dias/1812/10/24/pdfs/GMR-1812-31.pdf#page=4","Abrir facsímil")</f>
        <v>Abrir facsímil</v>
      </c>
      <c r="K5831" s="3" t="s">
        <v>23</v>
      </c>
    </row>
    <row r="5832" spans="1:11" ht="42" customHeight="1">
      <c r="A5832" s="2" t="s">
        <v>14769</v>
      </c>
      <c r="B5832" s="2" t="s">
        <v>14769</v>
      </c>
      <c r="C5832" s="2" t="s">
        <v>17</v>
      </c>
      <c r="D5832" s="2" t="s">
        <v>18</v>
      </c>
      <c r="E5832" s="4">
        <v>-31782</v>
      </c>
      <c r="F5832" s="3" t="s">
        <v>4408</v>
      </c>
      <c r="G5832" s="3" t="s">
        <v>514</v>
      </c>
      <c r="H5832" s="2" t="s">
        <v>21</v>
      </c>
      <c r="I5832" s="2" t="s">
        <v>14771</v>
      </c>
      <c r="J5832" s="3" t="str">
        <f>HYPERLINK("https://www.boe.es/gazeta/dias/1812/12/24/pdfs/GMD-1812-247.pdf#page=3","Abrir facsímil")</f>
        <v>Abrir facsímil</v>
      </c>
      <c r="K5832" s="3" t="s">
        <v>23</v>
      </c>
    </row>
    <row r="5833" spans="1:11" ht="42" customHeight="1">
      <c r="A5833" s="2" t="s">
        <v>14769</v>
      </c>
      <c r="B5833" s="2" t="s">
        <v>14769</v>
      </c>
      <c r="C5833" s="2" t="s">
        <v>17</v>
      </c>
      <c r="D5833" s="2" t="s">
        <v>27</v>
      </c>
      <c r="E5833" s="4">
        <v>-31782</v>
      </c>
      <c r="F5833" s="3" t="s">
        <v>4408</v>
      </c>
      <c r="G5833" s="3" t="s">
        <v>4409</v>
      </c>
      <c r="H5833" s="2" t="s">
        <v>21</v>
      </c>
      <c r="I5833" s="2" t="s">
        <v>14772</v>
      </c>
      <c r="J5833" s="3" t="str">
        <f>HYPERLINK("https://www.boe.es/gazeta/dias/1812/12/24/pdfs/GMD-1812-247.pdf#page=4","Abrir facsímil")</f>
        <v>Abrir facsímil</v>
      </c>
      <c r="K5833" s="3" t="s">
        <v>23</v>
      </c>
    </row>
    <row r="5834" spans="1:11" ht="42" customHeight="1">
      <c r="A5834" s="2" t="s">
        <v>14773</v>
      </c>
      <c r="B5834" s="2" t="s">
        <v>14774</v>
      </c>
      <c r="C5834" s="2" t="s">
        <v>26</v>
      </c>
      <c r="D5834" s="2" t="s">
        <v>573</v>
      </c>
      <c r="E5834" s="4">
        <v>-31874</v>
      </c>
      <c r="F5834" s="3" t="s">
        <v>1697</v>
      </c>
      <c r="G5834" s="3" t="s">
        <v>1698</v>
      </c>
      <c r="H5834" s="2" t="s">
        <v>21</v>
      </c>
      <c r="I5834" s="2" t="s">
        <v>14775</v>
      </c>
      <c r="J5834" s="3" t="str">
        <f>HYPERLINK("https://www.boe.es/gazeta/dias/1812/09/23/pdfs/GRE-1812-129E.pdf#page=3","Abrir facsímil")</f>
        <v>Abrir facsímil</v>
      </c>
      <c r="K5834" s="3" t="s">
        <v>23</v>
      </c>
    </row>
    <row r="5835" spans="1:11" ht="42" customHeight="1">
      <c r="A5835" s="2" t="s">
        <v>14776</v>
      </c>
      <c r="B5835" s="2" t="s">
        <v>14777</v>
      </c>
      <c r="C5835" s="2" t="s">
        <v>105</v>
      </c>
      <c r="D5835" s="2" t="s">
        <v>27</v>
      </c>
      <c r="E5835" s="4">
        <v>-31940</v>
      </c>
      <c r="F5835" s="3" t="s">
        <v>187</v>
      </c>
      <c r="G5835" s="3" t="s">
        <v>45</v>
      </c>
      <c r="H5835" s="2" t="s">
        <v>21</v>
      </c>
      <c r="I5835" s="2" t="s">
        <v>14778</v>
      </c>
      <c r="J5835" s="3" t="str">
        <f>HYPERLINK("https://www.boe.es/gazeta/dias/1812/07/19/pdfs/GMD-1812-201.pdf#page=2","Abrir facsímil")</f>
        <v>Abrir facsímil</v>
      </c>
      <c r="K5835" s="3" t="s">
        <v>23</v>
      </c>
    </row>
    <row r="5836" spans="1:11" ht="42" customHeight="1">
      <c r="A5836" s="2" t="s">
        <v>14779</v>
      </c>
      <c r="B5836" s="2" t="s">
        <v>14779</v>
      </c>
      <c r="C5836" s="2" t="s">
        <v>17</v>
      </c>
      <c r="D5836" s="2" t="s">
        <v>27</v>
      </c>
      <c r="E5836" s="4">
        <v>-31871</v>
      </c>
      <c r="F5836" s="3" t="s">
        <v>1399</v>
      </c>
      <c r="G5836" s="3" t="s">
        <v>237</v>
      </c>
      <c r="H5836" s="2" t="s">
        <v>21</v>
      </c>
      <c r="I5836" s="2" t="s">
        <v>14780</v>
      </c>
      <c r="J5836" s="3" t="str">
        <f>HYPERLINK("https://www.boe.es/gazeta/dias/1812/09/26/pdfs/GMR-1812-19.pdf#page=2","Abrir facsímil")</f>
        <v>Abrir facsímil</v>
      </c>
      <c r="K5836" s="3" t="s">
        <v>23</v>
      </c>
    </row>
    <row r="5837" spans="1:11" ht="42" customHeight="1">
      <c r="A5837" s="2" t="s">
        <v>14781</v>
      </c>
      <c r="B5837" s="2" t="s">
        <v>14782</v>
      </c>
      <c r="C5837" s="2" t="s">
        <v>26</v>
      </c>
      <c r="D5837" s="2" t="s">
        <v>27</v>
      </c>
      <c r="E5837" s="4">
        <v>-31854</v>
      </c>
      <c r="F5837" s="3" t="s">
        <v>1574</v>
      </c>
      <c r="G5837" s="3" t="s">
        <v>1700</v>
      </c>
      <c r="H5837" s="2" t="s">
        <v>21</v>
      </c>
      <c r="I5837" s="2" t="s">
        <v>14783</v>
      </c>
      <c r="J5837" s="3" t="str">
        <f>HYPERLINK("https://www.boe.es/gazeta/dias/1812/10/13/pdfs/GMR-1812-26.pdf#page=4","Abrir facsímil")</f>
        <v>Abrir facsímil</v>
      </c>
      <c r="K5837" s="3" t="s">
        <v>23</v>
      </c>
    </row>
    <row r="5838" spans="1:11" ht="42" customHeight="1">
      <c r="A5838" s="2" t="s">
        <v>14784</v>
      </c>
      <c r="B5838" s="2" t="s">
        <v>14785</v>
      </c>
      <c r="C5838" s="2" t="s">
        <v>26</v>
      </c>
      <c r="D5838" s="2" t="s">
        <v>275</v>
      </c>
      <c r="E5838" s="4">
        <v>-32034</v>
      </c>
      <c r="F5838" s="3" t="s">
        <v>28</v>
      </c>
      <c r="G5838" s="3" t="s">
        <v>794</v>
      </c>
      <c r="H5838" s="2" t="s">
        <v>21</v>
      </c>
      <c r="I5838" s="2" t="s">
        <v>14786</v>
      </c>
      <c r="J5838" s="3" t="str">
        <f>HYPERLINK("https://www.boe.es/gazeta/dias/1812/04/16/pdfs/GMD-1812-107.pdf#page=7","Abrir facsímil")</f>
        <v>Abrir facsímil</v>
      </c>
      <c r="K5838" s="3" t="s">
        <v>23</v>
      </c>
    </row>
    <row r="5839" spans="1:11" ht="42" customHeight="1">
      <c r="A5839" s="2" t="s">
        <v>14787</v>
      </c>
      <c r="B5839" s="2" t="s">
        <v>14787</v>
      </c>
      <c r="C5839" s="2" t="s">
        <v>26</v>
      </c>
      <c r="D5839" s="2" t="s">
        <v>275</v>
      </c>
      <c r="E5839" s="4">
        <v>-31875</v>
      </c>
      <c r="F5839" s="3" t="s">
        <v>708</v>
      </c>
      <c r="G5839" s="3" t="s">
        <v>514</v>
      </c>
      <c r="H5839" s="2" t="s">
        <v>21</v>
      </c>
      <c r="I5839" s="2" t="s">
        <v>14788</v>
      </c>
      <c r="J5839" s="3" t="str">
        <f>HYPERLINK("https://www.boe.es/gazeta/dias/1812/09/22/pdfs/GMR-1812-17.pdf#page=5","Abrir facsímil")</f>
        <v>Abrir facsímil</v>
      </c>
      <c r="K5839" s="3" t="s">
        <v>23</v>
      </c>
    </row>
    <row r="5840" spans="1:11" ht="42" customHeight="1">
      <c r="A5840" s="2" t="s">
        <v>14789</v>
      </c>
      <c r="B5840" s="2" t="s">
        <v>14790</v>
      </c>
      <c r="C5840" s="2" t="s">
        <v>26</v>
      </c>
      <c r="D5840" s="2" t="s">
        <v>27</v>
      </c>
      <c r="E5840" s="4">
        <v>-32015</v>
      </c>
      <c r="F5840" s="3" t="s">
        <v>77</v>
      </c>
      <c r="G5840" s="3" t="s">
        <v>78</v>
      </c>
      <c r="H5840" s="2" t="s">
        <v>30</v>
      </c>
      <c r="I5840" s="2" t="s">
        <v>14791</v>
      </c>
      <c r="J5840" s="3" t="str">
        <f>HYPERLINK("https://www.boe.es/gazeta/dias/1812/05/05/pdfs/GRE-1812-56.pdf#page=8","Abrir facsímil")</f>
        <v>Abrir facsímil</v>
      </c>
      <c r="K5840" s="3" t="s">
        <v>32</v>
      </c>
    </row>
    <row r="5841" spans="1:11" ht="42" customHeight="1">
      <c r="A5841" s="2" t="s">
        <v>14792</v>
      </c>
      <c r="B5841" s="2" t="s">
        <v>14792</v>
      </c>
      <c r="C5841" s="2" t="s">
        <v>26</v>
      </c>
      <c r="D5841" s="2" t="s">
        <v>27</v>
      </c>
      <c r="E5841" s="4">
        <v>-31816</v>
      </c>
      <c r="F5841" s="3" t="s">
        <v>270</v>
      </c>
      <c r="G5841" s="3" t="s">
        <v>140</v>
      </c>
      <c r="H5841" s="2" t="s">
        <v>21</v>
      </c>
      <c r="I5841" s="2" t="s">
        <v>14793</v>
      </c>
      <c r="J5841" s="3" t="str">
        <f>HYPERLINK("https://www.boe.es/gazeta/dias/1812/11/20/pdfs/GMR-1812-36.pdf#page=2","Abrir facsímil")</f>
        <v>Abrir facsímil</v>
      </c>
      <c r="K5841" s="3" t="s">
        <v>23</v>
      </c>
    </row>
    <row r="5842" spans="1:11" ht="42" customHeight="1">
      <c r="A5842" s="2" t="s">
        <v>14794</v>
      </c>
      <c r="B5842" s="2" t="s">
        <v>14794</v>
      </c>
      <c r="C5842" s="2" t="s">
        <v>17</v>
      </c>
      <c r="D5842" s="2" t="s">
        <v>18</v>
      </c>
      <c r="E5842" s="4">
        <v>-32004</v>
      </c>
      <c r="F5842" s="3" t="s">
        <v>148</v>
      </c>
      <c r="G5842" s="3" t="s">
        <v>149</v>
      </c>
      <c r="H5842" s="2" t="s">
        <v>21</v>
      </c>
      <c r="I5842" s="2" t="s">
        <v>14795</v>
      </c>
      <c r="J5842" s="3" t="str">
        <f>HYPERLINK("https://www.boe.es/gazeta/dias/1812/05/16/pdfs/GRE-1812-61.pdf#page=3","Abrir facsímil")</f>
        <v>Abrir facsímil</v>
      </c>
      <c r="K5842" s="3" t="s">
        <v>23</v>
      </c>
    </row>
    <row r="5843" spans="1:11" ht="42" customHeight="1">
      <c r="A5843" s="2" t="s">
        <v>14796</v>
      </c>
      <c r="B5843" s="2" t="s">
        <v>14797</v>
      </c>
      <c r="C5843" s="2" t="s">
        <v>26</v>
      </c>
      <c r="D5843" s="2" t="s">
        <v>27</v>
      </c>
      <c r="E5843" s="4">
        <v>-32001</v>
      </c>
      <c r="F5843" s="3" t="s">
        <v>1938</v>
      </c>
      <c r="G5843" s="3" t="s">
        <v>1939</v>
      </c>
      <c r="H5843" s="2" t="s">
        <v>21</v>
      </c>
      <c r="I5843" s="2" t="s">
        <v>14798</v>
      </c>
      <c r="J5843" s="3" t="str">
        <f>HYPERLINK("https://www.boe.es/gazeta/dias/1812/05/19/pdfs/GRE-1812-62.pdf#page=7","Abrir facsímil")</f>
        <v>Abrir facsímil</v>
      </c>
      <c r="K5843" s="3" t="s">
        <v>23</v>
      </c>
    </row>
    <row r="5844" spans="1:11" ht="42" customHeight="1">
      <c r="A5844" s="2" t="s">
        <v>14799</v>
      </c>
      <c r="B5844" s="2" t="s">
        <v>14800</v>
      </c>
      <c r="C5844" s="2" t="s">
        <v>26</v>
      </c>
      <c r="D5844" s="2" t="s">
        <v>27</v>
      </c>
      <c r="E5844" s="4">
        <v>-31833</v>
      </c>
      <c r="F5844" s="3" t="s">
        <v>267</v>
      </c>
      <c r="G5844" s="3" t="s">
        <v>268</v>
      </c>
      <c r="H5844" s="2" t="s">
        <v>21</v>
      </c>
      <c r="I5844" s="2" t="s">
        <v>14801</v>
      </c>
      <c r="J5844" s="3" t="str">
        <f>HYPERLINK("https://www.boe.es/gazeta/dias/1812/11/03/pdfs/GRE-1812-147.pdf#page=8","Abrir facsímil")</f>
        <v>Abrir facsímil</v>
      </c>
      <c r="K5844" s="3" t="s">
        <v>23</v>
      </c>
    </row>
    <row r="5845" spans="1:11" ht="42" customHeight="1">
      <c r="A5845" s="2" t="s">
        <v>14799</v>
      </c>
      <c r="B5845" s="2" t="s">
        <v>14800</v>
      </c>
      <c r="C5845" s="2" t="s">
        <v>26</v>
      </c>
      <c r="D5845" s="2" t="s">
        <v>27</v>
      </c>
      <c r="E5845" s="4">
        <v>-31816</v>
      </c>
      <c r="F5845" s="3" t="s">
        <v>270</v>
      </c>
      <c r="G5845" s="3" t="s">
        <v>271</v>
      </c>
      <c r="H5845" s="2" t="s">
        <v>21</v>
      </c>
      <c r="I5845" s="2" t="s">
        <v>14802</v>
      </c>
      <c r="J5845" s="3" t="str">
        <f>HYPERLINK("https://www.boe.es/gazeta/dias/1812/11/20/pdfs/GMR-1812-36.pdf#page=6","Abrir facsímil")</f>
        <v>Abrir facsímil</v>
      </c>
      <c r="K5845" s="3" t="s">
        <v>23</v>
      </c>
    </row>
    <row r="5846" spans="1:11" ht="42" customHeight="1">
      <c r="A5846" s="2" t="s">
        <v>14803</v>
      </c>
      <c r="B5846" s="2" t="s">
        <v>14804</v>
      </c>
      <c r="C5846" s="2" t="s">
        <v>186</v>
      </c>
      <c r="D5846" s="2" t="s">
        <v>27</v>
      </c>
      <c r="E5846" s="4">
        <v>-32130</v>
      </c>
      <c r="F5846" s="3" t="s">
        <v>927</v>
      </c>
      <c r="G5846" s="3" t="s">
        <v>130</v>
      </c>
      <c r="H5846" s="2" t="s">
        <v>21</v>
      </c>
      <c r="I5846" s="2" t="s">
        <v>14805</v>
      </c>
      <c r="J5846" s="3" t="str">
        <f>HYPERLINK("https://www.boe.es/gazeta/dias/1812/01/11/pdfs/GMD-1812-11.pdf#page=4","Abrir facsímil")</f>
        <v>Abrir facsímil</v>
      </c>
      <c r="K5846" s="3" t="s">
        <v>23</v>
      </c>
    </row>
    <row r="5847" spans="1:11" ht="42" customHeight="1">
      <c r="A5847" s="2" t="s">
        <v>14806</v>
      </c>
      <c r="B5847" s="2" t="s">
        <v>14807</v>
      </c>
      <c r="C5847" s="2" t="s">
        <v>26</v>
      </c>
      <c r="D5847" s="2" t="s">
        <v>27</v>
      </c>
      <c r="E5847" s="4">
        <v>-32022</v>
      </c>
      <c r="F5847" s="3" t="s">
        <v>1186</v>
      </c>
      <c r="G5847" s="3" t="s">
        <v>336</v>
      </c>
      <c r="H5847" s="2" t="s">
        <v>21</v>
      </c>
      <c r="I5847" s="2" t="s">
        <v>14808</v>
      </c>
      <c r="J5847" s="3" t="str">
        <f>HYPERLINK("https://www.boe.es/gazeta/dias/1812/04/28/pdfs/GRE-1812-53.pdf#page=8","Abrir facsímil")</f>
        <v>Abrir facsímil</v>
      </c>
      <c r="K5847" s="3" t="s">
        <v>23</v>
      </c>
    </row>
    <row r="5848" spans="1:11" ht="42" customHeight="1">
      <c r="A5848" s="2" t="s">
        <v>14809</v>
      </c>
      <c r="B5848" s="2" t="s">
        <v>14810</v>
      </c>
      <c r="C5848" s="2" t="s">
        <v>17</v>
      </c>
      <c r="D5848" s="2" t="s">
        <v>27</v>
      </c>
      <c r="E5848" s="4">
        <v>-32132</v>
      </c>
      <c r="F5848" s="3" t="s">
        <v>484</v>
      </c>
      <c r="G5848" s="3" t="s">
        <v>485</v>
      </c>
      <c r="H5848" s="2" t="s">
        <v>21</v>
      </c>
      <c r="I5848" s="2" t="s">
        <v>14811</v>
      </c>
      <c r="J5848" s="3" t="str">
        <f>HYPERLINK("https://www.boe.es/gazeta/dias/1812/01/09/pdfs/GEI-1812-4.pdf#page=8","Abrir facsímil")</f>
        <v>Abrir facsímil</v>
      </c>
      <c r="K5848" s="3" t="s">
        <v>23</v>
      </c>
    </row>
    <row r="5849" spans="1:11" ht="42" customHeight="1">
      <c r="A5849" s="2" t="s">
        <v>14809</v>
      </c>
      <c r="B5849" s="2" t="s">
        <v>14810</v>
      </c>
      <c r="C5849" s="2" t="s">
        <v>17</v>
      </c>
      <c r="D5849" s="2" t="s">
        <v>27</v>
      </c>
      <c r="E5849" s="4">
        <v>-32064</v>
      </c>
      <c r="F5849" s="3" t="s">
        <v>12333</v>
      </c>
      <c r="G5849" s="3" t="s">
        <v>994</v>
      </c>
      <c r="H5849" s="2" t="s">
        <v>21</v>
      </c>
      <c r="I5849" s="2" t="s">
        <v>14812</v>
      </c>
      <c r="J5849" s="3" t="str">
        <f>HYPERLINK("https://www.boe.es/gazeta/dias/1812/03/17/pdfs/GRE-1812-34.pdf#page=8","Abrir facsímil")</f>
        <v>Abrir facsímil</v>
      </c>
      <c r="K5849" s="3" t="s">
        <v>23</v>
      </c>
    </row>
    <row r="5850" spans="1:11" ht="42" customHeight="1">
      <c r="A5850" s="2" t="s">
        <v>14813</v>
      </c>
      <c r="B5850" s="2" t="s">
        <v>14814</v>
      </c>
      <c r="C5850" s="2" t="s">
        <v>26</v>
      </c>
      <c r="D5850" s="2" t="s">
        <v>27</v>
      </c>
      <c r="E5850" s="4">
        <v>-32109</v>
      </c>
      <c r="F5850" s="3" t="s">
        <v>62</v>
      </c>
      <c r="G5850" s="3" t="s">
        <v>106</v>
      </c>
      <c r="H5850" s="2" t="s">
        <v>21</v>
      </c>
      <c r="I5850" s="2" t="s">
        <v>14815</v>
      </c>
      <c r="J5850" s="3" t="str">
        <f>HYPERLINK("https://www.boe.es/gazeta/dias/1812/02/01/pdfs/GRE-1812-14.pdf#page=11","Abrir facsímil")</f>
        <v>Abrir facsímil</v>
      </c>
      <c r="K5850" s="3" t="s">
        <v>23</v>
      </c>
    </row>
    <row r="5851" spans="1:11" ht="42" customHeight="1">
      <c r="A5851" s="2" t="s">
        <v>14816</v>
      </c>
      <c r="B5851" s="2" t="s">
        <v>14817</v>
      </c>
      <c r="C5851" s="2" t="s">
        <v>26</v>
      </c>
      <c r="D5851" s="2" t="s">
        <v>27</v>
      </c>
      <c r="E5851" s="4">
        <v>-32034</v>
      </c>
      <c r="F5851" s="3" t="s">
        <v>1008</v>
      </c>
      <c r="G5851" s="3" t="s">
        <v>1009</v>
      </c>
      <c r="H5851" s="2" t="s">
        <v>21</v>
      </c>
      <c r="I5851" s="2" t="s">
        <v>14818</v>
      </c>
      <c r="J5851" s="3" t="str">
        <f>HYPERLINK("https://www.boe.es/gazeta/dias/1812/04/16/pdfs/GRE-1812-48.pdf#page=8","Abrir facsímil")</f>
        <v>Abrir facsímil</v>
      </c>
      <c r="K5851" s="3" t="s">
        <v>23</v>
      </c>
    </row>
    <row r="5852" spans="1:11" ht="42" customHeight="1">
      <c r="A5852" s="2" t="s">
        <v>14819</v>
      </c>
      <c r="B5852" s="2" t="s">
        <v>14820</v>
      </c>
      <c r="C5852" s="2" t="s">
        <v>26</v>
      </c>
      <c r="D5852" s="2" t="s">
        <v>27</v>
      </c>
      <c r="E5852" s="4">
        <v>-32018</v>
      </c>
      <c r="F5852" s="3" t="s">
        <v>365</v>
      </c>
      <c r="G5852" s="3" t="s">
        <v>392</v>
      </c>
      <c r="H5852" s="2" t="s">
        <v>21</v>
      </c>
      <c r="I5852" s="2" t="s">
        <v>14821</v>
      </c>
      <c r="J5852" s="3" t="str">
        <f>HYPERLINK("https://www.boe.es/gazeta/dias/1812/05/02/pdfs/GRE-1812-55.pdf#page=2","Abrir facsímil")</f>
        <v>Abrir facsímil</v>
      </c>
      <c r="K5852" s="3" t="s">
        <v>23</v>
      </c>
    </row>
    <row r="5853" spans="1:11" ht="42" customHeight="1">
      <c r="A5853" s="2" t="s">
        <v>14822</v>
      </c>
      <c r="B5853" s="2" t="s">
        <v>14823</v>
      </c>
      <c r="C5853" s="2" t="s">
        <v>26</v>
      </c>
      <c r="D5853" s="2" t="s">
        <v>27</v>
      </c>
      <c r="E5853" s="4">
        <v>-31939</v>
      </c>
      <c r="F5853" s="3" t="s">
        <v>408</v>
      </c>
      <c r="G5853" s="3" t="s">
        <v>20</v>
      </c>
      <c r="H5853" s="2" t="s">
        <v>21</v>
      </c>
      <c r="I5853" s="2" t="s">
        <v>14824</v>
      </c>
      <c r="J5853" s="3" t="str">
        <f>HYPERLINK("https://www.boe.es/gazeta/dias/1812/07/20/pdfs/GMD-1812-202.pdf#page=4","Abrir facsímil")</f>
        <v>Abrir facsímil</v>
      </c>
      <c r="K5853" s="3" t="s">
        <v>23</v>
      </c>
    </row>
    <row r="5854" spans="1:11" ht="42" customHeight="1">
      <c r="A5854" s="2" t="s">
        <v>14822</v>
      </c>
      <c r="B5854" s="2" t="s">
        <v>14823</v>
      </c>
      <c r="C5854" s="2" t="s">
        <v>26</v>
      </c>
      <c r="D5854" s="2" t="s">
        <v>27</v>
      </c>
      <c r="E5854" s="4">
        <v>-31938</v>
      </c>
      <c r="F5854" s="3" t="s">
        <v>324</v>
      </c>
      <c r="G5854" s="3" t="s">
        <v>404</v>
      </c>
      <c r="H5854" s="2" t="s">
        <v>21</v>
      </c>
      <c r="I5854" s="2" t="s">
        <v>14825</v>
      </c>
      <c r="J5854" s="3" t="str">
        <f>HYPERLINK("https://www.boe.es/gazeta/dias/1812/07/21/pdfs/GMD-1812-203.pdf#page=4","Abrir facsímil")</f>
        <v>Abrir facsímil</v>
      </c>
      <c r="K5854" s="3" t="s">
        <v>23</v>
      </c>
    </row>
    <row r="5855" spans="1:11" ht="42" customHeight="1">
      <c r="A5855" s="2" t="s">
        <v>14826</v>
      </c>
      <c r="B5855" s="2" t="s">
        <v>14827</v>
      </c>
      <c r="C5855" s="2" t="s">
        <v>17</v>
      </c>
      <c r="D5855" s="2" t="s">
        <v>27</v>
      </c>
      <c r="E5855" s="4">
        <v>-32123</v>
      </c>
      <c r="F5855" s="3" t="s">
        <v>2642</v>
      </c>
      <c r="G5855" s="3" t="s">
        <v>20</v>
      </c>
      <c r="H5855" s="2" t="s">
        <v>21</v>
      </c>
      <c r="I5855" s="2" t="s">
        <v>14828</v>
      </c>
      <c r="J5855" s="3" t="str">
        <f>HYPERLINK("https://www.boe.es/gazeta/dias/1812/01/18/pdfs/GMD-1812-18.pdf#page=4","Abrir facsímil")</f>
        <v>Abrir facsímil</v>
      </c>
      <c r="K5855" s="3" t="s">
        <v>23</v>
      </c>
    </row>
    <row r="5856" spans="1:11" ht="42" customHeight="1">
      <c r="A5856" s="2" t="s">
        <v>14829</v>
      </c>
      <c r="B5856" s="2" t="s">
        <v>14830</v>
      </c>
      <c r="C5856" s="2" t="s">
        <v>26</v>
      </c>
      <c r="D5856" s="2" t="s">
        <v>27</v>
      </c>
      <c r="E5856" s="4">
        <v>-32125</v>
      </c>
      <c r="F5856" s="3" t="s">
        <v>335</v>
      </c>
      <c r="G5856" s="3" t="s">
        <v>336</v>
      </c>
      <c r="H5856" s="2" t="s">
        <v>21</v>
      </c>
      <c r="I5856" s="2" t="s">
        <v>14831</v>
      </c>
      <c r="J5856" s="3" t="str">
        <f>HYPERLINK("https://www.boe.es/gazeta/dias/1812/01/16/pdfs/GEI-1812-7.pdf#page=8","Abrir facsímil")</f>
        <v>Abrir facsímil</v>
      </c>
      <c r="K5856" s="3" t="s">
        <v>23</v>
      </c>
    </row>
    <row r="5857" spans="1:11" ht="42" customHeight="1">
      <c r="A5857" s="2" t="s">
        <v>14832</v>
      </c>
      <c r="B5857" s="2" t="s">
        <v>14833</v>
      </c>
      <c r="C5857" s="2" t="s">
        <v>26</v>
      </c>
      <c r="D5857" s="2" t="s">
        <v>27</v>
      </c>
      <c r="E5857" s="4">
        <v>-31963</v>
      </c>
      <c r="F5857" s="3" t="s">
        <v>171</v>
      </c>
      <c r="G5857" s="3" t="s">
        <v>172</v>
      </c>
      <c r="H5857" s="2" t="s">
        <v>21</v>
      </c>
      <c r="I5857" s="2" t="s">
        <v>14834</v>
      </c>
      <c r="J5857" s="3" t="str">
        <f>HYPERLINK("https://www.boe.es/gazeta/dias/1812/06/26/pdfs/GMD-1812-178.pdf#page=3","Abrir facsímil")</f>
        <v>Abrir facsímil</v>
      </c>
      <c r="K5857" s="3" t="s">
        <v>23</v>
      </c>
    </row>
    <row r="5858" spans="1:11" ht="42" customHeight="1">
      <c r="A5858" s="2" t="s">
        <v>14835</v>
      </c>
      <c r="B5858" s="2" t="s">
        <v>14836</v>
      </c>
      <c r="C5858" s="2" t="s">
        <v>26</v>
      </c>
      <c r="D5858" s="2" t="s">
        <v>27</v>
      </c>
      <c r="E5858" s="4">
        <v>-31969</v>
      </c>
      <c r="F5858" s="3" t="s">
        <v>83</v>
      </c>
      <c r="G5858" s="3" t="s">
        <v>84</v>
      </c>
      <c r="H5858" s="2" t="s">
        <v>21</v>
      </c>
      <c r="I5858" s="2" t="s">
        <v>14837</v>
      </c>
      <c r="J5858" s="3" t="str">
        <f>HYPERLINK("https://www.boe.es/gazeta/dias/1812/06/20/pdfs/GRE-1812-76.pdf#page=8","Abrir facsímil")</f>
        <v>Abrir facsímil</v>
      </c>
      <c r="K5858" s="3" t="s">
        <v>23</v>
      </c>
    </row>
    <row r="5859" spans="1:11" ht="42" customHeight="1">
      <c r="A5859" s="2" t="s">
        <v>14835</v>
      </c>
      <c r="B5859" s="2" t="s">
        <v>14836</v>
      </c>
      <c r="C5859" s="2" t="s">
        <v>17</v>
      </c>
      <c r="D5859" s="2" t="s">
        <v>18</v>
      </c>
      <c r="E5859" s="4">
        <v>-31938</v>
      </c>
      <c r="F5859" s="3" t="s">
        <v>370</v>
      </c>
      <c r="G5859" s="3" t="s">
        <v>371</v>
      </c>
      <c r="H5859" s="2" t="s">
        <v>21</v>
      </c>
      <c r="I5859" s="2" t="s">
        <v>14838</v>
      </c>
      <c r="J5859" s="3" t="str">
        <f>HYPERLINK("https://www.boe.es/gazeta/dias/1812/07/21/pdfs/GRE-1812-91.pdf#page=8","Abrir facsímil")</f>
        <v>Abrir facsímil</v>
      </c>
      <c r="K5859" s="3" t="s">
        <v>23</v>
      </c>
    </row>
    <row r="5860" spans="1:11" ht="42" customHeight="1">
      <c r="A5860" s="2" t="s">
        <v>14839</v>
      </c>
      <c r="B5860" s="2" t="s">
        <v>14840</v>
      </c>
      <c r="C5860" s="2" t="s">
        <v>26</v>
      </c>
      <c r="D5860" s="2" t="s">
        <v>27</v>
      </c>
      <c r="E5860" s="4">
        <v>-32002</v>
      </c>
      <c r="F5860" s="3" t="s">
        <v>619</v>
      </c>
      <c r="G5860" s="3" t="s">
        <v>620</v>
      </c>
      <c r="H5860" s="2" t="s">
        <v>21</v>
      </c>
      <c r="I5860" s="2" t="s">
        <v>14841</v>
      </c>
      <c r="J5860" s="3" t="str">
        <f>HYPERLINK("https://www.boe.es/gazeta/dias/1812/05/18/pdfs/GMD-1812-139.pdf#page=2","Abrir facsímil")</f>
        <v>Abrir facsímil</v>
      </c>
      <c r="K5860" s="3" t="s">
        <v>23</v>
      </c>
    </row>
    <row r="5861" spans="1:11" ht="42" customHeight="1">
      <c r="A5861" s="2" t="s">
        <v>14842</v>
      </c>
      <c r="B5861" s="2" t="s">
        <v>14843</v>
      </c>
      <c r="C5861" s="2" t="s">
        <v>17</v>
      </c>
      <c r="D5861" s="2" t="s">
        <v>27</v>
      </c>
      <c r="E5861" s="4">
        <v>-31922</v>
      </c>
      <c r="F5861" s="3" t="s">
        <v>375</v>
      </c>
      <c r="G5861" s="3" t="s">
        <v>986</v>
      </c>
      <c r="H5861" s="2" t="s">
        <v>21</v>
      </c>
      <c r="I5861" s="2" t="s">
        <v>14844</v>
      </c>
      <c r="J5861" s="3" t="str">
        <f>HYPERLINK("https://www.boe.es/gazeta/dias/1812/08/06/pdfs/GRE-1812-100.pdf#page=8","Abrir facsímil")</f>
        <v>Abrir facsímil</v>
      </c>
      <c r="K5861" s="3" t="s">
        <v>23</v>
      </c>
    </row>
    <row r="5862" spans="1:11" ht="42" customHeight="1">
      <c r="A5862" s="2" t="s">
        <v>14845</v>
      </c>
      <c r="B5862" s="2" t="s">
        <v>14846</v>
      </c>
      <c r="C5862" s="2" t="s">
        <v>26</v>
      </c>
      <c r="D5862" s="2" t="s">
        <v>27</v>
      </c>
      <c r="E5862" s="4">
        <v>-32139</v>
      </c>
      <c r="F5862" s="3" t="s">
        <v>518</v>
      </c>
      <c r="G5862" s="3" t="s">
        <v>125</v>
      </c>
      <c r="H5862" s="2" t="s">
        <v>21</v>
      </c>
      <c r="I5862" s="2" t="s">
        <v>14847</v>
      </c>
      <c r="J5862" s="3" t="str">
        <f>HYPERLINK("https://www.boe.es/gazeta/dias/1812/01/02/pdfs/GEI-1812-1.pdf#page=8","Abrir facsímil")</f>
        <v>Abrir facsímil</v>
      </c>
      <c r="K5862" s="3" t="s">
        <v>23</v>
      </c>
    </row>
    <row r="5863" spans="1:11" ht="42" customHeight="1">
      <c r="A5863" s="2" t="s">
        <v>14848</v>
      </c>
      <c r="B5863" s="2" t="s">
        <v>14849</v>
      </c>
      <c r="C5863" s="2" t="s">
        <v>26</v>
      </c>
      <c r="D5863" s="2" t="s">
        <v>27</v>
      </c>
      <c r="E5863" s="4">
        <v>-32002</v>
      </c>
      <c r="F5863" s="3" t="s">
        <v>619</v>
      </c>
      <c r="G5863" s="3" t="s">
        <v>620</v>
      </c>
      <c r="H5863" s="2" t="s">
        <v>21</v>
      </c>
      <c r="I5863" s="2" t="s">
        <v>14850</v>
      </c>
      <c r="J5863" s="3" t="str">
        <f>HYPERLINK("https://www.boe.es/gazeta/dias/1812/05/18/pdfs/GMD-1812-139.pdf#page=2","Abrir facsímil")</f>
        <v>Abrir facsímil</v>
      </c>
      <c r="K5863" s="3" t="s">
        <v>23</v>
      </c>
    </row>
    <row r="5864" spans="1:11" ht="42" customHeight="1">
      <c r="A5864" s="2" t="s">
        <v>14851</v>
      </c>
      <c r="B5864" s="2" t="s">
        <v>14852</v>
      </c>
      <c r="C5864" s="2" t="s">
        <v>26</v>
      </c>
      <c r="D5864" s="2" t="s">
        <v>27</v>
      </c>
      <c r="E5864" s="4">
        <v>-31938</v>
      </c>
      <c r="F5864" s="3" t="s">
        <v>324</v>
      </c>
      <c r="G5864" s="3" t="s">
        <v>404</v>
      </c>
      <c r="H5864" s="2" t="s">
        <v>21</v>
      </c>
      <c r="I5864" s="2" t="s">
        <v>14853</v>
      </c>
      <c r="J5864" s="3" t="str">
        <f>HYPERLINK("https://www.boe.es/gazeta/dias/1812/07/21/pdfs/GMD-1812-203.pdf#page=4","Abrir facsímil")</f>
        <v>Abrir facsímil</v>
      </c>
      <c r="K5864" s="3" t="s">
        <v>23</v>
      </c>
    </row>
    <row r="5865" spans="1:11" ht="42" customHeight="1">
      <c r="A5865" s="2" t="s">
        <v>14854</v>
      </c>
      <c r="B5865" s="2" t="s">
        <v>14855</v>
      </c>
      <c r="C5865" s="2" t="s">
        <v>26</v>
      </c>
      <c r="D5865" s="2" t="s">
        <v>27</v>
      </c>
      <c r="E5865" s="4">
        <v>-31939</v>
      </c>
      <c r="F5865" s="3" t="s">
        <v>408</v>
      </c>
      <c r="G5865" s="3" t="s">
        <v>404</v>
      </c>
      <c r="H5865" s="2" t="s">
        <v>21</v>
      </c>
      <c r="I5865" s="2" t="s">
        <v>14856</v>
      </c>
      <c r="J5865" s="3" t="str">
        <f>HYPERLINK("https://www.boe.es/gazeta/dias/1812/07/20/pdfs/GMD-1812-202.pdf#page=2","Abrir facsímil")</f>
        <v>Abrir facsímil</v>
      </c>
      <c r="K5865" s="3" t="s">
        <v>23</v>
      </c>
    </row>
    <row r="5866" spans="1:11" ht="42" customHeight="1">
      <c r="A5866" s="2" t="s">
        <v>14857</v>
      </c>
      <c r="B5866" s="2" t="s">
        <v>14857</v>
      </c>
      <c r="C5866" s="2" t="s">
        <v>17</v>
      </c>
      <c r="D5866" s="2" t="s">
        <v>18</v>
      </c>
      <c r="E5866" s="4">
        <v>-32118</v>
      </c>
      <c r="F5866" s="3" t="s">
        <v>1420</v>
      </c>
      <c r="G5866" s="3" t="s">
        <v>217</v>
      </c>
      <c r="H5866" s="2" t="s">
        <v>21</v>
      </c>
      <c r="I5866" s="2" t="s">
        <v>14858</v>
      </c>
      <c r="J5866" s="3" t="str">
        <f>HYPERLINK("https://www.boe.es/gazeta/dias/1812/01/23/pdfs/GEI-1812-10.pdf#page=5","Abrir facsímil")</f>
        <v>Abrir facsímil</v>
      </c>
      <c r="K5866" s="3" t="s">
        <v>23</v>
      </c>
    </row>
    <row r="5867" spans="1:11" ht="42" customHeight="1">
      <c r="A5867" s="2" t="s">
        <v>14859</v>
      </c>
      <c r="B5867" s="2" t="s">
        <v>14860</v>
      </c>
      <c r="C5867" s="2" t="s">
        <v>26</v>
      </c>
      <c r="D5867" s="2" t="s">
        <v>27</v>
      </c>
      <c r="E5867" s="4">
        <v>-32118</v>
      </c>
      <c r="F5867" s="3" t="s">
        <v>1420</v>
      </c>
      <c r="G5867" s="3" t="s">
        <v>2539</v>
      </c>
      <c r="H5867" s="2" t="s">
        <v>21</v>
      </c>
      <c r="I5867" s="2" t="s">
        <v>14861</v>
      </c>
      <c r="J5867" s="3" t="str">
        <f>HYPERLINK("https://www.boe.es/gazeta/dias/1812/01/23/pdfs/GEI-1812-10.pdf#page=6","Abrir facsímil")</f>
        <v>Abrir facsímil</v>
      </c>
      <c r="K5867" s="3" t="s">
        <v>23</v>
      </c>
    </row>
    <row r="5868" spans="1:11" ht="42" customHeight="1">
      <c r="A5868" s="2" t="s">
        <v>14862</v>
      </c>
      <c r="B5868" s="2" t="s">
        <v>14863</v>
      </c>
      <c r="C5868" s="2" t="s">
        <v>26</v>
      </c>
      <c r="D5868" s="2" t="s">
        <v>27</v>
      </c>
      <c r="E5868" s="4">
        <v>-32000</v>
      </c>
      <c r="F5868" s="3" t="s">
        <v>878</v>
      </c>
      <c r="G5868" s="3" t="s">
        <v>214</v>
      </c>
      <c r="H5868" s="2" t="s">
        <v>21</v>
      </c>
      <c r="I5868" s="2" t="s">
        <v>14864</v>
      </c>
      <c r="J5868" s="3" t="str">
        <f>HYPERLINK("https://www.boe.es/gazeta/dias/1812/05/20/pdfs/GMD-1812-141.pdf#page=2","Abrir facsímil")</f>
        <v>Abrir facsímil</v>
      </c>
      <c r="K5868" s="3" t="s">
        <v>23</v>
      </c>
    </row>
    <row r="5869" spans="1:11" ht="42" customHeight="1">
      <c r="A5869" s="2" t="s">
        <v>14865</v>
      </c>
      <c r="B5869" s="2" t="s">
        <v>14866</v>
      </c>
      <c r="C5869" s="2" t="s">
        <v>26</v>
      </c>
      <c r="D5869" s="2" t="s">
        <v>27</v>
      </c>
      <c r="E5869" s="4">
        <v>-32034</v>
      </c>
      <c r="F5869" s="3" t="s">
        <v>28</v>
      </c>
      <c r="G5869" s="3" t="s">
        <v>29</v>
      </c>
      <c r="H5869" s="2" t="s">
        <v>21</v>
      </c>
      <c r="I5869" s="2" t="s">
        <v>14867</v>
      </c>
      <c r="J5869" s="3" t="str">
        <f>HYPERLINK("https://www.boe.es/gazeta/dias/1812/04/16/pdfs/GMD-1812-107.pdf#page=8","Abrir facsímil")</f>
        <v>Abrir facsímil</v>
      </c>
      <c r="K5869" s="3" t="s">
        <v>23</v>
      </c>
    </row>
    <row r="5870" spans="1:11" ht="42" customHeight="1">
      <c r="A5870" s="2" t="s">
        <v>14868</v>
      </c>
      <c r="B5870" s="2" t="s">
        <v>14869</v>
      </c>
      <c r="C5870" s="2" t="s">
        <v>17</v>
      </c>
      <c r="D5870" s="2" t="s">
        <v>27</v>
      </c>
      <c r="E5870" s="4">
        <v>-32100</v>
      </c>
      <c r="F5870" s="3" t="s">
        <v>492</v>
      </c>
      <c r="G5870" s="3" t="s">
        <v>14870</v>
      </c>
      <c r="H5870" s="2" t="s">
        <v>21</v>
      </c>
      <c r="I5870" s="2" t="s">
        <v>14871</v>
      </c>
      <c r="J5870" s="3" t="str">
        <f>HYPERLINK("https://www.boe.es/gazeta/dias/1812/02/10/pdfs/GRE-1812-31.pdf#page=3","Abrir facsímil")</f>
        <v>Abrir facsímil</v>
      </c>
      <c r="K5870" s="3" t="s">
        <v>23</v>
      </c>
    </row>
    <row r="5871" spans="1:11" ht="42" customHeight="1">
      <c r="A5871" s="2" t="s">
        <v>14868</v>
      </c>
      <c r="B5871" s="2" t="s">
        <v>14869</v>
      </c>
      <c r="C5871" s="2" t="s">
        <v>17</v>
      </c>
      <c r="D5871" s="2" t="s">
        <v>27</v>
      </c>
      <c r="E5871" s="4">
        <v>-32071</v>
      </c>
      <c r="F5871" s="3" t="s">
        <v>492</v>
      </c>
      <c r="G5871" s="3" t="s">
        <v>14870</v>
      </c>
      <c r="H5871" s="2" t="s">
        <v>21</v>
      </c>
      <c r="I5871" s="2" t="s">
        <v>14871</v>
      </c>
      <c r="J5871" s="3" t="str">
        <f>HYPERLINK("https://www.boe.es/gazeta/dias/1812/03/10/pdfs/GRE-1812-31.pdf#page=3","Abrir facsímil")</f>
        <v>Abrir facsímil</v>
      </c>
      <c r="K5871" s="3" t="s">
        <v>23</v>
      </c>
    </row>
    <row r="5872" spans="1:11" ht="42" customHeight="1">
      <c r="A5872" s="2" t="s">
        <v>14872</v>
      </c>
      <c r="B5872" s="2" t="s">
        <v>14872</v>
      </c>
      <c r="C5872" s="2" t="s">
        <v>17</v>
      </c>
      <c r="D5872" s="2" t="s">
        <v>18</v>
      </c>
      <c r="E5872" s="4">
        <v>-31993</v>
      </c>
      <c r="F5872" s="3" t="s">
        <v>10410</v>
      </c>
      <c r="G5872" s="3" t="s">
        <v>237</v>
      </c>
      <c r="H5872" s="2" t="s">
        <v>21</v>
      </c>
      <c r="I5872" s="2" t="s">
        <v>14873</v>
      </c>
      <c r="J5872" s="3" t="str">
        <f>HYPERLINK("https://www.boe.es/gazeta/dias/1812/05/27/pdfs/GMD-1812-148.pdf#page=3","Abrir facsímil")</f>
        <v>Abrir facsímil</v>
      </c>
      <c r="K5872" s="3" t="s">
        <v>23</v>
      </c>
    </row>
    <row r="5873" spans="1:11" ht="42" customHeight="1">
      <c r="A5873" s="2" t="s">
        <v>14874</v>
      </c>
      <c r="B5873" s="2" t="s">
        <v>14874</v>
      </c>
      <c r="C5873" s="2" t="s">
        <v>17</v>
      </c>
      <c r="D5873" s="2" t="s">
        <v>18</v>
      </c>
      <c r="E5873" s="4">
        <v>-32120</v>
      </c>
      <c r="F5873" s="3" t="s">
        <v>3524</v>
      </c>
      <c r="G5873" s="3" t="s">
        <v>599</v>
      </c>
      <c r="H5873" s="2" t="s">
        <v>21</v>
      </c>
      <c r="I5873" s="2" t="s">
        <v>14875</v>
      </c>
      <c r="J5873" s="3" t="str">
        <f>HYPERLINK("https://www.boe.es/gazeta/dias/1812/01/21/pdfs/GEI-1812-9.pdf#page=6","Abrir facsímil")</f>
        <v>Abrir facsímil</v>
      </c>
      <c r="K5873" s="3" t="s">
        <v>23</v>
      </c>
    </row>
    <row r="5874" spans="1:11" ht="42" customHeight="1">
      <c r="A5874" s="2" t="s">
        <v>14874</v>
      </c>
      <c r="B5874" s="2" t="s">
        <v>14874</v>
      </c>
      <c r="C5874" s="2" t="s">
        <v>26</v>
      </c>
      <c r="D5874" s="2" t="s">
        <v>27</v>
      </c>
      <c r="E5874" s="4">
        <v>-32116</v>
      </c>
      <c r="F5874" s="3" t="s">
        <v>993</v>
      </c>
      <c r="G5874" s="3" t="s">
        <v>2650</v>
      </c>
      <c r="H5874" s="2" t="s">
        <v>21</v>
      </c>
      <c r="I5874" s="2" t="s">
        <v>14876</v>
      </c>
      <c r="J5874" s="3" t="str">
        <f>HYPERLINK("https://www.boe.es/gazeta/dias/1812/01/25/pdfs/GEI-1812-11.pdf#page=2","Abrir facsímil")</f>
        <v>Abrir facsímil</v>
      </c>
      <c r="K5874" s="3" t="s">
        <v>23</v>
      </c>
    </row>
    <row r="5875" spans="1:11" ht="42" customHeight="1">
      <c r="A5875" s="2" t="s">
        <v>14874</v>
      </c>
      <c r="B5875" s="2" t="s">
        <v>14874</v>
      </c>
      <c r="C5875" s="2" t="s">
        <v>26</v>
      </c>
      <c r="D5875" s="2" t="s">
        <v>27</v>
      </c>
      <c r="E5875" s="4">
        <v>-32090</v>
      </c>
      <c r="F5875" s="3" t="s">
        <v>142</v>
      </c>
      <c r="G5875" s="3" t="s">
        <v>143</v>
      </c>
      <c r="H5875" s="2" t="s">
        <v>21</v>
      </c>
      <c r="I5875" s="2" t="s">
        <v>14877</v>
      </c>
      <c r="J5875" s="3" t="str">
        <f>HYPERLINK("https://www.boe.es/gazeta/dias/1812/02/20/pdfs/GRE-1812-22.pdf#page=6","Abrir facsímil")</f>
        <v>Abrir facsímil</v>
      </c>
      <c r="K5875" s="3" t="s">
        <v>23</v>
      </c>
    </row>
    <row r="5876" spans="1:11" ht="42" customHeight="1">
      <c r="A5876" s="2" t="s">
        <v>14874</v>
      </c>
      <c r="B5876" s="2" t="s">
        <v>14874</v>
      </c>
      <c r="C5876" s="2" t="s">
        <v>26</v>
      </c>
      <c r="D5876" s="2" t="s">
        <v>27</v>
      </c>
      <c r="E5876" s="4">
        <v>-32088</v>
      </c>
      <c r="F5876" s="3" t="s">
        <v>250</v>
      </c>
      <c r="G5876" s="3" t="s">
        <v>237</v>
      </c>
      <c r="H5876" s="2" t="s">
        <v>21</v>
      </c>
      <c r="I5876" s="2" t="s">
        <v>14878</v>
      </c>
      <c r="J5876" s="3" t="str">
        <f>HYPERLINK("https://www.boe.es/gazeta/dias/1812/02/22/pdfs/GRE-1812-23.pdf#page=5","Abrir facsímil")</f>
        <v>Abrir facsímil</v>
      </c>
      <c r="K5876" s="3" t="s">
        <v>23</v>
      </c>
    </row>
    <row r="5877" spans="1:11" ht="42" customHeight="1">
      <c r="A5877" s="2" t="s">
        <v>14874</v>
      </c>
      <c r="B5877" s="2" t="s">
        <v>14874</v>
      </c>
      <c r="C5877" s="2" t="s">
        <v>26</v>
      </c>
      <c r="D5877" s="2" t="s">
        <v>27</v>
      </c>
      <c r="E5877" s="4">
        <v>-32076</v>
      </c>
      <c r="F5877" s="3" t="s">
        <v>2486</v>
      </c>
      <c r="G5877" s="3" t="s">
        <v>11656</v>
      </c>
      <c r="H5877" s="2" t="s">
        <v>21</v>
      </c>
      <c r="I5877" s="2" t="s">
        <v>14879</v>
      </c>
      <c r="J5877" s="3" t="str">
        <f>HYPERLINK("https://www.boe.es/gazeta/dias/1812/03/05/pdfs/GRE-1812-29.pdf#page=8","Abrir facsímil")</f>
        <v>Abrir facsímil</v>
      </c>
      <c r="K5877" s="3" t="s">
        <v>23</v>
      </c>
    </row>
    <row r="5878" spans="1:11" ht="42" customHeight="1">
      <c r="A5878" s="2" t="s">
        <v>14874</v>
      </c>
      <c r="B5878" s="2" t="s">
        <v>14874</v>
      </c>
      <c r="C5878" s="2" t="s">
        <v>17</v>
      </c>
      <c r="D5878" s="2" t="s">
        <v>275</v>
      </c>
      <c r="E5878" s="4">
        <v>-32039</v>
      </c>
      <c r="F5878" s="3" t="s">
        <v>1910</v>
      </c>
      <c r="G5878" s="3" t="s">
        <v>1911</v>
      </c>
      <c r="H5878" s="2" t="s">
        <v>21</v>
      </c>
      <c r="I5878" s="2" t="s">
        <v>14880</v>
      </c>
      <c r="J5878" s="3" t="str">
        <f>HYPERLINK("https://www.boe.es/gazeta/dias/1812/04/11/pdfs/GRE-1812-46.pdf#page=7","Abrir facsímil")</f>
        <v>Abrir facsímil</v>
      </c>
      <c r="K5878" s="3" t="s">
        <v>23</v>
      </c>
    </row>
    <row r="5879" spans="1:11" ht="42" customHeight="1">
      <c r="A5879" s="2" t="s">
        <v>14874</v>
      </c>
      <c r="B5879" s="2" t="s">
        <v>14874</v>
      </c>
      <c r="C5879" s="2" t="s">
        <v>17</v>
      </c>
      <c r="D5879" s="2" t="s">
        <v>27</v>
      </c>
      <c r="E5879" s="4">
        <v>-31997</v>
      </c>
      <c r="F5879" s="3" t="s">
        <v>6881</v>
      </c>
      <c r="G5879" s="3" t="s">
        <v>14881</v>
      </c>
      <c r="H5879" s="2" t="s">
        <v>21</v>
      </c>
      <c r="I5879" s="2" t="s">
        <v>14882</v>
      </c>
      <c r="J5879" s="3" t="str">
        <f>HYPERLINK("https://www.boe.es/gazeta/dias/1812/05/23/pdfs/GRE-1812-64.pdf#page=8","Abrir facsímil")</f>
        <v>Abrir facsímil</v>
      </c>
      <c r="K5879" s="3" t="s">
        <v>23</v>
      </c>
    </row>
    <row r="5880" spans="1:11" ht="42" customHeight="1">
      <c r="A5880" s="2" t="s">
        <v>14883</v>
      </c>
      <c r="B5880" s="2" t="s">
        <v>14884</v>
      </c>
      <c r="C5880" s="2" t="s">
        <v>26</v>
      </c>
      <c r="D5880" s="2" t="s">
        <v>27</v>
      </c>
      <c r="E5880" s="4">
        <v>-31938</v>
      </c>
      <c r="F5880" s="3" t="s">
        <v>370</v>
      </c>
      <c r="G5880" s="3" t="s">
        <v>371</v>
      </c>
      <c r="H5880" s="2" t="s">
        <v>21</v>
      </c>
      <c r="I5880" s="2" t="s">
        <v>14885</v>
      </c>
      <c r="J5880" s="3" t="str">
        <f>HYPERLINK("https://www.boe.es/gazeta/dias/1812/07/21/pdfs/GRE-1812-91.pdf#page=8","Abrir facsímil")</f>
        <v>Abrir facsímil</v>
      </c>
      <c r="K5880" s="3" t="s">
        <v>23</v>
      </c>
    </row>
    <row r="5881" spans="1:11" ht="42" customHeight="1">
      <c r="A5881" s="2" t="s">
        <v>14886</v>
      </c>
      <c r="B5881" s="2" t="s">
        <v>14887</v>
      </c>
      <c r="C5881" s="2" t="s">
        <v>26</v>
      </c>
      <c r="D5881" s="2" t="s">
        <v>27</v>
      </c>
      <c r="E5881" s="4">
        <v>-31955</v>
      </c>
      <c r="F5881" s="3" t="s">
        <v>789</v>
      </c>
      <c r="G5881" s="3" t="s">
        <v>237</v>
      </c>
      <c r="H5881" s="2" t="s">
        <v>21</v>
      </c>
      <c r="I5881" s="2" t="s">
        <v>14888</v>
      </c>
      <c r="J5881" s="3" t="str">
        <f>HYPERLINK("https://www.boe.es/gazeta/dias/1812/07/04/pdfs/GRE-1812-82.pdf#page=8","Abrir facsímil")</f>
        <v>Abrir facsímil</v>
      </c>
      <c r="K5881" s="3" t="s">
        <v>23</v>
      </c>
    </row>
    <row r="5882" spans="1:11" ht="42" customHeight="1">
      <c r="A5882" s="2" t="s">
        <v>14889</v>
      </c>
      <c r="B5882" s="2" t="s">
        <v>14890</v>
      </c>
      <c r="C5882" s="2" t="s">
        <v>26</v>
      </c>
      <c r="D5882" s="2" t="s">
        <v>27</v>
      </c>
      <c r="E5882" s="4">
        <v>-31955</v>
      </c>
      <c r="F5882" s="3" t="s">
        <v>789</v>
      </c>
      <c r="G5882" s="3" t="s">
        <v>237</v>
      </c>
      <c r="H5882" s="2" t="s">
        <v>21</v>
      </c>
      <c r="I5882" s="2" t="s">
        <v>14891</v>
      </c>
      <c r="J5882" s="3" t="str">
        <f>HYPERLINK("https://www.boe.es/gazeta/dias/1812/07/04/pdfs/GRE-1812-82.pdf#page=8","Abrir facsímil")</f>
        <v>Abrir facsímil</v>
      </c>
      <c r="K5882" s="3" t="s">
        <v>23</v>
      </c>
    </row>
    <row r="5883" spans="1:11" ht="42" customHeight="1">
      <c r="A5883" s="2" t="s">
        <v>14892</v>
      </c>
      <c r="B5883" s="2" t="s">
        <v>14893</v>
      </c>
      <c r="C5883" s="2" t="s">
        <v>17</v>
      </c>
      <c r="D5883" s="2" t="s">
        <v>134</v>
      </c>
      <c r="E5883" s="4">
        <v>-31983</v>
      </c>
      <c r="F5883" s="3" t="s">
        <v>1437</v>
      </c>
      <c r="G5883" s="3" t="s">
        <v>1438</v>
      </c>
      <c r="H5883" s="2" t="s">
        <v>21</v>
      </c>
      <c r="I5883" s="2" t="s">
        <v>14894</v>
      </c>
      <c r="J5883" s="3" t="str">
        <f>HYPERLINK("https://www.boe.es/gazeta/dias/1812/06/06/pdfs/GRE-F-1812-70.pdf#page=4","Abrir facsímil")</f>
        <v>Abrir facsímil</v>
      </c>
      <c r="K5883" s="3" t="s">
        <v>23</v>
      </c>
    </row>
    <row r="5884" spans="1:11" ht="42" customHeight="1">
      <c r="A5884" s="2" t="s">
        <v>14895</v>
      </c>
      <c r="B5884" s="2" t="s">
        <v>14895</v>
      </c>
      <c r="C5884" s="2" t="s">
        <v>115</v>
      </c>
      <c r="D5884" s="2" t="s">
        <v>27</v>
      </c>
      <c r="E5884" s="4">
        <v>-32113</v>
      </c>
      <c r="F5884" s="3" t="s">
        <v>4341</v>
      </c>
      <c r="G5884" s="3" t="s">
        <v>688</v>
      </c>
      <c r="H5884" s="2" t="s">
        <v>21</v>
      </c>
      <c r="I5884" s="2" t="s">
        <v>14896</v>
      </c>
      <c r="J5884" s="3" t="str">
        <f>HYPERLINK("https://www.boe.es/gazeta/dias/1812/01/28/pdfs/GMD-1812-28.pdf#page=2","Abrir facsímil")</f>
        <v>Abrir facsímil</v>
      </c>
      <c r="K5884" s="3" t="s">
        <v>23</v>
      </c>
    </row>
    <row r="5885" spans="1:11" ht="42" customHeight="1">
      <c r="A5885" s="2" t="s">
        <v>14895</v>
      </c>
      <c r="B5885" s="2" t="s">
        <v>14895</v>
      </c>
      <c r="C5885" s="2" t="s">
        <v>17</v>
      </c>
      <c r="D5885" s="2" t="s">
        <v>27</v>
      </c>
      <c r="E5885" s="4">
        <v>-32034</v>
      </c>
      <c r="F5885" s="3" t="s">
        <v>28</v>
      </c>
      <c r="G5885" s="3" t="s">
        <v>514</v>
      </c>
      <c r="H5885" s="2" t="s">
        <v>21</v>
      </c>
      <c r="I5885" s="2" t="s">
        <v>14897</v>
      </c>
      <c r="J5885" s="3" t="str">
        <f>HYPERLINK("https://www.boe.es/gazeta/dias/1812/04/16/pdfs/GMD-1812-107.pdf#page=2","Abrir facsímil")</f>
        <v>Abrir facsímil</v>
      </c>
      <c r="K5885" s="3" t="s">
        <v>23</v>
      </c>
    </row>
    <row r="5886" spans="1:11" ht="42" customHeight="1">
      <c r="A5886" s="2" t="s">
        <v>14898</v>
      </c>
      <c r="B5886" s="2" t="s">
        <v>14899</v>
      </c>
      <c r="C5886" s="2" t="s">
        <v>26</v>
      </c>
      <c r="D5886" s="2" t="s">
        <v>27</v>
      </c>
      <c r="E5886" s="4">
        <v>-31976</v>
      </c>
      <c r="F5886" s="3" t="s">
        <v>54</v>
      </c>
      <c r="G5886" s="3" t="s">
        <v>55</v>
      </c>
      <c r="H5886" s="2" t="s">
        <v>21</v>
      </c>
      <c r="I5886" s="2" t="s">
        <v>14900</v>
      </c>
      <c r="J5886" s="3" t="str">
        <f>HYPERLINK("https://www.boe.es/gazeta/dias/1812/06/13/pdfs/GRE-1812-73.pdf#page=6","Abrir facsímil")</f>
        <v>Abrir facsímil</v>
      </c>
      <c r="K5886" s="3" t="s">
        <v>23</v>
      </c>
    </row>
    <row r="5887" spans="1:11" ht="42" customHeight="1">
      <c r="A5887" s="2" t="s">
        <v>14901</v>
      </c>
      <c r="B5887" s="2" t="s">
        <v>14901</v>
      </c>
      <c r="C5887" s="2" t="s">
        <v>17</v>
      </c>
      <c r="D5887" s="2" t="s">
        <v>27</v>
      </c>
      <c r="E5887" s="4">
        <v>-31990</v>
      </c>
      <c r="F5887" s="3" t="s">
        <v>629</v>
      </c>
      <c r="G5887" s="3" t="s">
        <v>101</v>
      </c>
      <c r="H5887" s="2" t="s">
        <v>21</v>
      </c>
      <c r="I5887" s="2" t="s">
        <v>14902</v>
      </c>
      <c r="J5887" s="3" t="str">
        <f>HYPERLINK("https://www.boe.es/gazeta/dias/1812/05/30/pdfs/GMD-1812-151.pdf#page=1","Abrir facsímil")</f>
        <v>Abrir facsímil</v>
      </c>
      <c r="K5887" s="3" t="s">
        <v>23</v>
      </c>
    </row>
    <row r="5888" spans="1:11" ht="42" customHeight="1">
      <c r="A5888" s="2" t="s">
        <v>14903</v>
      </c>
      <c r="B5888" s="2" t="s">
        <v>14903</v>
      </c>
      <c r="C5888" s="2" t="s">
        <v>17</v>
      </c>
      <c r="D5888" s="2" t="s">
        <v>27</v>
      </c>
      <c r="E5888" s="4">
        <v>-32034</v>
      </c>
      <c r="F5888" s="3" t="s">
        <v>1008</v>
      </c>
      <c r="G5888" s="3" t="s">
        <v>6450</v>
      </c>
      <c r="H5888" s="2" t="s">
        <v>21</v>
      </c>
      <c r="I5888" s="2" t="s">
        <v>14904</v>
      </c>
      <c r="J5888" s="3" t="str">
        <f>HYPERLINK("https://www.boe.es/gazeta/dias/1812/04/16/pdfs/GRE-1812-48.pdf#page=1","Abrir facsímil")</f>
        <v>Abrir facsímil</v>
      </c>
      <c r="K5888" s="3" t="s">
        <v>23</v>
      </c>
    </row>
    <row r="5889" spans="1:11" ht="42" customHeight="1">
      <c r="A5889" s="2" t="s">
        <v>14905</v>
      </c>
      <c r="B5889" s="2" t="s">
        <v>14906</v>
      </c>
      <c r="C5889" s="2" t="s">
        <v>26</v>
      </c>
      <c r="D5889" s="2" t="s">
        <v>27</v>
      </c>
      <c r="E5889" s="4">
        <v>-32050</v>
      </c>
      <c r="F5889" s="3" t="s">
        <v>864</v>
      </c>
      <c r="G5889" s="3" t="s">
        <v>29</v>
      </c>
      <c r="H5889" s="2" t="s">
        <v>21</v>
      </c>
      <c r="I5889" s="2" t="s">
        <v>14907</v>
      </c>
      <c r="J5889" s="3" t="str">
        <f>HYPERLINK("https://www.boe.es/gazeta/dias/1812/03/31/pdfs/GRE-1812-40.pdf#page=8","Abrir facsímil")</f>
        <v>Abrir facsímil</v>
      </c>
      <c r="K5889" s="3" t="s">
        <v>23</v>
      </c>
    </row>
    <row r="5890" spans="1:11" ht="42" customHeight="1">
      <c r="A5890" s="2" t="s">
        <v>14908</v>
      </c>
      <c r="B5890" s="2" t="s">
        <v>14909</v>
      </c>
      <c r="C5890" s="2" t="s">
        <v>105</v>
      </c>
      <c r="D5890" s="2" t="s">
        <v>27</v>
      </c>
      <c r="E5890" s="4">
        <v>-31871</v>
      </c>
      <c r="F5890" s="3" t="s">
        <v>5985</v>
      </c>
      <c r="G5890" s="3" t="s">
        <v>5986</v>
      </c>
      <c r="H5890" s="2" t="s">
        <v>21</v>
      </c>
      <c r="I5890" s="2" t="s">
        <v>14910</v>
      </c>
      <c r="J5890" s="3" t="str">
        <f>HYPERLINK("https://www.boe.es/gazeta/dias/1812/09/26/pdfs/GRE-1812-131.pdf#page=8","Abrir facsímil")</f>
        <v>Abrir facsímil</v>
      </c>
      <c r="K5890" s="3" t="s">
        <v>23</v>
      </c>
    </row>
    <row r="5891" spans="1:11" ht="42" customHeight="1">
      <c r="A5891" s="2" t="s">
        <v>14911</v>
      </c>
      <c r="B5891" s="2" t="s">
        <v>14912</v>
      </c>
      <c r="C5891" s="2" t="s">
        <v>82</v>
      </c>
      <c r="D5891" s="2" t="s">
        <v>27</v>
      </c>
      <c r="E5891" s="4">
        <v>-32095</v>
      </c>
      <c r="F5891" s="3" t="s">
        <v>284</v>
      </c>
      <c r="G5891" s="3" t="s">
        <v>29</v>
      </c>
      <c r="H5891" s="2" t="s">
        <v>21</v>
      </c>
      <c r="I5891" s="2" t="s">
        <v>14913</v>
      </c>
      <c r="J5891" s="3" t="str">
        <f>HYPERLINK("https://www.boe.es/gazeta/dias/1812/02/15/pdfs/GRE-1812-20.pdf#page=8","Abrir facsímil")</f>
        <v>Abrir facsímil</v>
      </c>
      <c r="K5891" s="3" t="s">
        <v>23</v>
      </c>
    </row>
    <row r="5892" spans="1:11" ht="42" customHeight="1">
      <c r="A5892" s="2" t="s">
        <v>14914</v>
      </c>
      <c r="B5892" s="2" t="s">
        <v>14914</v>
      </c>
      <c r="C5892" s="2" t="s">
        <v>17</v>
      </c>
      <c r="D5892" s="2" t="s">
        <v>18</v>
      </c>
      <c r="E5892" s="4">
        <v>-31918</v>
      </c>
      <c r="F5892" s="3" t="s">
        <v>14915</v>
      </c>
      <c r="G5892" s="3" t="s">
        <v>45</v>
      </c>
      <c r="H5892" s="2" t="s">
        <v>21</v>
      </c>
      <c r="I5892" s="2" t="s">
        <v>14916</v>
      </c>
      <c r="J5892" s="3" t="str">
        <f>HYPERLINK("https://www.boe.es/gazeta/dias/1812/08/10/pdfs/GMD-1812-223.pdf#page=3","Abrir facsímil")</f>
        <v>Abrir facsímil</v>
      </c>
      <c r="K5892" s="3" t="s">
        <v>23</v>
      </c>
    </row>
    <row r="5893" spans="1:11" ht="42" customHeight="1">
      <c r="A5893" s="2" t="s">
        <v>14917</v>
      </c>
      <c r="B5893" s="2" t="s">
        <v>14917</v>
      </c>
      <c r="C5893" s="2" t="s">
        <v>82</v>
      </c>
      <c r="D5893" s="2" t="s">
        <v>27</v>
      </c>
      <c r="E5893" s="4">
        <v>-32097</v>
      </c>
      <c r="F5893" s="3" t="s">
        <v>4288</v>
      </c>
      <c r="G5893" s="3" t="s">
        <v>140</v>
      </c>
      <c r="H5893" s="2" t="s">
        <v>21</v>
      </c>
      <c r="I5893" s="2" t="s">
        <v>14918</v>
      </c>
      <c r="J5893" s="3" t="str">
        <f>HYPERLINK("https://www.boe.es/gazeta/dias/1812/02/13/pdfs/GMD-1812-44.pdf#page=2","Abrir facsímil")</f>
        <v>Abrir facsímil</v>
      </c>
      <c r="K5893" s="3" t="s">
        <v>23</v>
      </c>
    </row>
    <row r="5894" spans="1:11" ht="42" customHeight="1">
      <c r="A5894" s="2" t="s">
        <v>14919</v>
      </c>
      <c r="B5894" s="2" t="s">
        <v>14920</v>
      </c>
      <c r="C5894" s="2" t="s">
        <v>17</v>
      </c>
      <c r="D5894" s="2" t="s">
        <v>18</v>
      </c>
      <c r="E5894" s="4">
        <v>-31892</v>
      </c>
      <c r="F5894" s="3" t="s">
        <v>1825</v>
      </c>
      <c r="G5894" s="3" t="s">
        <v>3975</v>
      </c>
      <c r="H5894" s="2" t="s">
        <v>21</v>
      </c>
      <c r="I5894" s="2" t="s">
        <v>14921</v>
      </c>
      <c r="J5894" s="3" t="str">
        <f>HYPERLINK("https://www.boe.es/gazeta/dias/1812/09/05/pdfs/GMR-1812-10.pdf#page=9","Abrir facsímil")</f>
        <v>Abrir facsímil</v>
      </c>
      <c r="K5894" s="3" t="s">
        <v>23</v>
      </c>
    </row>
    <row r="5895" spans="1:11" ht="42" customHeight="1">
      <c r="A5895" s="2" t="s">
        <v>14922</v>
      </c>
      <c r="B5895" s="2" t="s">
        <v>14923</v>
      </c>
      <c r="C5895" s="2" t="s">
        <v>17</v>
      </c>
      <c r="D5895" s="2" t="s">
        <v>18</v>
      </c>
      <c r="E5895" s="4">
        <v>-31878</v>
      </c>
      <c r="F5895" s="3" t="s">
        <v>1831</v>
      </c>
      <c r="G5895" s="3" t="s">
        <v>3975</v>
      </c>
      <c r="H5895" s="2" t="s">
        <v>21</v>
      </c>
      <c r="I5895" s="2" t="s">
        <v>14924</v>
      </c>
      <c r="J5895" s="3" t="str">
        <f>HYPERLINK("https://www.boe.es/gazeta/dias/1812/09/19/pdfs/GMR-1812-16.pdf#page=9","Abrir facsímil")</f>
        <v>Abrir facsímil</v>
      </c>
      <c r="K5895" s="3" t="s">
        <v>23</v>
      </c>
    </row>
    <row r="5896" spans="1:11" ht="42" customHeight="1">
      <c r="A5896" s="2" t="s">
        <v>14925</v>
      </c>
      <c r="B5896" s="2" t="s">
        <v>14926</v>
      </c>
      <c r="C5896" s="2" t="s">
        <v>17</v>
      </c>
      <c r="D5896" s="2" t="s">
        <v>27</v>
      </c>
      <c r="E5896" s="4">
        <v>-32109</v>
      </c>
      <c r="F5896" s="3" t="s">
        <v>62</v>
      </c>
      <c r="G5896" s="3" t="s">
        <v>4101</v>
      </c>
      <c r="H5896" s="2" t="s">
        <v>21</v>
      </c>
      <c r="I5896" s="2" t="s">
        <v>14927</v>
      </c>
      <c r="J5896" s="3" t="str">
        <f>HYPERLINK("https://www.boe.es/gazeta/dias/1812/02/01/pdfs/GRE-1812-14.pdf#page=9","Abrir facsímil")</f>
        <v>Abrir facsímil</v>
      </c>
      <c r="K5896" s="3" t="s">
        <v>23</v>
      </c>
    </row>
    <row r="5897" spans="1:11" ht="42" customHeight="1">
      <c r="A5897" s="2" t="s">
        <v>14928</v>
      </c>
      <c r="B5897" s="2" t="s">
        <v>14929</v>
      </c>
      <c r="C5897" s="2" t="s">
        <v>49</v>
      </c>
      <c r="D5897" s="2" t="s">
        <v>18</v>
      </c>
      <c r="E5897" s="4">
        <v>-31812</v>
      </c>
      <c r="F5897" s="3" t="s">
        <v>1533</v>
      </c>
      <c r="G5897" s="3" t="s">
        <v>4188</v>
      </c>
      <c r="H5897" s="2" t="s">
        <v>21</v>
      </c>
      <c r="I5897" s="2" t="s">
        <v>14930</v>
      </c>
      <c r="J5897" s="3" t="str">
        <f>HYPERLINK("https://www.boe.es/gazeta/dias/1812/11/24/pdfs/GMR-1812-37.pdf#page=3","Abrir facsímil")</f>
        <v>Abrir facsímil</v>
      </c>
      <c r="K5897" s="3" t="s">
        <v>23</v>
      </c>
    </row>
    <row r="5898" spans="1:11" ht="42" customHeight="1">
      <c r="A5898" s="2" t="s">
        <v>14931</v>
      </c>
      <c r="B5898" s="2" t="s">
        <v>14932</v>
      </c>
      <c r="C5898" s="2" t="s">
        <v>26</v>
      </c>
      <c r="D5898" s="2" t="s">
        <v>275</v>
      </c>
      <c r="E5898" s="4">
        <v>-31922</v>
      </c>
      <c r="F5898" s="3" t="s">
        <v>622</v>
      </c>
      <c r="G5898" s="3" t="s">
        <v>623</v>
      </c>
      <c r="H5898" s="2" t="s">
        <v>21</v>
      </c>
      <c r="I5898" s="2" t="s">
        <v>14933</v>
      </c>
      <c r="J5898" s="3" t="str">
        <f>HYPERLINK("https://www.boe.es/gazeta/dias/1812/08/06/pdfs/GMD-1812-219.pdf#page=1","Abrir facsímil")</f>
        <v>Abrir facsímil</v>
      </c>
      <c r="K5898" s="3" t="s">
        <v>23</v>
      </c>
    </row>
    <row r="5899" spans="1:11" ht="42" customHeight="1">
      <c r="A5899" s="2" t="s">
        <v>14934</v>
      </c>
      <c r="B5899" s="2" t="s">
        <v>14935</v>
      </c>
      <c r="C5899" s="2" t="s">
        <v>26</v>
      </c>
      <c r="D5899" s="2" t="s">
        <v>27</v>
      </c>
      <c r="E5899" s="4">
        <v>-32134</v>
      </c>
      <c r="F5899" s="3" t="s">
        <v>50</v>
      </c>
      <c r="G5899" s="3" t="s">
        <v>20</v>
      </c>
      <c r="H5899" s="2" t="s">
        <v>21</v>
      </c>
      <c r="I5899" s="2" t="s">
        <v>14936</v>
      </c>
      <c r="J5899" s="3" t="str">
        <f>HYPERLINK("https://www.boe.es/gazeta/dias/1812/01/07/pdfs/GEI-1812-3.pdf#page=2","Abrir facsímil")</f>
        <v>Abrir facsímil</v>
      </c>
      <c r="K5899" s="3" t="s">
        <v>23</v>
      </c>
    </row>
    <row r="5900" spans="1:11" ht="42" customHeight="1">
      <c r="A5900" s="2" t="s">
        <v>14934</v>
      </c>
      <c r="B5900" s="2" t="s">
        <v>14935</v>
      </c>
      <c r="C5900" s="2" t="s">
        <v>17</v>
      </c>
      <c r="D5900" s="2" t="s">
        <v>27</v>
      </c>
      <c r="E5900" s="4">
        <v>-32134</v>
      </c>
      <c r="F5900" s="3" t="s">
        <v>50</v>
      </c>
      <c r="G5900" s="3" t="s">
        <v>45</v>
      </c>
      <c r="H5900" s="2" t="s">
        <v>21</v>
      </c>
      <c r="I5900" s="2" t="s">
        <v>14937</v>
      </c>
      <c r="J5900" s="3" t="str">
        <f>HYPERLINK("https://www.boe.es/gazeta/dias/1812/01/07/pdfs/GEI-1812-3.pdf#page=4","Abrir facsímil")</f>
        <v>Abrir facsímil</v>
      </c>
      <c r="K5900" s="3" t="s">
        <v>23</v>
      </c>
    </row>
    <row r="5901" spans="1:11" ht="42" customHeight="1">
      <c r="A5901" s="2" t="s">
        <v>14938</v>
      </c>
      <c r="B5901" s="2" t="s">
        <v>14939</v>
      </c>
      <c r="C5901" s="2" t="s">
        <v>17</v>
      </c>
      <c r="D5901" s="2" t="s">
        <v>18</v>
      </c>
      <c r="E5901" s="4">
        <v>-31833</v>
      </c>
      <c r="F5901" s="3" t="s">
        <v>267</v>
      </c>
      <c r="G5901" s="3" t="s">
        <v>268</v>
      </c>
      <c r="H5901" s="2" t="s">
        <v>21</v>
      </c>
      <c r="I5901" s="2" t="s">
        <v>14940</v>
      </c>
      <c r="J5901" s="3" t="str">
        <f>HYPERLINK("https://www.boe.es/gazeta/dias/1812/11/03/pdfs/GRE-1812-147.pdf#page=8","Abrir facsímil")</f>
        <v>Abrir facsímil</v>
      </c>
      <c r="K5901" s="3" t="s">
        <v>23</v>
      </c>
    </row>
    <row r="5902" spans="1:11" ht="42" customHeight="1">
      <c r="A5902" s="2" t="s">
        <v>14938</v>
      </c>
      <c r="B5902" s="2" t="s">
        <v>14939</v>
      </c>
      <c r="C5902" s="2" t="s">
        <v>17</v>
      </c>
      <c r="D5902" s="2" t="s">
        <v>18</v>
      </c>
      <c r="E5902" s="4">
        <v>-31816</v>
      </c>
      <c r="F5902" s="3" t="s">
        <v>270</v>
      </c>
      <c r="G5902" s="3" t="s">
        <v>271</v>
      </c>
      <c r="H5902" s="2" t="s">
        <v>21</v>
      </c>
      <c r="I5902" s="2" t="s">
        <v>14941</v>
      </c>
      <c r="J5902" s="3" t="str">
        <f>HYPERLINK("https://www.boe.es/gazeta/dias/1812/11/20/pdfs/GMR-1812-36.pdf#page=6","Abrir facsímil")</f>
        <v>Abrir facsímil</v>
      </c>
      <c r="K5902" s="3" t="s">
        <v>23</v>
      </c>
    </row>
    <row r="5903" spans="1:11" ht="42" customHeight="1">
      <c r="A5903" s="2" t="s">
        <v>14942</v>
      </c>
      <c r="B5903" s="2" t="s">
        <v>14943</v>
      </c>
      <c r="C5903" s="2" t="s">
        <v>26</v>
      </c>
      <c r="D5903" s="2" t="s">
        <v>27</v>
      </c>
      <c r="E5903" s="4">
        <v>-31940</v>
      </c>
      <c r="F5903" s="3" t="s">
        <v>187</v>
      </c>
      <c r="G5903" s="3" t="s">
        <v>404</v>
      </c>
      <c r="H5903" s="2" t="s">
        <v>21</v>
      </c>
      <c r="I5903" s="2" t="s">
        <v>14944</v>
      </c>
      <c r="J5903" s="3" t="str">
        <f>HYPERLINK("https://www.boe.es/gazeta/dias/1812/07/19/pdfs/GMD-1812-201.pdf#page=3","Abrir facsímil")</f>
        <v>Abrir facsímil</v>
      </c>
      <c r="K5903" s="3" t="s">
        <v>23</v>
      </c>
    </row>
    <row r="5904" spans="1:11" ht="42" customHeight="1">
      <c r="A5904" s="2" t="s">
        <v>14945</v>
      </c>
      <c r="B5904" s="2" t="s">
        <v>14946</v>
      </c>
      <c r="C5904" s="2" t="s">
        <v>105</v>
      </c>
      <c r="D5904" s="2" t="s">
        <v>27</v>
      </c>
      <c r="E5904" s="4">
        <v>-31950</v>
      </c>
      <c r="F5904" s="3" t="s">
        <v>1024</v>
      </c>
      <c r="G5904" s="3" t="s">
        <v>667</v>
      </c>
      <c r="H5904" s="2" t="s">
        <v>21</v>
      </c>
      <c r="I5904" s="2" t="s">
        <v>14947</v>
      </c>
      <c r="J5904" s="3" t="str">
        <f>HYPERLINK("https://www.boe.es/gazeta/dias/1812/07/09/pdfs/GRE-1812-84.pdf#page=5","Abrir facsímil")</f>
        <v>Abrir facsímil</v>
      </c>
      <c r="K5904" s="3" t="s">
        <v>23</v>
      </c>
    </row>
    <row r="5905" spans="1:11" ht="42" customHeight="1">
      <c r="A5905" s="2" t="s">
        <v>14948</v>
      </c>
      <c r="B5905" s="2" t="s">
        <v>14948</v>
      </c>
      <c r="C5905" s="2" t="s">
        <v>105</v>
      </c>
      <c r="D5905" s="2" t="s">
        <v>27</v>
      </c>
      <c r="E5905" s="4">
        <v>-32046</v>
      </c>
      <c r="F5905" s="3" t="s">
        <v>2612</v>
      </c>
      <c r="G5905" s="3" t="s">
        <v>1380</v>
      </c>
      <c r="H5905" s="2" t="s">
        <v>21</v>
      </c>
      <c r="I5905" s="2" t="s">
        <v>14949</v>
      </c>
      <c r="J5905" s="3" t="str">
        <f>HYPERLINK("https://www.boe.es/gazeta/dias/1812/04/04/pdfs/GMD-1812-95.pdf#page=2","Abrir facsímil")</f>
        <v>Abrir facsímil</v>
      </c>
      <c r="K5905" s="3" t="s">
        <v>23</v>
      </c>
    </row>
    <row r="5906" spans="1:11" ht="42" customHeight="1">
      <c r="A5906" s="2" t="s">
        <v>14950</v>
      </c>
      <c r="B5906" s="2" t="s">
        <v>14951</v>
      </c>
      <c r="C5906" s="2" t="s">
        <v>105</v>
      </c>
      <c r="D5906" s="2" t="s">
        <v>27</v>
      </c>
      <c r="E5906" s="4">
        <v>-32109</v>
      </c>
      <c r="F5906" s="3" t="s">
        <v>62</v>
      </c>
      <c r="G5906" s="3" t="s">
        <v>106</v>
      </c>
      <c r="H5906" s="2" t="s">
        <v>21</v>
      </c>
      <c r="I5906" s="2" t="s">
        <v>14952</v>
      </c>
      <c r="J5906" s="3" t="str">
        <f>HYPERLINK("https://www.boe.es/gazeta/dias/1812/02/01/pdfs/GRE-1812-14.pdf#page=11","Abrir facsímil")</f>
        <v>Abrir facsímil</v>
      </c>
      <c r="K5906" s="3" t="s">
        <v>23</v>
      </c>
    </row>
    <row r="5907" spans="1:11" ht="42" customHeight="1">
      <c r="A5907" s="2" t="s">
        <v>14950</v>
      </c>
      <c r="B5907" s="2" t="s">
        <v>14951</v>
      </c>
      <c r="C5907" s="2" t="s">
        <v>17</v>
      </c>
      <c r="D5907" s="2" t="s">
        <v>275</v>
      </c>
      <c r="E5907" s="4">
        <v>-31822</v>
      </c>
      <c r="F5907" s="3" t="s">
        <v>541</v>
      </c>
      <c r="G5907" s="3" t="s">
        <v>3583</v>
      </c>
      <c r="H5907" s="2" t="s">
        <v>21</v>
      </c>
      <c r="I5907" s="2" t="s">
        <v>14953</v>
      </c>
      <c r="J5907" s="3" t="str">
        <f>HYPERLINK("https://www.boe.es/gazeta/dias/1812/11/14/pdfs/GRE-1812-152.pdf#page=6","Abrir facsímil")</f>
        <v>Abrir facsímil</v>
      </c>
      <c r="K5907" s="3" t="s">
        <v>23</v>
      </c>
    </row>
    <row r="5908" spans="1:11" ht="42" customHeight="1">
      <c r="A5908" s="2" t="s">
        <v>14954</v>
      </c>
      <c r="B5908" s="2" t="s">
        <v>14955</v>
      </c>
      <c r="C5908" s="2" t="s">
        <v>105</v>
      </c>
      <c r="D5908" s="2" t="s">
        <v>27</v>
      </c>
      <c r="E5908" s="4">
        <v>-31816</v>
      </c>
      <c r="F5908" s="3" t="s">
        <v>270</v>
      </c>
      <c r="G5908" s="3" t="s">
        <v>271</v>
      </c>
      <c r="H5908" s="2" t="s">
        <v>21</v>
      </c>
      <c r="I5908" s="2" t="s">
        <v>14956</v>
      </c>
      <c r="J5908" s="3" t="str">
        <f>HYPERLINK("https://www.boe.es/gazeta/dias/1812/11/20/pdfs/GMR-1812-36.pdf#page=6","Abrir facsímil")</f>
        <v>Abrir facsímil</v>
      </c>
      <c r="K5908" s="3" t="s">
        <v>23</v>
      </c>
    </row>
    <row r="5909" spans="1:11" ht="42" customHeight="1">
      <c r="A5909" s="2" t="s">
        <v>14957</v>
      </c>
      <c r="B5909" s="2" t="s">
        <v>14958</v>
      </c>
      <c r="C5909" s="2" t="s">
        <v>26</v>
      </c>
      <c r="D5909" s="2" t="s">
        <v>27</v>
      </c>
      <c r="E5909" s="4">
        <v>-32100</v>
      </c>
      <c r="F5909" s="3" t="s">
        <v>492</v>
      </c>
      <c r="G5909" s="3" t="s">
        <v>493</v>
      </c>
      <c r="H5909" s="2" t="s">
        <v>21</v>
      </c>
      <c r="I5909" s="2" t="s">
        <v>14959</v>
      </c>
      <c r="J5909" s="3" t="str">
        <f>HYPERLINK("https://www.boe.es/gazeta/dias/1812/02/10/pdfs/GRE-1812-31.pdf#page=8","Abrir facsímil")</f>
        <v>Abrir facsímil</v>
      </c>
      <c r="K5909" s="3" t="s">
        <v>23</v>
      </c>
    </row>
    <row r="5910" spans="1:11" ht="42" customHeight="1">
      <c r="A5910" s="2" t="s">
        <v>14957</v>
      </c>
      <c r="B5910" s="2" t="s">
        <v>14958</v>
      </c>
      <c r="C5910" s="2" t="s">
        <v>26</v>
      </c>
      <c r="D5910" s="2" t="s">
        <v>27</v>
      </c>
      <c r="E5910" s="4">
        <v>-32071</v>
      </c>
      <c r="F5910" s="3" t="s">
        <v>492</v>
      </c>
      <c r="G5910" s="3" t="s">
        <v>493</v>
      </c>
      <c r="H5910" s="2" t="s">
        <v>21</v>
      </c>
      <c r="I5910" s="2" t="s">
        <v>14959</v>
      </c>
      <c r="J5910" s="3" t="str">
        <f>HYPERLINK("https://www.boe.es/gazeta/dias/1812/03/10/pdfs/GRE-1812-31.pdf#page=8","Abrir facsímil")</f>
        <v>Abrir facsímil</v>
      </c>
      <c r="K5910" s="3" t="s">
        <v>23</v>
      </c>
    </row>
    <row r="5911" spans="1:11" ht="42" customHeight="1">
      <c r="A5911" s="2" t="s">
        <v>14960</v>
      </c>
      <c r="B5911" s="2" t="s">
        <v>14961</v>
      </c>
      <c r="C5911" s="2" t="s">
        <v>17</v>
      </c>
      <c r="D5911" s="2" t="s">
        <v>27</v>
      </c>
      <c r="E5911" s="4">
        <v>-31936</v>
      </c>
      <c r="F5911" s="3" t="s">
        <v>614</v>
      </c>
      <c r="G5911" s="3" t="s">
        <v>615</v>
      </c>
      <c r="H5911" s="2" t="s">
        <v>21</v>
      </c>
      <c r="I5911" s="2" t="s">
        <v>14962</v>
      </c>
      <c r="J5911" s="3" t="str">
        <f>HYPERLINK("https://www.boe.es/gazeta/dias/1812/07/23/pdfs/GRE-1812-92.pdf#page=8","Abrir facsímil")</f>
        <v>Abrir facsímil</v>
      </c>
      <c r="K5911" s="3" t="s">
        <v>23</v>
      </c>
    </row>
    <row r="5912" spans="1:11" ht="42" customHeight="1">
      <c r="A5912" s="2" t="s">
        <v>14963</v>
      </c>
      <c r="B5912" s="2" t="s">
        <v>14964</v>
      </c>
      <c r="C5912" s="2" t="s">
        <v>17</v>
      </c>
      <c r="D5912" s="2" t="s">
        <v>27</v>
      </c>
      <c r="E5912" s="4">
        <v>-31789</v>
      </c>
      <c r="F5912" s="3" t="s">
        <v>350</v>
      </c>
      <c r="G5912" s="3" t="s">
        <v>3984</v>
      </c>
      <c r="H5912" s="2" t="s">
        <v>21</v>
      </c>
      <c r="I5912" s="2" t="s">
        <v>14965</v>
      </c>
      <c r="J5912" s="3" t="str">
        <f>HYPERLINK("https://www.boe.es/gazeta/dias/1812/12/17/pdfs/GRE-1812-166.pdf#page=5","Abrir facsímil")</f>
        <v>Abrir facsímil</v>
      </c>
      <c r="K5912" s="3" t="s">
        <v>23</v>
      </c>
    </row>
    <row r="5913" spans="1:11" ht="42" customHeight="1">
      <c r="A5913" s="2" t="s">
        <v>14966</v>
      </c>
      <c r="B5913" s="2" t="s">
        <v>14967</v>
      </c>
      <c r="C5913" s="2" t="s">
        <v>17</v>
      </c>
      <c r="D5913" s="2" t="s">
        <v>27</v>
      </c>
      <c r="E5913" s="4">
        <v>-32055</v>
      </c>
      <c r="F5913" s="3" t="s">
        <v>459</v>
      </c>
      <c r="G5913" s="3" t="s">
        <v>777</v>
      </c>
      <c r="H5913" s="2" t="s">
        <v>21</v>
      </c>
      <c r="I5913" s="2" t="s">
        <v>14968</v>
      </c>
      <c r="J5913" s="3" t="str">
        <f>HYPERLINK("https://www.boe.es/gazeta/dias/1812/03/26/pdfs/GRE-1812-38.pdf#page=6","Abrir facsímil")</f>
        <v>Abrir facsímil</v>
      </c>
      <c r="K5913" s="3" t="s">
        <v>23</v>
      </c>
    </row>
    <row r="5914" spans="1:11" ht="42" customHeight="1">
      <c r="A5914" s="2" t="s">
        <v>14969</v>
      </c>
      <c r="B5914" s="2" t="s">
        <v>14969</v>
      </c>
      <c r="C5914" s="2" t="s">
        <v>17</v>
      </c>
      <c r="D5914" s="2" t="s">
        <v>27</v>
      </c>
      <c r="E5914" s="4">
        <v>-32046</v>
      </c>
      <c r="F5914" s="3" t="s">
        <v>1013</v>
      </c>
      <c r="G5914" s="3" t="s">
        <v>125</v>
      </c>
      <c r="H5914" s="2" t="s">
        <v>21</v>
      </c>
      <c r="I5914" s="2" t="s">
        <v>14970</v>
      </c>
      <c r="J5914" s="3" t="str">
        <f>HYPERLINK("https://www.boe.es/gazeta/dias/1812/04/04/pdfs/GRE-1812-42.pdf#page=8","Abrir facsímil")</f>
        <v>Abrir facsímil</v>
      </c>
      <c r="K5914" s="3" t="s">
        <v>23</v>
      </c>
    </row>
    <row r="5915" spans="1:11" ht="42" customHeight="1">
      <c r="A5915" s="2" t="s">
        <v>14971</v>
      </c>
      <c r="B5915" s="2" t="s">
        <v>14971</v>
      </c>
      <c r="C5915" s="2" t="s">
        <v>17</v>
      </c>
      <c r="D5915" s="2" t="s">
        <v>18</v>
      </c>
      <c r="E5915" s="4">
        <v>-31833</v>
      </c>
      <c r="F5915" s="3" t="s">
        <v>267</v>
      </c>
      <c r="G5915" s="3" t="s">
        <v>4587</v>
      </c>
      <c r="H5915" s="2" t="s">
        <v>21</v>
      </c>
      <c r="I5915" s="2" t="s">
        <v>14972</v>
      </c>
      <c r="J5915" s="3" t="str">
        <f>HYPERLINK("https://www.boe.es/gazeta/dias/1812/11/03/pdfs/GRE-1812-147.pdf#page=2","Abrir facsímil")</f>
        <v>Abrir facsímil</v>
      </c>
      <c r="K5915" s="3" t="s">
        <v>23</v>
      </c>
    </row>
    <row r="5916" spans="1:11" ht="42" customHeight="1">
      <c r="A5916" s="2" t="s">
        <v>14971</v>
      </c>
      <c r="B5916" s="2" t="s">
        <v>14971</v>
      </c>
      <c r="C5916" s="2" t="s">
        <v>17</v>
      </c>
      <c r="D5916" s="2" t="s">
        <v>18</v>
      </c>
      <c r="E5916" s="4">
        <v>-31821</v>
      </c>
      <c r="F5916" s="3" t="s">
        <v>1979</v>
      </c>
      <c r="G5916" s="3" t="s">
        <v>3583</v>
      </c>
      <c r="H5916" s="2" t="s">
        <v>21</v>
      </c>
      <c r="I5916" s="2" t="s">
        <v>14973</v>
      </c>
      <c r="J5916" s="3" t="str">
        <f>HYPERLINK("https://www.boe.es/gazeta/dias/1812/11/15/pdfs/GMR-1812-34.pdf#page=2","Abrir facsímil")</f>
        <v>Abrir facsímil</v>
      </c>
      <c r="K5916" s="3" t="s">
        <v>23</v>
      </c>
    </row>
    <row r="5917" spans="1:11" ht="42" customHeight="1">
      <c r="A5917" s="2" t="s">
        <v>14971</v>
      </c>
      <c r="B5917" s="2" t="s">
        <v>14971</v>
      </c>
      <c r="C5917" s="2" t="s">
        <v>17</v>
      </c>
      <c r="D5917" s="2" t="s">
        <v>27</v>
      </c>
      <c r="E5917" s="4">
        <v>-31791</v>
      </c>
      <c r="F5917" s="3" t="s">
        <v>905</v>
      </c>
      <c r="G5917" s="3" t="s">
        <v>2989</v>
      </c>
      <c r="H5917" s="2" t="s">
        <v>21</v>
      </c>
      <c r="I5917" s="2" t="s">
        <v>14974</v>
      </c>
      <c r="J5917" s="3" t="str">
        <f>HYPERLINK("https://www.boe.es/gazeta/dias/1812/12/15/pdfs/GRE-1812-165.pdf#page=1","Abrir facsímil")</f>
        <v>Abrir facsímil</v>
      </c>
      <c r="K5917" s="3" t="s">
        <v>23</v>
      </c>
    </row>
    <row r="5918" spans="1:11" ht="42" customHeight="1">
      <c r="A5918" s="2" t="s">
        <v>14975</v>
      </c>
      <c r="B5918" s="2" t="s">
        <v>14975</v>
      </c>
      <c r="C5918" s="2" t="s">
        <v>49</v>
      </c>
      <c r="D5918" s="2" t="s">
        <v>27</v>
      </c>
      <c r="E5918" s="4">
        <v>-32064</v>
      </c>
      <c r="F5918" s="3" t="s">
        <v>403</v>
      </c>
      <c r="G5918" s="3" t="s">
        <v>237</v>
      </c>
      <c r="H5918" s="2" t="s">
        <v>21</v>
      </c>
      <c r="I5918" s="2" t="s">
        <v>14976</v>
      </c>
      <c r="J5918" s="3" t="str">
        <f>HYPERLINK("https://www.boe.es/gazeta/dias/1812/03/17/pdfs/GMD-1812-77.pdf#page=3","Abrir facsímil")</f>
        <v>Abrir facsímil</v>
      </c>
      <c r="K5918" s="3" t="s">
        <v>23</v>
      </c>
    </row>
    <row r="5919" spans="1:11" ht="42" customHeight="1">
      <c r="A5919" s="2" t="s">
        <v>14977</v>
      </c>
      <c r="B5919" s="2" t="s">
        <v>14978</v>
      </c>
      <c r="C5919" s="2" t="s">
        <v>49</v>
      </c>
      <c r="D5919" s="2" t="s">
        <v>18</v>
      </c>
      <c r="E5919" s="4">
        <v>-31857</v>
      </c>
      <c r="F5919" s="3" t="s">
        <v>1000</v>
      </c>
      <c r="G5919" s="3" t="s">
        <v>1001</v>
      </c>
      <c r="H5919" s="2" t="s">
        <v>21</v>
      </c>
      <c r="I5919" s="2" t="s">
        <v>14979</v>
      </c>
      <c r="J5919" s="3" t="str">
        <f>HYPERLINK("https://www.boe.es/gazeta/dias/1812/10/10/pdfs/GRE-1812-137.pdf#page=7","Abrir facsímil")</f>
        <v>Abrir facsímil</v>
      </c>
      <c r="K5919" s="3" t="s">
        <v>23</v>
      </c>
    </row>
    <row r="5920" spans="1:11" ht="42" customHeight="1">
      <c r="A5920" s="2" t="s">
        <v>14980</v>
      </c>
      <c r="B5920" s="2" t="s">
        <v>14980</v>
      </c>
      <c r="C5920" s="2" t="s">
        <v>26</v>
      </c>
      <c r="D5920" s="2" t="s">
        <v>194</v>
      </c>
      <c r="E5920" s="4">
        <v>-32113</v>
      </c>
      <c r="F5920" s="3" t="s">
        <v>4341</v>
      </c>
      <c r="G5920" s="3" t="s">
        <v>7835</v>
      </c>
      <c r="H5920" s="2" t="s">
        <v>21</v>
      </c>
      <c r="I5920" s="2" t="s">
        <v>14981</v>
      </c>
      <c r="J5920" s="3" t="str">
        <f>HYPERLINK("https://www.boe.es/gazeta/dias/1812/01/28/pdfs/GMD-1812-28.pdf#page=1","Abrir facsímil")</f>
        <v>Abrir facsímil</v>
      </c>
      <c r="K5920" s="3" t="s">
        <v>23</v>
      </c>
    </row>
    <row r="5921" spans="1:11" ht="42" customHeight="1">
      <c r="A5921" s="2" t="s">
        <v>14982</v>
      </c>
      <c r="B5921" s="2" t="s">
        <v>14983</v>
      </c>
      <c r="C5921" s="2" t="s">
        <v>17</v>
      </c>
      <c r="D5921" s="2" t="s">
        <v>18</v>
      </c>
      <c r="E5921" s="4">
        <v>-31966</v>
      </c>
      <c r="F5921" s="3" t="s">
        <v>387</v>
      </c>
      <c r="G5921" s="3" t="s">
        <v>388</v>
      </c>
      <c r="H5921" s="2" t="s">
        <v>21</v>
      </c>
      <c r="I5921" s="2" t="s">
        <v>14984</v>
      </c>
      <c r="J5921" s="3" t="str">
        <f>HYPERLINK("https://www.boe.es/gazeta/dias/1812/06/23/pdfs/GMD-1812-175.pdf#page=2","Abrir facsímil")</f>
        <v>Abrir facsímil</v>
      </c>
      <c r="K5921" s="3" t="s">
        <v>23</v>
      </c>
    </row>
    <row r="5922" spans="1:11" ht="42" customHeight="1">
      <c r="A5922" s="2" t="s">
        <v>14985</v>
      </c>
      <c r="B5922" s="2" t="s">
        <v>14986</v>
      </c>
      <c r="C5922" s="2" t="s">
        <v>17</v>
      </c>
      <c r="D5922" s="2" t="s">
        <v>27</v>
      </c>
      <c r="E5922" s="4">
        <v>-32137</v>
      </c>
      <c r="F5922" s="3" t="s">
        <v>355</v>
      </c>
      <c r="G5922" s="3" t="s">
        <v>117</v>
      </c>
      <c r="H5922" s="2" t="s">
        <v>21</v>
      </c>
      <c r="I5922" s="2" t="s">
        <v>14987</v>
      </c>
      <c r="J5922" s="3" t="str">
        <f>HYPERLINK("https://www.boe.es/gazeta/dias/1812/01/04/pdfs/GEI-1812-2.pdf#page=8","Abrir facsímil")</f>
        <v>Abrir facsímil</v>
      </c>
      <c r="K5922" s="3" t="s">
        <v>23</v>
      </c>
    </row>
    <row r="5923" spans="1:11" ht="42" customHeight="1">
      <c r="A5923" s="2" t="s">
        <v>14988</v>
      </c>
      <c r="B5923" s="2" t="s">
        <v>14989</v>
      </c>
      <c r="C5923" s="2" t="s">
        <v>17</v>
      </c>
      <c r="D5923" s="2" t="s">
        <v>18</v>
      </c>
      <c r="E5923" s="4">
        <v>-32135</v>
      </c>
      <c r="F5923" s="3" t="s">
        <v>4558</v>
      </c>
      <c r="G5923" s="3" t="s">
        <v>1907</v>
      </c>
      <c r="H5923" s="2" t="s">
        <v>21</v>
      </c>
      <c r="I5923" s="2" t="s">
        <v>14990</v>
      </c>
      <c r="J5923" s="3" t="str">
        <f>HYPERLINK("https://www.boe.es/gazeta/dias/1812/01/06/pdfs/GMD-1812-7.pdf#page=4","Abrir facsímil")</f>
        <v>Abrir facsímil</v>
      </c>
      <c r="K5923" s="3" t="s">
        <v>23</v>
      </c>
    </row>
    <row r="5924" spans="1:11" ht="42" customHeight="1">
      <c r="A5924" s="2" t="s">
        <v>14988</v>
      </c>
      <c r="B5924" s="2" t="s">
        <v>14989</v>
      </c>
      <c r="C5924" s="2" t="s">
        <v>17</v>
      </c>
      <c r="D5924" s="2" t="s">
        <v>18</v>
      </c>
      <c r="E5924" s="4">
        <v>-32134</v>
      </c>
      <c r="F5924" s="3" t="s">
        <v>4558</v>
      </c>
      <c r="G5924" s="3" t="s">
        <v>1907</v>
      </c>
      <c r="H5924" s="2" t="s">
        <v>21</v>
      </c>
      <c r="I5924" s="2" t="s">
        <v>14990</v>
      </c>
      <c r="J5924" s="3" t="str">
        <f>HYPERLINK("https://www.boe.es/gazeta/dias/1812/01/07/pdfs/GMD-1812-7.pdf#page=4","Abrir facsímil")</f>
        <v>Abrir facsímil</v>
      </c>
      <c r="K5924" s="3" t="s">
        <v>23</v>
      </c>
    </row>
    <row r="5925" spans="1:11" ht="42" customHeight="1">
      <c r="A5925" s="2" t="s">
        <v>14991</v>
      </c>
      <c r="B5925" s="2" t="s">
        <v>14991</v>
      </c>
      <c r="C5925" s="2" t="s">
        <v>17</v>
      </c>
      <c r="D5925" s="2" t="s">
        <v>27</v>
      </c>
      <c r="E5925" s="4">
        <v>-32097</v>
      </c>
      <c r="F5925" s="3" t="s">
        <v>3797</v>
      </c>
      <c r="G5925" s="3" t="s">
        <v>3798</v>
      </c>
      <c r="H5925" s="2" t="s">
        <v>21</v>
      </c>
      <c r="I5925" s="2" t="s">
        <v>14992</v>
      </c>
      <c r="J5925" s="3" t="str">
        <f>HYPERLINK("https://www.boe.es/gazeta/dias/1812/02/13/pdfs/GRE-1812-19.pdf#page=3","Abrir facsímil")</f>
        <v>Abrir facsímil</v>
      </c>
      <c r="K5925" s="3" t="s">
        <v>23</v>
      </c>
    </row>
    <row r="5926" spans="1:11" ht="42" customHeight="1">
      <c r="A5926" s="2" t="s">
        <v>14993</v>
      </c>
      <c r="B5926" s="2" t="s">
        <v>14994</v>
      </c>
      <c r="C5926" s="2" t="s">
        <v>26</v>
      </c>
      <c r="D5926" s="2" t="s">
        <v>27</v>
      </c>
      <c r="E5926" s="4">
        <v>-31945</v>
      </c>
      <c r="F5926" s="3" t="s">
        <v>1485</v>
      </c>
      <c r="G5926" s="3" t="s">
        <v>159</v>
      </c>
      <c r="H5926" s="2" t="s">
        <v>21</v>
      </c>
      <c r="I5926" s="2" t="s">
        <v>14995</v>
      </c>
      <c r="J5926" s="3" t="str">
        <f>HYPERLINK("https://www.boe.es/gazeta/dias/1812/07/14/pdfs/GRE-1812-88.pdf#page=5","Abrir facsímil")</f>
        <v>Abrir facsímil</v>
      </c>
      <c r="K5926" s="3" t="s">
        <v>23</v>
      </c>
    </row>
    <row r="5927" spans="1:11" ht="42" customHeight="1">
      <c r="A5927" s="2" t="s">
        <v>14996</v>
      </c>
      <c r="B5927" s="2" t="s">
        <v>14997</v>
      </c>
      <c r="C5927" s="2" t="s">
        <v>17</v>
      </c>
      <c r="D5927" s="2" t="s">
        <v>18</v>
      </c>
      <c r="E5927" s="4">
        <v>-32104</v>
      </c>
      <c r="F5927" s="3" t="s">
        <v>996</v>
      </c>
      <c r="G5927" s="3" t="s">
        <v>20</v>
      </c>
      <c r="H5927" s="2" t="s">
        <v>21</v>
      </c>
      <c r="I5927" s="2" t="s">
        <v>14998</v>
      </c>
      <c r="J5927" s="3" t="str">
        <f>HYPERLINK("https://www.boe.es/gazeta/dias/1812/02/06/pdfs/GRE-1812-16.pdf#page=4","Abrir facsímil")</f>
        <v>Abrir facsímil</v>
      </c>
      <c r="K5927" s="3" t="s">
        <v>23</v>
      </c>
    </row>
    <row r="5928" spans="1:11" ht="42" customHeight="1">
      <c r="A5928" s="2" t="s">
        <v>14996</v>
      </c>
      <c r="B5928" s="2" t="s">
        <v>14997</v>
      </c>
      <c r="C5928" s="2" t="s">
        <v>26</v>
      </c>
      <c r="D5928" s="2" t="s">
        <v>27</v>
      </c>
      <c r="E5928" s="4">
        <v>-31990</v>
      </c>
      <c r="F5928" s="3" t="s">
        <v>5078</v>
      </c>
      <c r="G5928" s="3" t="s">
        <v>1698</v>
      </c>
      <c r="H5928" s="2" t="s">
        <v>21</v>
      </c>
      <c r="I5928" s="2" t="s">
        <v>14999</v>
      </c>
      <c r="J5928" s="3" t="str">
        <f>HYPERLINK("https://www.boe.es/gazeta/dias/1812/05/30/pdfs/GRE-1812-67.pdf#page=5","Abrir facsímil")</f>
        <v>Abrir facsímil</v>
      </c>
      <c r="K5928" s="3" t="s">
        <v>23</v>
      </c>
    </row>
    <row r="5929" spans="1:11" ht="42" customHeight="1">
      <c r="A5929" s="2" t="s">
        <v>14996</v>
      </c>
      <c r="B5929" s="2" t="s">
        <v>14997</v>
      </c>
      <c r="C5929" s="2" t="s">
        <v>17</v>
      </c>
      <c r="D5929" s="2" t="s">
        <v>27</v>
      </c>
      <c r="E5929" s="4">
        <v>-31985</v>
      </c>
      <c r="F5929" s="3" t="s">
        <v>1942</v>
      </c>
      <c r="G5929" s="3" t="s">
        <v>1943</v>
      </c>
      <c r="H5929" s="2" t="s">
        <v>21</v>
      </c>
      <c r="I5929" s="2" t="s">
        <v>15000</v>
      </c>
      <c r="J5929" s="3" t="str">
        <f>HYPERLINK("https://www.boe.es/gazeta/dias/1812/06/04/pdfs/GRE-1812-69.pdf#page=6","Abrir facsímil")</f>
        <v>Abrir facsímil</v>
      </c>
      <c r="K5929" s="3" t="s">
        <v>23</v>
      </c>
    </row>
    <row r="5930" spans="1:11" ht="42" customHeight="1">
      <c r="A5930" s="2" t="s">
        <v>14996</v>
      </c>
      <c r="B5930" s="2" t="s">
        <v>14997</v>
      </c>
      <c r="C5930" s="2" t="s">
        <v>26</v>
      </c>
      <c r="D5930" s="2" t="s">
        <v>27</v>
      </c>
      <c r="E5930" s="4">
        <v>-31964</v>
      </c>
      <c r="F5930" s="3" t="s">
        <v>305</v>
      </c>
      <c r="G5930" s="3" t="s">
        <v>58</v>
      </c>
      <c r="H5930" s="2" t="s">
        <v>21</v>
      </c>
      <c r="I5930" s="2" t="s">
        <v>15001</v>
      </c>
      <c r="J5930" s="3" t="str">
        <f>HYPERLINK("https://www.boe.es/gazeta/dias/1812/06/25/pdfs/GMD-1812-177.pdf#page=2","Abrir facsímil")</f>
        <v>Abrir facsímil</v>
      </c>
      <c r="K5930" s="3" t="s">
        <v>23</v>
      </c>
    </row>
    <row r="5931" spans="1:11" ht="42" customHeight="1">
      <c r="A5931" s="2" t="s">
        <v>14996</v>
      </c>
      <c r="B5931" s="2" t="s">
        <v>14997</v>
      </c>
      <c r="C5931" s="2" t="s">
        <v>17</v>
      </c>
      <c r="D5931" s="2" t="s">
        <v>27</v>
      </c>
      <c r="E5931" s="4">
        <v>-31945</v>
      </c>
      <c r="F5931" s="3" t="s">
        <v>1485</v>
      </c>
      <c r="G5931" s="3" t="s">
        <v>1486</v>
      </c>
      <c r="H5931" s="2" t="s">
        <v>21</v>
      </c>
      <c r="I5931" s="2" t="s">
        <v>15002</v>
      </c>
      <c r="J5931" s="3" t="str">
        <f>HYPERLINK("https://www.boe.es/gazeta/dias/1812/07/14/pdfs/GRE-1812-88.pdf#page=1","Abrir facsímil")</f>
        <v>Abrir facsímil</v>
      </c>
      <c r="K5931" s="3" t="s">
        <v>23</v>
      </c>
    </row>
    <row r="5932" spans="1:11" ht="42" customHeight="1">
      <c r="A5932" s="2" t="s">
        <v>15003</v>
      </c>
      <c r="B5932" s="2" t="s">
        <v>15004</v>
      </c>
      <c r="C5932" s="2" t="s">
        <v>26</v>
      </c>
      <c r="D5932" s="2" t="s">
        <v>275</v>
      </c>
      <c r="E5932" s="4">
        <v>-31964</v>
      </c>
      <c r="F5932" s="3" t="s">
        <v>305</v>
      </c>
      <c r="G5932" s="3" t="s">
        <v>58</v>
      </c>
      <c r="H5932" s="2" t="s">
        <v>21</v>
      </c>
      <c r="I5932" s="2" t="s">
        <v>15005</v>
      </c>
      <c r="J5932" s="3" t="str">
        <f>HYPERLINK("https://www.boe.es/gazeta/dias/1812/06/25/pdfs/GMD-1812-177.pdf#page=2","Abrir facsímil")</f>
        <v>Abrir facsímil</v>
      </c>
      <c r="K5932" s="3" t="s">
        <v>23</v>
      </c>
    </row>
    <row r="5933" spans="1:11" ht="42" customHeight="1">
      <c r="A5933" s="2" t="s">
        <v>15006</v>
      </c>
      <c r="B5933" s="2" t="s">
        <v>15007</v>
      </c>
      <c r="C5933" s="2" t="s">
        <v>49</v>
      </c>
      <c r="D5933" s="2" t="s">
        <v>27</v>
      </c>
      <c r="E5933" s="4">
        <v>-32050</v>
      </c>
      <c r="F5933" s="3" t="s">
        <v>864</v>
      </c>
      <c r="G5933" s="3" t="s">
        <v>29</v>
      </c>
      <c r="H5933" s="2" t="s">
        <v>21</v>
      </c>
      <c r="I5933" s="2" t="s">
        <v>15008</v>
      </c>
      <c r="J5933" s="3" t="str">
        <f>HYPERLINK("https://www.boe.es/gazeta/dias/1812/03/31/pdfs/GRE-1812-40.pdf#page=8","Abrir facsímil")</f>
        <v>Abrir facsímil</v>
      </c>
      <c r="K5933" s="3" t="s">
        <v>23</v>
      </c>
    </row>
    <row r="5934" spans="1:11" ht="42" customHeight="1">
      <c r="A5934" s="2" t="s">
        <v>15009</v>
      </c>
      <c r="B5934" s="2" t="s">
        <v>15010</v>
      </c>
      <c r="C5934" s="2" t="s">
        <v>26</v>
      </c>
      <c r="D5934" s="2" t="s">
        <v>275</v>
      </c>
      <c r="E5934" s="4">
        <v>-32011</v>
      </c>
      <c r="F5934" s="3" t="s">
        <v>1656</v>
      </c>
      <c r="G5934" s="3" t="s">
        <v>777</v>
      </c>
      <c r="H5934" s="2" t="s">
        <v>21</v>
      </c>
      <c r="I5934" s="2" t="s">
        <v>15011</v>
      </c>
      <c r="J5934" s="3" t="str">
        <f>HYPERLINK("https://www.boe.es/gazeta/dias/1812/05/09/pdfs/GMD-1812-130.pdf#page=2","Abrir facsímil")</f>
        <v>Abrir facsímil</v>
      </c>
      <c r="K5934" s="3" t="s">
        <v>23</v>
      </c>
    </row>
    <row r="5935" spans="1:11" ht="42" customHeight="1">
      <c r="A5935" s="2" t="s">
        <v>15012</v>
      </c>
      <c r="B5935" s="2" t="s">
        <v>15013</v>
      </c>
      <c r="C5935" s="2" t="s">
        <v>26</v>
      </c>
      <c r="D5935" s="2" t="s">
        <v>27</v>
      </c>
      <c r="E5935" s="4">
        <v>-32109</v>
      </c>
      <c r="F5935" s="3" t="s">
        <v>62</v>
      </c>
      <c r="G5935" s="3" t="s">
        <v>472</v>
      </c>
      <c r="H5935" s="2" t="s">
        <v>21</v>
      </c>
      <c r="I5935" s="2" t="s">
        <v>15014</v>
      </c>
      <c r="J5935" s="3" t="str">
        <f>HYPERLINK("https://www.boe.es/gazeta/dias/1812/02/01/pdfs/GRE-1812-14.pdf#page=12","Abrir facsímil")</f>
        <v>Abrir facsímil</v>
      </c>
      <c r="K5935" s="3" t="s">
        <v>23</v>
      </c>
    </row>
    <row r="5936" spans="1:11" ht="42" customHeight="1">
      <c r="A5936" s="2" t="s">
        <v>15015</v>
      </c>
      <c r="B5936" s="2" t="s">
        <v>15016</v>
      </c>
      <c r="C5936" s="2" t="s">
        <v>26</v>
      </c>
      <c r="D5936" s="2" t="s">
        <v>27</v>
      </c>
      <c r="E5936" s="4">
        <v>-32022</v>
      </c>
      <c r="F5936" s="3" t="s">
        <v>1186</v>
      </c>
      <c r="G5936" s="3" t="s">
        <v>336</v>
      </c>
      <c r="H5936" s="2" t="s">
        <v>21</v>
      </c>
      <c r="I5936" s="2" t="s">
        <v>15017</v>
      </c>
      <c r="J5936" s="3" t="str">
        <f>HYPERLINK("https://www.boe.es/gazeta/dias/1812/04/28/pdfs/GRE-1812-53.pdf#page=8","Abrir facsímil")</f>
        <v>Abrir facsímil</v>
      </c>
      <c r="K5936" s="3" t="s">
        <v>23</v>
      </c>
    </row>
    <row r="5937" spans="1:11" ht="42" customHeight="1">
      <c r="A5937" s="2" t="s">
        <v>15018</v>
      </c>
      <c r="B5937" s="2" t="s">
        <v>15019</v>
      </c>
      <c r="C5937" s="2" t="s">
        <v>17</v>
      </c>
      <c r="D5937" s="2" t="s">
        <v>18</v>
      </c>
      <c r="E5937" s="4">
        <v>-31822</v>
      </c>
      <c r="F5937" s="3" t="s">
        <v>541</v>
      </c>
      <c r="G5937" s="3" t="s">
        <v>1205</v>
      </c>
      <c r="H5937" s="2" t="s">
        <v>21</v>
      </c>
      <c r="I5937" s="2" t="s">
        <v>15020</v>
      </c>
      <c r="J5937" s="3" t="str">
        <f>HYPERLINK("https://www.boe.es/gazeta/dias/1812/11/14/pdfs/GRE-1812-152.pdf#page=5","Abrir facsímil")</f>
        <v>Abrir facsímil</v>
      </c>
      <c r="K5937" s="3" t="s">
        <v>23</v>
      </c>
    </row>
    <row r="5938" spans="1:11" ht="42" customHeight="1">
      <c r="A5938" s="2" t="s">
        <v>15021</v>
      </c>
      <c r="B5938" s="2" t="s">
        <v>15022</v>
      </c>
      <c r="C5938" s="2" t="s">
        <v>26</v>
      </c>
      <c r="D5938" s="2" t="s">
        <v>27</v>
      </c>
      <c r="E5938" s="4">
        <v>-31938</v>
      </c>
      <c r="F5938" s="3" t="s">
        <v>324</v>
      </c>
      <c r="G5938" s="3" t="s">
        <v>237</v>
      </c>
      <c r="H5938" s="2" t="s">
        <v>21</v>
      </c>
      <c r="I5938" s="2" t="s">
        <v>15023</v>
      </c>
      <c r="J5938" s="3" t="str">
        <f>HYPERLINK("https://www.boe.es/gazeta/dias/1812/07/21/pdfs/GMD-1812-203.pdf#page=2","Abrir facsímil")</f>
        <v>Abrir facsímil</v>
      </c>
      <c r="K5938" s="3" t="s">
        <v>23</v>
      </c>
    </row>
    <row r="5939" spans="1:11" ht="42" customHeight="1">
      <c r="A5939" s="2" t="s">
        <v>15021</v>
      </c>
      <c r="B5939" s="2" t="s">
        <v>15022</v>
      </c>
      <c r="C5939" s="2" t="s">
        <v>26</v>
      </c>
      <c r="D5939" s="2" t="s">
        <v>27</v>
      </c>
      <c r="E5939" s="4">
        <v>-31938</v>
      </c>
      <c r="F5939" s="3" t="s">
        <v>324</v>
      </c>
      <c r="G5939" s="3" t="s">
        <v>404</v>
      </c>
      <c r="H5939" s="2" t="s">
        <v>21</v>
      </c>
      <c r="I5939" s="2" t="s">
        <v>15024</v>
      </c>
      <c r="J5939" s="3" t="str">
        <f>HYPERLINK("https://www.boe.es/gazeta/dias/1812/07/21/pdfs/GMD-1812-203.pdf#page=4","Abrir facsímil")</f>
        <v>Abrir facsímil</v>
      </c>
      <c r="K5939" s="3" t="s">
        <v>23</v>
      </c>
    </row>
    <row r="5940" spans="1:11" ht="42" customHeight="1">
      <c r="A5940" s="2" t="s">
        <v>15025</v>
      </c>
      <c r="B5940" s="2" t="s">
        <v>15026</v>
      </c>
      <c r="C5940" s="2" t="s">
        <v>26</v>
      </c>
      <c r="D5940" s="2" t="s">
        <v>27</v>
      </c>
      <c r="E5940" s="4">
        <v>-31939</v>
      </c>
      <c r="F5940" s="3" t="s">
        <v>408</v>
      </c>
      <c r="G5940" s="3" t="s">
        <v>20</v>
      </c>
      <c r="H5940" s="2" t="s">
        <v>21</v>
      </c>
      <c r="I5940" s="2" t="s">
        <v>15027</v>
      </c>
      <c r="J5940" s="3" t="str">
        <f>HYPERLINK("https://www.boe.es/gazeta/dias/1812/07/20/pdfs/GMD-1812-202.pdf#page=4","Abrir facsímil")</f>
        <v>Abrir facsímil</v>
      </c>
      <c r="K5940" s="3" t="s">
        <v>23</v>
      </c>
    </row>
    <row r="5941" spans="1:11" ht="42" customHeight="1">
      <c r="A5941" s="2" t="s">
        <v>15028</v>
      </c>
      <c r="B5941" s="2" t="s">
        <v>15029</v>
      </c>
      <c r="C5941" s="2" t="s">
        <v>26</v>
      </c>
      <c r="D5941" s="2" t="s">
        <v>27</v>
      </c>
      <c r="E5941" s="4">
        <v>-31974</v>
      </c>
      <c r="F5941" s="3" t="s">
        <v>2986</v>
      </c>
      <c r="G5941" s="3" t="s">
        <v>130</v>
      </c>
      <c r="H5941" s="2" t="s">
        <v>21</v>
      </c>
      <c r="I5941" s="2" t="s">
        <v>15030</v>
      </c>
      <c r="J5941" s="3" t="str">
        <f>HYPERLINK("https://www.boe.es/gazeta/dias/1812/06/15/pdfs/GMD-1812-167.pdf#page=4","Abrir facsímil")</f>
        <v>Abrir facsímil</v>
      </c>
      <c r="K5941" s="3" t="s">
        <v>23</v>
      </c>
    </row>
    <row r="5942" spans="1:11" ht="42" customHeight="1">
      <c r="A5942" s="2" t="s">
        <v>15031</v>
      </c>
      <c r="B5942" s="2" t="s">
        <v>15032</v>
      </c>
      <c r="C5942" s="2" t="s">
        <v>26</v>
      </c>
      <c r="D5942" s="2" t="s">
        <v>27</v>
      </c>
      <c r="E5942" s="4">
        <v>-32109</v>
      </c>
      <c r="F5942" s="3" t="s">
        <v>62</v>
      </c>
      <c r="G5942" s="3" t="s">
        <v>63</v>
      </c>
      <c r="H5942" s="2" t="s">
        <v>21</v>
      </c>
      <c r="I5942" s="2" t="s">
        <v>15033</v>
      </c>
      <c r="J5942" s="3" t="str">
        <f>HYPERLINK("https://www.boe.es/gazeta/dias/1812/02/01/pdfs/GRE-1812-14.pdf#page=10","Abrir facsímil")</f>
        <v>Abrir facsímil</v>
      </c>
      <c r="K5942" s="3" t="s">
        <v>23</v>
      </c>
    </row>
    <row r="5943" spans="1:11" ht="42" customHeight="1">
      <c r="A5943" s="2" t="s">
        <v>15034</v>
      </c>
      <c r="B5943" s="2" t="s">
        <v>15035</v>
      </c>
      <c r="C5943" s="2" t="s">
        <v>17</v>
      </c>
      <c r="D5943" s="2" t="s">
        <v>27</v>
      </c>
      <c r="E5943" s="4">
        <v>-32022</v>
      </c>
      <c r="F5943" s="3" t="s">
        <v>1186</v>
      </c>
      <c r="G5943" s="3" t="s">
        <v>336</v>
      </c>
      <c r="H5943" s="2" t="s">
        <v>21</v>
      </c>
      <c r="I5943" s="2" t="s">
        <v>15036</v>
      </c>
      <c r="J5943" s="3" t="str">
        <f>HYPERLINK("https://www.boe.es/gazeta/dias/1812/04/28/pdfs/GRE-1812-53.pdf#page=8","Abrir facsímil")</f>
        <v>Abrir facsímil</v>
      </c>
      <c r="K5943" s="3" t="s">
        <v>23</v>
      </c>
    </row>
    <row r="5944" spans="1:11" ht="42" customHeight="1">
      <c r="A5944" s="2" t="s">
        <v>15034</v>
      </c>
      <c r="B5944" s="2" t="s">
        <v>15035</v>
      </c>
      <c r="C5944" s="2" t="s">
        <v>26</v>
      </c>
      <c r="D5944" s="2" t="s">
        <v>27</v>
      </c>
      <c r="E5944" s="4">
        <v>-31938</v>
      </c>
      <c r="F5944" s="3" t="s">
        <v>324</v>
      </c>
      <c r="G5944" s="3" t="s">
        <v>497</v>
      </c>
      <c r="H5944" s="2" t="s">
        <v>21</v>
      </c>
      <c r="I5944" s="2" t="s">
        <v>15037</v>
      </c>
      <c r="J5944" s="3" t="str">
        <f>HYPERLINK("https://www.boe.es/gazeta/dias/1812/07/21/pdfs/GMD-1812-203.pdf#page=3","Abrir facsímil")</f>
        <v>Abrir facsímil</v>
      </c>
      <c r="K5944" s="3" t="s">
        <v>23</v>
      </c>
    </row>
    <row r="5945" spans="1:11" ht="42" customHeight="1">
      <c r="A5945" s="2" t="s">
        <v>15038</v>
      </c>
      <c r="B5945" s="2" t="s">
        <v>15039</v>
      </c>
      <c r="C5945" s="2" t="s">
        <v>186</v>
      </c>
      <c r="D5945" s="2" t="s">
        <v>27</v>
      </c>
      <c r="E5945" s="4">
        <v>-31964</v>
      </c>
      <c r="F5945" s="3" t="s">
        <v>305</v>
      </c>
      <c r="G5945" s="3" t="s">
        <v>306</v>
      </c>
      <c r="H5945" s="2" t="s">
        <v>21</v>
      </c>
      <c r="I5945" s="2" t="s">
        <v>15040</v>
      </c>
      <c r="J5945" s="3" t="str">
        <f>HYPERLINK("https://www.boe.es/gazeta/dias/1812/06/25/pdfs/GMD-1812-177.pdf#page=3","Abrir facsímil")</f>
        <v>Abrir facsímil</v>
      </c>
      <c r="K5945" s="3" t="s">
        <v>23</v>
      </c>
    </row>
    <row r="5946" spans="1:11" ht="42" customHeight="1">
      <c r="A5946" s="2" t="s">
        <v>15041</v>
      </c>
      <c r="B5946" s="2" t="s">
        <v>15042</v>
      </c>
      <c r="C5946" s="2" t="s">
        <v>17</v>
      </c>
      <c r="D5946" s="2" t="s">
        <v>27</v>
      </c>
      <c r="E5946" s="4">
        <v>-32060</v>
      </c>
      <c r="F5946" s="3" t="s">
        <v>399</v>
      </c>
      <c r="G5946" s="3" t="s">
        <v>136</v>
      </c>
      <c r="H5946" s="2" t="s">
        <v>21</v>
      </c>
      <c r="I5946" s="2" t="s">
        <v>15043</v>
      </c>
      <c r="J5946" s="3" t="str">
        <f>HYPERLINK("https://www.boe.es/gazeta/dias/1812/03/21/pdfs/GMD-1812-81.pdf#page=4","Abrir facsímil")</f>
        <v>Abrir facsímil</v>
      </c>
      <c r="K5946" s="3" t="s">
        <v>23</v>
      </c>
    </row>
    <row r="5947" spans="1:11" ht="42" customHeight="1">
      <c r="A5947" s="2" t="s">
        <v>15044</v>
      </c>
      <c r="B5947" s="2" t="s">
        <v>15045</v>
      </c>
      <c r="C5947" s="2" t="s">
        <v>26</v>
      </c>
      <c r="D5947" s="2" t="s">
        <v>27</v>
      </c>
      <c r="E5947" s="4">
        <v>-32034</v>
      </c>
      <c r="F5947" s="3" t="s">
        <v>28</v>
      </c>
      <c r="G5947" s="3" t="s">
        <v>29</v>
      </c>
      <c r="H5947" s="2" t="s">
        <v>21</v>
      </c>
      <c r="I5947" s="2" t="s">
        <v>15046</v>
      </c>
      <c r="J5947" s="3" t="str">
        <f>HYPERLINK("https://www.boe.es/gazeta/dias/1812/04/16/pdfs/GMD-1812-107.pdf#page=8","Abrir facsímil")</f>
        <v>Abrir facsímil</v>
      </c>
      <c r="K5947" s="3" t="s">
        <v>23</v>
      </c>
    </row>
    <row r="5948" spans="1:11" ht="42" customHeight="1">
      <c r="A5948" s="2" t="s">
        <v>15047</v>
      </c>
      <c r="B5948" s="2" t="s">
        <v>15048</v>
      </c>
      <c r="C5948" s="2" t="s">
        <v>26</v>
      </c>
      <c r="D5948" s="2" t="s">
        <v>27</v>
      </c>
      <c r="E5948" s="4">
        <v>-32034</v>
      </c>
      <c r="F5948" s="3" t="s">
        <v>28</v>
      </c>
      <c r="G5948" s="3" t="s">
        <v>20</v>
      </c>
      <c r="H5948" s="2" t="s">
        <v>21</v>
      </c>
      <c r="I5948" s="2" t="s">
        <v>15049</v>
      </c>
      <c r="J5948" s="3" t="str">
        <f>HYPERLINK("https://www.boe.es/gazeta/dias/1812/04/16/pdfs/GMD-1812-107.pdf#page=3","Abrir facsímil")</f>
        <v>Abrir facsímil</v>
      </c>
      <c r="K5948" s="3" t="s">
        <v>23</v>
      </c>
    </row>
    <row r="5949" spans="1:11" ht="42" customHeight="1">
      <c r="A5949" s="2" t="s">
        <v>15050</v>
      </c>
      <c r="B5949" s="2" t="s">
        <v>15051</v>
      </c>
      <c r="C5949" s="2" t="s">
        <v>17</v>
      </c>
      <c r="D5949" s="2" t="s">
        <v>18</v>
      </c>
      <c r="E5949" s="4">
        <v>-31992</v>
      </c>
      <c r="F5949" s="3" t="s">
        <v>1292</v>
      </c>
      <c r="G5949" s="3" t="s">
        <v>1424</v>
      </c>
      <c r="H5949" s="2" t="s">
        <v>30</v>
      </c>
      <c r="I5949" s="2" t="s">
        <v>15052</v>
      </c>
      <c r="J5949" s="3" t="str">
        <f>HYPERLINK("https://www.boe.es/gazeta/dias/1812/05/28/pdfs/GRE-1812-66.pdf#page=5","Abrir facsímil")</f>
        <v>Abrir facsímil</v>
      </c>
      <c r="K5949" s="3" t="s">
        <v>32</v>
      </c>
    </row>
    <row r="5950" spans="1:11" ht="42" customHeight="1">
      <c r="A5950" s="2" t="s">
        <v>15053</v>
      </c>
      <c r="B5950" s="2" t="s">
        <v>15054</v>
      </c>
      <c r="C5950" s="2" t="s">
        <v>26</v>
      </c>
      <c r="D5950" s="2" t="s">
        <v>27</v>
      </c>
      <c r="E5950" s="4">
        <v>-32034</v>
      </c>
      <c r="F5950" s="3" t="s">
        <v>1008</v>
      </c>
      <c r="G5950" s="3" t="s">
        <v>1009</v>
      </c>
      <c r="H5950" s="2" t="s">
        <v>21</v>
      </c>
      <c r="I5950" s="2" t="s">
        <v>15055</v>
      </c>
      <c r="J5950" s="3" t="str">
        <f>HYPERLINK("https://www.boe.es/gazeta/dias/1812/04/16/pdfs/GRE-1812-48.pdf#page=8","Abrir facsímil")</f>
        <v>Abrir facsímil</v>
      </c>
      <c r="K5950" s="3" t="s">
        <v>23</v>
      </c>
    </row>
    <row r="5951" spans="1:11" ht="42" customHeight="1">
      <c r="A5951" s="2" t="s">
        <v>15056</v>
      </c>
      <c r="B5951" s="2" t="s">
        <v>15057</v>
      </c>
      <c r="C5951" s="2" t="s">
        <v>26</v>
      </c>
      <c r="D5951" s="2" t="s">
        <v>27</v>
      </c>
      <c r="E5951" s="4">
        <v>-32085</v>
      </c>
      <c r="F5951" s="3" t="s">
        <v>1877</v>
      </c>
      <c r="G5951" s="3" t="s">
        <v>4321</v>
      </c>
      <c r="H5951" s="2" t="s">
        <v>21</v>
      </c>
      <c r="I5951" s="2" t="s">
        <v>15058</v>
      </c>
      <c r="J5951" s="3" t="str">
        <f>HYPERLINK("https://www.boe.es/gazeta/dias/1812/02/25/pdfs/GMD-1812-56.pdf#page=2","Abrir facsímil")</f>
        <v>Abrir facsímil</v>
      </c>
      <c r="K5951" s="3" t="s">
        <v>23</v>
      </c>
    </row>
    <row r="5952" spans="1:11" ht="42" customHeight="1">
      <c r="A5952" s="2" t="s">
        <v>15059</v>
      </c>
      <c r="B5952" s="2" t="s">
        <v>15060</v>
      </c>
      <c r="C5952" s="2" t="s">
        <v>105</v>
      </c>
      <c r="D5952" s="2" t="s">
        <v>134</v>
      </c>
      <c r="E5952" s="4">
        <v>-31955</v>
      </c>
      <c r="F5952" s="3" t="s">
        <v>135</v>
      </c>
      <c r="G5952" s="3" t="s">
        <v>136</v>
      </c>
      <c r="H5952" s="2" t="s">
        <v>21</v>
      </c>
      <c r="I5952" s="2" t="s">
        <v>15061</v>
      </c>
      <c r="J5952" s="3" t="str">
        <f>HYPERLINK("https://www.boe.es/gazeta/dias/1812/07/04/pdfs/GRE-F-1812-82.pdf#page=8","Abrir facsímil")</f>
        <v>Abrir facsímil</v>
      </c>
      <c r="K5952" s="3" t="s">
        <v>23</v>
      </c>
    </row>
    <row r="5953" spans="1:11" ht="42" customHeight="1">
      <c r="A5953" s="2" t="s">
        <v>15062</v>
      </c>
      <c r="B5953" s="2" t="s">
        <v>15062</v>
      </c>
      <c r="C5953" s="2" t="s">
        <v>105</v>
      </c>
      <c r="D5953" s="2" t="s">
        <v>27</v>
      </c>
      <c r="E5953" s="4">
        <v>-32004</v>
      </c>
      <c r="F5953" s="3" t="s">
        <v>148</v>
      </c>
      <c r="G5953" s="3" t="s">
        <v>9200</v>
      </c>
      <c r="H5953" s="2" t="s">
        <v>21</v>
      </c>
      <c r="I5953" s="2" t="s">
        <v>15063</v>
      </c>
      <c r="J5953" s="3" t="str">
        <f>HYPERLINK("https://www.boe.es/gazeta/dias/1812/05/16/pdfs/GRE-1812-61.pdf#page=2","Abrir facsímil")</f>
        <v>Abrir facsímil</v>
      </c>
      <c r="K5953" s="3" t="s">
        <v>23</v>
      </c>
    </row>
    <row r="5954" spans="1:11" ht="42" customHeight="1">
      <c r="A5954" s="2" t="s">
        <v>15064</v>
      </c>
      <c r="B5954" s="2" t="s">
        <v>15065</v>
      </c>
      <c r="C5954" s="2" t="s">
        <v>17</v>
      </c>
      <c r="D5954" s="2" t="s">
        <v>18</v>
      </c>
      <c r="E5954" s="4">
        <v>-31789</v>
      </c>
      <c r="F5954" s="3" t="s">
        <v>350</v>
      </c>
      <c r="G5954" s="3" t="s">
        <v>15066</v>
      </c>
      <c r="H5954" s="2" t="s">
        <v>21</v>
      </c>
      <c r="I5954" s="2" t="s">
        <v>15067</v>
      </c>
      <c r="J5954" s="3" t="str">
        <f>HYPERLINK("https://www.boe.es/gazeta/dias/1812/12/17/pdfs/GRE-1812-166.pdf#page=1","Abrir facsímil")</f>
        <v>Abrir facsímil</v>
      </c>
      <c r="K5954" s="3" t="s">
        <v>23</v>
      </c>
    </row>
    <row r="5955" spans="1:11" ht="42" customHeight="1">
      <c r="A5955" s="2" t="s">
        <v>15068</v>
      </c>
      <c r="B5955" s="2" t="s">
        <v>15068</v>
      </c>
      <c r="C5955" s="2" t="s">
        <v>26</v>
      </c>
      <c r="D5955" s="2" t="s">
        <v>27</v>
      </c>
      <c r="E5955" s="4">
        <v>-31929</v>
      </c>
      <c r="F5955" s="3" t="s">
        <v>1148</v>
      </c>
      <c r="G5955" s="3" t="s">
        <v>125</v>
      </c>
      <c r="H5955" s="2" t="s">
        <v>21</v>
      </c>
      <c r="I5955" s="2" t="s">
        <v>15069</v>
      </c>
      <c r="J5955" s="3" t="str">
        <f>HYPERLINK("https://www.boe.es/gazeta/dias/1812/07/30/pdfs/GRE-1812-95.pdf#page=7","Abrir facsímil")</f>
        <v>Abrir facsímil</v>
      </c>
      <c r="K5955" s="3" t="s">
        <v>23</v>
      </c>
    </row>
    <row r="5956" spans="1:11" ht="42" customHeight="1">
      <c r="A5956" s="2" t="s">
        <v>15070</v>
      </c>
      <c r="B5956" s="2" t="s">
        <v>15071</v>
      </c>
      <c r="C5956" s="2" t="s">
        <v>26</v>
      </c>
      <c r="D5956" s="2" t="s">
        <v>27</v>
      </c>
      <c r="E5956" s="4">
        <v>-32116</v>
      </c>
      <c r="F5956" s="3" t="s">
        <v>993</v>
      </c>
      <c r="G5956" s="3" t="s">
        <v>994</v>
      </c>
      <c r="H5956" s="2" t="s">
        <v>21</v>
      </c>
      <c r="I5956" s="2" t="s">
        <v>15072</v>
      </c>
      <c r="J5956" s="3" t="str">
        <f>HYPERLINK("https://www.boe.es/gazeta/dias/1812/01/25/pdfs/GEI-1812-11.pdf#page=4","Abrir facsímil")</f>
        <v>Abrir facsímil</v>
      </c>
      <c r="K5956" s="3" t="s">
        <v>23</v>
      </c>
    </row>
    <row r="5957" spans="1:11" ht="42" customHeight="1">
      <c r="A5957" s="2" t="s">
        <v>15070</v>
      </c>
      <c r="B5957" s="2" t="s">
        <v>15071</v>
      </c>
      <c r="C5957" s="2" t="s">
        <v>17</v>
      </c>
      <c r="D5957" s="2" t="s">
        <v>134</v>
      </c>
      <c r="E5957" s="4">
        <v>-31952</v>
      </c>
      <c r="F5957" s="3" t="s">
        <v>1541</v>
      </c>
      <c r="G5957" s="3" t="s">
        <v>481</v>
      </c>
      <c r="H5957" s="2" t="s">
        <v>21</v>
      </c>
      <c r="I5957" s="2" t="s">
        <v>15073</v>
      </c>
      <c r="J5957" s="3" t="str">
        <f>HYPERLINK("https://www.boe.es/gazeta/dias/1812/07/07/pdfs/GRE-F-1812-83.pdf#page=2","Abrir facsímil")</f>
        <v>Abrir facsímil</v>
      </c>
      <c r="K5957" s="3" t="s">
        <v>23</v>
      </c>
    </row>
    <row r="5958" spans="1:11" ht="42" customHeight="1">
      <c r="A5958" s="2" t="s">
        <v>15074</v>
      </c>
      <c r="B5958" s="2" t="s">
        <v>15075</v>
      </c>
      <c r="C5958" s="2" t="s">
        <v>26</v>
      </c>
      <c r="D5958" s="2" t="s">
        <v>27</v>
      </c>
      <c r="E5958" s="4">
        <v>-32067</v>
      </c>
      <c r="F5958" s="3" t="s">
        <v>199</v>
      </c>
      <c r="G5958" s="3" t="s">
        <v>237</v>
      </c>
      <c r="H5958" s="2" t="s">
        <v>21</v>
      </c>
      <c r="I5958" s="2" t="s">
        <v>15076</v>
      </c>
      <c r="J5958" s="3" t="str">
        <f>HYPERLINK("https://www.boe.es/gazeta/dias/1812/03/14/pdfs/GRE-1812-33.pdf#page=8","Abrir facsímil")</f>
        <v>Abrir facsímil</v>
      </c>
      <c r="K5958" s="3" t="s">
        <v>23</v>
      </c>
    </row>
    <row r="5959" spans="1:11" ht="42" customHeight="1">
      <c r="A5959" s="2" t="s">
        <v>15077</v>
      </c>
      <c r="B5959" s="2" t="s">
        <v>15078</v>
      </c>
      <c r="C5959" s="2" t="s">
        <v>26</v>
      </c>
      <c r="D5959" s="2" t="s">
        <v>27</v>
      </c>
      <c r="E5959" s="4">
        <v>-32100</v>
      </c>
      <c r="F5959" s="3" t="s">
        <v>492</v>
      </c>
      <c r="G5959" s="3" t="s">
        <v>493</v>
      </c>
      <c r="H5959" s="2" t="s">
        <v>21</v>
      </c>
      <c r="I5959" s="2" t="s">
        <v>15079</v>
      </c>
      <c r="J5959" s="3" t="str">
        <f>HYPERLINK("https://www.boe.es/gazeta/dias/1812/02/10/pdfs/GRE-1812-31.pdf#page=8","Abrir facsímil")</f>
        <v>Abrir facsímil</v>
      </c>
      <c r="K5959" s="3" t="s">
        <v>23</v>
      </c>
    </row>
    <row r="5960" spans="1:11" ht="42" customHeight="1">
      <c r="A5960" s="2" t="s">
        <v>15077</v>
      </c>
      <c r="B5960" s="2" t="s">
        <v>15078</v>
      </c>
      <c r="C5960" s="2" t="s">
        <v>26</v>
      </c>
      <c r="D5960" s="2" t="s">
        <v>27</v>
      </c>
      <c r="E5960" s="4">
        <v>-32071</v>
      </c>
      <c r="F5960" s="3" t="s">
        <v>492</v>
      </c>
      <c r="G5960" s="3" t="s">
        <v>493</v>
      </c>
      <c r="H5960" s="2" t="s">
        <v>21</v>
      </c>
      <c r="I5960" s="2" t="s">
        <v>15079</v>
      </c>
      <c r="J5960" s="3" t="str">
        <f>HYPERLINK("https://www.boe.es/gazeta/dias/1812/03/10/pdfs/GRE-1812-31.pdf#page=8","Abrir facsímil")</f>
        <v>Abrir facsímil</v>
      </c>
      <c r="K5960" s="3" t="s">
        <v>23</v>
      </c>
    </row>
    <row r="5961" spans="1:11" ht="42" customHeight="1">
      <c r="A5961" s="2" t="s">
        <v>15080</v>
      </c>
      <c r="B5961" s="2" t="s">
        <v>15081</v>
      </c>
      <c r="C5961" s="2" t="s">
        <v>26</v>
      </c>
      <c r="D5961" s="2" t="s">
        <v>27</v>
      </c>
      <c r="E5961" s="4">
        <v>-32125</v>
      </c>
      <c r="F5961" s="3" t="s">
        <v>335</v>
      </c>
      <c r="G5961" s="3" t="s">
        <v>336</v>
      </c>
      <c r="H5961" s="2" t="s">
        <v>21</v>
      </c>
      <c r="I5961" s="2" t="s">
        <v>15082</v>
      </c>
      <c r="J5961" s="3" t="str">
        <f>HYPERLINK("https://www.boe.es/gazeta/dias/1812/01/16/pdfs/GEI-1812-7.pdf#page=8","Abrir facsímil")</f>
        <v>Abrir facsímil</v>
      </c>
      <c r="K5961" s="3" t="s">
        <v>23</v>
      </c>
    </row>
    <row r="5962" spans="1:11" ht="42" customHeight="1">
      <c r="A5962" s="2" t="s">
        <v>15083</v>
      </c>
      <c r="B5962" s="2" t="s">
        <v>15084</v>
      </c>
      <c r="C5962" s="2" t="s">
        <v>26</v>
      </c>
      <c r="D5962" s="2" t="s">
        <v>27</v>
      </c>
      <c r="E5962" s="4">
        <v>-32019</v>
      </c>
      <c r="F5962" s="3" t="s">
        <v>476</v>
      </c>
      <c r="G5962" s="3" t="s">
        <v>404</v>
      </c>
      <c r="H5962" s="2" t="s">
        <v>21</v>
      </c>
      <c r="I5962" s="2" t="s">
        <v>15085</v>
      </c>
      <c r="J5962" s="3" t="str">
        <f>HYPERLINK("https://www.boe.es/gazeta/dias/1812/05/01/pdfs/GMD-1812-122.pdf#page=3","Abrir facsímil")</f>
        <v>Abrir facsímil</v>
      </c>
      <c r="K5962" s="3" t="s">
        <v>23</v>
      </c>
    </row>
    <row r="5963" spans="1:11" ht="42" customHeight="1">
      <c r="A5963" s="2" t="s">
        <v>15086</v>
      </c>
      <c r="B5963" s="2" t="s">
        <v>15087</v>
      </c>
      <c r="C5963" s="2" t="s">
        <v>17</v>
      </c>
      <c r="D5963" s="2" t="s">
        <v>27</v>
      </c>
      <c r="E5963" s="4">
        <v>-32002</v>
      </c>
      <c r="F5963" s="3" t="s">
        <v>619</v>
      </c>
      <c r="G5963" s="3" t="s">
        <v>20</v>
      </c>
      <c r="H5963" s="2" t="s">
        <v>21</v>
      </c>
      <c r="I5963" s="2" t="s">
        <v>15088</v>
      </c>
      <c r="J5963" s="3" t="str">
        <f>HYPERLINK("https://www.boe.es/gazeta/dias/1812/05/18/pdfs/GMD-1812-139.pdf#page=3","Abrir facsímil")</f>
        <v>Abrir facsímil</v>
      </c>
      <c r="K5963" s="3" t="s">
        <v>23</v>
      </c>
    </row>
    <row r="5964" spans="1:11" ht="42" customHeight="1">
      <c r="A5964" s="2" t="s">
        <v>15089</v>
      </c>
      <c r="B5964" s="2" t="s">
        <v>15090</v>
      </c>
      <c r="C5964" s="2" t="s">
        <v>26</v>
      </c>
      <c r="D5964" s="2" t="s">
        <v>27</v>
      </c>
      <c r="E5964" s="4">
        <v>-31812</v>
      </c>
      <c r="F5964" s="3" t="s">
        <v>1533</v>
      </c>
      <c r="G5964" s="3" t="s">
        <v>706</v>
      </c>
      <c r="H5964" s="2" t="s">
        <v>21</v>
      </c>
      <c r="I5964" s="2" t="s">
        <v>15091</v>
      </c>
      <c r="J5964" s="3" t="str">
        <f>HYPERLINK("https://www.boe.es/gazeta/dias/1812/11/24/pdfs/GMR-1812-37.pdf#page=1","Abrir facsímil")</f>
        <v>Abrir facsímil</v>
      </c>
      <c r="K5964" s="3" t="s">
        <v>23</v>
      </c>
    </row>
    <row r="5965" spans="1:11" ht="42" customHeight="1">
      <c r="A5965" s="2" t="s">
        <v>15092</v>
      </c>
      <c r="B5965" s="2" t="s">
        <v>15093</v>
      </c>
      <c r="C5965" s="2" t="s">
        <v>17</v>
      </c>
      <c r="D5965" s="2" t="s">
        <v>27</v>
      </c>
      <c r="E5965" s="4">
        <v>-31936</v>
      </c>
      <c r="F5965" s="3" t="s">
        <v>614</v>
      </c>
      <c r="G5965" s="3" t="s">
        <v>615</v>
      </c>
      <c r="H5965" s="2" t="s">
        <v>21</v>
      </c>
      <c r="I5965" s="2" t="s">
        <v>15094</v>
      </c>
      <c r="J5965" s="3" t="str">
        <f>HYPERLINK("https://www.boe.es/gazeta/dias/1812/07/23/pdfs/GRE-1812-92.pdf#page=8","Abrir facsímil")</f>
        <v>Abrir facsímil</v>
      </c>
      <c r="K5965" s="3" t="s">
        <v>23</v>
      </c>
    </row>
    <row r="5966" spans="1:11" ht="42" customHeight="1">
      <c r="A5966" s="2" t="s">
        <v>15095</v>
      </c>
      <c r="B5966" s="2" t="s">
        <v>15096</v>
      </c>
      <c r="C5966" s="2" t="s">
        <v>26</v>
      </c>
      <c r="D5966" s="2" t="s">
        <v>27</v>
      </c>
      <c r="E5966" s="4">
        <v>-32015</v>
      </c>
      <c r="F5966" s="3" t="s">
        <v>77</v>
      </c>
      <c r="G5966" s="3" t="s">
        <v>4787</v>
      </c>
      <c r="H5966" s="2" t="s">
        <v>21</v>
      </c>
      <c r="I5966" s="2" t="s">
        <v>15097</v>
      </c>
      <c r="J5966" s="3" t="str">
        <f>HYPERLINK("https://www.boe.es/gazeta/dias/1812/05/05/pdfs/GRE-1812-56.pdf#page=7","Abrir facsímil")</f>
        <v>Abrir facsímil</v>
      </c>
      <c r="K5966" s="3" t="s">
        <v>23</v>
      </c>
    </row>
    <row r="5967" spans="1:11" ht="42" customHeight="1">
      <c r="A5967" s="2" t="s">
        <v>15098</v>
      </c>
      <c r="B5967" s="2" t="s">
        <v>15098</v>
      </c>
      <c r="C5967" s="2" t="s">
        <v>17</v>
      </c>
      <c r="D5967" s="2" t="s">
        <v>194</v>
      </c>
      <c r="E5967" s="4">
        <v>-32057</v>
      </c>
      <c r="F5967" s="3" t="s">
        <v>225</v>
      </c>
      <c r="G5967" s="3" t="s">
        <v>140</v>
      </c>
      <c r="H5967" s="2" t="s">
        <v>21</v>
      </c>
      <c r="I5967" s="2" t="s">
        <v>15099</v>
      </c>
      <c r="J5967" s="3" t="str">
        <f>HYPERLINK("https://www.boe.es/gazeta/dias/1812/03/24/pdfs/GMD-1812-84.pdf#page=2","Abrir facsímil")</f>
        <v>Abrir facsímil</v>
      </c>
      <c r="K5967" s="3" t="s">
        <v>23</v>
      </c>
    </row>
    <row r="5968" spans="1:11" ht="42" customHeight="1">
      <c r="A5968" s="2" t="s">
        <v>15100</v>
      </c>
      <c r="B5968" s="2" t="s">
        <v>15100</v>
      </c>
      <c r="C5968" s="2" t="s">
        <v>17</v>
      </c>
      <c r="D5968" s="2" t="s">
        <v>27</v>
      </c>
      <c r="E5968" s="4">
        <v>-31957</v>
      </c>
      <c r="F5968" s="3" t="s">
        <v>2173</v>
      </c>
      <c r="G5968" s="3" t="s">
        <v>2174</v>
      </c>
      <c r="H5968" s="2" t="s">
        <v>21</v>
      </c>
      <c r="I5968" s="2" t="s">
        <v>15101</v>
      </c>
      <c r="J5968" s="3" t="str">
        <f>HYPERLINK("https://www.boe.es/gazeta/dias/1812/07/02/pdfs/GRE-1812-81.pdf#page=6","Abrir facsímil")</f>
        <v>Abrir facsímil</v>
      </c>
      <c r="K5968" s="3" t="s">
        <v>23</v>
      </c>
    </row>
    <row r="5969" spans="1:11" ht="42" customHeight="1">
      <c r="A5969" s="2" t="s">
        <v>15102</v>
      </c>
      <c r="B5969" s="2" t="s">
        <v>15102</v>
      </c>
      <c r="C5969" s="2" t="s">
        <v>17</v>
      </c>
      <c r="D5969" s="2" t="s">
        <v>27</v>
      </c>
      <c r="E5969" s="4">
        <v>-31957</v>
      </c>
      <c r="F5969" s="3" t="s">
        <v>2173</v>
      </c>
      <c r="G5969" s="3" t="s">
        <v>3034</v>
      </c>
      <c r="H5969" s="2" t="s">
        <v>21</v>
      </c>
      <c r="I5969" s="2" t="s">
        <v>15103</v>
      </c>
      <c r="J5969" s="3" t="str">
        <f>HYPERLINK("https://www.boe.es/gazeta/dias/1812/07/02/pdfs/GRE-1812-81.pdf#page=5","Abrir facsímil")</f>
        <v>Abrir facsímil</v>
      </c>
      <c r="K5969" s="3" t="s">
        <v>23</v>
      </c>
    </row>
    <row r="5970" spans="1:11" ht="42" customHeight="1">
      <c r="A5970" s="2" t="s">
        <v>15104</v>
      </c>
      <c r="B5970" s="2" t="s">
        <v>15105</v>
      </c>
      <c r="C5970" s="2" t="s">
        <v>17</v>
      </c>
      <c r="D5970" s="2" t="s">
        <v>27</v>
      </c>
      <c r="E5970" s="4">
        <v>-32109</v>
      </c>
      <c r="F5970" s="3" t="s">
        <v>62</v>
      </c>
      <c r="G5970" s="3" t="s">
        <v>63</v>
      </c>
      <c r="H5970" s="2" t="s">
        <v>21</v>
      </c>
      <c r="I5970" s="2" t="s">
        <v>15106</v>
      </c>
      <c r="J5970" s="3" t="str">
        <f>HYPERLINK("https://www.boe.es/gazeta/dias/1812/02/01/pdfs/GRE-1812-14.pdf#page=10","Abrir facsímil")</f>
        <v>Abrir facsímil</v>
      </c>
      <c r="K5970" s="3" t="s">
        <v>23</v>
      </c>
    </row>
    <row r="5971" spans="1:11" ht="42" customHeight="1">
      <c r="A5971" s="2" t="s">
        <v>15107</v>
      </c>
      <c r="B5971" s="2" t="s">
        <v>15108</v>
      </c>
      <c r="C5971" s="2" t="s">
        <v>17</v>
      </c>
      <c r="D5971" s="2" t="s">
        <v>27</v>
      </c>
      <c r="E5971" s="4">
        <v>-31822</v>
      </c>
      <c r="F5971" s="3" t="s">
        <v>541</v>
      </c>
      <c r="G5971" s="3" t="s">
        <v>542</v>
      </c>
      <c r="H5971" s="2" t="s">
        <v>21</v>
      </c>
      <c r="I5971" s="2" t="s">
        <v>15109</v>
      </c>
      <c r="J5971" s="3" t="str">
        <f>HYPERLINK("https://www.boe.es/gazeta/dias/1812/11/14/pdfs/GRE-1812-152.pdf#page=7","Abrir facsímil")</f>
        <v>Abrir facsímil</v>
      </c>
      <c r="K5971" s="3" t="s">
        <v>23</v>
      </c>
    </row>
    <row r="5972" spans="1:11" ht="42" customHeight="1">
      <c r="A5972" s="2" t="s">
        <v>15110</v>
      </c>
      <c r="B5972" s="2" t="s">
        <v>15110</v>
      </c>
      <c r="C5972" s="2" t="s">
        <v>49</v>
      </c>
      <c r="D5972" s="2" t="s">
        <v>27</v>
      </c>
      <c r="E5972" s="4">
        <v>-32064</v>
      </c>
      <c r="F5972" s="3" t="s">
        <v>403</v>
      </c>
      <c r="G5972" s="3" t="s">
        <v>404</v>
      </c>
      <c r="H5972" s="2" t="s">
        <v>21</v>
      </c>
      <c r="I5972" s="2" t="s">
        <v>15111</v>
      </c>
      <c r="J5972" s="3" t="str">
        <f>HYPERLINK("https://www.boe.es/gazeta/dias/1812/03/17/pdfs/GMD-1812-77.pdf#page=4","Abrir facsímil")</f>
        <v>Abrir facsímil</v>
      </c>
      <c r="K5972" s="3" t="s">
        <v>23</v>
      </c>
    </row>
    <row r="5973" spans="1:11" ht="42" customHeight="1">
      <c r="A5973" s="2" t="s">
        <v>15112</v>
      </c>
      <c r="B5973" s="2" t="s">
        <v>15113</v>
      </c>
      <c r="C5973" s="2" t="s">
        <v>26</v>
      </c>
      <c r="D5973" s="2" t="s">
        <v>27</v>
      </c>
      <c r="E5973" s="4">
        <v>-32046</v>
      </c>
      <c r="F5973" s="3" t="s">
        <v>2612</v>
      </c>
      <c r="G5973" s="3" t="s">
        <v>1380</v>
      </c>
      <c r="H5973" s="2" t="s">
        <v>21</v>
      </c>
      <c r="I5973" s="2" t="s">
        <v>15114</v>
      </c>
      <c r="J5973" s="3" t="str">
        <f>HYPERLINK("https://www.boe.es/gazeta/dias/1812/04/04/pdfs/GMD-1812-95.pdf#page=2","Abrir facsímil")</f>
        <v>Abrir facsímil</v>
      </c>
      <c r="K5973" s="3" t="s">
        <v>23</v>
      </c>
    </row>
    <row r="5974" spans="1:11" ht="42" customHeight="1">
      <c r="A5974" s="2" t="s">
        <v>15115</v>
      </c>
      <c r="B5974" s="2" t="s">
        <v>15116</v>
      </c>
      <c r="C5974" s="2" t="s">
        <v>17</v>
      </c>
      <c r="D5974" s="2" t="s">
        <v>27</v>
      </c>
      <c r="E5974" s="4">
        <v>-32069</v>
      </c>
      <c r="F5974" s="3" t="s">
        <v>445</v>
      </c>
      <c r="G5974" s="3" t="s">
        <v>446</v>
      </c>
      <c r="H5974" s="2" t="s">
        <v>30</v>
      </c>
      <c r="I5974" s="2" t="s">
        <v>15117</v>
      </c>
      <c r="J5974" s="3" t="str">
        <f>HYPERLINK("https://www.boe.es/gazeta/dias/1812/03/12/pdfs/GRE-1812-32.pdf#page=8","Abrir facsímil")</f>
        <v>Abrir facsímil</v>
      </c>
      <c r="K5974" s="3" t="s">
        <v>32</v>
      </c>
    </row>
    <row r="5975" spans="1:11" ht="42" customHeight="1">
      <c r="A5975" s="2" t="s">
        <v>15118</v>
      </c>
      <c r="B5975" s="2" t="s">
        <v>15119</v>
      </c>
      <c r="C5975" s="2" t="s">
        <v>26</v>
      </c>
      <c r="D5975" s="2" t="s">
        <v>27</v>
      </c>
      <c r="E5975" s="4">
        <v>-32127</v>
      </c>
      <c r="F5975" s="3" t="s">
        <v>3698</v>
      </c>
      <c r="G5975" s="3" t="s">
        <v>36</v>
      </c>
      <c r="H5975" s="2" t="s">
        <v>30</v>
      </c>
      <c r="I5975" s="2" t="s">
        <v>15120</v>
      </c>
      <c r="J5975" s="3" t="str">
        <f>HYPERLINK("https://www.boe.es/gazeta/dias/1812/01/14/pdfs/GMD-1812-14.pdf#page=3","Abrir facsímil")</f>
        <v>Abrir facsímil</v>
      </c>
      <c r="K5975" s="3" t="s">
        <v>32</v>
      </c>
    </row>
    <row r="5976" spans="1:11" ht="42" customHeight="1">
      <c r="A5976" s="2" t="s">
        <v>15121</v>
      </c>
      <c r="B5976" s="2" t="s">
        <v>15122</v>
      </c>
      <c r="C5976" s="2" t="s">
        <v>26</v>
      </c>
      <c r="D5976" s="2" t="s">
        <v>27</v>
      </c>
      <c r="E5976" s="4">
        <v>-32034</v>
      </c>
      <c r="F5976" s="3" t="s">
        <v>28</v>
      </c>
      <c r="G5976" s="3" t="s">
        <v>29</v>
      </c>
      <c r="H5976" s="2" t="s">
        <v>30</v>
      </c>
      <c r="I5976" s="2" t="s">
        <v>15123</v>
      </c>
      <c r="J5976" s="3" t="str">
        <f>HYPERLINK("https://www.boe.es/gazeta/dias/1812/04/16/pdfs/GMD-1812-107.pdf#page=8","Abrir facsímil")</f>
        <v>Abrir facsímil</v>
      </c>
      <c r="K5976" s="3" t="s">
        <v>32</v>
      </c>
    </row>
    <row r="5977" spans="1:11" ht="42" customHeight="1">
      <c r="A5977" s="2" t="s">
        <v>15124</v>
      </c>
      <c r="B5977" s="2" t="s">
        <v>15125</v>
      </c>
      <c r="C5977" s="2" t="s">
        <v>17</v>
      </c>
      <c r="D5977" s="2" t="s">
        <v>18</v>
      </c>
      <c r="E5977" s="4">
        <v>-32129</v>
      </c>
      <c r="F5977" s="3" t="s">
        <v>3162</v>
      </c>
      <c r="G5977" s="3" t="s">
        <v>2313</v>
      </c>
      <c r="H5977" s="2" t="s">
        <v>30</v>
      </c>
      <c r="I5977" s="2" t="s">
        <v>15126</v>
      </c>
      <c r="J5977" s="3" t="str">
        <f>HYPERLINK("https://www.boe.es/gazeta/dias/1812/01/12/pdfs/GMD-1812-12.pdf#page=4","Abrir facsímil")</f>
        <v>Abrir facsímil</v>
      </c>
      <c r="K5977" s="3" t="s">
        <v>32</v>
      </c>
    </row>
    <row r="5978" spans="1:11" ht="42" customHeight="1">
      <c r="A5978" s="2" t="s">
        <v>15127</v>
      </c>
      <c r="B5978" s="2" t="s">
        <v>15128</v>
      </c>
      <c r="C5978" s="2" t="s">
        <v>26</v>
      </c>
      <c r="D5978" s="2" t="s">
        <v>275</v>
      </c>
      <c r="E5978" s="4">
        <v>-31913</v>
      </c>
      <c r="F5978" s="3" t="s">
        <v>450</v>
      </c>
      <c r="G5978" s="3" t="s">
        <v>451</v>
      </c>
      <c r="H5978" s="2" t="s">
        <v>21</v>
      </c>
      <c r="I5978" s="2" t="s">
        <v>15129</v>
      </c>
      <c r="J5978" s="3" t="str">
        <f>HYPERLINK("https://www.boe.es/gazeta/dias/1812/08/15/pdfs/GRE-1812-105.pdf#page=8","Abrir facsímil")</f>
        <v>Abrir facsímil</v>
      </c>
      <c r="K5978" s="3" t="s">
        <v>23</v>
      </c>
    </row>
    <row r="5979" spans="1:11" ht="42" customHeight="1">
      <c r="A5979" s="2" t="s">
        <v>15130</v>
      </c>
      <c r="B5979" s="2" t="s">
        <v>15131</v>
      </c>
      <c r="C5979" s="2" t="s">
        <v>26</v>
      </c>
      <c r="D5979" s="2" t="s">
        <v>27</v>
      </c>
      <c r="E5979" s="4">
        <v>-32001</v>
      </c>
      <c r="F5979" s="3" t="s">
        <v>1728</v>
      </c>
      <c r="G5979" s="3" t="s">
        <v>36</v>
      </c>
      <c r="H5979" s="2" t="s">
        <v>21</v>
      </c>
      <c r="I5979" s="2" t="s">
        <v>15132</v>
      </c>
      <c r="J5979" s="3" t="str">
        <f>HYPERLINK("https://www.boe.es/gazeta/dias/1812/05/19/pdfs/GMD-1812-140.pdf#page=3","Abrir facsímil")</f>
        <v>Abrir facsímil</v>
      </c>
      <c r="K5979" s="3" t="s">
        <v>23</v>
      </c>
    </row>
    <row r="5980" spans="1:11" ht="42" customHeight="1">
      <c r="A5980" s="2" t="s">
        <v>15133</v>
      </c>
      <c r="B5980" s="2" t="s">
        <v>15134</v>
      </c>
      <c r="C5980" s="2" t="s">
        <v>26</v>
      </c>
      <c r="D5980" s="2" t="s">
        <v>27</v>
      </c>
      <c r="E5980" s="4">
        <v>-32044</v>
      </c>
      <c r="F5980" s="3" t="s">
        <v>1031</v>
      </c>
      <c r="G5980" s="3" t="s">
        <v>20</v>
      </c>
      <c r="H5980" s="2" t="s">
        <v>21</v>
      </c>
      <c r="I5980" s="2" t="s">
        <v>15135</v>
      </c>
      <c r="J5980" s="3" t="str">
        <f>HYPERLINK("https://www.boe.es/gazeta/dias/1812/04/06/pdfs/GMD-1812-97.pdf#page=3","Abrir facsímil")</f>
        <v>Abrir facsímil</v>
      </c>
      <c r="K5980" s="3" t="s">
        <v>23</v>
      </c>
    </row>
    <row r="5981" spans="1:11" ht="42" customHeight="1">
      <c r="A5981" s="2" t="s">
        <v>15136</v>
      </c>
      <c r="B5981" s="2" t="s">
        <v>15137</v>
      </c>
      <c r="C5981" s="2" t="s">
        <v>26</v>
      </c>
      <c r="D5981" s="2" t="s">
        <v>27</v>
      </c>
      <c r="E5981" s="4">
        <v>-31938</v>
      </c>
      <c r="F5981" s="3" t="s">
        <v>324</v>
      </c>
      <c r="G5981" s="3" t="s">
        <v>404</v>
      </c>
      <c r="H5981" s="2" t="s">
        <v>21</v>
      </c>
      <c r="I5981" s="2" t="s">
        <v>15138</v>
      </c>
      <c r="J5981" s="3" t="str">
        <f>HYPERLINK("https://www.boe.es/gazeta/dias/1812/07/21/pdfs/GMD-1812-203.pdf#page=4","Abrir facsímil")</f>
        <v>Abrir facsímil</v>
      </c>
      <c r="K5981" s="3" t="s">
        <v>23</v>
      </c>
    </row>
    <row r="5982" spans="1:11" ht="42" customHeight="1">
      <c r="A5982" s="2" t="s">
        <v>15139</v>
      </c>
      <c r="B5982" s="2" t="s">
        <v>15140</v>
      </c>
      <c r="C5982" s="2" t="s">
        <v>26</v>
      </c>
      <c r="D5982" s="2" t="s">
        <v>27</v>
      </c>
      <c r="E5982" s="4">
        <v>-31857</v>
      </c>
      <c r="F5982" s="3" t="s">
        <v>1000</v>
      </c>
      <c r="G5982" s="3" t="s">
        <v>1001</v>
      </c>
      <c r="H5982" s="2" t="s">
        <v>21</v>
      </c>
      <c r="I5982" s="2" t="s">
        <v>15141</v>
      </c>
      <c r="J5982" s="3" t="str">
        <f>HYPERLINK("https://www.boe.es/gazeta/dias/1812/10/10/pdfs/GRE-1812-137.pdf#page=7","Abrir facsímil")</f>
        <v>Abrir facsímil</v>
      </c>
      <c r="K5982" s="3" t="s">
        <v>23</v>
      </c>
    </row>
    <row r="5983" spans="1:11" ht="42" customHeight="1">
      <c r="A5983" s="2" t="s">
        <v>15142</v>
      </c>
      <c r="B5983" s="2" t="s">
        <v>15143</v>
      </c>
      <c r="C5983" s="2" t="s">
        <v>26</v>
      </c>
      <c r="D5983" s="2" t="s">
        <v>27</v>
      </c>
      <c r="E5983" s="4">
        <v>-32044</v>
      </c>
      <c r="F5983" s="3" t="s">
        <v>1031</v>
      </c>
      <c r="G5983" s="3" t="s">
        <v>1873</v>
      </c>
      <c r="H5983" s="2" t="s">
        <v>21</v>
      </c>
      <c r="I5983" s="2" t="s">
        <v>15144</v>
      </c>
      <c r="J5983" s="3" t="str">
        <f>HYPERLINK("https://www.boe.es/gazeta/dias/1812/04/06/pdfs/GMD-1812-97.pdf#page=4","Abrir facsímil")</f>
        <v>Abrir facsímil</v>
      </c>
      <c r="K5983" s="3" t="s">
        <v>23</v>
      </c>
    </row>
    <row r="5984" spans="1:11" ht="42" customHeight="1">
      <c r="A5984" s="2" t="s">
        <v>15145</v>
      </c>
      <c r="B5984" s="2" t="s">
        <v>15146</v>
      </c>
      <c r="C5984" s="2" t="s">
        <v>17</v>
      </c>
      <c r="D5984" s="2" t="s">
        <v>18</v>
      </c>
      <c r="E5984" s="4">
        <v>-31915</v>
      </c>
      <c r="F5984" s="3" t="s">
        <v>1592</v>
      </c>
      <c r="G5984" s="3" t="s">
        <v>29</v>
      </c>
      <c r="H5984" s="2" t="s">
        <v>21</v>
      </c>
      <c r="I5984" s="2" t="s">
        <v>15147</v>
      </c>
      <c r="J5984" s="3" t="str">
        <f>HYPERLINK("https://www.boe.es/gazeta/dias/1812/08/13/pdfs/GRE-1812-104.pdf#page=8","Abrir facsímil")</f>
        <v>Abrir facsímil</v>
      </c>
      <c r="K5984" s="3" t="s">
        <v>23</v>
      </c>
    </row>
    <row r="5985" spans="1:11" ht="42" customHeight="1">
      <c r="A5985" s="2" t="s">
        <v>15145</v>
      </c>
      <c r="B5985" s="2" t="s">
        <v>15146</v>
      </c>
      <c r="C5985" s="2" t="s">
        <v>49</v>
      </c>
      <c r="D5985" s="2" t="s">
        <v>18</v>
      </c>
      <c r="E5985" s="4">
        <v>-31850</v>
      </c>
      <c r="F5985" s="3" t="s">
        <v>2178</v>
      </c>
      <c r="G5985" s="3" t="s">
        <v>29</v>
      </c>
      <c r="H5985" s="2" t="s">
        <v>21</v>
      </c>
      <c r="I5985" s="2" t="s">
        <v>15148</v>
      </c>
      <c r="J5985" s="3" t="str">
        <f>HYPERLINK("https://www.boe.es/gazeta/dias/1812/10/17/pdfs/GRE-1812-140.pdf#page=8","Abrir facsímil")</f>
        <v>Abrir facsímil</v>
      </c>
      <c r="K5985" s="3" t="s">
        <v>23</v>
      </c>
    </row>
    <row r="5986" spans="1:11" ht="42" customHeight="1">
      <c r="A5986" s="2" t="s">
        <v>15149</v>
      </c>
      <c r="B5986" s="2" t="s">
        <v>15149</v>
      </c>
      <c r="C5986" s="2" t="s">
        <v>26</v>
      </c>
      <c r="D5986" s="2" t="s">
        <v>27</v>
      </c>
      <c r="E5986" s="4">
        <v>-31829</v>
      </c>
      <c r="F5986" s="3" t="s">
        <v>328</v>
      </c>
      <c r="G5986" s="3" t="s">
        <v>1842</v>
      </c>
      <c r="H5986" s="2" t="s">
        <v>21</v>
      </c>
      <c r="I5986" s="2" t="s">
        <v>15150</v>
      </c>
      <c r="J5986" s="3" t="str">
        <f>HYPERLINK("https://www.boe.es/gazeta/dias/1812/11/07/pdfs/GMD-1812-227.pdf#page=3","Abrir facsímil")</f>
        <v>Abrir facsímil</v>
      </c>
      <c r="K5986" s="3" t="s">
        <v>23</v>
      </c>
    </row>
    <row r="5987" spans="1:11" ht="42" customHeight="1">
      <c r="A5987" s="2" t="s">
        <v>15151</v>
      </c>
      <c r="B5987" s="2" t="s">
        <v>15151</v>
      </c>
      <c r="C5987" s="2" t="s">
        <v>17</v>
      </c>
      <c r="D5987" s="2" t="s">
        <v>194</v>
      </c>
      <c r="E5987" s="4">
        <v>-31892</v>
      </c>
      <c r="F5987" s="3" t="s">
        <v>1825</v>
      </c>
      <c r="G5987" s="3" t="s">
        <v>182</v>
      </c>
      <c r="H5987" s="2" t="s">
        <v>21</v>
      </c>
      <c r="I5987" s="2" t="s">
        <v>15152</v>
      </c>
      <c r="J5987" s="3" t="str">
        <f>HYPERLINK("https://www.boe.es/gazeta/dias/1812/09/05/pdfs/GMR-1812-10.pdf#page=4","Abrir facsímil")</f>
        <v>Abrir facsímil</v>
      </c>
      <c r="K5987" s="3" t="s">
        <v>23</v>
      </c>
    </row>
    <row r="5988" spans="1:11" ht="42" customHeight="1">
      <c r="A5988" s="2" t="s">
        <v>15151</v>
      </c>
      <c r="B5988" s="2" t="s">
        <v>15151</v>
      </c>
      <c r="C5988" s="2" t="s">
        <v>17</v>
      </c>
      <c r="D5988" s="2" t="s">
        <v>27</v>
      </c>
      <c r="E5988" s="4">
        <v>-31892</v>
      </c>
      <c r="F5988" s="3" t="s">
        <v>1825</v>
      </c>
      <c r="G5988" s="3" t="s">
        <v>1826</v>
      </c>
      <c r="H5988" s="2" t="s">
        <v>21</v>
      </c>
      <c r="I5988" s="2" t="s">
        <v>15153</v>
      </c>
      <c r="J5988" s="3" t="str">
        <f>HYPERLINK("https://www.boe.es/gazeta/dias/1812/09/05/pdfs/GMR-1812-10.pdf#page=5","Abrir facsímil")</f>
        <v>Abrir facsímil</v>
      </c>
      <c r="K5988" s="3" t="s">
        <v>23</v>
      </c>
    </row>
    <row r="5989" spans="1:11" ht="42" customHeight="1">
      <c r="A5989" s="2" t="s">
        <v>15151</v>
      </c>
      <c r="B5989" s="2" t="s">
        <v>15151</v>
      </c>
      <c r="C5989" s="2" t="s">
        <v>17</v>
      </c>
      <c r="D5989" s="2" t="s">
        <v>18</v>
      </c>
      <c r="E5989" s="4">
        <v>-31861</v>
      </c>
      <c r="F5989" s="3" t="s">
        <v>1080</v>
      </c>
      <c r="G5989" s="3" t="s">
        <v>2313</v>
      </c>
      <c r="H5989" s="2" t="s">
        <v>21</v>
      </c>
      <c r="I5989" s="2" t="s">
        <v>15154</v>
      </c>
      <c r="J5989" s="3" t="str">
        <f>HYPERLINK("https://www.boe.es/gazeta/dias/1812/10/06/pdfs/GMR-1812-23.pdf#page=5","Abrir facsímil")</f>
        <v>Abrir facsímil</v>
      </c>
      <c r="K5989" s="3" t="s">
        <v>23</v>
      </c>
    </row>
    <row r="5990" spans="1:11" ht="42" customHeight="1">
      <c r="A5990" s="2" t="s">
        <v>15151</v>
      </c>
      <c r="B5990" s="2" t="s">
        <v>15151</v>
      </c>
      <c r="C5990" s="2" t="s">
        <v>17</v>
      </c>
      <c r="D5990" s="2" t="s">
        <v>27</v>
      </c>
      <c r="E5990" s="4">
        <v>-31829</v>
      </c>
      <c r="F5990" s="3" t="s">
        <v>328</v>
      </c>
      <c r="G5990" s="3" t="s">
        <v>1842</v>
      </c>
      <c r="H5990" s="2" t="s">
        <v>21</v>
      </c>
      <c r="I5990" s="2" t="s">
        <v>15155</v>
      </c>
      <c r="J5990" s="3" t="str">
        <f>HYPERLINK("https://www.boe.es/gazeta/dias/1812/11/07/pdfs/GMD-1812-227.pdf#page=3","Abrir facsímil")</f>
        <v>Abrir facsímil</v>
      </c>
      <c r="K5990" s="3" t="s">
        <v>23</v>
      </c>
    </row>
    <row r="5991" spans="1:11" ht="42" customHeight="1">
      <c r="A5991" s="2" t="s">
        <v>15151</v>
      </c>
      <c r="B5991" s="2" t="s">
        <v>15151</v>
      </c>
      <c r="C5991" s="2" t="s">
        <v>17</v>
      </c>
      <c r="D5991" s="2" t="s">
        <v>18</v>
      </c>
      <c r="E5991" s="4">
        <v>-31799</v>
      </c>
      <c r="F5991" s="3" t="s">
        <v>736</v>
      </c>
      <c r="G5991" s="3" t="s">
        <v>233</v>
      </c>
      <c r="H5991" s="2" t="s">
        <v>21</v>
      </c>
      <c r="I5991" s="2" t="s">
        <v>15156</v>
      </c>
      <c r="J5991" s="3" t="str">
        <f>HYPERLINK("https://www.boe.es/gazeta/dias/1812/12/07/pdfs/GMD-1812-230.pdf#page=2","Abrir facsímil")</f>
        <v>Abrir facsímil</v>
      </c>
      <c r="K5991" s="3" t="s">
        <v>23</v>
      </c>
    </row>
    <row r="5992" spans="1:11" ht="42" customHeight="1">
      <c r="A5992" s="2" t="s">
        <v>15151</v>
      </c>
      <c r="B5992" s="2" t="s">
        <v>15151</v>
      </c>
      <c r="C5992" s="2" t="s">
        <v>17</v>
      </c>
      <c r="D5992" s="2" t="s">
        <v>18</v>
      </c>
      <c r="E5992" s="4">
        <v>-31796</v>
      </c>
      <c r="F5992" s="3" t="s">
        <v>649</v>
      </c>
      <c r="G5992" s="3" t="s">
        <v>217</v>
      </c>
      <c r="H5992" s="2" t="s">
        <v>21</v>
      </c>
      <c r="I5992" s="2" t="s">
        <v>15157</v>
      </c>
      <c r="J5992" s="3" t="str">
        <f>HYPERLINK("https://www.boe.es/gazeta/dias/1812/12/10/pdfs/GMD-1812-233.pdf#page=4","Abrir facsímil")</f>
        <v>Abrir facsímil</v>
      </c>
      <c r="K5992" s="3" t="s">
        <v>23</v>
      </c>
    </row>
    <row r="5993" spans="1:11" ht="42" customHeight="1">
      <c r="A5993" s="2" t="s">
        <v>15151</v>
      </c>
      <c r="B5993" s="2" t="s">
        <v>15151</v>
      </c>
      <c r="C5993" s="2" t="s">
        <v>17</v>
      </c>
      <c r="D5993" s="2" t="s">
        <v>27</v>
      </c>
      <c r="E5993" s="4">
        <v>-31783</v>
      </c>
      <c r="F5993" s="3" t="s">
        <v>2074</v>
      </c>
      <c r="G5993" s="3" t="s">
        <v>4078</v>
      </c>
      <c r="H5993" s="2" t="s">
        <v>21</v>
      </c>
      <c r="I5993" s="2" t="s">
        <v>15158</v>
      </c>
      <c r="J5993" s="3" t="str">
        <f>HYPERLINK("https://www.boe.es/gazeta/dias/1812/12/23/pdfs/GMD-1812-246.pdf#page=2","Abrir facsímil")</f>
        <v>Abrir facsímil</v>
      </c>
      <c r="K5993" s="3" t="s">
        <v>23</v>
      </c>
    </row>
    <row r="5994" spans="1:11" ht="42" customHeight="1">
      <c r="A5994" s="2" t="s">
        <v>15159</v>
      </c>
      <c r="B5994" s="2" t="s">
        <v>15159</v>
      </c>
      <c r="C5994" s="2" t="s">
        <v>17</v>
      </c>
      <c r="D5994" s="2" t="s">
        <v>27</v>
      </c>
      <c r="E5994" s="4">
        <v>-31913</v>
      </c>
      <c r="F5994" s="3" t="s">
        <v>450</v>
      </c>
      <c r="G5994" s="3" t="s">
        <v>196</v>
      </c>
      <c r="H5994" s="2" t="s">
        <v>21</v>
      </c>
      <c r="I5994" s="2" t="s">
        <v>15160</v>
      </c>
      <c r="J5994" s="3" t="str">
        <f>HYPERLINK("https://www.boe.es/gazeta/dias/1812/08/15/pdfs/GRE-1812-105.pdf#page=1","Abrir facsímil")</f>
        <v>Abrir facsímil</v>
      </c>
      <c r="K5994" s="3" t="s">
        <v>23</v>
      </c>
    </row>
    <row r="5995" spans="1:11" ht="42" customHeight="1">
      <c r="A5995" s="2" t="s">
        <v>15161</v>
      </c>
      <c r="B5995" s="2" t="s">
        <v>15162</v>
      </c>
      <c r="C5995" s="2" t="s">
        <v>26</v>
      </c>
      <c r="D5995" s="2" t="s">
        <v>194</v>
      </c>
      <c r="E5995" s="4">
        <v>-31956</v>
      </c>
      <c r="F5995" s="3" t="s">
        <v>19</v>
      </c>
      <c r="G5995" s="3" t="s">
        <v>36</v>
      </c>
      <c r="H5995" s="2" t="s">
        <v>21</v>
      </c>
      <c r="I5995" s="2" t="s">
        <v>15163</v>
      </c>
      <c r="J5995" s="3" t="str">
        <f>HYPERLINK("https://www.boe.es/gazeta/dias/1812/07/03/pdfs/GMD-1812-185.pdf#page=3","Abrir facsímil")</f>
        <v>Abrir facsímil</v>
      </c>
      <c r="K5995" s="3" t="s">
        <v>23</v>
      </c>
    </row>
    <row r="5996" spans="1:11" ht="42" customHeight="1">
      <c r="A5996" s="2" t="s">
        <v>15164</v>
      </c>
      <c r="B5996" s="2" t="s">
        <v>15164</v>
      </c>
      <c r="C5996" s="2" t="s">
        <v>105</v>
      </c>
      <c r="D5996" s="2" t="s">
        <v>27</v>
      </c>
      <c r="E5996" s="4">
        <v>-32137</v>
      </c>
      <c r="F5996" s="3" t="s">
        <v>4353</v>
      </c>
      <c r="G5996" s="3" t="s">
        <v>125</v>
      </c>
      <c r="H5996" s="2" t="s">
        <v>21</v>
      </c>
      <c r="I5996" s="2" t="s">
        <v>15165</v>
      </c>
      <c r="J5996" s="3" t="str">
        <f>HYPERLINK("https://www.boe.es/gazeta/dias/1812/01/04/pdfs/GMD-1812-4.pdf#page=1","Abrir facsímil")</f>
        <v>Abrir facsímil</v>
      </c>
      <c r="K5996" s="3" t="s">
        <v>23</v>
      </c>
    </row>
    <row r="5997" spans="1:11" ht="42" customHeight="1">
      <c r="A5997" s="2" t="s">
        <v>15164</v>
      </c>
      <c r="B5997" s="2" t="s">
        <v>15164</v>
      </c>
      <c r="C5997" s="2" t="s">
        <v>105</v>
      </c>
      <c r="D5997" s="2" t="s">
        <v>194</v>
      </c>
      <c r="E5997" s="4">
        <v>-32124</v>
      </c>
      <c r="F5997" s="3" t="s">
        <v>3729</v>
      </c>
      <c r="G5997" s="3" t="s">
        <v>514</v>
      </c>
      <c r="H5997" s="2" t="s">
        <v>21</v>
      </c>
      <c r="I5997" s="2" t="s">
        <v>15166</v>
      </c>
      <c r="J5997" s="3" t="str">
        <f>HYPERLINK("https://www.boe.es/gazeta/dias/1812/01/17/pdfs/GMD-1812-17.pdf#page=1","Abrir facsímil")</f>
        <v>Abrir facsímil</v>
      </c>
      <c r="K5997" s="3" t="s">
        <v>23</v>
      </c>
    </row>
    <row r="5998" spans="1:11" ht="42" customHeight="1">
      <c r="A5998" s="2" t="s">
        <v>15164</v>
      </c>
      <c r="B5998" s="2" t="s">
        <v>15164</v>
      </c>
      <c r="C5998" s="2" t="s">
        <v>105</v>
      </c>
      <c r="D5998" s="2" t="s">
        <v>194</v>
      </c>
      <c r="E5998" s="4">
        <v>-32070</v>
      </c>
      <c r="F5998" s="3" t="s">
        <v>11658</v>
      </c>
      <c r="G5998" s="3" t="s">
        <v>3758</v>
      </c>
      <c r="H5998" s="2" t="s">
        <v>21</v>
      </c>
      <c r="I5998" s="2" t="s">
        <v>15167</v>
      </c>
      <c r="J5998" s="3" t="str">
        <f>HYPERLINK("https://www.boe.es/gazeta/dias/1812/03/11/pdfs/GMD-1812-71.pdf#page=1","Abrir facsímil")</f>
        <v>Abrir facsímil</v>
      </c>
      <c r="K5998" s="3" t="s">
        <v>23</v>
      </c>
    </row>
    <row r="5999" spans="1:11" ht="42" customHeight="1">
      <c r="A5999" s="2" t="s">
        <v>15164</v>
      </c>
      <c r="B5999" s="2" t="s">
        <v>15164</v>
      </c>
      <c r="C5999" s="2" t="s">
        <v>549</v>
      </c>
      <c r="D5999" s="2" t="s">
        <v>194</v>
      </c>
      <c r="E5999" s="4">
        <v>-32055</v>
      </c>
      <c r="F5999" s="3" t="s">
        <v>1271</v>
      </c>
      <c r="G5999" s="3" t="s">
        <v>136</v>
      </c>
      <c r="H5999" s="2" t="s">
        <v>21</v>
      </c>
      <c r="I5999" s="2" t="s">
        <v>15168</v>
      </c>
      <c r="J5999" s="3" t="str">
        <f>HYPERLINK("https://www.boe.es/gazeta/dias/1812/03/26/pdfs/GMD-1812-86.pdf#page=2","Abrir facsímil")</f>
        <v>Abrir facsímil</v>
      </c>
      <c r="K5999" s="3" t="s">
        <v>23</v>
      </c>
    </row>
    <row r="6000" spans="1:11" ht="42" customHeight="1">
      <c r="A6000" s="2" t="s">
        <v>15164</v>
      </c>
      <c r="B6000" s="2" t="s">
        <v>15164</v>
      </c>
      <c r="C6000" s="2" t="s">
        <v>105</v>
      </c>
      <c r="D6000" s="2" t="s">
        <v>27</v>
      </c>
      <c r="E6000" s="4">
        <v>-32019</v>
      </c>
      <c r="F6000" s="3" t="s">
        <v>476</v>
      </c>
      <c r="G6000" s="3" t="s">
        <v>801</v>
      </c>
      <c r="H6000" s="2" t="s">
        <v>21</v>
      </c>
      <c r="I6000" s="2" t="s">
        <v>15169</v>
      </c>
      <c r="J6000" s="3" t="str">
        <f>HYPERLINK("https://www.boe.es/gazeta/dias/1812/05/01/pdfs/GMD-1812-122.pdf#page=2","Abrir facsímil")</f>
        <v>Abrir facsímil</v>
      </c>
      <c r="K6000" s="3" t="s">
        <v>23</v>
      </c>
    </row>
    <row r="6001" spans="1:11" ht="42" customHeight="1">
      <c r="A6001" s="2" t="s">
        <v>15164</v>
      </c>
      <c r="B6001" s="2" t="s">
        <v>15164</v>
      </c>
      <c r="C6001" s="2" t="s">
        <v>17</v>
      </c>
      <c r="D6001" s="2" t="s">
        <v>27</v>
      </c>
      <c r="E6001" s="4">
        <v>-32010</v>
      </c>
      <c r="F6001" s="3" t="s">
        <v>243</v>
      </c>
      <c r="G6001" s="3" t="s">
        <v>620</v>
      </c>
      <c r="H6001" s="2" t="s">
        <v>21</v>
      </c>
      <c r="I6001" s="2" t="s">
        <v>15170</v>
      </c>
      <c r="J6001" s="3" t="str">
        <f>HYPERLINK("https://www.boe.es/gazeta/dias/1812/05/10/pdfs/GMD-1812-131.pdf#page=2","Abrir facsímil")</f>
        <v>Abrir facsímil</v>
      </c>
      <c r="K6001" s="3" t="s">
        <v>23</v>
      </c>
    </row>
    <row r="6002" spans="1:11" ht="42" customHeight="1">
      <c r="A6002" s="2" t="s">
        <v>15164</v>
      </c>
      <c r="B6002" s="2" t="s">
        <v>15164</v>
      </c>
      <c r="C6002" s="2" t="s">
        <v>105</v>
      </c>
      <c r="D6002" s="2" t="s">
        <v>27</v>
      </c>
      <c r="E6002" s="4">
        <v>-31998</v>
      </c>
      <c r="F6002" s="3" t="s">
        <v>7890</v>
      </c>
      <c r="G6002" s="3" t="s">
        <v>45</v>
      </c>
      <c r="H6002" s="2" t="s">
        <v>21</v>
      </c>
      <c r="I6002" s="2" t="s">
        <v>15171</v>
      </c>
      <c r="J6002" s="3" t="str">
        <f>HYPERLINK("https://www.boe.es/gazeta/dias/1812/05/22/pdfs/GMD-1812-143.pdf#page=3","Abrir facsímil")</f>
        <v>Abrir facsímil</v>
      </c>
      <c r="K6002" s="3" t="s">
        <v>23</v>
      </c>
    </row>
    <row r="6003" spans="1:11" ht="42" customHeight="1">
      <c r="A6003" s="2" t="s">
        <v>15164</v>
      </c>
      <c r="B6003" s="2" t="s">
        <v>15164</v>
      </c>
      <c r="C6003" s="2" t="s">
        <v>105</v>
      </c>
      <c r="D6003" s="2" t="s">
        <v>194</v>
      </c>
      <c r="E6003" s="4">
        <v>-31981</v>
      </c>
      <c r="F6003" s="3" t="s">
        <v>5059</v>
      </c>
      <c r="G6003" s="3" t="s">
        <v>45</v>
      </c>
      <c r="H6003" s="2" t="s">
        <v>21</v>
      </c>
      <c r="I6003" s="2" t="s">
        <v>15172</v>
      </c>
      <c r="J6003" s="3" t="str">
        <f>HYPERLINK("https://www.boe.es/gazeta/dias/1812/06/08/pdfs/GMD-1812-160.pdf#page=3","Abrir facsímil")</f>
        <v>Abrir facsímil</v>
      </c>
      <c r="K6003" s="3" t="s">
        <v>23</v>
      </c>
    </row>
    <row r="6004" spans="1:11" ht="42" customHeight="1">
      <c r="A6004" s="2" t="s">
        <v>15164</v>
      </c>
      <c r="B6004" s="2" t="s">
        <v>15164</v>
      </c>
      <c r="C6004" s="2" t="s">
        <v>105</v>
      </c>
      <c r="D6004" s="2" t="s">
        <v>27</v>
      </c>
      <c r="E6004" s="4">
        <v>-31975</v>
      </c>
      <c r="F6004" s="3" t="s">
        <v>9721</v>
      </c>
      <c r="G6004" s="3" t="s">
        <v>14235</v>
      </c>
      <c r="H6004" s="2" t="s">
        <v>21</v>
      </c>
      <c r="I6004" s="2" t="s">
        <v>15173</v>
      </c>
      <c r="J6004" s="3" t="str">
        <f>HYPERLINK("https://www.boe.es/gazeta/dias/1812/06/14/pdfs/GMD-1812-166.pdf#page=3","Abrir facsímil")</f>
        <v>Abrir facsímil</v>
      </c>
      <c r="K6004" s="3" t="s">
        <v>23</v>
      </c>
    </row>
    <row r="6005" spans="1:11" ht="42" customHeight="1">
      <c r="A6005" s="2" t="s">
        <v>15164</v>
      </c>
      <c r="B6005" s="2" t="s">
        <v>15164</v>
      </c>
      <c r="C6005" s="2" t="s">
        <v>17</v>
      </c>
      <c r="D6005" s="2" t="s">
        <v>18</v>
      </c>
      <c r="E6005" s="4">
        <v>-31966</v>
      </c>
      <c r="F6005" s="3" t="s">
        <v>387</v>
      </c>
      <c r="G6005" s="3" t="s">
        <v>36</v>
      </c>
      <c r="H6005" s="2" t="s">
        <v>21</v>
      </c>
      <c r="I6005" s="2" t="s">
        <v>15174</v>
      </c>
      <c r="J6005" s="3" t="str">
        <f>HYPERLINK("https://www.boe.es/gazeta/dias/1812/06/23/pdfs/GMD-1812-175.pdf#page=3","Abrir facsímil")</f>
        <v>Abrir facsímil</v>
      </c>
      <c r="K6005" s="3" t="s">
        <v>23</v>
      </c>
    </row>
    <row r="6006" spans="1:11" ht="42" customHeight="1">
      <c r="A6006" s="2" t="s">
        <v>15164</v>
      </c>
      <c r="B6006" s="2" t="s">
        <v>15164</v>
      </c>
      <c r="C6006" s="2" t="s">
        <v>105</v>
      </c>
      <c r="D6006" s="2" t="s">
        <v>194</v>
      </c>
      <c r="E6006" s="4">
        <v>-31958</v>
      </c>
      <c r="F6006" s="3" t="s">
        <v>12674</v>
      </c>
      <c r="G6006" s="3" t="s">
        <v>6831</v>
      </c>
      <c r="H6006" s="2" t="s">
        <v>21</v>
      </c>
      <c r="I6006" s="2" t="s">
        <v>15175</v>
      </c>
      <c r="J6006" s="3" t="str">
        <f>HYPERLINK("https://www.boe.es/gazeta/dias/1812/07/01/pdfs/GMD-1812-183.pdf#page=1","Abrir facsímil")</f>
        <v>Abrir facsímil</v>
      </c>
      <c r="K6006" s="3" t="s">
        <v>23</v>
      </c>
    </row>
    <row r="6007" spans="1:11" ht="42" customHeight="1">
      <c r="A6007" s="2" t="s">
        <v>15164</v>
      </c>
      <c r="B6007" s="2" t="s">
        <v>15164</v>
      </c>
      <c r="C6007" s="2" t="s">
        <v>105</v>
      </c>
      <c r="D6007" s="2" t="s">
        <v>27</v>
      </c>
      <c r="E6007" s="4">
        <v>-31936</v>
      </c>
      <c r="F6007" s="3" t="s">
        <v>614</v>
      </c>
      <c r="G6007" s="3" t="s">
        <v>15176</v>
      </c>
      <c r="H6007" s="2" t="s">
        <v>21</v>
      </c>
      <c r="I6007" s="2" t="s">
        <v>15177</v>
      </c>
      <c r="J6007" s="3" t="str">
        <f>HYPERLINK("https://www.boe.es/gazeta/dias/1812/07/23/pdfs/GRE-1812-92.pdf#page=5","Abrir facsímil")</f>
        <v>Abrir facsímil</v>
      </c>
      <c r="K6007" s="3" t="s">
        <v>23</v>
      </c>
    </row>
    <row r="6008" spans="1:11" ht="42" customHeight="1">
      <c r="A6008" s="2" t="s">
        <v>15164</v>
      </c>
      <c r="B6008" s="2" t="s">
        <v>15164</v>
      </c>
      <c r="C6008" s="2" t="s">
        <v>67</v>
      </c>
      <c r="D6008" s="2" t="s">
        <v>194</v>
      </c>
      <c r="E6008" s="4">
        <v>-31936</v>
      </c>
      <c r="F6008" s="3" t="s">
        <v>614</v>
      </c>
      <c r="G6008" s="3" t="s">
        <v>10141</v>
      </c>
      <c r="H6008" s="2" t="s">
        <v>21</v>
      </c>
      <c r="I6008" s="2" t="s">
        <v>15178</v>
      </c>
      <c r="J6008" s="3" t="str">
        <f>HYPERLINK("https://www.boe.es/gazeta/dias/1812/07/23/pdfs/GRE-1812-92.pdf#page=6","Abrir facsímil")</f>
        <v>Abrir facsímil</v>
      </c>
      <c r="K6008" s="3" t="s">
        <v>23</v>
      </c>
    </row>
    <row r="6009" spans="1:11" ht="42" customHeight="1">
      <c r="A6009" s="2" t="s">
        <v>15164</v>
      </c>
      <c r="B6009" s="2" t="s">
        <v>15164</v>
      </c>
      <c r="C6009" s="2" t="s">
        <v>17</v>
      </c>
      <c r="D6009" s="2" t="s">
        <v>27</v>
      </c>
      <c r="E6009" s="4">
        <v>-31922</v>
      </c>
      <c r="F6009" s="3" t="s">
        <v>622</v>
      </c>
      <c r="G6009" s="3" t="s">
        <v>6059</v>
      </c>
      <c r="H6009" s="2" t="s">
        <v>21</v>
      </c>
      <c r="I6009" s="2" t="s">
        <v>15179</v>
      </c>
      <c r="J6009" s="3" t="str">
        <f>HYPERLINK("https://www.boe.es/gazeta/dias/1812/08/06/pdfs/GMD-1812-219.pdf#page=3","Abrir facsímil")</f>
        <v>Abrir facsímil</v>
      </c>
      <c r="K6009" s="3" t="s">
        <v>23</v>
      </c>
    </row>
    <row r="6010" spans="1:11" ht="42" customHeight="1">
      <c r="A6010" s="2" t="s">
        <v>15164</v>
      </c>
      <c r="B6010" s="2" t="s">
        <v>15164</v>
      </c>
      <c r="C6010" s="2" t="s">
        <v>105</v>
      </c>
      <c r="D6010" s="2" t="s">
        <v>194</v>
      </c>
      <c r="E6010" s="4">
        <v>-31906</v>
      </c>
      <c r="F6010" s="3" t="s">
        <v>1815</v>
      </c>
      <c r="G6010" s="3" t="s">
        <v>196</v>
      </c>
      <c r="H6010" s="2" t="s">
        <v>21</v>
      </c>
      <c r="I6010" s="2" t="s">
        <v>15180</v>
      </c>
      <c r="J6010" s="3" t="str">
        <f>HYPERLINK("https://www.boe.es/gazeta/dias/1812/08/22/pdfs/GMR-1812-3.pdf#page=1","Abrir facsímil")</f>
        <v>Abrir facsímil</v>
      </c>
      <c r="K6010" s="3" t="s">
        <v>23</v>
      </c>
    </row>
    <row r="6011" spans="1:11" ht="42" customHeight="1">
      <c r="A6011" s="2" t="s">
        <v>15164</v>
      </c>
      <c r="B6011" s="2" t="s">
        <v>15164</v>
      </c>
      <c r="C6011" s="2" t="s">
        <v>105</v>
      </c>
      <c r="D6011" s="2" t="s">
        <v>194</v>
      </c>
      <c r="E6011" s="4">
        <v>-31903</v>
      </c>
      <c r="F6011" s="3" t="s">
        <v>626</v>
      </c>
      <c r="G6011" s="3" t="s">
        <v>20</v>
      </c>
      <c r="H6011" s="2" t="s">
        <v>21</v>
      </c>
      <c r="I6011" s="2" t="s">
        <v>15181</v>
      </c>
      <c r="J6011" s="3" t="str">
        <f>HYPERLINK("https://www.boe.es/gazeta/dias/1812/08/25/pdfs/GMR-1812-5.pdf#page=4","Abrir facsímil")</f>
        <v>Abrir facsímil</v>
      </c>
      <c r="K6011" s="3" t="s">
        <v>23</v>
      </c>
    </row>
    <row r="6012" spans="1:11" ht="42" customHeight="1">
      <c r="A6012" s="2" t="s">
        <v>15164</v>
      </c>
      <c r="B6012" s="2" t="s">
        <v>15164</v>
      </c>
      <c r="C6012" s="2" t="s">
        <v>105</v>
      </c>
      <c r="D6012" s="2" t="s">
        <v>194</v>
      </c>
      <c r="E6012" s="4">
        <v>-31901</v>
      </c>
      <c r="F6012" s="3" t="s">
        <v>2199</v>
      </c>
      <c r="G6012" s="3" t="s">
        <v>125</v>
      </c>
      <c r="H6012" s="2" t="s">
        <v>21</v>
      </c>
      <c r="I6012" s="2" t="s">
        <v>15182</v>
      </c>
      <c r="J6012" s="3" t="str">
        <f>HYPERLINK("https://www.boe.es/gazeta/dias/1812/08/27/pdfs/GRE-1812-111.pdf#page=1","Abrir facsímil")</f>
        <v>Abrir facsímil</v>
      </c>
      <c r="K6012" s="3" t="s">
        <v>23</v>
      </c>
    </row>
    <row r="6013" spans="1:11" ht="42" customHeight="1">
      <c r="A6013" s="2" t="s">
        <v>15164</v>
      </c>
      <c r="B6013" s="2" t="s">
        <v>15164</v>
      </c>
      <c r="C6013" s="2" t="s">
        <v>17</v>
      </c>
      <c r="D6013" s="2" t="s">
        <v>18</v>
      </c>
      <c r="E6013" s="4">
        <v>-31901</v>
      </c>
      <c r="F6013" s="3" t="s">
        <v>2199</v>
      </c>
      <c r="G6013" s="3" t="s">
        <v>2919</v>
      </c>
      <c r="H6013" s="2" t="s">
        <v>21</v>
      </c>
      <c r="I6013" s="2" t="s">
        <v>15183</v>
      </c>
      <c r="J6013" s="3" t="str">
        <f>HYPERLINK("https://www.boe.es/gazeta/dias/1812/08/27/pdfs/GRE-1812-111.pdf#page=2","Abrir facsímil")</f>
        <v>Abrir facsímil</v>
      </c>
      <c r="K6013" s="3" t="s">
        <v>23</v>
      </c>
    </row>
    <row r="6014" spans="1:11" ht="42" customHeight="1">
      <c r="A6014" s="2" t="s">
        <v>15164</v>
      </c>
      <c r="B6014" s="2" t="s">
        <v>15164</v>
      </c>
      <c r="C6014" s="2" t="s">
        <v>17</v>
      </c>
      <c r="D6014" s="2" t="s">
        <v>27</v>
      </c>
      <c r="E6014" s="4">
        <v>-31896</v>
      </c>
      <c r="F6014" s="3" t="s">
        <v>1808</v>
      </c>
      <c r="G6014" s="3" t="s">
        <v>140</v>
      </c>
      <c r="H6014" s="2" t="s">
        <v>21</v>
      </c>
      <c r="I6014" s="2" t="s">
        <v>15184</v>
      </c>
      <c r="J6014" s="3" t="str">
        <f>HYPERLINK("https://www.boe.es/gazeta/dias/1812/09/01/pdfs/GMR-1812-8.pdf#page=2","Abrir facsímil")</f>
        <v>Abrir facsímil</v>
      </c>
      <c r="K6014" s="3" t="s">
        <v>23</v>
      </c>
    </row>
    <row r="6015" spans="1:11" ht="42" customHeight="1">
      <c r="A6015" s="2" t="s">
        <v>15164</v>
      </c>
      <c r="B6015" s="2" t="s">
        <v>15164</v>
      </c>
      <c r="C6015" s="2" t="s">
        <v>105</v>
      </c>
      <c r="D6015" s="2" t="s">
        <v>27</v>
      </c>
      <c r="E6015" s="4">
        <v>-31896</v>
      </c>
      <c r="F6015" s="3" t="s">
        <v>1808</v>
      </c>
      <c r="G6015" s="3" t="s">
        <v>58</v>
      </c>
      <c r="H6015" s="2" t="s">
        <v>21</v>
      </c>
      <c r="I6015" s="2" t="s">
        <v>15185</v>
      </c>
      <c r="J6015" s="3" t="str">
        <f>HYPERLINK("https://www.boe.es/gazeta/dias/1812/09/01/pdfs/GMR-1812-8.pdf#page=5","Abrir facsímil")</f>
        <v>Abrir facsímil</v>
      </c>
      <c r="K6015" s="3" t="s">
        <v>23</v>
      </c>
    </row>
    <row r="6016" spans="1:11" ht="42" customHeight="1">
      <c r="A6016" s="2" t="s">
        <v>15164</v>
      </c>
      <c r="B6016" s="2" t="s">
        <v>15164</v>
      </c>
      <c r="C6016" s="2" t="s">
        <v>17</v>
      </c>
      <c r="D6016" s="2" t="s">
        <v>27</v>
      </c>
      <c r="E6016" s="4">
        <v>-31880</v>
      </c>
      <c r="F6016" s="3" t="s">
        <v>3148</v>
      </c>
      <c r="G6016" s="3" t="s">
        <v>15186</v>
      </c>
      <c r="H6016" s="2" t="s">
        <v>21</v>
      </c>
      <c r="I6016" s="2" t="s">
        <v>15187</v>
      </c>
      <c r="J6016" s="3" t="str">
        <f>HYPERLINK("https://www.boe.es/gazeta/dias/1812/09/17/pdfs/GRE-1812-126.pdf#page=1","Abrir facsímil")</f>
        <v>Abrir facsímil</v>
      </c>
      <c r="K6016" s="3" t="s">
        <v>23</v>
      </c>
    </row>
    <row r="6017" spans="1:11" ht="42" customHeight="1">
      <c r="A6017" s="2" t="s">
        <v>15164</v>
      </c>
      <c r="B6017" s="2" t="s">
        <v>15164</v>
      </c>
      <c r="C6017" s="2" t="s">
        <v>17</v>
      </c>
      <c r="D6017" s="2" t="s">
        <v>18</v>
      </c>
      <c r="E6017" s="4">
        <v>-31845</v>
      </c>
      <c r="F6017" s="3" t="s">
        <v>723</v>
      </c>
      <c r="G6017" s="3" t="s">
        <v>1980</v>
      </c>
      <c r="H6017" s="2" t="s">
        <v>21</v>
      </c>
      <c r="I6017" s="2" t="s">
        <v>15188</v>
      </c>
      <c r="J6017" s="3" t="str">
        <f>HYPERLINK("https://www.boe.es/gazeta/dias/1812/10/22/pdfs/GMR-1812-30.pdf#page=3","Abrir facsímil")</f>
        <v>Abrir facsímil</v>
      </c>
      <c r="K6017" s="3" t="s">
        <v>23</v>
      </c>
    </row>
    <row r="6018" spans="1:11" ht="42" customHeight="1">
      <c r="A6018" s="2" t="s">
        <v>15164</v>
      </c>
      <c r="B6018" s="2" t="s">
        <v>15164</v>
      </c>
      <c r="C6018" s="2" t="s">
        <v>17</v>
      </c>
      <c r="D6018" s="2" t="s">
        <v>27</v>
      </c>
      <c r="E6018" s="4">
        <v>-31800</v>
      </c>
      <c r="F6018" s="3" t="s">
        <v>593</v>
      </c>
      <c r="G6018" s="3" t="s">
        <v>4662</v>
      </c>
      <c r="H6018" s="2" t="s">
        <v>21</v>
      </c>
      <c r="I6018" s="2" t="s">
        <v>15189</v>
      </c>
      <c r="J6018" s="3" t="str">
        <f>HYPERLINK("https://www.boe.es/gazeta/dias/1812/12/06/pdfs/GMD-1812-229.pdf#page=1","Abrir facsímil")</f>
        <v>Abrir facsímil</v>
      </c>
      <c r="K6018" s="3" t="s">
        <v>23</v>
      </c>
    </row>
    <row r="6019" spans="1:11" ht="42" customHeight="1">
      <c r="A6019" s="2" t="s">
        <v>15164</v>
      </c>
      <c r="B6019" s="2" t="s">
        <v>15164</v>
      </c>
      <c r="C6019" s="2" t="s">
        <v>186</v>
      </c>
      <c r="D6019" s="2" t="s">
        <v>27</v>
      </c>
      <c r="E6019" s="4">
        <v>-31782</v>
      </c>
      <c r="F6019" s="3" t="s">
        <v>4408</v>
      </c>
      <c r="G6019" s="3" t="s">
        <v>514</v>
      </c>
      <c r="H6019" s="2" t="s">
        <v>21</v>
      </c>
      <c r="I6019" s="2" t="s">
        <v>15190</v>
      </c>
      <c r="J6019" s="3" t="str">
        <f>HYPERLINK("https://www.boe.es/gazeta/dias/1812/12/24/pdfs/GMD-1812-247.pdf#page=3","Abrir facsímil")</f>
        <v>Abrir facsímil</v>
      </c>
      <c r="K6019" s="3" t="s">
        <v>23</v>
      </c>
    </row>
    <row r="6020" spans="1:11" ht="42" customHeight="1">
      <c r="A6020" s="2" t="s">
        <v>15191</v>
      </c>
      <c r="B6020" s="2" t="s">
        <v>15192</v>
      </c>
      <c r="C6020" s="2" t="s">
        <v>26</v>
      </c>
      <c r="D6020" s="2" t="s">
        <v>194</v>
      </c>
      <c r="E6020" s="4">
        <v>-31976</v>
      </c>
      <c r="F6020" s="3" t="s">
        <v>2250</v>
      </c>
      <c r="G6020" s="3" t="s">
        <v>2251</v>
      </c>
      <c r="H6020" s="2" t="s">
        <v>21</v>
      </c>
      <c r="I6020" s="2" t="s">
        <v>15193</v>
      </c>
      <c r="J6020" s="3" t="str">
        <f>HYPERLINK("https://www.boe.es/gazeta/dias/1812/06/13/pdfs/GMD-1812-165.pdf#page=3","Abrir facsímil")</f>
        <v>Abrir facsímil</v>
      </c>
      <c r="K6020" s="3" t="s">
        <v>23</v>
      </c>
    </row>
    <row r="6021" spans="1:11" ht="42" customHeight="1">
      <c r="A6021" s="2" t="s">
        <v>15194</v>
      </c>
      <c r="B6021" s="2" t="s">
        <v>15195</v>
      </c>
      <c r="C6021" s="2" t="s">
        <v>26</v>
      </c>
      <c r="D6021" s="2" t="s">
        <v>27</v>
      </c>
      <c r="E6021" s="4">
        <v>-31962</v>
      </c>
      <c r="F6021" s="3" t="s">
        <v>643</v>
      </c>
      <c r="G6021" s="3" t="s">
        <v>15196</v>
      </c>
      <c r="H6021" s="2" t="s">
        <v>21</v>
      </c>
      <c r="I6021" s="2" t="s">
        <v>15197</v>
      </c>
      <c r="J6021" s="3" t="str">
        <f>HYPERLINK("https://www.boe.es/gazeta/dias/1812/06/27/pdfs/GMD-1812-179.pdf#page=3","Abrir facsímil")</f>
        <v>Abrir facsímil</v>
      </c>
      <c r="K6021" s="3" t="s">
        <v>23</v>
      </c>
    </row>
    <row r="6022" spans="1:11" ht="42" customHeight="1">
      <c r="A6022" s="2" t="s">
        <v>15194</v>
      </c>
      <c r="B6022" s="2" t="s">
        <v>15195</v>
      </c>
      <c r="C6022" s="2" t="s">
        <v>26</v>
      </c>
      <c r="D6022" s="2" t="s">
        <v>275</v>
      </c>
      <c r="E6022" s="4">
        <v>-31831</v>
      </c>
      <c r="F6022" s="3" t="s">
        <v>11847</v>
      </c>
      <c r="G6022" s="3" t="s">
        <v>7799</v>
      </c>
      <c r="H6022" s="2" t="s">
        <v>21</v>
      </c>
      <c r="I6022" s="2" t="s">
        <v>15198</v>
      </c>
      <c r="J6022" s="3" t="str">
        <f>HYPERLINK("https://www.boe.es/gazeta/dias/1812/11/05/pdfs/GMD-1812-225.pdf#page=3","Abrir facsímil")</f>
        <v>Abrir facsímil</v>
      </c>
      <c r="K6022" s="3" t="s">
        <v>23</v>
      </c>
    </row>
    <row r="6023" spans="1:11" ht="42" customHeight="1">
      <c r="A6023" s="2" t="s">
        <v>15194</v>
      </c>
      <c r="B6023" s="2" t="s">
        <v>15195</v>
      </c>
      <c r="C6023" s="2" t="s">
        <v>26</v>
      </c>
      <c r="D6023" s="2" t="s">
        <v>27</v>
      </c>
      <c r="E6023" s="4">
        <v>-31787</v>
      </c>
      <c r="F6023" s="3" t="s">
        <v>7656</v>
      </c>
      <c r="G6023" s="3" t="s">
        <v>130</v>
      </c>
      <c r="H6023" s="2" t="s">
        <v>21</v>
      </c>
      <c r="I6023" s="2" t="s">
        <v>15199</v>
      </c>
      <c r="J6023" s="3" t="str">
        <f>HYPERLINK("https://www.boe.es/gazeta/dias/1812/12/19/pdfs/GMD-1812-242.pdf#page=4","Abrir facsímil")</f>
        <v>Abrir facsímil</v>
      </c>
      <c r="K6023" s="3" t="s">
        <v>23</v>
      </c>
    </row>
    <row r="6024" spans="1:11" ht="42" customHeight="1">
      <c r="A6024" s="2" t="s">
        <v>15200</v>
      </c>
      <c r="B6024" s="2" t="s">
        <v>15201</v>
      </c>
      <c r="C6024" s="2" t="s">
        <v>17</v>
      </c>
      <c r="D6024" s="2" t="s">
        <v>27</v>
      </c>
      <c r="E6024" s="4">
        <v>-32089</v>
      </c>
      <c r="F6024" s="3" t="s">
        <v>1918</v>
      </c>
      <c r="G6024" s="3" t="s">
        <v>136</v>
      </c>
      <c r="H6024" s="2" t="s">
        <v>21</v>
      </c>
      <c r="I6024" s="2" t="s">
        <v>15202</v>
      </c>
      <c r="J6024" s="3" t="str">
        <f>HYPERLINK("https://www.boe.es/gazeta/dias/1812/02/21/pdfs/GMD-1812-52.pdf#page=4","Abrir facsímil")</f>
        <v>Abrir facsímil</v>
      </c>
      <c r="K6024" s="3" t="s">
        <v>23</v>
      </c>
    </row>
    <row r="6025" spans="1:11" ht="42" customHeight="1">
      <c r="A6025" s="2" t="s">
        <v>15203</v>
      </c>
      <c r="B6025" s="2" t="s">
        <v>15204</v>
      </c>
      <c r="C6025" s="2" t="s">
        <v>49</v>
      </c>
      <c r="D6025" s="2" t="s">
        <v>275</v>
      </c>
      <c r="E6025" s="4">
        <v>-32130</v>
      </c>
      <c r="F6025" s="3" t="s">
        <v>927</v>
      </c>
      <c r="G6025" s="3" t="s">
        <v>130</v>
      </c>
      <c r="H6025" s="2" t="s">
        <v>21</v>
      </c>
      <c r="I6025" s="2" t="s">
        <v>15205</v>
      </c>
      <c r="J6025" s="3" t="str">
        <f>HYPERLINK("https://www.boe.es/gazeta/dias/1812/01/11/pdfs/GMD-1812-11.pdf#page=4","Abrir facsímil")</f>
        <v>Abrir facsímil</v>
      </c>
      <c r="K6025" s="3" t="s">
        <v>23</v>
      </c>
    </row>
    <row r="6026" spans="1:11" ht="42" customHeight="1">
      <c r="A6026" s="2" t="s">
        <v>15206</v>
      </c>
      <c r="B6026" s="2" t="s">
        <v>15207</v>
      </c>
      <c r="C6026" s="2" t="s">
        <v>26</v>
      </c>
      <c r="D6026" s="2" t="s">
        <v>27</v>
      </c>
      <c r="E6026" s="4">
        <v>-31962</v>
      </c>
      <c r="F6026" s="3" t="s">
        <v>643</v>
      </c>
      <c r="G6026" s="3" t="s">
        <v>644</v>
      </c>
      <c r="H6026" s="2" t="s">
        <v>21</v>
      </c>
      <c r="I6026" s="2" t="s">
        <v>15208</v>
      </c>
      <c r="J6026" s="3" t="str">
        <f>HYPERLINK("https://www.boe.es/gazeta/dias/1812/06/27/pdfs/GMD-1812-179.pdf#page=2","Abrir facsímil")</f>
        <v>Abrir facsímil</v>
      </c>
      <c r="K6026" s="3" t="s">
        <v>23</v>
      </c>
    </row>
    <row r="6027" spans="1:11" ht="42" customHeight="1">
      <c r="A6027" s="2" t="s">
        <v>15209</v>
      </c>
      <c r="B6027" s="2" t="s">
        <v>15209</v>
      </c>
      <c r="C6027" s="2" t="s">
        <v>17</v>
      </c>
      <c r="D6027" s="2" t="s">
        <v>27</v>
      </c>
      <c r="E6027" s="4">
        <v>-32134</v>
      </c>
      <c r="F6027" s="3" t="s">
        <v>50</v>
      </c>
      <c r="G6027" s="3" t="s">
        <v>1980</v>
      </c>
      <c r="H6027" s="2" t="s">
        <v>21</v>
      </c>
      <c r="I6027" s="2" t="s">
        <v>15210</v>
      </c>
      <c r="J6027" s="3" t="str">
        <f>HYPERLINK("https://www.boe.es/gazeta/dias/1812/01/07/pdfs/GEI-1812-3.pdf#page=3","Abrir facsímil")</f>
        <v>Abrir facsímil</v>
      </c>
      <c r="K6027" s="3" t="s">
        <v>23</v>
      </c>
    </row>
    <row r="6028" spans="1:11" ht="42" customHeight="1">
      <c r="A6028" s="2" t="s">
        <v>15211</v>
      </c>
      <c r="B6028" s="2" t="s">
        <v>15211</v>
      </c>
      <c r="C6028" s="2" t="s">
        <v>17</v>
      </c>
      <c r="D6028" s="2" t="s">
        <v>27</v>
      </c>
      <c r="E6028" s="4">
        <v>-31934</v>
      </c>
      <c r="F6028" s="3" t="s">
        <v>509</v>
      </c>
      <c r="G6028" s="3" t="s">
        <v>696</v>
      </c>
      <c r="H6028" s="2" t="s">
        <v>21</v>
      </c>
      <c r="I6028" s="2" t="s">
        <v>15212</v>
      </c>
      <c r="J6028" s="3" t="str">
        <f>HYPERLINK("https://www.boe.es/gazeta/dias/1812/07/25/pdfs/GRE-1812-93.pdf#page=2","Abrir facsímil")</f>
        <v>Abrir facsímil</v>
      </c>
      <c r="K6028" s="3" t="s">
        <v>23</v>
      </c>
    </row>
    <row r="6029" spans="1:11" ht="42" customHeight="1">
      <c r="A6029" s="2" t="s">
        <v>15213</v>
      </c>
      <c r="B6029" s="2" t="s">
        <v>15213</v>
      </c>
      <c r="C6029" s="2" t="s">
        <v>17</v>
      </c>
      <c r="D6029" s="2" t="s">
        <v>27</v>
      </c>
      <c r="E6029" s="4">
        <v>-31906</v>
      </c>
      <c r="F6029" s="3" t="s">
        <v>1815</v>
      </c>
      <c r="G6029" s="3" t="s">
        <v>136</v>
      </c>
      <c r="H6029" s="2" t="s">
        <v>21</v>
      </c>
      <c r="I6029" s="2" t="s">
        <v>15214</v>
      </c>
      <c r="J6029" s="3" t="str">
        <f>HYPERLINK("https://www.boe.es/gazeta/dias/1812/08/22/pdfs/GMR-1812-3.pdf#page=4","Abrir facsímil")</f>
        <v>Abrir facsímil</v>
      </c>
      <c r="K6029" s="3" t="s">
        <v>23</v>
      </c>
    </row>
    <row r="6030" spans="1:11" ht="42" customHeight="1">
      <c r="A6030" s="2" t="s">
        <v>15215</v>
      </c>
      <c r="B6030" s="2" t="s">
        <v>15215</v>
      </c>
      <c r="C6030" s="2" t="s">
        <v>115</v>
      </c>
      <c r="D6030" s="2" t="s">
        <v>27</v>
      </c>
      <c r="E6030" s="4">
        <v>-31976</v>
      </c>
      <c r="F6030" s="3" t="s">
        <v>54</v>
      </c>
      <c r="G6030" s="3" t="s">
        <v>965</v>
      </c>
      <c r="H6030" s="2" t="s">
        <v>21</v>
      </c>
      <c r="I6030" s="2" t="s">
        <v>15216</v>
      </c>
      <c r="J6030" s="3" t="str">
        <f>HYPERLINK("https://www.boe.es/gazeta/dias/1812/06/13/pdfs/GRE-1812-73.pdf#page=3","Abrir facsímil")</f>
        <v>Abrir facsímil</v>
      </c>
      <c r="K6030" s="3" t="s">
        <v>23</v>
      </c>
    </row>
    <row r="6031" spans="1:11" ht="42" customHeight="1">
      <c r="A6031" s="2" t="s">
        <v>15217</v>
      </c>
      <c r="B6031" s="2" t="s">
        <v>15217</v>
      </c>
      <c r="C6031" s="2" t="s">
        <v>17</v>
      </c>
      <c r="D6031" s="2" t="s">
        <v>27</v>
      </c>
      <c r="E6031" s="4">
        <v>-31777</v>
      </c>
      <c r="F6031" s="3" t="s">
        <v>1118</v>
      </c>
      <c r="G6031" s="3" t="s">
        <v>7302</v>
      </c>
      <c r="H6031" s="2" t="s">
        <v>21</v>
      </c>
      <c r="I6031" s="2" t="s">
        <v>15218</v>
      </c>
      <c r="J6031" s="3" t="str">
        <f>HYPERLINK("https://www.boe.es/gazeta/dias/1812/12/29/pdfs/GRE-1812-171.pdf#page=3","Abrir facsímil")</f>
        <v>Abrir facsímil</v>
      </c>
      <c r="K6031" s="3" t="s">
        <v>23</v>
      </c>
    </row>
    <row r="6032" spans="1:11" ht="42" customHeight="1">
      <c r="A6032" s="2" t="s">
        <v>15219</v>
      </c>
      <c r="B6032" s="2" t="s">
        <v>15220</v>
      </c>
      <c r="C6032" s="2" t="s">
        <v>26</v>
      </c>
      <c r="D6032" s="2" t="s">
        <v>27</v>
      </c>
      <c r="E6032" s="4">
        <v>-31939</v>
      </c>
      <c r="F6032" s="3" t="s">
        <v>408</v>
      </c>
      <c r="G6032" s="3" t="s">
        <v>20</v>
      </c>
      <c r="H6032" s="2" t="s">
        <v>21</v>
      </c>
      <c r="I6032" s="2" t="s">
        <v>15221</v>
      </c>
      <c r="J6032" s="3" t="str">
        <f>HYPERLINK("https://www.boe.es/gazeta/dias/1812/07/20/pdfs/GMD-1812-202.pdf#page=4","Abrir facsímil")</f>
        <v>Abrir facsímil</v>
      </c>
      <c r="K6032" s="3" t="s">
        <v>23</v>
      </c>
    </row>
    <row r="6033" spans="1:11" ht="42" customHeight="1">
      <c r="A6033" s="2" t="s">
        <v>15222</v>
      </c>
      <c r="B6033" s="2" t="s">
        <v>15222</v>
      </c>
      <c r="C6033" s="2" t="s">
        <v>17</v>
      </c>
      <c r="D6033" s="2" t="s">
        <v>18</v>
      </c>
      <c r="E6033" s="4">
        <v>-31901</v>
      </c>
      <c r="F6033" s="3" t="s">
        <v>590</v>
      </c>
      <c r="G6033" s="3" t="s">
        <v>514</v>
      </c>
      <c r="H6033" s="2" t="s">
        <v>21</v>
      </c>
      <c r="I6033" s="2" t="s">
        <v>15223</v>
      </c>
      <c r="J6033" s="3" t="str">
        <f>HYPERLINK("https://www.boe.es/gazeta/dias/1812/08/27/pdfs/GMR-1812-6.pdf#page=4","Abrir facsímil")</f>
        <v>Abrir facsímil</v>
      </c>
      <c r="K6033" s="3" t="s">
        <v>23</v>
      </c>
    </row>
    <row r="6034" spans="1:11" ht="42" customHeight="1">
      <c r="A6034" s="2" t="s">
        <v>15224</v>
      </c>
      <c r="B6034" s="2" t="s">
        <v>15225</v>
      </c>
      <c r="C6034" s="2" t="s">
        <v>17</v>
      </c>
      <c r="D6034" s="2" t="s">
        <v>27</v>
      </c>
      <c r="E6034" s="4">
        <v>-32009</v>
      </c>
      <c r="F6034" s="3" t="s">
        <v>8049</v>
      </c>
      <c r="G6034" s="3" t="s">
        <v>130</v>
      </c>
      <c r="H6034" s="2" t="s">
        <v>21</v>
      </c>
      <c r="I6034" s="2" t="s">
        <v>15226</v>
      </c>
      <c r="J6034" s="3" t="str">
        <f>HYPERLINK("https://www.boe.es/gazeta/dias/1812/05/11/pdfs/GMD-1812-132.pdf#page=4","Abrir facsímil")</f>
        <v>Abrir facsímil</v>
      </c>
      <c r="K6034" s="3" t="s">
        <v>23</v>
      </c>
    </row>
    <row r="6035" spans="1:11" ht="42" customHeight="1">
      <c r="A6035" s="2" t="s">
        <v>15227</v>
      </c>
      <c r="B6035" s="2" t="s">
        <v>15227</v>
      </c>
      <c r="C6035" s="2" t="s">
        <v>17</v>
      </c>
      <c r="D6035" s="2" t="s">
        <v>18</v>
      </c>
      <c r="E6035" s="4">
        <v>-31803</v>
      </c>
      <c r="F6035" s="3" t="s">
        <v>221</v>
      </c>
      <c r="G6035" s="3" t="s">
        <v>4030</v>
      </c>
      <c r="H6035" s="2" t="s">
        <v>21</v>
      </c>
      <c r="I6035" s="2" t="s">
        <v>15228</v>
      </c>
      <c r="J6035" s="3" t="str">
        <f>HYPERLINK("https://www.boe.es/gazeta/dias/1812/12/03/pdfs/GRE-1812-160.pdf#page=1","Abrir facsímil")</f>
        <v>Abrir facsímil</v>
      </c>
      <c r="K6035" s="3" t="s">
        <v>23</v>
      </c>
    </row>
    <row r="6036" spans="1:11" ht="42" customHeight="1">
      <c r="A6036" s="2" t="s">
        <v>15229</v>
      </c>
      <c r="B6036" s="2" t="s">
        <v>15230</v>
      </c>
      <c r="C6036" s="2" t="s">
        <v>26</v>
      </c>
      <c r="D6036" s="2" t="s">
        <v>27</v>
      </c>
      <c r="E6036" s="4">
        <v>-31939</v>
      </c>
      <c r="F6036" s="3" t="s">
        <v>408</v>
      </c>
      <c r="G6036" s="3" t="s">
        <v>404</v>
      </c>
      <c r="H6036" s="2" t="s">
        <v>21</v>
      </c>
      <c r="I6036" s="2" t="s">
        <v>15231</v>
      </c>
      <c r="J6036" s="3" t="str">
        <f>HYPERLINK("https://www.boe.es/gazeta/dias/1812/07/20/pdfs/GMD-1812-202.pdf#page=2","Abrir facsímil")</f>
        <v>Abrir facsímil</v>
      </c>
      <c r="K6036" s="3" t="s">
        <v>23</v>
      </c>
    </row>
    <row r="6037" spans="1:11" ht="42" customHeight="1">
      <c r="A6037" s="2" t="s">
        <v>15232</v>
      </c>
      <c r="B6037" s="2" t="s">
        <v>15233</v>
      </c>
      <c r="C6037" s="2" t="s">
        <v>105</v>
      </c>
      <c r="D6037" s="2" t="s">
        <v>27</v>
      </c>
      <c r="E6037" s="4">
        <v>-32060</v>
      </c>
      <c r="F6037" s="3" t="s">
        <v>1403</v>
      </c>
      <c r="G6037" s="3" t="s">
        <v>217</v>
      </c>
      <c r="H6037" s="2" t="s">
        <v>21</v>
      </c>
      <c r="I6037" s="2" t="s">
        <v>15234</v>
      </c>
      <c r="J6037" s="3" t="str">
        <f>HYPERLINK("https://www.boe.es/gazeta/dias/1812/03/21/pdfs/GRE-1812-36.pdf#page=8","Abrir facsímil")</f>
        <v>Abrir facsímil</v>
      </c>
      <c r="K6037" s="3" t="s">
        <v>23</v>
      </c>
    </row>
    <row r="6038" spans="1:11" ht="42" customHeight="1">
      <c r="A6038" s="2" t="s">
        <v>15235</v>
      </c>
      <c r="B6038" s="2" t="s">
        <v>15236</v>
      </c>
      <c r="C6038" s="2" t="s">
        <v>26</v>
      </c>
      <c r="D6038" s="2" t="s">
        <v>27</v>
      </c>
      <c r="E6038" s="4">
        <v>-31976</v>
      </c>
      <c r="F6038" s="3" t="s">
        <v>54</v>
      </c>
      <c r="G6038" s="3" t="s">
        <v>55</v>
      </c>
      <c r="H6038" s="2" t="s">
        <v>21</v>
      </c>
      <c r="I6038" s="2" t="s">
        <v>15237</v>
      </c>
      <c r="J6038" s="3" t="str">
        <f>HYPERLINK("https://www.boe.es/gazeta/dias/1812/06/13/pdfs/GRE-1812-73.pdf#page=6","Abrir facsímil")</f>
        <v>Abrir facsímil</v>
      </c>
      <c r="K6038" s="3" t="s">
        <v>23</v>
      </c>
    </row>
    <row r="6039" spans="1:11" ht="42" customHeight="1">
      <c r="A6039" s="2" t="s">
        <v>15238</v>
      </c>
      <c r="B6039" s="2" t="s">
        <v>15239</v>
      </c>
      <c r="C6039" s="2" t="s">
        <v>26</v>
      </c>
      <c r="D6039" s="2" t="s">
        <v>27</v>
      </c>
      <c r="E6039" s="4">
        <v>-31938</v>
      </c>
      <c r="F6039" s="3" t="s">
        <v>324</v>
      </c>
      <c r="G6039" s="3" t="s">
        <v>497</v>
      </c>
      <c r="H6039" s="2" t="s">
        <v>21</v>
      </c>
      <c r="I6039" s="2" t="s">
        <v>15240</v>
      </c>
      <c r="J6039" s="3" t="str">
        <f>HYPERLINK("https://www.boe.es/gazeta/dias/1812/07/21/pdfs/GMD-1812-203.pdf#page=3","Abrir facsímil")</f>
        <v>Abrir facsímil</v>
      </c>
      <c r="K6039" s="3" t="s">
        <v>23</v>
      </c>
    </row>
    <row r="6040" spans="1:11" ht="42" customHeight="1">
      <c r="A6040" s="2" t="s">
        <v>15241</v>
      </c>
      <c r="B6040" s="2" t="s">
        <v>15242</v>
      </c>
      <c r="C6040" s="2" t="s">
        <v>26</v>
      </c>
      <c r="D6040" s="2" t="s">
        <v>27</v>
      </c>
      <c r="E6040" s="4">
        <v>-31938</v>
      </c>
      <c r="F6040" s="3" t="s">
        <v>324</v>
      </c>
      <c r="G6040" s="3" t="s">
        <v>237</v>
      </c>
      <c r="H6040" s="2" t="s">
        <v>21</v>
      </c>
      <c r="I6040" s="2" t="s">
        <v>15243</v>
      </c>
      <c r="J6040" s="3" t="str">
        <f>HYPERLINK("https://www.boe.es/gazeta/dias/1812/07/21/pdfs/GMD-1812-203.pdf#page=2","Abrir facsímil")</f>
        <v>Abrir facsímil</v>
      </c>
      <c r="K6040" s="3" t="s">
        <v>23</v>
      </c>
    </row>
    <row r="6041" spans="1:11" ht="42" customHeight="1">
      <c r="A6041" s="2" t="s">
        <v>15244</v>
      </c>
      <c r="B6041" s="2" t="s">
        <v>15245</v>
      </c>
      <c r="C6041" s="2" t="s">
        <v>26</v>
      </c>
      <c r="D6041" s="2" t="s">
        <v>27</v>
      </c>
      <c r="E6041" s="4">
        <v>-32100</v>
      </c>
      <c r="F6041" s="3" t="s">
        <v>492</v>
      </c>
      <c r="G6041" s="3" t="s">
        <v>493</v>
      </c>
      <c r="H6041" s="2" t="s">
        <v>21</v>
      </c>
      <c r="I6041" s="2" t="s">
        <v>15246</v>
      </c>
      <c r="J6041" s="3" t="str">
        <f>HYPERLINK("https://www.boe.es/gazeta/dias/1812/02/10/pdfs/GRE-1812-31.pdf#page=8","Abrir facsímil")</f>
        <v>Abrir facsímil</v>
      </c>
      <c r="K6041" s="3" t="s">
        <v>23</v>
      </c>
    </row>
    <row r="6042" spans="1:11" ht="42" customHeight="1">
      <c r="A6042" s="2" t="s">
        <v>15244</v>
      </c>
      <c r="B6042" s="2" t="s">
        <v>15245</v>
      </c>
      <c r="C6042" s="2" t="s">
        <v>26</v>
      </c>
      <c r="D6042" s="2" t="s">
        <v>27</v>
      </c>
      <c r="E6042" s="4">
        <v>-32071</v>
      </c>
      <c r="F6042" s="3" t="s">
        <v>492</v>
      </c>
      <c r="G6042" s="3" t="s">
        <v>493</v>
      </c>
      <c r="H6042" s="2" t="s">
        <v>21</v>
      </c>
      <c r="I6042" s="2" t="s">
        <v>15246</v>
      </c>
      <c r="J6042" s="3" t="str">
        <f>HYPERLINK("https://www.boe.es/gazeta/dias/1812/03/10/pdfs/GRE-1812-31.pdf#page=8","Abrir facsímil")</f>
        <v>Abrir facsímil</v>
      </c>
      <c r="K6042" s="3" t="s">
        <v>23</v>
      </c>
    </row>
    <row r="6043" spans="1:11" ht="42" customHeight="1">
      <c r="A6043" s="2" t="s">
        <v>15247</v>
      </c>
      <c r="B6043" s="2" t="s">
        <v>15248</v>
      </c>
      <c r="C6043" s="2" t="s">
        <v>26</v>
      </c>
      <c r="D6043" s="2" t="s">
        <v>27</v>
      </c>
      <c r="E6043" s="4">
        <v>-31938</v>
      </c>
      <c r="F6043" s="3" t="s">
        <v>324</v>
      </c>
      <c r="G6043" s="3" t="s">
        <v>497</v>
      </c>
      <c r="H6043" s="2" t="s">
        <v>21</v>
      </c>
      <c r="I6043" s="2" t="s">
        <v>15249</v>
      </c>
      <c r="J6043" s="3" t="str">
        <f>HYPERLINK("https://www.boe.es/gazeta/dias/1812/07/21/pdfs/GMD-1812-203.pdf#page=3","Abrir facsímil")</f>
        <v>Abrir facsímil</v>
      </c>
      <c r="K6043" s="3" t="s">
        <v>23</v>
      </c>
    </row>
    <row r="6044" spans="1:11" ht="42" customHeight="1">
      <c r="A6044" s="2" t="s">
        <v>15250</v>
      </c>
      <c r="B6044" s="2" t="s">
        <v>15251</v>
      </c>
      <c r="C6044" s="2" t="s">
        <v>26</v>
      </c>
      <c r="D6044" s="2" t="s">
        <v>27</v>
      </c>
      <c r="E6044" s="4">
        <v>-32100</v>
      </c>
      <c r="F6044" s="3" t="s">
        <v>492</v>
      </c>
      <c r="G6044" s="3" t="s">
        <v>493</v>
      </c>
      <c r="H6044" s="2" t="s">
        <v>21</v>
      </c>
      <c r="I6044" s="2" t="s">
        <v>15252</v>
      </c>
      <c r="J6044" s="3" t="str">
        <f>HYPERLINK("https://www.boe.es/gazeta/dias/1812/02/10/pdfs/GRE-1812-31.pdf#page=8","Abrir facsímil")</f>
        <v>Abrir facsímil</v>
      </c>
      <c r="K6044" s="3" t="s">
        <v>23</v>
      </c>
    </row>
    <row r="6045" spans="1:11" ht="42" customHeight="1">
      <c r="A6045" s="2" t="s">
        <v>15250</v>
      </c>
      <c r="B6045" s="2" t="s">
        <v>15251</v>
      </c>
      <c r="C6045" s="2" t="s">
        <v>26</v>
      </c>
      <c r="D6045" s="2" t="s">
        <v>27</v>
      </c>
      <c r="E6045" s="4">
        <v>-32071</v>
      </c>
      <c r="F6045" s="3" t="s">
        <v>492</v>
      </c>
      <c r="G6045" s="3" t="s">
        <v>493</v>
      </c>
      <c r="H6045" s="2" t="s">
        <v>21</v>
      </c>
      <c r="I6045" s="2" t="s">
        <v>15252</v>
      </c>
      <c r="J6045" s="3" t="str">
        <f>HYPERLINK("https://www.boe.es/gazeta/dias/1812/03/10/pdfs/GRE-1812-31.pdf#page=8","Abrir facsímil")</f>
        <v>Abrir facsímil</v>
      </c>
      <c r="K6045" s="3" t="s">
        <v>23</v>
      </c>
    </row>
    <row r="6046" spans="1:11" ht="42" customHeight="1">
      <c r="A6046" s="2" t="s">
        <v>15253</v>
      </c>
      <c r="B6046" s="2" t="s">
        <v>15254</v>
      </c>
      <c r="C6046" s="2" t="s">
        <v>17</v>
      </c>
      <c r="D6046" s="2" t="s">
        <v>18</v>
      </c>
      <c r="E6046" s="4">
        <v>-31826</v>
      </c>
      <c r="F6046" s="3" t="s">
        <v>7488</v>
      </c>
      <c r="G6046" s="3" t="s">
        <v>125</v>
      </c>
      <c r="H6046" s="2" t="s">
        <v>21</v>
      </c>
      <c r="I6046" s="2" t="s">
        <v>15255</v>
      </c>
      <c r="J6046" s="3" t="str">
        <f>HYPERLINK("https://www.boe.es/gazeta/dias/1812/11/10/pdfs/GRE-1812-150.pdf#page=6","Abrir facsímil")</f>
        <v>Abrir facsímil</v>
      </c>
      <c r="K6046" s="3" t="s">
        <v>23</v>
      </c>
    </row>
    <row r="6047" spans="1:11" ht="42" customHeight="1">
      <c r="A6047" s="2" t="s">
        <v>15256</v>
      </c>
      <c r="B6047" s="2" t="s">
        <v>15257</v>
      </c>
      <c r="C6047" s="2" t="s">
        <v>17</v>
      </c>
      <c r="D6047" s="2" t="s">
        <v>18</v>
      </c>
      <c r="E6047" s="4">
        <v>-32069</v>
      </c>
      <c r="F6047" s="3" t="s">
        <v>445</v>
      </c>
      <c r="G6047" s="3" t="s">
        <v>446</v>
      </c>
      <c r="H6047" s="2" t="s">
        <v>21</v>
      </c>
      <c r="I6047" s="2" t="s">
        <v>15258</v>
      </c>
      <c r="J6047" s="3" t="str">
        <f>HYPERLINK("https://www.boe.es/gazeta/dias/1812/03/12/pdfs/GRE-1812-32.pdf#page=8","Abrir facsímil")</f>
        <v>Abrir facsímil</v>
      </c>
      <c r="K6047" s="3" t="s">
        <v>23</v>
      </c>
    </row>
    <row r="6048" spans="1:11" ht="42" customHeight="1">
      <c r="A6048" s="2" t="s">
        <v>15259</v>
      </c>
      <c r="B6048" s="2" t="s">
        <v>15260</v>
      </c>
      <c r="C6048" s="2" t="s">
        <v>26</v>
      </c>
      <c r="D6048" s="2" t="s">
        <v>27</v>
      </c>
      <c r="E6048" s="4">
        <v>-31913</v>
      </c>
      <c r="F6048" s="3" t="s">
        <v>450</v>
      </c>
      <c r="G6048" s="3" t="s">
        <v>2131</v>
      </c>
      <c r="H6048" s="2" t="s">
        <v>21</v>
      </c>
      <c r="I6048" s="2" t="s">
        <v>15261</v>
      </c>
      <c r="J6048" s="3" t="str">
        <f>HYPERLINK("https://www.boe.es/gazeta/dias/1812/08/15/pdfs/GRE-1812-105.pdf#page=5","Abrir facsímil")</f>
        <v>Abrir facsímil</v>
      </c>
      <c r="K6048" s="3" t="s">
        <v>23</v>
      </c>
    </row>
    <row r="6049" spans="1:11" ht="42" customHeight="1">
      <c r="A6049" s="2" t="s">
        <v>15262</v>
      </c>
      <c r="B6049" s="2" t="s">
        <v>15263</v>
      </c>
      <c r="C6049" s="2" t="s">
        <v>26</v>
      </c>
      <c r="D6049" s="2" t="s">
        <v>27</v>
      </c>
      <c r="E6049" s="4">
        <v>-32074</v>
      </c>
      <c r="F6049" s="3" t="s">
        <v>816</v>
      </c>
      <c r="G6049" s="3" t="s">
        <v>777</v>
      </c>
      <c r="H6049" s="2" t="s">
        <v>21</v>
      </c>
      <c r="I6049" s="2" t="s">
        <v>15264</v>
      </c>
      <c r="J6049" s="3" t="str">
        <f>HYPERLINK("https://www.boe.es/gazeta/dias/1812/03/07/pdfs/GRE-1812-30.pdf#page=8","Abrir facsímil")</f>
        <v>Abrir facsímil</v>
      </c>
      <c r="K6049" s="3" t="s">
        <v>23</v>
      </c>
    </row>
    <row r="6050" spans="1:11" ht="42" customHeight="1">
      <c r="A6050" s="2" t="s">
        <v>15265</v>
      </c>
      <c r="B6050" s="2" t="s">
        <v>15266</v>
      </c>
      <c r="C6050" s="2" t="s">
        <v>26</v>
      </c>
      <c r="D6050" s="2" t="s">
        <v>27</v>
      </c>
      <c r="E6050" s="4">
        <v>-32081</v>
      </c>
      <c r="F6050" s="3" t="s">
        <v>232</v>
      </c>
      <c r="G6050" s="3" t="s">
        <v>233</v>
      </c>
      <c r="H6050" s="2" t="s">
        <v>21</v>
      </c>
      <c r="I6050" s="2" t="s">
        <v>15267</v>
      </c>
      <c r="J6050" s="3" t="str">
        <f>HYPERLINK("https://www.boe.es/gazeta/dias/1812/02/29/pdfs/GRE-1812-27.pdf#page=8","Abrir facsímil")</f>
        <v>Abrir facsímil</v>
      </c>
      <c r="K6050" s="3" t="s">
        <v>23</v>
      </c>
    </row>
    <row r="6051" spans="1:11" ht="42" customHeight="1">
      <c r="A6051" s="2" t="s">
        <v>15265</v>
      </c>
      <c r="B6051" s="2" t="s">
        <v>15266</v>
      </c>
      <c r="C6051" s="2" t="s">
        <v>26</v>
      </c>
      <c r="D6051" s="2" t="s">
        <v>27</v>
      </c>
      <c r="E6051" s="4">
        <v>-31938</v>
      </c>
      <c r="F6051" s="3" t="s">
        <v>324</v>
      </c>
      <c r="G6051" s="3" t="s">
        <v>404</v>
      </c>
      <c r="H6051" s="2" t="s">
        <v>21</v>
      </c>
      <c r="I6051" s="2" t="s">
        <v>15268</v>
      </c>
      <c r="J6051" s="3" t="str">
        <f>HYPERLINK("https://www.boe.es/gazeta/dias/1812/07/21/pdfs/GMD-1812-203.pdf#page=4","Abrir facsímil")</f>
        <v>Abrir facsímil</v>
      </c>
      <c r="K6051" s="3" t="s">
        <v>23</v>
      </c>
    </row>
    <row r="6052" spans="1:11" ht="42" customHeight="1">
      <c r="A6052" s="2" t="s">
        <v>15269</v>
      </c>
      <c r="B6052" s="2" t="s">
        <v>15270</v>
      </c>
      <c r="C6052" s="2" t="s">
        <v>17</v>
      </c>
      <c r="D6052" s="2" t="s">
        <v>27</v>
      </c>
      <c r="E6052" s="4">
        <v>-32078</v>
      </c>
      <c r="F6052" s="3" t="s">
        <v>145</v>
      </c>
      <c r="G6052" s="3" t="s">
        <v>366</v>
      </c>
      <c r="H6052" s="2" t="s">
        <v>21</v>
      </c>
      <c r="I6052" s="2" t="s">
        <v>15271</v>
      </c>
      <c r="J6052" s="3" t="str">
        <f>HYPERLINK("https://www.boe.es/gazeta/dias/1812/03/03/pdfs/GRE-1812-28.pdf#page=6","Abrir facsímil")</f>
        <v>Abrir facsímil</v>
      </c>
      <c r="K6052" s="3" t="s">
        <v>23</v>
      </c>
    </row>
    <row r="6053" spans="1:11" ht="42" customHeight="1">
      <c r="A6053" s="2" t="s">
        <v>15272</v>
      </c>
      <c r="B6053" s="2" t="s">
        <v>15273</v>
      </c>
      <c r="C6053" s="2" t="s">
        <v>26</v>
      </c>
      <c r="D6053" s="2" t="s">
        <v>27</v>
      </c>
      <c r="E6053" s="4">
        <v>-31922</v>
      </c>
      <c r="F6053" s="3" t="s">
        <v>622</v>
      </c>
      <c r="G6053" s="3" t="s">
        <v>623</v>
      </c>
      <c r="H6053" s="2" t="s">
        <v>21</v>
      </c>
      <c r="I6053" s="2" t="s">
        <v>15274</v>
      </c>
      <c r="J6053" s="3" t="str">
        <f>HYPERLINK("https://www.boe.es/gazeta/dias/1812/08/06/pdfs/GMD-1812-219.pdf#page=1","Abrir facsímil")</f>
        <v>Abrir facsímil</v>
      </c>
      <c r="K6053" s="3" t="s">
        <v>23</v>
      </c>
    </row>
    <row r="6054" spans="1:11" ht="42" customHeight="1">
      <c r="A6054" s="2" t="s">
        <v>15275</v>
      </c>
      <c r="B6054" s="2" t="s">
        <v>15276</v>
      </c>
      <c r="C6054" s="2" t="s">
        <v>17</v>
      </c>
      <c r="D6054" s="2" t="s">
        <v>27</v>
      </c>
      <c r="E6054" s="4">
        <v>-31908</v>
      </c>
      <c r="F6054" s="3" t="s">
        <v>835</v>
      </c>
      <c r="G6054" s="3" t="s">
        <v>836</v>
      </c>
      <c r="H6054" s="2" t="s">
        <v>21</v>
      </c>
      <c r="I6054" s="2" t="s">
        <v>15277</v>
      </c>
      <c r="J6054" s="3" t="str">
        <f>HYPERLINK("https://www.boe.es/gazeta/dias/1812/08/20/pdfs/GRE-1812-107.pdf#page=4","Abrir facsímil")</f>
        <v>Abrir facsímil</v>
      </c>
      <c r="K6054" s="3" t="s">
        <v>23</v>
      </c>
    </row>
    <row r="6055" spans="1:11" ht="42" customHeight="1">
      <c r="A6055" s="2" t="s">
        <v>15278</v>
      </c>
      <c r="B6055" s="2" t="s">
        <v>15279</v>
      </c>
      <c r="C6055" s="2" t="s">
        <v>26</v>
      </c>
      <c r="D6055" s="2" t="s">
        <v>27</v>
      </c>
      <c r="E6055" s="4">
        <v>-31938</v>
      </c>
      <c r="F6055" s="3" t="s">
        <v>324</v>
      </c>
      <c r="G6055" s="3" t="s">
        <v>237</v>
      </c>
      <c r="H6055" s="2" t="s">
        <v>21</v>
      </c>
      <c r="I6055" s="2" t="s">
        <v>15280</v>
      </c>
      <c r="J6055" s="3" t="str">
        <f>HYPERLINK("https://www.boe.es/gazeta/dias/1812/07/21/pdfs/GMD-1812-203.pdf#page=2","Abrir facsímil")</f>
        <v>Abrir facsímil</v>
      </c>
      <c r="K6055" s="3" t="s">
        <v>23</v>
      </c>
    </row>
    <row r="6056" spans="1:11" ht="42" customHeight="1">
      <c r="A6056" s="2" t="s">
        <v>15281</v>
      </c>
      <c r="B6056" s="2" t="s">
        <v>15282</v>
      </c>
      <c r="C6056" s="2" t="s">
        <v>186</v>
      </c>
      <c r="D6056" s="2" t="s">
        <v>275</v>
      </c>
      <c r="E6056" s="4">
        <v>-32081</v>
      </c>
      <c r="F6056" s="3" t="s">
        <v>232</v>
      </c>
      <c r="G6056" s="3" t="s">
        <v>233</v>
      </c>
      <c r="H6056" s="2" t="s">
        <v>21</v>
      </c>
      <c r="I6056" s="2" t="s">
        <v>15283</v>
      </c>
      <c r="J6056" s="3" t="str">
        <f>HYPERLINK("https://www.boe.es/gazeta/dias/1812/02/29/pdfs/GRE-1812-27.pdf#page=8","Abrir facsímil")</f>
        <v>Abrir facsímil</v>
      </c>
      <c r="K6056" s="3" t="s">
        <v>23</v>
      </c>
    </row>
    <row r="6057" spans="1:11" ht="42" customHeight="1">
      <c r="A6057" s="2" t="s">
        <v>15284</v>
      </c>
      <c r="B6057" s="2" t="s">
        <v>15285</v>
      </c>
      <c r="C6057" s="2" t="s">
        <v>17</v>
      </c>
      <c r="D6057" s="2" t="s">
        <v>275</v>
      </c>
      <c r="E6057" s="4">
        <v>-32069</v>
      </c>
      <c r="F6057" s="3" t="s">
        <v>445</v>
      </c>
      <c r="G6057" s="3" t="s">
        <v>446</v>
      </c>
      <c r="H6057" s="2" t="s">
        <v>21</v>
      </c>
      <c r="I6057" s="2" t="s">
        <v>15286</v>
      </c>
      <c r="J6057" s="3" t="str">
        <f>HYPERLINK("https://www.boe.es/gazeta/dias/1812/03/12/pdfs/GRE-1812-32.pdf#page=8","Abrir facsímil")</f>
        <v>Abrir facsímil</v>
      </c>
      <c r="K6057" s="3" t="s">
        <v>23</v>
      </c>
    </row>
    <row r="6058" spans="1:11" ht="42" customHeight="1">
      <c r="A6058" s="2" t="s">
        <v>15287</v>
      </c>
      <c r="B6058" s="2" t="s">
        <v>15288</v>
      </c>
      <c r="C6058" s="2" t="s">
        <v>26</v>
      </c>
      <c r="D6058" s="2" t="s">
        <v>27</v>
      </c>
      <c r="E6058" s="4">
        <v>-32011</v>
      </c>
      <c r="F6058" s="3" t="s">
        <v>1656</v>
      </c>
      <c r="G6058" s="3" t="s">
        <v>777</v>
      </c>
      <c r="H6058" s="2" t="s">
        <v>21</v>
      </c>
      <c r="I6058" s="2" t="s">
        <v>15289</v>
      </c>
      <c r="J6058" s="3" t="str">
        <f>HYPERLINK("https://www.boe.es/gazeta/dias/1812/05/09/pdfs/GMD-1812-130.pdf#page=2","Abrir facsímil")</f>
        <v>Abrir facsímil</v>
      </c>
      <c r="K6058" s="3" t="s">
        <v>23</v>
      </c>
    </row>
    <row r="6059" spans="1:11" ht="42" customHeight="1">
      <c r="A6059" s="2" t="s">
        <v>15290</v>
      </c>
      <c r="B6059" s="2" t="s">
        <v>15291</v>
      </c>
      <c r="C6059" s="2" t="s">
        <v>26</v>
      </c>
      <c r="D6059" s="2" t="s">
        <v>27</v>
      </c>
      <c r="E6059" s="4">
        <v>-32134</v>
      </c>
      <c r="F6059" s="3" t="s">
        <v>50</v>
      </c>
      <c r="G6059" s="3" t="s">
        <v>233</v>
      </c>
      <c r="H6059" s="2" t="s">
        <v>21</v>
      </c>
      <c r="I6059" s="2" t="s">
        <v>15292</v>
      </c>
      <c r="J6059" s="3" t="str">
        <f>HYPERLINK("https://www.boe.es/gazeta/dias/1812/01/07/pdfs/GEI-1812-3.pdf#page=8","Abrir facsímil")</f>
        <v>Abrir facsímil</v>
      </c>
      <c r="K6059" s="3" t="s">
        <v>23</v>
      </c>
    </row>
    <row r="6060" spans="1:11" ht="42" customHeight="1">
      <c r="A6060" s="2" t="s">
        <v>15293</v>
      </c>
      <c r="B6060" s="2" t="s">
        <v>15294</v>
      </c>
      <c r="C6060" s="2" t="s">
        <v>26</v>
      </c>
      <c r="D6060" s="2" t="s">
        <v>27</v>
      </c>
      <c r="E6060" s="4">
        <v>-32067</v>
      </c>
      <c r="F6060" s="3" t="s">
        <v>199</v>
      </c>
      <c r="G6060" s="3" t="s">
        <v>3583</v>
      </c>
      <c r="H6060" s="2" t="s">
        <v>21</v>
      </c>
      <c r="I6060" s="2" t="s">
        <v>15295</v>
      </c>
      <c r="J6060" s="3" t="str">
        <f>HYPERLINK("https://www.boe.es/gazeta/dias/1812/03/14/pdfs/GRE-1812-33.pdf#page=4","Abrir facsímil")</f>
        <v>Abrir facsímil</v>
      </c>
      <c r="K6060" s="3" t="s">
        <v>23</v>
      </c>
    </row>
    <row r="6061" spans="1:11" ht="42" customHeight="1">
      <c r="A6061" s="2" t="s">
        <v>15296</v>
      </c>
      <c r="B6061" s="2" t="s">
        <v>15297</v>
      </c>
      <c r="C6061" s="2" t="s">
        <v>49</v>
      </c>
      <c r="D6061" s="2" t="s">
        <v>27</v>
      </c>
      <c r="E6061" s="4">
        <v>-32013</v>
      </c>
      <c r="F6061" s="3" t="s">
        <v>15298</v>
      </c>
      <c r="G6061" s="3" t="s">
        <v>2895</v>
      </c>
      <c r="H6061" s="2" t="s">
        <v>21</v>
      </c>
      <c r="I6061" s="2" t="s">
        <v>15299</v>
      </c>
      <c r="J6061" s="3" t="str">
        <f>HYPERLINK("https://www.boe.es/gazeta/dias/1812/05/07/pdfs/GMD-1812-128.pdf#page=4","Abrir facsímil")</f>
        <v>Abrir facsímil</v>
      </c>
      <c r="K6061" s="3" t="s">
        <v>23</v>
      </c>
    </row>
    <row r="6062" spans="1:11" ht="42" customHeight="1">
      <c r="A6062" s="2" t="s">
        <v>15296</v>
      </c>
      <c r="B6062" s="2" t="s">
        <v>15297</v>
      </c>
      <c r="C6062" s="2" t="s">
        <v>26</v>
      </c>
      <c r="D6062" s="2" t="s">
        <v>27</v>
      </c>
      <c r="E6062" s="4">
        <v>-31993</v>
      </c>
      <c r="F6062" s="3" t="s">
        <v>10410</v>
      </c>
      <c r="G6062" s="3" t="s">
        <v>237</v>
      </c>
      <c r="H6062" s="2" t="s">
        <v>21</v>
      </c>
      <c r="I6062" s="2" t="s">
        <v>15300</v>
      </c>
      <c r="J6062" s="3" t="str">
        <f>HYPERLINK("https://www.boe.es/gazeta/dias/1812/05/27/pdfs/GMD-1812-148.pdf#page=3","Abrir facsímil")</f>
        <v>Abrir facsímil</v>
      </c>
      <c r="K6062" s="3" t="s">
        <v>23</v>
      </c>
    </row>
    <row r="6063" spans="1:11" ht="42" customHeight="1">
      <c r="A6063" s="2" t="s">
        <v>15301</v>
      </c>
      <c r="B6063" s="2" t="s">
        <v>15302</v>
      </c>
      <c r="C6063" s="2" t="s">
        <v>105</v>
      </c>
      <c r="D6063" s="2" t="s">
        <v>27</v>
      </c>
      <c r="E6063" s="4">
        <v>-31940</v>
      </c>
      <c r="F6063" s="3" t="s">
        <v>187</v>
      </c>
      <c r="G6063" s="3" t="s">
        <v>404</v>
      </c>
      <c r="H6063" s="2" t="s">
        <v>21</v>
      </c>
      <c r="I6063" s="2" t="s">
        <v>15303</v>
      </c>
      <c r="J6063" s="3" t="str">
        <f>HYPERLINK("https://www.boe.es/gazeta/dias/1812/07/19/pdfs/GMD-1812-201.pdf#page=4","Abrir facsímil")</f>
        <v>Abrir facsímil</v>
      </c>
      <c r="K6063" s="3" t="s">
        <v>23</v>
      </c>
    </row>
    <row r="6064" spans="1:11" ht="42" customHeight="1">
      <c r="A6064" s="2" t="s">
        <v>15304</v>
      </c>
      <c r="B6064" s="2" t="s">
        <v>15305</v>
      </c>
      <c r="C6064" s="2" t="s">
        <v>26</v>
      </c>
      <c r="D6064" s="2" t="s">
        <v>27</v>
      </c>
      <c r="E6064" s="4">
        <v>-32095</v>
      </c>
      <c r="F6064" s="3" t="s">
        <v>1099</v>
      </c>
      <c r="G6064" s="3" t="s">
        <v>438</v>
      </c>
      <c r="H6064" s="2" t="s">
        <v>21</v>
      </c>
      <c r="I6064" s="2" t="s">
        <v>15306</v>
      </c>
      <c r="J6064" s="3" t="str">
        <f>HYPERLINK("https://www.boe.es/gazeta/dias/1812/02/15/pdfs/GMD-1812-46.pdf#page=4","Abrir facsímil")</f>
        <v>Abrir facsímil</v>
      </c>
      <c r="K6064" s="3" t="s">
        <v>23</v>
      </c>
    </row>
    <row r="6065" spans="1:11" ht="42" customHeight="1">
      <c r="A6065" s="2" t="s">
        <v>15307</v>
      </c>
      <c r="B6065" s="2" t="s">
        <v>15308</v>
      </c>
      <c r="C6065" s="2" t="s">
        <v>17</v>
      </c>
      <c r="D6065" s="2" t="s">
        <v>18</v>
      </c>
      <c r="E6065" s="4">
        <v>-32069</v>
      </c>
      <c r="F6065" s="3" t="s">
        <v>445</v>
      </c>
      <c r="G6065" s="3" t="s">
        <v>446</v>
      </c>
      <c r="H6065" s="2" t="s">
        <v>21</v>
      </c>
      <c r="I6065" s="2" t="s">
        <v>15309</v>
      </c>
      <c r="J6065" s="3" t="str">
        <f>HYPERLINK("https://www.boe.es/gazeta/dias/1812/03/12/pdfs/GRE-1812-32.pdf#page=8","Abrir facsímil")</f>
        <v>Abrir facsímil</v>
      </c>
      <c r="K6065" s="3" t="s">
        <v>23</v>
      </c>
    </row>
    <row r="6066" spans="1:11" ht="42" customHeight="1">
      <c r="A6066" s="2" t="s">
        <v>15310</v>
      </c>
      <c r="B6066" s="2" t="s">
        <v>15311</v>
      </c>
      <c r="C6066" s="2" t="s">
        <v>26</v>
      </c>
      <c r="D6066" s="2" t="s">
        <v>27</v>
      </c>
      <c r="E6066" s="4">
        <v>-31980</v>
      </c>
      <c r="F6066" s="3" t="s">
        <v>40</v>
      </c>
      <c r="G6066" s="3" t="s">
        <v>41</v>
      </c>
      <c r="H6066" s="2" t="s">
        <v>21</v>
      </c>
      <c r="I6066" s="2" t="s">
        <v>15312</v>
      </c>
      <c r="J6066" s="3" t="str">
        <f>HYPERLINK("https://www.boe.es/gazeta/dias/1812/06/09/pdfs/GRE-1812-71.pdf#page=6","Abrir facsímil")</f>
        <v>Abrir facsímil</v>
      </c>
      <c r="K6066" s="3" t="s">
        <v>23</v>
      </c>
    </row>
    <row r="6067" spans="1:11" ht="42" customHeight="1">
      <c r="A6067" s="2" t="s">
        <v>15313</v>
      </c>
      <c r="B6067" s="2" t="s">
        <v>15314</v>
      </c>
      <c r="C6067" s="2" t="s">
        <v>26</v>
      </c>
      <c r="D6067" s="2" t="s">
        <v>27</v>
      </c>
      <c r="E6067" s="4">
        <v>-32015</v>
      </c>
      <c r="F6067" s="3" t="s">
        <v>77</v>
      </c>
      <c r="G6067" s="3" t="s">
        <v>204</v>
      </c>
      <c r="H6067" s="2" t="s">
        <v>21</v>
      </c>
      <c r="I6067" s="2" t="s">
        <v>15315</v>
      </c>
      <c r="J6067" s="3" t="str">
        <f>HYPERLINK("https://www.boe.es/gazeta/dias/1812/05/05/pdfs/GRE-1812-56.pdf#page=3","Abrir facsímil")</f>
        <v>Abrir facsímil</v>
      </c>
      <c r="K6067" s="3" t="s">
        <v>23</v>
      </c>
    </row>
    <row r="6068" spans="1:11" ht="42" customHeight="1">
      <c r="A6068" s="2" t="s">
        <v>15316</v>
      </c>
      <c r="B6068" s="2" t="s">
        <v>15316</v>
      </c>
      <c r="C6068" s="2" t="s">
        <v>17</v>
      </c>
      <c r="D6068" s="2" t="s">
        <v>27</v>
      </c>
      <c r="E6068" s="4">
        <v>-31819</v>
      </c>
      <c r="F6068" s="3" t="s">
        <v>1770</v>
      </c>
      <c r="G6068" s="3" t="s">
        <v>1771</v>
      </c>
      <c r="H6068" s="2" t="s">
        <v>21</v>
      </c>
      <c r="I6068" s="2" t="s">
        <v>15317</v>
      </c>
      <c r="J6068" s="3" t="str">
        <f>HYPERLINK("https://www.boe.es/gazeta/dias/1812/11/17/pdfs/GRE-1812-153.pdf#page=4","Abrir facsímil")</f>
        <v>Abrir facsímil</v>
      </c>
      <c r="K6068" s="3" t="s">
        <v>23</v>
      </c>
    </row>
    <row r="6069" spans="1:11" ht="42" customHeight="1">
      <c r="A6069" s="2" t="s">
        <v>15318</v>
      </c>
      <c r="B6069" s="2" t="s">
        <v>15319</v>
      </c>
      <c r="C6069" s="2" t="s">
        <v>17</v>
      </c>
      <c r="D6069" s="2" t="s">
        <v>27</v>
      </c>
      <c r="E6069" s="4">
        <v>-31922</v>
      </c>
      <c r="F6069" s="3" t="s">
        <v>375</v>
      </c>
      <c r="G6069" s="3" t="s">
        <v>376</v>
      </c>
      <c r="H6069" s="2" t="s">
        <v>21</v>
      </c>
      <c r="I6069" s="2" t="s">
        <v>15320</v>
      </c>
      <c r="J6069" s="3" t="str">
        <f>HYPERLINK("https://www.boe.es/gazeta/dias/1812/08/06/pdfs/GRE-1812-100.pdf#page=7","Abrir facsímil")</f>
        <v>Abrir facsímil</v>
      </c>
      <c r="K6069" s="3" t="s">
        <v>23</v>
      </c>
    </row>
    <row r="6070" spans="1:11" ht="42" customHeight="1">
      <c r="A6070" s="2" t="s">
        <v>15321</v>
      </c>
      <c r="B6070" s="2" t="s">
        <v>15321</v>
      </c>
      <c r="C6070" s="2" t="s">
        <v>17</v>
      </c>
      <c r="D6070" s="2" t="s">
        <v>18</v>
      </c>
      <c r="E6070" s="4">
        <v>-31980</v>
      </c>
      <c r="F6070" s="3" t="s">
        <v>40</v>
      </c>
      <c r="G6070" s="3" t="s">
        <v>1813</v>
      </c>
      <c r="H6070" s="2" t="s">
        <v>21</v>
      </c>
      <c r="I6070" s="2" t="s">
        <v>15322</v>
      </c>
      <c r="J6070" s="3" t="str">
        <f>HYPERLINK("https://www.boe.es/gazeta/dias/1812/06/09/pdfs/GRE-1812-71.pdf#page=2","Abrir facsímil")</f>
        <v>Abrir facsímil</v>
      </c>
      <c r="K6070" s="3" t="s">
        <v>23</v>
      </c>
    </row>
    <row r="6071" spans="1:11" ht="42" customHeight="1">
      <c r="A6071" s="2" t="s">
        <v>15323</v>
      </c>
      <c r="B6071" s="2" t="s">
        <v>15324</v>
      </c>
      <c r="C6071" s="2" t="s">
        <v>26</v>
      </c>
      <c r="D6071" s="2" t="s">
        <v>275</v>
      </c>
      <c r="E6071" s="4">
        <v>-31940</v>
      </c>
      <c r="F6071" s="3" t="s">
        <v>187</v>
      </c>
      <c r="G6071" s="3" t="s">
        <v>45</v>
      </c>
      <c r="H6071" s="2" t="s">
        <v>21</v>
      </c>
      <c r="I6071" s="2" t="s">
        <v>15325</v>
      </c>
      <c r="J6071" s="3" t="str">
        <f>HYPERLINK("https://www.boe.es/gazeta/dias/1812/07/19/pdfs/GMD-1812-201.pdf#page=2","Abrir facsímil")</f>
        <v>Abrir facsímil</v>
      </c>
      <c r="K6071" s="3" t="s">
        <v>23</v>
      </c>
    </row>
    <row r="6072" spans="1:11" ht="42" customHeight="1">
      <c r="A6072" s="2" t="s">
        <v>15326</v>
      </c>
      <c r="B6072" s="2" t="s">
        <v>15327</v>
      </c>
      <c r="C6072" s="2" t="s">
        <v>26</v>
      </c>
      <c r="D6072" s="2" t="s">
        <v>27</v>
      </c>
      <c r="E6072" s="4">
        <v>-32034</v>
      </c>
      <c r="F6072" s="3" t="s">
        <v>28</v>
      </c>
      <c r="G6072" s="3" t="s">
        <v>20</v>
      </c>
      <c r="H6072" s="2" t="s">
        <v>21</v>
      </c>
      <c r="I6072" s="2" t="s">
        <v>15328</v>
      </c>
      <c r="J6072" s="3" t="str">
        <f>HYPERLINK("https://www.boe.es/gazeta/dias/1812/04/16/pdfs/GMD-1812-107.pdf#page=3","Abrir facsímil")</f>
        <v>Abrir facsímil</v>
      </c>
      <c r="K6072" s="3" t="s">
        <v>23</v>
      </c>
    </row>
    <row r="6073" spans="1:11" ht="42" customHeight="1">
      <c r="A6073" s="2" t="s">
        <v>15329</v>
      </c>
      <c r="B6073" s="2" t="s">
        <v>15330</v>
      </c>
      <c r="C6073" s="2" t="s">
        <v>17</v>
      </c>
      <c r="D6073" s="2" t="s">
        <v>18</v>
      </c>
      <c r="E6073" s="4">
        <v>-31838</v>
      </c>
      <c r="F6073" s="3" t="s">
        <v>1960</v>
      </c>
      <c r="G6073" s="3" t="s">
        <v>196</v>
      </c>
      <c r="H6073" s="2" t="s">
        <v>21</v>
      </c>
      <c r="I6073" s="2" t="s">
        <v>15331</v>
      </c>
      <c r="J6073" s="3" t="str">
        <f>HYPERLINK("https://www.boe.es/gazeta/dias/1812/10/29/pdfs/GRE-1812-145.pdf#page=8","Abrir facsímil")</f>
        <v>Abrir facsímil</v>
      </c>
      <c r="K6073" s="3" t="s">
        <v>23</v>
      </c>
    </row>
    <row r="6074" spans="1:11" ht="42" customHeight="1">
      <c r="A6074" s="2" t="s">
        <v>15332</v>
      </c>
      <c r="B6074" s="2" t="s">
        <v>15332</v>
      </c>
      <c r="C6074" s="2" t="s">
        <v>26</v>
      </c>
      <c r="D6074" s="2" t="s">
        <v>27</v>
      </c>
      <c r="E6074" s="4">
        <v>-32104</v>
      </c>
      <c r="F6074" s="3" t="s">
        <v>753</v>
      </c>
      <c r="G6074" s="3" t="s">
        <v>739</v>
      </c>
      <c r="H6074" s="2" t="s">
        <v>21</v>
      </c>
      <c r="I6074" s="2" t="s">
        <v>15333</v>
      </c>
      <c r="J6074" s="3" t="str">
        <f>HYPERLINK("https://www.boe.es/gazeta/dias/1812/02/06/pdfs/GMD-1812-37.pdf#page=3","Abrir facsímil")</f>
        <v>Abrir facsímil</v>
      </c>
      <c r="K6074" s="3" t="s">
        <v>23</v>
      </c>
    </row>
    <row r="6075" spans="1:11" ht="42" customHeight="1">
      <c r="A6075" s="2" t="s">
        <v>15334</v>
      </c>
      <c r="B6075" s="2" t="s">
        <v>15334</v>
      </c>
      <c r="C6075" s="2" t="s">
        <v>17</v>
      </c>
      <c r="D6075" s="2" t="s">
        <v>18</v>
      </c>
      <c r="E6075" s="4">
        <v>-32119</v>
      </c>
      <c r="F6075" s="3" t="s">
        <v>11903</v>
      </c>
      <c r="G6075" s="3" t="s">
        <v>404</v>
      </c>
      <c r="H6075" s="2" t="s">
        <v>21</v>
      </c>
      <c r="I6075" s="2" t="s">
        <v>15335</v>
      </c>
      <c r="J6075" s="3" t="str">
        <f>HYPERLINK("https://www.boe.es/gazeta/dias/1812/01/22/pdfs/GMD-1812-22.pdf#page=2","Abrir facsímil")</f>
        <v>Abrir facsímil</v>
      </c>
      <c r="K6075" s="3" t="s">
        <v>23</v>
      </c>
    </row>
    <row r="6076" spans="1:11" ht="42" customHeight="1">
      <c r="A6076" s="2" t="s">
        <v>15336</v>
      </c>
      <c r="B6076" s="2" t="s">
        <v>15336</v>
      </c>
      <c r="C6076" s="2" t="s">
        <v>186</v>
      </c>
      <c r="D6076" s="2" t="s">
        <v>27</v>
      </c>
      <c r="E6076" s="4">
        <v>-31784</v>
      </c>
      <c r="F6076" s="3" t="s">
        <v>6524</v>
      </c>
      <c r="G6076" s="3" t="s">
        <v>336</v>
      </c>
      <c r="H6076" s="2" t="s">
        <v>21</v>
      </c>
      <c r="I6076" s="2" t="s">
        <v>15337</v>
      </c>
      <c r="J6076" s="3" t="str">
        <f>HYPERLINK("https://www.boe.es/gazeta/dias/1812/12/22/pdfs/GRE-1812-168.pdf#page=6","Abrir facsímil")</f>
        <v>Abrir facsímil</v>
      </c>
      <c r="K6076" s="3" t="s">
        <v>23</v>
      </c>
    </row>
    <row r="6077" spans="1:11" ht="42" customHeight="1">
      <c r="A6077" s="2" t="s">
        <v>15338</v>
      </c>
      <c r="B6077" s="2" t="s">
        <v>15338</v>
      </c>
      <c r="C6077" s="2" t="s">
        <v>17</v>
      </c>
      <c r="D6077" s="2" t="s">
        <v>27</v>
      </c>
      <c r="E6077" s="4">
        <v>-31899</v>
      </c>
      <c r="F6077" s="3" t="s">
        <v>1396</v>
      </c>
      <c r="G6077" s="3" t="s">
        <v>1805</v>
      </c>
      <c r="H6077" s="2" t="s">
        <v>21</v>
      </c>
      <c r="I6077" s="2" t="s">
        <v>15339</v>
      </c>
      <c r="J6077" s="3" t="str">
        <f>HYPERLINK("https://www.boe.es/gazeta/dias/1812/08/29/pdfs/GMR-1812-7.pdf#page=1","Abrir facsímil")</f>
        <v>Abrir facsímil</v>
      </c>
      <c r="K6077" s="3" t="s">
        <v>23</v>
      </c>
    </row>
    <row r="6078" spans="1:11" ht="42" customHeight="1">
      <c r="A6078" s="2" t="s">
        <v>15340</v>
      </c>
      <c r="B6078" s="2" t="s">
        <v>15340</v>
      </c>
      <c r="C6078" s="2" t="s">
        <v>26</v>
      </c>
      <c r="D6078" s="2" t="s">
        <v>27</v>
      </c>
      <c r="E6078" s="4">
        <v>-32076</v>
      </c>
      <c r="F6078" s="3" t="s">
        <v>2486</v>
      </c>
      <c r="G6078" s="3" t="s">
        <v>688</v>
      </c>
      <c r="H6078" s="2" t="s">
        <v>21</v>
      </c>
      <c r="I6078" s="2" t="s">
        <v>15341</v>
      </c>
      <c r="J6078" s="3" t="str">
        <f>HYPERLINK("https://www.boe.es/gazeta/dias/1812/03/05/pdfs/GRE-1812-29.pdf#page=4","Abrir facsímil")</f>
        <v>Abrir facsímil</v>
      </c>
      <c r="K6078" s="3" t="s">
        <v>23</v>
      </c>
    </row>
    <row r="6079" spans="1:11" ht="42" customHeight="1">
      <c r="A6079" s="2" t="s">
        <v>15342</v>
      </c>
      <c r="B6079" s="2" t="s">
        <v>15342</v>
      </c>
      <c r="C6079" s="2" t="s">
        <v>105</v>
      </c>
      <c r="D6079" s="2" t="s">
        <v>27</v>
      </c>
      <c r="E6079" s="4">
        <v>-32132</v>
      </c>
      <c r="F6079" s="3" t="s">
        <v>441</v>
      </c>
      <c r="G6079" s="3" t="s">
        <v>125</v>
      </c>
      <c r="H6079" s="2" t="s">
        <v>21</v>
      </c>
      <c r="I6079" s="2" t="s">
        <v>15343</v>
      </c>
      <c r="J6079" s="3" t="str">
        <f>HYPERLINK("https://www.boe.es/gazeta/dias/1812/01/09/pdfs/GMD-1812-9.pdf#page=3","Abrir facsímil")</f>
        <v>Abrir facsímil</v>
      </c>
      <c r="K6079" s="3" t="s">
        <v>23</v>
      </c>
    </row>
    <row r="6080" spans="1:11" ht="42" customHeight="1">
      <c r="A6080" s="2" t="s">
        <v>15342</v>
      </c>
      <c r="B6080" s="2" t="s">
        <v>15342</v>
      </c>
      <c r="C6080" s="2" t="s">
        <v>105</v>
      </c>
      <c r="D6080" s="2" t="s">
        <v>194</v>
      </c>
      <c r="E6080" s="4">
        <v>-31782</v>
      </c>
      <c r="F6080" s="3" t="s">
        <v>860</v>
      </c>
      <c r="G6080" s="3" t="s">
        <v>15344</v>
      </c>
      <c r="H6080" s="2" t="s">
        <v>21</v>
      </c>
      <c r="I6080" s="2" t="s">
        <v>15345</v>
      </c>
      <c r="J6080" s="3" t="str">
        <f>HYPERLINK("https://www.boe.es/gazeta/dias/1812/12/24/pdfs/GRE-1812-169.pdf#page=6","Abrir facsímil")</f>
        <v>Abrir facsímil</v>
      </c>
      <c r="K6080" s="3" t="s">
        <v>23</v>
      </c>
    </row>
    <row r="6081" spans="1:11" ht="42" customHeight="1">
      <c r="A6081" s="2" t="s">
        <v>15346</v>
      </c>
      <c r="B6081" s="2" t="s">
        <v>15346</v>
      </c>
      <c r="C6081" s="2" t="s">
        <v>17</v>
      </c>
      <c r="D6081" s="2" t="s">
        <v>18</v>
      </c>
      <c r="E6081" s="4">
        <v>-32063</v>
      </c>
      <c r="F6081" s="3" t="s">
        <v>384</v>
      </c>
      <c r="G6081" s="3" t="s">
        <v>20</v>
      </c>
      <c r="H6081" s="2" t="s">
        <v>21</v>
      </c>
      <c r="I6081" s="2" t="s">
        <v>15347</v>
      </c>
      <c r="J6081" s="3" t="str">
        <f>HYPERLINK("https://www.boe.es/gazeta/dias/1812/03/18/pdfs/GMD-1812-78.pdf#page=4","Abrir facsímil")</f>
        <v>Abrir facsímil</v>
      </c>
      <c r="K6081" s="3" t="s">
        <v>23</v>
      </c>
    </row>
    <row r="6082" spans="1:11" ht="42" customHeight="1">
      <c r="A6082" s="2" t="s">
        <v>15346</v>
      </c>
      <c r="B6082" s="2" t="s">
        <v>15346</v>
      </c>
      <c r="C6082" s="2" t="s">
        <v>17</v>
      </c>
      <c r="D6082" s="2" t="s">
        <v>27</v>
      </c>
      <c r="E6082" s="4">
        <v>-32025</v>
      </c>
      <c r="F6082" s="3" t="s">
        <v>2323</v>
      </c>
      <c r="G6082" s="3" t="s">
        <v>125</v>
      </c>
      <c r="H6082" s="2" t="s">
        <v>21</v>
      </c>
      <c r="I6082" s="2" t="s">
        <v>15348</v>
      </c>
      <c r="J6082" s="3" t="str">
        <f>HYPERLINK("https://www.boe.es/gazeta/dias/1812/04/25/pdfs/GRE-1812-52.pdf#page=7","Abrir facsímil")</f>
        <v>Abrir facsímil</v>
      </c>
      <c r="K6082" s="3" t="s">
        <v>23</v>
      </c>
    </row>
    <row r="6083" spans="1:11" ht="42" customHeight="1">
      <c r="A6083" s="2" t="s">
        <v>15346</v>
      </c>
      <c r="B6083" s="2" t="s">
        <v>15346</v>
      </c>
      <c r="C6083" s="2" t="s">
        <v>26</v>
      </c>
      <c r="D6083" s="2" t="s">
        <v>27</v>
      </c>
      <c r="E6083" s="4">
        <v>-31889</v>
      </c>
      <c r="F6083" s="3" t="s">
        <v>424</v>
      </c>
      <c r="G6083" s="3" t="s">
        <v>6808</v>
      </c>
      <c r="H6083" s="2" t="s">
        <v>21</v>
      </c>
      <c r="I6083" s="2" t="s">
        <v>15349</v>
      </c>
      <c r="J6083" s="3" t="str">
        <f>HYPERLINK("https://www.boe.es/gazeta/dias/1812/09/08/pdfs/GRE-1812-121.pdf#page=7","Abrir facsímil")</f>
        <v>Abrir facsímil</v>
      </c>
      <c r="K6083" s="3" t="s">
        <v>23</v>
      </c>
    </row>
    <row r="6084" spans="1:11" ht="42" customHeight="1">
      <c r="A6084" s="2" t="s">
        <v>15346</v>
      </c>
      <c r="B6084" s="2" t="s">
        <v>15346</v>
      </c>
      <c r="C6084" s="2" t="s">
        <v>26</v>
      </c>
      <c r="D6084" s="2" t="s">
        <v>27</v>
      </c>
      <c r="E6084" s="4">
        <v>-31780</v>
      </c>
      <c r="F6084" s="3" t="s">
        <v>3317</v>
      </c>
      <c r="G6084" s="3" t="s">
        <v>58</v>
      </c>
      <c r="H6084" s="2" t="s">
        <v>21</v>
      </c>
      <c r="I6084" s="2" t="s">
        <v>15350</v>
      </c>
      <c r="J6084" s="3" t="str">
        <f>HYPERLINK("https://www.boe.es/gazeta/dias/1812/12/26/pdfs/GRE-1812-170.pdf#page=7","Abrir facsímil")</f>
        <v>Abrir facsímil</v>
      </c>
      <c r="K6084" s="3" t="s">
        <v>23</v>
      </c>
    </row>
    <row r="6085" spans="1:11" ht="42" customHeight="1">
      <c r="A6085" s="2" t="s">
        <v>15351</v>
      </c>
      <c r="B6085" s="2" t="s">
        <v>15352</v>
      </c>
      <c r="C6085" s="2" t="s">
        <v>26</v>
      </c>
      <c r="D6085" s="2" t="s">
        <v>27</v>
      </c>
      <c r="E6085" s="4">
        <v>-31969</v>
      </c>
      <c r="F6085" s="3" t="s">
        <v>83</v>
      </c>
      <c r="G6085" s="3" t="s">
        <v>84</v>
      </c>
      <c r="H6085" s="2" t="s">
        <v>21</v>
      </c>
      <c r="I6085" s="2" t="s">
        <v>15353</v>
      </c>
      <c r="J6085" s="3" t="str">
        <f>HYPERLINK("https://www.boe.es/gazeta/dias/1812/06/20/pdfs/GRE-1812-76.pdf#page=8","Abrir facsímil")</f>
        <v>Abrir facsímil</v>
      </c>
      <c r="K6085" s="3" t="s">
        <v>23</v>
      </c>
    </row>
    <row r="6086" spans="1:11" ht="42" customHeight="1">
      <c r="A6086" s="2" t="s">
        <v>15354</v>
      </c>
      <c r="B6086" s="2" t="s">
        <v>15355</v>
      </c>
      <c r="C6086" s="2" t="s">
        <v>115</v>
      </c>
      <c r="D6086" s="2" t="s">
        <v>27</v>
      </c>
      <c r="E6086" s="4">
        <v>-32019</v>
      </c>
      <c r="F6086" s="3" t="s">
        <v>476</v>
      </c>
      <c r="G6086" s="3" t="s">
        <v>404</v>
      </c>
      <c r="H6086" s="2" t="s">
        <v>21</v>
      </c>
      <c r="I6086" s="2" t="s">
        <v>15356</v>
      </c>
      <c r="J6086" s="3" t="str">
        <f>HYPERLINK("https://www.boe.es/gazeta/dias/1812/05/01/pdfs/GMD-1812-122.pdf#page=3","Abrir facsímil")</f>
        <v>Abrir facsímil</v>
      </c>
      <c r="K6086" s="3" t="s">
        <v>23</v>
      </c>
    </row>
    <row r="6087" spans="1:11" ht="42" customHeight="1">
      <c r="A6087" s="2" t="s">
        <v>15357</v>
      </c>
      <c r="B6087" s="2" t="s">
        <v>15358</v>
      </c>
      <c r="C6087" s="2" t="s">
        <v>26</v>
      </c>
      <c r="D6087" s="2" t="s">
        <v>27</v>
      </c>
      <c r="E6087" s="4">
        <v>-31840</v>
      </c>
      <c r="F6087" s="3" t="s">
        <v>2181</v>
      </c>
      <c r="G6087" s="3" t="s">
        <v>1799</v>
      </c>
      <c r="H6087" s="2" t="s">
        <v>21</v>
      </c>
      <c r="I6087" s="2" t="s">
        <v>15359</v>
      </c>
      <c r="J6087" s="3" t="str">
        <f>HYPERLINK("https://www.boe.es/gazeta/dias/1812/10/27/pdfs/GMR-1812-32.pdf#page=12","Abrir facsímil")</f>
        <v>Abrir facsímil</v>
      </c>
      <c r="K6087" s="3" t="s">
        <v>23</v>
      </c>
    </row>
    <row r="6088" spans="1:11" ht="42" customHeight="1">
      <c r="A6088" s="2" t="s">
        <v>15360</v>
      </c>
      <c r="B6088" s="2" t="s">
        <v>15361</v>
      </c>
      <c r="C6088" s="2" t="s">
        <v>17</v>
      </c>
      <c r="D6088" s="2" t="s">
        <v>27</v>
      </c>
      <c r="E6088" s="4">
        <v>-32101</v>
      </c>
      <c r="F6088" s="3" t="s">
        <v>228</v>
      </c>
      <c r="G6088" s="3" t="s">
        <v>58</v>
      </c>
      <c r="H6088" s="2" t="s">
        <v>21</v>
      </c>
      <c r="I6088" s="2" t="s">
        <v>15362</v>
      </c>
      <c r="J6088" s="3" t="str">
        <f>HYPERLINK("https://www.boe.es/gazeta/dias/1812/02/09/pdfs/GMD-1812-40.pdf#page=4","Abrir facsímil")</f>
        <v>Abrir facsímil</v>
      </c>
      <c r="K6088" s="3" t="s">
        <v>23</v>
      </c>
    </row>
    <row r="6089" spans="1:11" ht="42" customHeight="1">
      <c r="A6089" s="2" t="s">
        <v>15363</v>
      </c>
      <c r="B6089" s="2" t="s">
        <v>15364</v>
      </c>
      <c r="C6089" s="2" t="s">
        <v>26</v>
      </c>
      <c r="D6089" s="2" t="s">
        <v>27</v>
      </c>
      <c r="E6089" s="4">
        <v>-31880</v>
      </c>
      <c r="F6089" s="3" t="s">
        <v>3148</v>
      </c>
      <c r="G6089" s="3" t="s">
        <v>9266</v>
      </c>
      <c r="H6089" s="2" t="s">
        <v>21</v>
      </c>
      <c r="I6089" s="2" t="s">
        <v>15365</v>
      </c>
      <c r="J6089" s="3" t="str">
        <f>HYPERLINK("https://www.boe.es/gazeta/dias/1812/09/17/pdfs/GRE-1812-126.pdf#page=7","Abrir facsímil")</f>
        <v>Abrir facsímil</v>
      </c>
      <c r="K6089" s="3" t="s">
        <v>23</v>
      </c>
    </row>
    <row r="6090" spans="1:11" ht="42" customHeight="1">
      <c r="A6090" s="2" t="s">
        <v>15366</v>
      </c>
      <c r="B6090" s="2" t="s">
        <v>15367</v>
      </c>
      <c r="C6090" s="2" t="s">
        <v>26</v>
      </c>
      <c r="D6090" s="2" t="s">
        <v>27</v>
      </c>
      <c r="E6090" s="4">
        <v>-32034</v>
      </c>
      <c r="F6090" s="3" t="s">
        <v>28</v>
      </c>
      <c r="G6090" s="3" t="s">
        <v>45</v>
      </c>
      <c r="H6090" s="2" t="s">
        <v>21</v>
      </c>
      <c r="I6090" s="2" t="s">
        <v>15368</v>
      </c>
      <c r="J6090" s="3" t="str">
        <f>HYPERLINK("https://www.boe.es/gazeta/dias/1812/04/16/pdfs/GMD-1812-107.pdf#page=5","Abrir facsímil")</f>
        <v>Abrir facsímil</v>
      </c>
      <c r="K6090" s="3" t="s">
        <v>23</v>
      </c>
    </row>
    <row r="6091" spans="1:11" ht="42" customHeight="1">
      <c r="A6091" s="2" t="s">
        <v>15369</v>
      </c>
      <c r="B6091" s="2" t="s">
        <v>15370</v>
      </c>
      <c r="C6091" s="2" t="s">
        <v>26</v>
      </c>
      <c r="D6091" s="2" t="s">
        <v>27</v>
      </c>
      <c r="E6091" s="4">
        <v>-31938</v>
      </c>
      <c r="F6091" s="3" t="s">
        <v>324</v>
      </c>
      <c r="G6091" s="3" t="s">
        <v>404</v>
      </c>
      <c r="H6091" s="2" t="s">
        <v>21</v>
      </c>
      <c r="I6091" s="2" t="s">
        <v>15371</v>
      </c>
      <c r="J6091" s="3" t="str">
        <f>HYPERLINK("https://www.boe.es/gazeta/dias/1812/07/21/pdfs/GMD-1812-203.pdf#page=4","Abrir facsímil")</f>
        <v>Abrir facsímil</v>
      </c>
      <c r="K6091" s="3" t="s">
        <v>23</v>
      </c>
    </row>
    <row r="6092" spans="1:11" ht="42" customHeight="1">
      <c r="A6092" s="2" t="s">
        <v>15372</v>
      </c>
      <c r="B6092" s="2" t="s">
        <v>15373</v>
      </c>
      <c r="C6092" s="2" t="s">
        <v>26</v>
      </c>
      <c r="D6092" s="2" t="s">
        <v>27</v>
      </c>
      <c r="E6092" s="4">
        <v>-32060</v>
      </c>
      <c r="F6092" s="3" t="s">
        <v>399</v>
      </c>
      <c r="G6092" s="3" t="s">
        <v>136</v>
      </c>
      <c r="H6092" s="2" t="s">
        <v>21</v>
      </c>
      <c r="I6092" s="2" t="s">
        <v>15374</v>
      </c>
      <c r="J6092" s="3" t="str">
        <f>HYPERLINK("https://www.boe.es/gazeta/dias/1812/03/21/pdfs/GMD-1812-81.pdf#page=4","Abrir facsímil")</f>
        <v>Abrir facsímil</v>
      </c>
      <c r="K6092" s="3" t="s">
        <v>23</v>
      </c>
    </row>
    <row r="6093" spans="1:11" ht="42" customHeight="1">
      <c r="A6093" s="2" t="s">
        <v>15375</v>
      </c>
      <c r="B6093" s="2" t="s">
        <v>15376</v>
      </c>
      <c r="C6093" s="2" t="s">
        <v>67</v>
      </c>
      <c r="D6093" s="2" t="s">
        <v>27</v>
      </c>
      <c r="E6093" s="4">
        <v>-32103</v>
      </c>
      <c r="F6093" s="3" t="s">
        <v>1996</v>
      </c>
      <c r="G6093" s="3" t="s">
        <v>58</v>
      </c>
      <c r="H6093" s="2" t="s">
        <v>21</v>
      </c>
      <c r="I6093" s="2" t="s">
        <v>15377</v>
      </c>
      <c r="J6093" s="3" t="str">
        <f>HYPERLINK("https://www.boe.es/gazeta/dias/1812/02/07/pdfs/GMD-1812-38.pdf#page=4","Abrir facsímil")</f>
        <v>Abrir facsímil</v>
      </c>
      <c r="K6093" s="3" t="s">
        <v>23</v>
      </c>
    </row>
    <row r="6094" spans="1:11" ht="42" customHeight="1">
      <c r="A6094" s="2" t="s">
        <v>15378</v>
      </c>
      <c r="B6094" s="2" t="s">
        <v>15378</v>
      </c>
      <c r="C6094" s="2" t="s">
        <v>17</v>
      </c>
      <c r="D6094" s="2" t="s">
        <v>18</v>
      </c>
      <c r="E6094" s="4">
        <v>-31784</v>
      </c>
      <c r="F6094" s="3" t="s">
        <v>1648</v>
      </c>
      <c r="G6094" s="3" t="s">
        <v>125</v>
      </c>
      <c r="H6094" s="2" t="s">
        <v>21</v>
      </c>
      <c r="I6094" s="2" t="s">
        <v>15379</v>
      </c>
      <c r="J6094" s="3" t="str">
        <f>HYPERLINK("https://www.boe.es/gazeta/dias/1812/12/22/pdfs/GMD-1812-245.pdf#page=1","Abrir facsímil")</f>
        <v>Abrir facsímil</v>
      </c>
      <c r="K6094" s="3" t="s">
        <v>23</v>
      </c>
    </row>
    <row r="6095" spans="1:11" ht="42" customHeight="1">
      <c r="A6095" s="2" t="s">
        <v>15380</v>
      </c>
      <c r="B6095" s="2" t="s">
        <v>15380</v>
      </c>
      <c r="C6095" s="2" t="s">
        <v>186</v>
      </c>
      <c r="D6095" s="2" t="s">
        <v>27</v>
      </c>
      <c r="E6095" s="4">
        <v>-32001</v>
      </c>
      <c r="F6095" s="3" t="s">
        <v>1728</v>
      </c>
      <c r="G6095" s="3" t="s">
        <v>514</v>
      </c>
      <c r="H6095" s="2" t="s">
        <v>21</v>
      </c>
      <c r="I6095" s="2" t="s">
        <v>15381</v>
      </c>
      <c r="J6095" s="3" t="str">
        <f>HYPERLINK("https://www.boe.es/gazeta/dias/1812/05/19/pdfs/GMD-1812-140.pdf#page=4","Abrir facsímil")</f>
        <v>Abrir facsímil</v>
      </c>
      <c r="K6095" s="3" t="s">
        <v>23</v>
      </c>
    </row>
    <row r="6096" spans="1:11" ht="42" customHeight="1">
      <c r="A6096" s="2" t="s">
        <v>15382</v>
      </c>
      <c r="B6096" s="2" t="s">
        <v>15383</v>
      </c>
      <c r="C6096" s="2" t="s">
        <v>105</v>
      </c>
      <c r="D6096" s="2" t="s">
        <v>27</v>
      </c>
      <c r="E6096" s="4">
        <v>-31941</v>
      </c>
      <c r="F6096" s="3" t="s">
        <v>57</v>
      </c>
      <c r="G6096" s="3" t="s">
        <v>125</v>
      </c>
      <c r="H6096" s="2" t="s">
        <v>21</v>
      </c>
      <c r="I6096" s="2" t="s">
        <v>15384</v>
      </c>
      <c r="J6096" s="3" t="str">
        <f>HYPERLINK("https://www.boe.es/gazeta/dias/1812/07/18/pdfs/GMD-1812-200.pdf#page=3","Abrir facsímil")</f>
        <v>Abrir facsímil</v>
      </c>
      <c r="K6096" s="3" t="s">
        <v>23</v>
      </c>
    </row>
    <row r="6097" spans="1:11" ht="42" customHeight="1">
      <c r="A6097" s="2" t="s">
        <v>15385</v>
      </c>
      <c r="B6097" s="2" t="s">
        <v>15386</v>
      </c>
      <c r="C6097" s="2" t="s">
        <v>26</v>
      </c>
      <c r="D6097" s="2" t="s">
        <v>27</v>
      </c>
      <c r="E6097" s="4">
        <v>-31940</v>
      </c>
      <c r="F6097" s="3" t="s">
        <v>187</v>
      </c>
      <c r="G6097" s="3" t="s">
        <v>404</v>
      </c>
      <c r="H6097" s="2" t="s">
        <v>21</v>
      </c>
      <c r="I6097" s="2" t="s">
        <v>15387</v>
      </c>
      <c r="J6097" s="3" t="str">
        <f>HYPERLINK("https://www.boe.es/gazeta/dias/1812/07/19/pdfs/GMD-1812-201.pdf#page=3","Abrir facsímil")</f>
        <v>Abrir facsímil</v>
      </c>
      <c r="K6097" s="3" t="s">
        <v>23</v>
      </c>
    </row>
    <row r="6098" spans="1:11" ht="42" customHeight="1">
      <c r="A6098" s="2" t="s">
        <v>15388</v>
      </c>
      <c r="B6098" s="2" t="s">
        <v>15388</v>
      </c>
      <c r="C6098" s="2" t="s">
        <v>17</v>
      </c>
      <c r="D6098" s="2" t="s">
        <v>27</v>
      </c>
      <c r="E6098" s="4">
        <v>-31943</v>
      </c>
      <c r="F6098" s="3" t="s">
        <v>8719</v>
      </c>
      <c r="G6098" s="3" t="s">
        <v>106</v>
      </c>
      <c r="H6098" s="2" t="s">
        <v>21</v>
      </c>
      <c r="I6098" s="2" t="s">
        <v>15389</v>
      </c>
      <c r="J6098" s="3" t="str">
        <f>HYPERLINK("https://www.boe.es/gazeta/dias/1812/07/16/pdfs/GMD-1812-198.pdf#page=4","Abrir facsímil")</f>
        <v>Abrir facsímil</v>
      </c>
      <c r="K6098" s="3" t="s">
        <v>23</v>
      </c>
    </row>
    <row r="6099" spans="1:11" ht="42" customHeight="1">
      <c r="A6099" s="2" t="s">
        <v>15390</v>
      </c>
      <c r="B6099" s="2" t="s">
        <v>15391</v>
      </c>
      <c r="C6099" s="2" t="s">
        <v>17</v>
      </c>
      <c r="D6099" s="2" t="s">
        <v>18</v>
      </c>
      <c r="E6099" s="4">
        <v>-31910</v>
      </c>
      <c r="F6099" s="3" t="s">
        <v>72</v>
      </c>
      <c r="G6099" s="3" t="s">
        <v>73</v>
      </c>
      <c r="H6099" s="2" t="s">
        <v>21</v>
      </c>
      <c r="I6099" s="2" t="s">
        <v>15392</v>
      </c>
      <c r="J6099" s="3" t="str">
        <f>HYPERLINK("https://www.boe.es/gazeta/dias/1812/08/18/pdfs/GRE-1812-106.pdf#page=4","Abrir facsímil")</f>
        <v>Abrir facsímil</v>
      </c>
      <c r="K6099" s="3" t="s">
        <v>23</v>
      </c>
    </row>
    <row r="6100" spans="1:11" ht="42" customHeight="1">
      <c r="A6100" s="2" t="s">
        <v>15393</v>
      </c>
      <c r="B6100" s="2" t="s">
        <v>15394</v>
      </c>
      <c r="C6100" s="2" t="s">
        <v>17</v>
      </c>
      <c r="D6100" s="2" t="s">
        <v>27</v>
      </c>
      <c r="E6100" s="4">
        <v>-32123</v>
      </c>
      <c r="F6100" s="3" t="s">
        <v>2642</v>
      </c>
      <c r="G6100" s="3" t="s">
        <v>20</v>
      </c>
      <c r="H6100" s="2" t="s">
        <v>21</v>
      </c>
      <c r="I6100" s="2" t="s">
        <v>15395</v>
      </c>
      <c r="J6100" s="3" t="str">
        <f>HYPERLINK("https://www.boe.es/gazeta/dias/1812/01/18/pdfs/GMD-1812-18.pdf#page=4","Abrir facsímil")</f>
        <v>Abrir facsímil</v>
      </c>
      <c r="K6100" s="3" t="s">
        <v>23</v>
      </c>
    </row>
    <row r="6101" spans="1:11" ht="42" customHeight="1">
      <c r="A6101" s="2" t="s">
        <v>15396</v>
      </c>
      <c r="B6101" s="2" t="s">
        <v>15397</v>
      </c>
      <c r="C6101" s="2" t="s">
        <v>115</v>
      </c>
      <c r="D6101" s="2" t="s">
        <v>27</v>
      </c>
      <c r="E6101" s="4">
        <v>-32019</v>
      </c>
      <c r="F6101" s="3" t="s">
        <v>476</v>
      </c>
      <c r="G6101" s="3" t="s">
        <v>404</v>
      </c>
      <c r="H6101" s="2" t="s">
        <v>21</v>
      </c>
      <c r="I6101" s="2" t="s">
        <v>15398</v>
      </c>
      <c r="J6101" s="3" t="str">
        <f>HYPERLINK("https://www.boe.es/gazeta/dias/1812/05/01/pdfs/GMD-1812-122.pdf#page=3","Abrir facsímil")</f>
        <v>Abrir facsímil</v>
      </c>
      <c r="K6101" s="3" t="s">
        <v>23</v>
      </c>
    </row>
    <row r="6102" spans="1:11" ht="42" customHeight="1">
      <c r="A6102" s="2" t="s">
        <v>15399</v>
      </c>
      <c r="B6102" s="2" t="s">
        <v>15400</v>
      </c>
      <c r="C6102" s="2" t="s">
        <v>17</v>
      </c>
      <c r="D6102" s="2" t="s">
        <v>27</v>
      </c>
      <c r="E6102" s="4">
        <v>-32060</v>
      </c>
      <c r="F6102" s="3" t="s">
        <v>399</v>
      </c>
      <c r="G6102" s="3" t="s">
        <v>136</v>
      </c>
      <c r="H6102" s="2" t="s">
        <v>21</v>
      </c>
      <c r="I6102" s="2" t="s">
        <v>15401</v>
      </c>
      <c r="J6102" s="3" t="str">
        <f>HYPERLINK("https://www.boe.es/gazeta/dias/1812/03/21/pdfs/GMD-1812-81.pdf#page=4","Abrir facsímil")</f>
        <v>Abrir facsímil</v>
      </c>
      <c r="K6102" s="3" t="s">
        <v>23</v>
      </c>
    </row>
    <row r="6103" spans="1:11" ht="42" customHeight="1">
      <c r="A6103" s="2" t="s">
        <v>15402</v>
      </c>
      <c r="B6103" s="2" t="s">
        <v>15403</v>
      </c>
      <c r="C6103" s="2" t="s">
        <v>26</v>
      </c>
      <c r="D6103" s="2" t="s">
        <v>27</v>
      </c>
      <c r="E6103" s="4">
        <v>-32127</v>
      </c>
      <c r="F6103" s="3" t="s">
        <v>88</v>
      </c>
      <c r="G6103" s="3" t="s">
        <v>89</v>
      </c>
      <c r="H6103" s="2" t="s">
        <v>21</v>
      </c>
      <c r="I6103" s="2" t="s">
        <v>15404</v>
      </c>
      <c r="J6103" s="3" t="str">
        <f>HYPERLINK("https://www.boe.es/gazeta/dias/1812/01/14/pdfs/GEI-1812-6.pdf#page=8","Abrir facsímil")</f>
        <v>Abrir facsímil</v>
      </c>
      <c r="K6103" s="3" t="s">
        <v>23</v>
      </c>
    </row>
    <row r="6104" spans="1:11" ht="42" customHeight="1">
      <c r="A6104" s="2" t="s">
        <v>15405</v>
      </c>
      <c r="B6104" s="2" t="s">
        <v>15406</v>
      </c>
      <c r="C6104" s="2" t="s">
        <v>17</v>
      </c>
      <c r="D6104" s="2" t="s">
        <v>18</v>
      </c>
      <c r="E6104" s="4">
        <v>-32090</v>
      </c>
      <c r="F6104" s="3" t="s">
        <v>142</v>
      </c>
      <c r="G6104" s="3" t="s">
        <v>29</v>
      </c>
      <c r="H6104" s="2" t="s">
        <v>21</v>
      </c>
      <c r="I6104" s="2" t="s">
        <v>15407</v>
      </c>
      <c r="J6104" s="3" t="str">
        <f>HYPERLINK("https://www.boe.es/gazeta/dias/1812/02/20/pdfs/GRE-1812-22.pdf#page=8","Abrir facsímil")</f>
        <v>Abrir facsímil</v>
      </c>
      <c r="K6104" s="3" t="s">
        <v>23</v>
      </c>
    </row>
    <row r="6105" spans="1:11" ht="42" customHeight="1">
      <c r="A6105" s="2" t="s">
        <v>15408</v>
      </c>
      <c r="B6105" s="2" t="s">
        <v>15409</v>
      </c>
      <c r="C6105" s="2" t="s">
        <v>17</v>
      </c>
      <c r="D6105" s="2" t="s">
        <v>27</v>
      </c>
      <c r="E6105" s="4">
        <v>-31812</v>
      </c>
      <c r="F6105" s="3" t="s">
        <v>1533</v>
      </c>
      <c r="G6105" s="3" t="s">
        <v>644</v>
      </c>
      <c r="H6105" s="2" t="s">
        <v>21</v>
      </c>
      <c r="I6105" s="2" t="s">
        <v>15410</v>
      </c>
      <c r="J6105" s="3" t="str">
        <f>HYPERLINK("https://www.boe.es/gazeta/dias/1812/11/24/pdfs/GMR-1812-37.pdf#page=4","Abrir facsímil")</f>
        <v>Abrir facsímil</v>
      </c>
      <c r="K6105" s="3" t="s">
        <v>23</v>
      </c>
    </row>
    <row r="6106" spans="1:11" ht="42" customHeight="1">
      <c r="A6106" s="2" t="s">
        <v>15408</v>
      </c>
      <c r="B6106" s="2" t="s">
        <v>15409</v>
      </c>
      <c r="C6106" s="2" t="s">
        <v>26</v>
      </c>
      <c r="D6106" s="2" t="s">
        <v>27</v>
      </c>
      <c r="E6106" s="4">
        <v>-31775</v>
      </c>
      <c r="F6106" s="3" t="s">
        <v>660</v>
      </c>
      <c r="G6106" s="3" t="s">
        <v>2138</v>
      </c>
      <c r="H6106" s="2" t="s">
        <v>21</v>
      </c>
      <c r="I6106" s="2" t="s">
        <v>15411</v>
      </c>
      <c r="J6106" s="3" t="str">
        <f>HYPERLINK("https://www.boe.es/gazeta/dias/1812/12/31/pdfs/GRE-1812-172.pdf#page=8","Abrir facsímil")</f>
        <v>Abrir facsímil</v>
      </c>
      <c r="K6106" s="3" t="s">
        <v>23</v>
      </c>
    </row>
    <row r="6107" spans="1:11" ht="42" customHeight="1">
      <c r="A6107" s="2" t="s">
        <v>15412</v>
      </c>
      <c r="B6107" s="2" t="s">
        <v>15413</v>
      </c>
      <c r="C6107" s="2" t="s">
        <v>17</v>
      </c>
      <c r="D6107" s="2" t="s">
        <v>134</v>
      </c>
      <c r="E6107" s="4">
        <v>-31955</v>
      </c>
      <c r="F6107" s="3" t="s">
        <v>135</v>
      </c>
      <c r="G6107" s="3" t="s">
        <v>58</v>
      </c>
      <c r="H6107" s="2" t="s">
        <v>21</v>
      </c>
      <c r="I6107" s="2" t="s">
        <v>15414</v>
      </c>
      <c r="J6107" s="3" t="str">
        <f>HYPERLINK("https://www.boe.es/gazeta/dias/1812/07/04/pdfs/GRE-F-1812-82.pdf#page=6","Abrir facsímil")</f>
        <v>Abrir facsímil</v>
      </c>
      <c r="K6107" s="3" t="s">
        <v>23</v>
      </c>
    </row>
    <row r="6108" spans="1:11" ht="42" customHeight="1">
      <c r="A6108" s="2" t="s">
        <v>15415</v>
      </c>
      <c r="B6108" s="2" t="s">
        <v>15416</v>
      </c>
      <c r="C6108" s="2" t="s">
        <v>26</v>
      </c>
      <c r="D6108" s="2" t="s">
        <v>27</v>
      </c>
      <c r="E6108" s="4">
        <v>-32134</v>
      </c>
      <c r="F6108" s="3" t="s">
        <v>50</v>
      </c>
      <c r="G6108" s="3" t="s">
        <v>233</v>
      </c>
      <c r="H6108" s="2" t="s">
        <v>21</v>
      </c>
      <c r="I6108" s="2" t="s">
        <v>15417</v>
      </c>
      <c r="J6108" s="3" t="str">
        <f>HYPERLINK("https://www.boe.es/gazeta/dias/1812/01/07/pdfs/GEI-1812-3.pdf#page=8","Abrir facsímil")</f>
        <v>Abrir facsímil</v>
      </c>
      <c r="K6108" s="3" t="s">
        <v>23</v>
      </c>
    </row>
    <row r="6109" spans="1:11" ht="42" customHeight="1">
      <c r="A6109" s="2" t="s">
        <v>15418</v>
      </c>
      <c r="B6109" s="2" t="s">
        <v>15418</v>
      </c>
      <c r="C6109" s="2" t="s">
        <v>26</v>
      </c>
      <c r="D6109" s="2" t="s">
        <v>27</v>
      </c>
      <c r="E6109" s="4">
        <v>-31924</v>
      </c>
      <c r="F6109" s="3" t="s">
        <v>1948</v>
      </c>
      <c r="G6109" s="3" t="s">
        <v>4917</v>
      </c>
      <c r="H6109" s="2" t="s">
        <v>21</v>
      </c>
      <c r="I6109" s="2" t="s">
        <v>15419</v>
      </c>
      <c r="J6109" s="3" t="str">
        <f>HYPERLINK("https://www.boe.es/gazeta/dias/1812/08/04/pdfs/GRE-1812-99.pdf#page=5","Abrir facsímil")</f>
        <v>Abrir facsímil</v>
      </c>
      <c r="K6109" s="3" t="s">
        <v>23</v>
      </c>
    </row>
    <row r="6110" spans="1:11" ht="42" customHeight="1">
      <c r="A6110" s="2" t="s">
        <v>15420</v>
      </c>
      <c r="B6110" s="2" t="s">
        <v>15421</v>
      </c>
      <c r="C6110" s="2" t="s">
        <v>26</v>
      </c>
      <c r="D6110" s="2" t="s">
        <v>27</v>
      </c>
      <c r="E6110" s="4">
        <v>-31955</v>
      </c>
      <c r="F6110" s="3" t="s">
        <v>789</v>
      </c>
      <c r="G6110" s="3" t="s">
        <v>237</v>
      </c>
      <c r="H6110" s="2" t="s">
        <v>21</v>
      </c>
      <c r="I6110" s="2" t="s">
        <v>15422</v>
      </c>
      <c r="J6110" s="3" t="str">
        <f>HYPERLINK("https://www.boe.es/gazeta/dias/1812/07/04/pdfs/GRE-1812-82.pdf#page=8","Abrir facsímil")</f>
        <v>Abrir facsímil</v>
      </c>
      <c r="K6110" s="3" t="s">
        <v>23</v>
      </c>
    </row>
    <row r="6111" spans="1:11" ht="42" customHeight="1">
      <c r="A6111" s="2" t="s">
        <v>15423</v>
      </c>
      <c r="B6111" s="2" t="s">
        <v>15424</v>
      </c>
      <c r="C6111" s="2" t="s">
        <v>26</v>
      </c>
      <c r="D6111" s="2" t="s">
        <v>27</v>
      </c>
      <c r="E6111" s="4">
        <v>-31939</v>
      </c>
      <c r="F6111" s="3" t="s">
        <v>408</v>
      </c>
      <c r="G6111" s="3" t="s">
        <v>20</v>
      </c>
      <c r="H6111" s="2" t="s">
        <v>21</v>
      </c>
      <c r="I6111" s="2" t="s">
        <v>15425</v>
      </c>
      <c r="J6111" s="3" t="str">
        <f>HYPERLINK("https://www.boe.es/gazeta/dias/1812/07/20/pdfs/GMD-1812-202.pdf#page=4","Abrir facsímil")</f>
        <v>Abrir facsímil</v>
      </c>
      <c r="K6111" s="3" t="s">
        <v>23</v>
      </c>
    </row>
    <row r="6112" spans="1:11" ht="42" customHeight="1">
      <c r="A6112" s="2" t="s">
        <v>15426</v>
      </c>
      <c r="B6112" s="2" t="s">
        <v>15427</v>
      </c>
      <c r="C6112" s="2" t="s">
        <v>26</v>
      </c>
      <c r="D6112" s="2" t="s">
        <v>27</v>
      </c>
      <c r="E6112" s="4">
        <v>-32100</v>
      </c>
      <c r="F6112" s="3" t="s">
        <v>492</v>
      </c>
      <c r="G6112" s="3" t="s">
        <v>493</v>
      </c>
      <c r="H6112" s="2" t="s">
        <v>21</v>
      </c>
      <c r="I6112" s="2" t="s">
        <v>15428</v>
      </c>
      <c r="J6112" s="3" t="str">
        <f>HYPERLINK("https://www.boe.es/gazeta/dias/1812/02/10/pdfs/GRE-1812-31.pdf#page=8","Abrir facsímil")</f>
        <v>Abrir facsímil</v>
      </c>
      <c r="K6112" s="3" t="s">
        <v>23</v>
      </c>
    </row>
    <row r="6113" spans="1:11" ht="42" customHeight="1">
      <c r="A6113" s="2" t="s">
        <v>15426</v>
      </c>
      <c r="B6113" s="2" t="s">
        <v>15427</v>
      </c>
      <c r="C6113" s="2" t="s">
        <v>26</v>
      </c>
      <c r="D6113" s="2" t="s">
        <v>27</v>
      </c>
      <c r="E6113" s="4">
        <v>-32071</v>
      </c>
      <c r="F6113" s="3" t="s">
        <v>492</v>
      </c>
      <c r="G6113" s="3" t="s">
        <v>493</v>
      </c>
      <c r="H6113" s="2" t="s">
        <v>21</v>
      </c>
      <c r="I6113" s="2" t="s">
        <v>15428</v>
      </c>
      <c r="J6113" s="3" t="str">
        <f>HYPERLINK("https://www.boe.es/gazeta/dias/1812/03/10/pdfs/GRE-1812-31.pdf#page=8","Abrir facsímil")</f>
        <v>Abrir facsímil</v>
      </c>
      <c r="K6113" s="3" t="s">
        <v>23</v>
      </c>
    </row>
    <row r="6114" spans="1:11" ht="42" customHeight="1">
      <c r="A6114" s="2" t="s">
        <v>15429</v>
      </c>
      <c r="B6114" s="2" t="s">
        <v>15430</v>
      </c>
      <c r="C6114" s="2" t="s">
        <v>26</v>
      </c>
      <c r="D6114" s="2" t="s">
        <v>27</v>
      </c>
      <c r="E6114" s="4">
        <v>-32100</v>
      </c>
      <c r="F6114" s="3" t="s">
        <v>492</v>
      </c>
      <c r="G6114" s="3" t="s">
        <v>493</v>
      </c>
      <c r="H6114" s="2" t="s">
        <v>21</v>
      </c>
      <c r="I6114" s="2" t="s">
        <v>15431</v>
      </c>
      <c r="J6114" s="3" t="str">
        <f>HYPERLINK("https://www.boe.es/gazeta/dias/1812/02/10/pdfs/GRE-1812-31.pdf#page=8","Abrir facsímil")</f>
        <v>Abrir facsímil</v>
      </c>
      <c r="K6114" s="3" t="s">
        <v>23</v>
      </c>
    </row>
    <row r="6115" spans="1:11" ht="42" customHeight="1">
      <c r="A6115" s="2" t="s">
        <v>15429</v>
      </c>
      <c r="B6115" s="2" t="s">
        <v>15430</v>
      </c>
      <c r="C6115" s="2" t="s">
        <v>26</v>
      </c>
      <c r="D6115" s="2" t="s">
        <v>27</v>
      </c>
      <c r="E6115" s="4">
        <v>-32071</v>
      </c>
      <c r="F6115" s="3" t="s">
        <v>492</v>
      </c>
      <c r="G6115" s="3" t="s">
        <v>493</v>
      </c>
      <c r="H6115" s="2" t="s">
        <v>21</v>
      </c>
      <c r="I6115" s="2" t="s">
        <v>15431</v>
      </c>
      <c r="J6115" s="3" t="str">
        <f>HYPERLINK("https://www.boe.es/gazeta/dias/1812/03/10/pdfs/GRE-1812-31.pdf#page=8","Abrir facsímil")</f>
        <v>Abrir facsímil</v>
      </c>
      <c r="K6115" s="3" t="s">
        <v>23</v>
      </c>
    </row>
    <row r="6116" spans="1:11" ht="42" customHeight="1">
      <c r="A6116" s="2" t="s">
        <v>15432</v>
      </c>
      <c r="B6116" s="2" t="s">
        <v>15433</v>
      </c>
      <c r="C6116" s="2" t="s">
        <v>17</v>
      </c>
      <c r="D6116" s="2" t="s">
        <v>27</v>
      </c>
      <c r="E6116" s="4">
        <v>-32097</v>
      </c>
      <c r="F6116" s="3" t="s">
        <v>3797</v>
      </c>
      <c r="G6116" s="3" t="s">
        <v>3798</v>
      </c>
      <c r="H6116" s="2" t="s">
        <v>21</v>
      </c>
      <c r="I6116" s="2" t="s">
        <v>15434</v>
      </c>
      <c r="J6116" s="3" t="str">
        <f>HYPERLINK("https://www.boe.es/gazeta/dias/1812/02/13/pdfs/GRE-1812-19.pdf#page=3","Abrir facsímil")</f>
        <v>Abrir facsímil</v>
      </c>
      <c r="K6116" s="3" t="s">
        <v>23</v>
      </c>
    </row>
    <row r="6117" spans="1:11" ht="42" customHeight="1">
      <c r="A6117" s="2" t="s">
        <v>15435</v>
      </c>
      <c r="B6117" s="2" t="s">
        <v>15435</v>
      </c>
      <c r="C6117" s="2" t="s">
        <v>17</v>
      </c>
      <c r="D6117" s="2" t="s">
        <v>27</v>
      </c>
      <c r="E6117" s="4">
        <v>-32034</v>
      </c>
      <c r="F6117" s="3" t="s">
        <v>1008</v>
      </c>
      <c r="G6117" s="3" t="s">
        <v>2708</v>
      </c>
      <c r="H6117" s="2" t="s">
        <v>21</v>
      </c>
      <c r="I6117" s="2" t="s">
        <v>15436</v>
      </c>
      <c r="J6117" s="3" t="str">
        <f>HYPERLINK("https://www.boe.es/gazeta/dias/1812/04/16/pdfs/GRE-1812-48.pdf#page=4","Abrir facsímil")</f>
        <v>Abrir facsímil</v>
      </c>
      <c r="K6117" s="3" t="s">
        <v>23</v>
      </c>
    </row>
    <row r="6118" spans="1:11" ht="42" customHeight="1">
      <c r="A6118" s="2" t="s">
        <v>15437</v>
      </c>
      <c r="B6118" s="2" t="s">
        <v>15437</v>
      </c>
      <c r="C6118" s="2" t="s">
        <v>17</v>
      </c>
      <c r="D6118" s="2" t="s">
        <v>27</v>
      </c>
      <c r="E6118" s="4">
        <v>-32034</v>
      </c>
      <c r="F6118" s="3" t="s">
        <v>1008</v>
      </c>
      <c r="G6118" s="3" t="s">
        <v>36</v>
      </c>
      <c r="H6118" s="2" t="s">
        <v>21</v>
      </c>
      <c r="I6118" s="2" t="s">
        <v>15438</v>
      </c>
      <c r="J6118" s="3" t="str">
        <f>HYPERLINK("https://www.boe.es/gazeta/dias/1812/04/16/pdfs/GRE-1812-48.pdf#page=3","Abrir facsímil")</f>
        <v>Abrir facsímil</v>
      </c>
      <c r="K6118" s="3" t="s">
        <v>23</v>
      </c>
    </row>
    <row r="6119" spans="1:11" ht="42" customHeight="1">
      <c r="A6119" s="2" t="s">
        <v>15439</v>
      </c>
      <c r="B6119" s="2" t="s">
        <v>15440</v>
      </c>
      <c r="C6119" s="2" t="s">
        <v>67</v>
      </c>
      <c r="D6119" s="2" t="s">
        <v>27</v>
      </c>
      <c r="E6119" s="4">
        <v>-31850</v>
      </c>
      <c r="F6119" s="3" t="s">
        <v>719</v>
      </c>
      <c r="G6119" s="3" t="s">
        <v>217</v>
      </c>
      <c r="H6119" s="2" t="s">
        <v>21</v>
      </c>
      <c r="I6119" s="2" t="s">
        <v>15441</v>
      </c>
      <c r="J6119" s="3" t="str">
        <f>HYPERLINK("https://www.boe.es/gazeta/dias/1812/10/17/pdfs/GMR-1812-28.pdf#page=5","Abrir facsímil")</f>
        <v>Abrir facsímil</v>
      </c>
      <c r="K6119" s="3" t="s">
        <v>23</v>
      </c>
    </row>
    <row r="6120" spans="1:11" ht="42" customHeight="1">
      <c r="A6120" s="2" t="s">
        <v>15442</v>
      </c>
      <c r="B6120" s="2" t="s">
        <v>15442</v>
      </c>
      <c r="C6120" s="2" t="s">
        <v>26</v>
      </c>
      <c r="D6120" s="2" t="s">
        <v>275</v>
      </c>
      <c r="E6120" s="4">
        <v>-32138</v>
      </c>
      <c r="F6120" s="3" t="s">
        <v>2714</v>
      </c>
      <c r="G6120" s="3" t="s">
        <v>214</v>
      </c>
      <c r="H6120" s="2" t="s">
        <v>21</v>
      </c>
      <c r="I6120" s="2" t="s">
        <v>15443</v>
      </c>
      <c r="J6120" s="3" t="str">
        <f>HYPERLINK("https://www.boe.es/gazeta/dias/1812/01/03/pdfs/GMD-1812-3.pdf#page=4","Abrir facsímil")</f>
        <v>Abrir facsímil</v>
      </c>
      <c r="K6120" s="3" t="s">
        <v>23</v>
      </c>
    </row>
    <row r="6121" spans="1:11" ht="42" customHeight="1">
      <c r="A6121" s="2" t="s">
        <v>15444</v>
      </c>
      <c r="B6121" s="2" t="s">
        <v>15444</v>
      </c>
      <c r="C6121" s="2" t="s">
        <v>17</v>
      </c>
      <c r="D6121" s="2" t="s">
        <v>18</v>
      </c>
      <c r="E6121" s="4">
        <v>-31795</v>
      </c>
      <c r="F6121" s="3" t="s">
        <v>2344</v>
      </c>
      <c r="G6121" s="3" t="s">
        <v>2156</v>
      </c>
      <c r="H6121" s="2" t="s">
        <v>21</v>
      </c>
      <c r="I6121" s="2" t="s">
        <v>15445</v>
      </c>
      <c r="J6121" s="3" t="str">
        <f>HYPERLINK("https://www.boe.es/gazeta/dias/1812/12/11/pdfs/GMD-1812-234.pdf#page=2","Abrir facsímil")</f>
        <v>Abrir facsímil</v>
      </c>
      <c r="K6121" s="3" t="s">
        <v>23</v>
      </c>
    </row>
    <row r="6122" spans="1:11" ht="42" customHeight="1">
      <c r="A6122" s="2" t="s">
        <v>15446</v>
      </c>
      <c r="B6122" s="2" t="s">
        <v>15446</v>
      </c>
      <c r="C6122" s="2" t="s">
        <v>26</v>
      </c>
      <c r="D6122" s="2" t="s">
        <v>27</v>
      </c>
      <c r="E6122" s="4">
        <v>-32013</v>
      </c>
      <c r="F6122" s="3" t="s">
        <v>15298</v>
      </c>
      <c r="G6122" s="3" t="s">
        <v>140</v>
      </c>
      <c r="H6122" s="2" t="s">
        <v>21</v>
      </c>
      <c r="I6122" s="2" t="s">
        <v>15447</v>
      </c>
      <c r="J6122" s="3" t="str">
        <f>HYPERLINK("https://www.boe.es/gazeta/dias/1812/05/07/pdfs/GMD-1812-128.pdf#page=2","Abrir facsímil")</f>
        <v>Abrir facsímil</v>
      </c>
      <c r="K6122" s="3" t="s">
        <v>23</v>
      </c>
    </row>
    <row r="6123" spans="1:11" ht="42" customHeight="1">
      <c r="A6123" s="2" t="s">
        <v>15448</v>
      </c>
      <c r="B6123" s="2" t="s">
        <v>15449</v>
      </c>
      <c r="C6123" s="2" t="s">
        <v>26</v>
      </c>
      <c r="D6123" s="2" t="s">
        <v>194</v>
      </c>
      <c r="E6123" s="4">
        <v>-31785</v>
      </c>
      <c r="F6123" s="3" t="s">
        <v>6632</v>
      </c>
      <c r="G6123" s="3" t="s">
        <v>6633</v>
      </c>
      <c r="H6123" s="2" t="s">
        <v>21</v>
      </c>
      <c r="I6123" s="2" t="s">
        <v>15450</v>
      </c>
      <c r="J6123" s="3" t="str">
        <f>HYPERLINK("https://www.boe.es/gazeta/dias/1812/12/21/pdfs/GMD-1812-244.pdf#page=4","Abrir facsímil")</f>
        <v>Abrir facsímil</v>
      </c>
      <c r="K6123" s="3" t="s">
        <v>23</v>
      </c>
    </row>
    <row r="6124" spans="1:11" ht="42" customHeight="1">
      <c r="A6124" s="2" t="s">
        <v>15451</v>
      </c>
      <c r="B6124" s="2" t="s">
        <v>15452</v>
      </c>
      <c r="C6124" s="2" t="s">
        <v>115</v>
      </c>
      <c r="D6124" s="2" t="s">
        <v>275</v>
      </c>
      <c r="E6124" s="4">
        <v>-31952</v>
      </c>
      <c r="F6124" s="3" t="s">
        <v>694</v>
      </c>
      <c r="G6124" s="3" t="s">
        <v>2895</v>
      </c>
      <c r="H6124" s="2" t="s">
        <v>21</v>
      </c>
      <c r="I6124" s="2" t="s">
        <v>15453</v>
      </c>
      <c r="J6124" s="3" t="str">
        <f>HYPERLINK("https://www.boe.es/gazeta/dias/1812/07/07/pdfs/GMD-1812-189.pdf#page=4","Abrir facsímil")</f>
        <v>Abrir facsímil</v>
      </c>
      <c r="K6124" s="3" t="s">
        <v>23</v>
      </c>
    </row>
    <row r="6125" spans="1:11" ht="42" customHeight="1">
      <c r="A6125" s="2" t="s">
        <v>15454</v>
      </c>
      <c r="B6125" s="2" t="s">
        <v>15455</v>
      </c>
      <c r="C6125" s="2" t="s">
        <v>26</v>
      </c>
      <c r="D6125" s="2" t="s">
        <v>27</v>
      </c>
      <c r="E6125" s="4">
        <v>-32000</v>
      </c>
      <c r="F6125" s="3" t="s">
        <v>878</v>
      </c>
      <c r="G6125" s="3" t="s">
        <v>214</v>
      </c>
      <c r="H6125" s="2" t="s">
        <v>21</v>
      </c>
      <c r="I6125" s="2" t="s">
        <v>15456</v>
      </c>
      <c r="J6125" s="3" t="str">
        <f>HYPERLINK("https://www.boe.es/gazeta/dias/1812/05/20/pdfs/GMD-1812-141.pdf#page=2","Abrir facsímil")</f>
        <v>Abrir facsímil</v>
      </c>
      <c r="K6125" s="3" t="s">
        <v>23</v>
      </c>
    </row>
    <row r="6126" spans="1:11" ht="42" customHeight="1">
      <c r="A6126" s="2" t="s">
        <v>15457</v>
      </c>
      <c r="B6126" s="2" t="s">
        <v>15458</v>
      </c>
      <c r="C6126" s="2" t="s">
        <v>17</v>
      </c>
      <c r="D6126" s="2" t="s">
        <v>27</v>
      </c>
      <c r="E6126" s="4">
        <v>-31824</v>
      </c>
      <c r="F6126" s="3" t="s">
        <v>3123</v>
      </c>
      <c r="G6126" s="3" t="s">
        <v>4531</v>
      </c>
      <c r="H6126" s="2" t="s">
        <v>21</v>
      </c>
      <c r="I6126" s="2" t="s">
        <v>15459</v>
      </c>
      <c r="J6126" s="3" t="str">
        <f>HYPERLINK("https://www.boe.es/gazeta/dias/1812/11/12/pdfs/GRE-1812-151.pdf#page=6","Abrir facsímil")</f>
        <v>Abrir facsímil</v>
      </c>
      <c r="K6126" s="3" t="s">
        <v>23</v>
      </c>
    </row>
    <row r="6127" spans="1:11" ht="42" customHeight="1">
      <c r="A6127" s="2" t="s">
        <v>15460</v>
      </c>
      <c r="B6127" s="2" t="s">
        <v>15460</v>
      </c>
      <c r="C6127" s="2" t="s">
        <v>17</v>
      </c>
      <c r="D6127" s="2" t="s">
        <v>18</v>
      </c>
      <c r="E6127" s="4">
        <v>-31887</v>
      </c>
      <c r="F6127" s="3" t="s">
        <v>703</v>
      </c>
      <c r="G6127" s="3" t="s">
        <v>2354</v>
      </c>
      <c r="H6127" s="2" t="s">
        <v>21</v>
      </c>
      <c r="I6127" s="2" t="s">
        <v>15461</v>
      </c>
      <c r="J6127" s="3" t="str">
        <f>HYPERLINK("https://www.boe.es/gazeta/dias/1812/09/10/pdfs/GRE-1812-122.pdf#page=4","Abrir facsímil")</f>
        <v>Abrir facsímil</v>
      </c>
      <c r="K6127" s="3" t="s">
        <v>23</v>
      </c>
    </row>
    <row r="6128" spans="1:11" ht="42" customHeight="1">
      <c r="A6128" s="2" t="s">
        <v>15462</v>
      </c>
      <c r="B6128" s="2" t="s">
        <v>15462</v>
      </c>
      <c r="C6128" s="2" t="s">
        <v>17</v>
      </c>
      <c r="D6128" s="2" t="s">
        <v>18</v>
      </c>
      <c r="E6128" s="4">
        <v>-31943</v>
      </c>
      <c r="F6128" s="3" t="s">
        <v>2825</v>
      </c>
      <c r="G6128" s="3" t="s">
        <v>3095</v>
      </c>
      <c r="H6128" s="2" t="s">
        <v>21</v>
      </c>
      <c r="I6128" s="2" t="s">
        <v>15463</v>
      </c>
      <c r="J6128" s="3" t="str">
        <f>HYPERLINK("https://www.boe.es/gazeta/dias/1812/07/16/pdfs/GRE-1812-89.pdf#page=7","Abrir facsímil")</f>
        <v>Abrir facsímil</v>
      </c>
      <c r="K6128" s="3" t="s">
        <v>23</v>
      </c>
    </row>
    <row r="6129" spans="1:11" ht="42" customHeight="1">
      <c r="A6129" s="2" t="s">
        <v>15464</v>
      </c>
      <c r="B6129" s="2" t="s">
        <v>15465</v>
      </c>
      <c r="C6129" s="2" t="s">
        <v>26</v>
      </c>
      <c r="D6129" s="2" t="s">
        <v>275</v>
      </c>
      <c r="E6129" s="4">
        <v>-32075</v>
      </c>
      <c r="F6129" s="3" t="s">
        <v>301</v>
      </c>
      <c r="G6129" s="3" t="s">
        <v>20</v>
      </c>
      <c r="H6129" s="2" t="s">
        <v>21</v>
      </c>
      <c r="I6129" s="2" t="s">
        <v>15466</v>
      </c>
      <c r="J6129" s="3" t="str">
        <f>HYPERLINK("https://www.boe.es/gazeta/dias/1812/03/06/pdfs/GMD-1812-66.pdf#page=4","Abrir facsímil")</f>
        <v>Abrir facsímil</v>
      </c>
      <c r="K6129" s="3" t="s">
        <v>23</v>
      </c>
    </row>
    <row r="6130" spans="1:11" ht="42" customHeight="1">
      <c r="A6130" s="2" t="s">
        <v>15467</v>
      </c>
      <c r="B6130" s="2" t="s">
        <v>15468</v>
      </c>
      <c r="C6130" s="2" t="s">
        <v>26</v>
      </c>
      <c r="D6130" s="2" t="s">
        <v>27</v>
      </c>
      <c r="E6130" s="4">
        <v>-32108</v>
      </c>
      <c r="F6130" s="3" t="s">
        <v>1143</v>
      </c>
      <c r="G6130" s="3" t="s">
        <v>45</v>
      </c>
      <c r="H6130" s="2" t="s">
        <v>21</v>
      </c>
      <c r="I6130" s="2" t="s">
        <v>15469</v>
      </c>
      <c r="J6130" s="3" t="str">
        <f>HYPERLINK("https://www.boe.es/gazeta/dias/1812/02/02/pdfs/GMD-1812-33.pdf#page=4","Abrir facsímil")</f>
        <v>Abrir facsímil</v>
      </c>
      <c r="K6130" s="3" t="s">
        <v>23</v>
      </c>
    </row>
    <row r="6131" spans="1:11" ht="42" customHeight="1">
      <c r="A6131" s="2" t="s">
        <v>15470</v>
      </c>
      <c r="B6131" s="2" t="s">
        <v>15471</v>
      </c>
      <c r="C6131" s="2" t="s">
        <v>17</v>
      </c>
      <c r="D6131" s="2" t="s">
        <v>573</v>
      </c>
      <c r="E6131" s="4">
        <v>-31900</v>
      </c>
      <c r="F6131" s="3" t="s">
        <v>276</v>
      </c>
      <c r="G6131" s="3" t="s">
        <v>277</v>
      </c>
      <c r="H6131" s="2" t="s">
        <v>21</v>
      </c>
      <c r="I6131" s="2" t="s">
        <v>15472</v>
      </c>
      <c r="J6131" s="3" t="str">
        <f>HYPERLINK("https://www.boe.es/gazeta/dias/1812/08/28/pdfs/GRE-1812-113E.pdf#page=8","Abrir facsímil")</f>
        <v>Abrir facsímil</v>
      </c>
      <c r="K6131" s="3" t="s">
        <v>23</v>
      </c>
    </row>
    <row r="6132" spans="1:11" ht="42" customHeight="1">
      <c r="A6132" s="2" t="s">
        <v>15473</v>
      </c>
      <c r="B6132" s="2" t="s">
        <v>15474</v>
      </c>
      <c r="C6132" s="2" t="s">
        <v>17</v>
      </c>
      <c r="D6132" s="2" t="s">
        <v>18</v>
      </c>
      <c r="E6132" s="4">
        <v>-32126</v>
      </c>
      <c r="F6132" s="3" t="s">
        <v>5107</v>
      </c>
      <c r="G6132" s="3" t="s">
        <v>58</v>
      </c>
      <c r="H6132" s="2" t="s">
        <v>21</v>
      </c>
      <c r="I6132" s="2" t="s">
        <v>15475</v>
      </c>
      <c r="J6132" s="3" t="str">
        <f>HYPERLINK("https://www.boe.es/gazeta/dias/1812/01/15/pdfs/GMD-1812-15.pdf#page=4","Abrir facsímil")</f>
        <v>Abrir facsímil</v>
      </c>
      <c r="K6132" s="3" t="s">
        <v>23</v>
      </c>
    </row>
    <row r="6133" spans="1:11" ht="42" customHeight="1">
      <c r="A6133" s="2" t="s">
        <v>15476</v>
      </c>
      <c r="B6133" s="2" t="s">
        <v>15476</v>
      </c>
      <c r="C6133" s="2" t="s">
        <v>17</v>
      </c>
      <c r="D6133" s="2" t="s">
        <v>27</v>
      </c>
      <c r="E6133" s="4">
        <v>-32025</v>
      </c>
      <c r="F6133" s="3" t="s">
        <v>2323</v>
      </c>
      <c r="G6133" s="3" t="s">
        <v>2445</v>
      </c>
      <c r="H6133" s="2" t="s">
        <v>21</v>
      </c>
      <c r="I6133" s="2" t="s">
        <v>15477</v>
      </c>
      <c r="J6133" s="3" t="str">
        <f>HYPERLINK("https://www.boe.es/gazeta/dias/1812/04/25/pdfs/GRE-1812-52.pdf#page=5","Abrir facsímil")</f>
        <v>Abrir facsímil</v>
      </c>
      <c r="K6133" s="3" t="s">
        <v>23</v>
      </c>
    </row>
    <row r="6134" spans="1:11" ht="42" customHeight="1">
      <c r="A6134" s="2" t="s">
        <v>15476</v>
      </c>
      <c r="B6134" s="2" t="s">
        <v>15476</v>
      </c>
      <c r="C6134" s="2" t="s">
        <v>17</v>
      </c>
      <c r="D6134" s="2" t="s">
        <v>18</v>
      </c>
      <c r="E6134" s="4">
        <v>-32025</v>
      </c>
      <c r="F6134" s="3" t="s">
        <v>2323</v>
      </c>
      <c r="G6134" s="3" t="s">
        <v>45</v>
      </c>
      <c r="H6134" s="2" t="s">
        <v>21</v>
      </c>
      <c r="I6134" s="2" t="s">
        <v>15478</v>
      </c>
      <c r="J6134" s="3" t="str">
        <f>HYPERLINK("https://www.boe.es/gazeta/dias/1812/04/25/pdfs/GRE-1812-52.pdf#page=6","Abrir facsímil")</f>
        <v>Abrir facsímil</v>
      </c>
      <c r="K6134" s="3" t="s">
        <v>23</v>
      </c>
    </row>
    <row r="6135" spans="1:11" ht="42" customHeight="1">
      <c r="A6135" s="2" t="s">
        <v>15479</v>
      </c>
      <c r="B6135" s="2" t="s">
        <v>15479</v>
      </c>
      <c r="C6135" s="2" t="s">
        <v>17</v>
      </c>
      <c r="D6135" s="2" t="s">
        <v>27</v>
      </c>
      <c r="E6135" s="4">
        <v>-31944</v>
      </c>
      <c r="F6135" s="3" t="s">
        <v>5796</v>
      </c>
      <c r="G6135" s="3" t="s">
        <v>2858</v>
      </c>
      <c r="H6135" s="2" t="s">
        <v>21</v>
      </c>
      <c r="I6135" s="2" t="s">
        <v>15480</v>
      </c>
      <c r="J6135" s="3" t="str">
        <f>HYPERLINK("https://www.boe.es/gazeta/dias/1812/07/15/pdfs/GMD-1812-197.pdf#page=3","Abrir facsímil")</f>
        <v>Abrir facsímil</v>
      </c>
      <c r="K6135" s="3" t="s">
        <v>23</v>
      </c>
    </row>
    <row r="6136" spans="1:11" ht="42" customHeight="1">
      <c r="A6136" s="2" t="s">
        <v>15479</v>
      </c>
      <c r="B6136" s="2" t="s">
        <v>15479</v>
      </c>
      <c r="C6136" s="2" t="s">
        <v>17</v>
      </c>
      <c r="D6136" s="2" t="s">
        <v>27</v>
      </c>
      <c r="E6136" s="4">
        <v>-31941</v>
      </c>
      <c r="F6136" s="3" t="s">
        <v>57</v>
      </c>
      <c r="G6136" s="3" t="s">
        <v>140</v>
      </c>
      <c r="H6136" s="2" t="s">
        <v>21</v>
      </c>
      <c r="I6136" s="2" t="s">
        <v>15481</v>
      </c>
      <c r="J6136" s="3" t="str">
        <f>HYPERLINK("https://www.boe.es/gazeta/dias/1812/07/18/pdfs/GMD-1812-200.pdf#page=2","Abrir facsímil")</f>
        <v>Abrir facsímil</v>
      </c>
      <c r="K6136" s="3" t="s">
        <v>23</v>
      </c>
    </row>
    <row r="6137" spans="1:11" ht="42" customHeight="1">
      <c r="A6137" s="2" t="s">
        <v>15479</v>
      </c>
      <c r="B6137" s="2" t="s">
        <v>15479</v>
      </c>
      <c r="C6137" s="2" t="s">
        <v>17</v>
      </c>
      <c r="D6137" s="2" t="s">
        <v>275</v>
      </c>
      <c r="E6137" s="4">
        <v>-31936</v>
      </c>
      <c r="F6137" s="3" t="s">
        <v>603</v>
      </c>
      <c r="G6137" s="3" t="s">
        <v>196</v>
      </c>
      <c r="H6137" s="2" t="s">
        <v>21</v>
      </c>
      <c r="I6137" s="2" t="s">
        <v>15482</v>
      </c>
      <c r="J6137" s="3" t="str">
        <f>HYPERLINK("https://www.boe.es/gazeta/dias/1812/07/23/pdfs/GMD-1812-205.pdf#page=1","Abrir facsímil")</f>
        <v>Abrir facsímil</v>
      </c>
      <c r="K6137" s="3" t="s">
        <v>23</v>
      </c>
    </row>
    <row r="6138" spans="1:11" ht="42" customHeight="1">
      <c r="A6138" s="2" t="s">
        <v>15483</v>
      </c>
      <c r="B6138" s="2" t="s">
        <v>15484</v>
      </c>
      <c r="C6138" s="2" t="s">
        <v>26</v>
      </c>
      <c r="D6138" s="2" t="s">
        <v>134</v>
      </c>
      <c r="E6138" s="4">
        <v>-31955</v>
      </c>
      <c r="F6138" s="3" t="s">
        <v>135</v>
      </c>
      <c r="G6138" s="3" t="s">
        <v>136</v>
      </c>
      <c r="H6138" s="2" t="s">
        <v>21</v>
      </c>
      <c r="I6138" s="2" t="s">
        <v>15485</v>
      </c>
      <c r="J6138" s="3" t="str">
        <f>HYPERLINK("https://www.boe.es/gazeta/dias/1812/07/04/pdfs/GRE-F-1812-82.pdf#page=8","Abrir facsímil")</f>
        <v>Abrir facsímil</v>
      </c>
      <c r="K6138" s="3" t="s">
        <v>23</v>
      </c>
    </row>
    <row r="6139" spans="1:11" ht="42" customHeight="1">
      <c r="A6139" s="2" t="s">
        <v>15486</v>
      </c>
      <c r="B6139" s="2" t="s">
        <v>15487</v>
      </c>
      <c r="C6139" s="2" t="s">
        <v>26</v>
      </c>
      <c r="D6139" s="2" t="s">
        <v>27</v>
      </c>
      <c r="E6139" s="4">
        <v>-31940</v>
      </c>
      <c r="F6139" s="3" t="s">
        <v>187</v>
      </c>
      <c r="G6139" s="3" t="s">
        <v>404</v>
      </c>
      <c r="H6139" s="2" t="s">
        <v>21</v>
      </c>
      <c r="I6139" s="2" t="s">
        <v>15488</v>
      </c>
      <c r="J6139" s="3" t="str">
        <f>HYPERLINK("https://www.boe.es/gazeta/dias/1812/07/19/pdfs/GMD-1812-201.pdf#page=3","Abrir facsímil")</f>
        <v>Abrir facsímil</v>
      </c>
      <c r="K6139" s="3" t="s">
        <v>23</v>
      </c>
    </row>
    <row r="6140" spans="1:11" ht="42" customHeight="1">
      <c r="A6140" s="2" t="s">
        <v>15489</v>
      </c>
      <c r="B6140" s="2" t="s">
        <v>15490</v>
      </c>
      <c r="C6140" s="2" t="s">
        <v>26</v>
      </c>
      <c r="D6140" s="2" t="s">
        <v>27</v>
      </c>
      <c r="E6140" s="4">
        <v>-32055</v>
      </c>
      <c r="F6140" s="3" t="s">
        <v>459</v>
      </c>
      <c r="G6140" s="3" t="s">
        <v>20</v>
      </c>
      <c r="H6140" s="2" t="s">
        <v>21</v>
      </c>
      <c r="I6140" s="2" t="s">
        <v>15491</v>
      </c>
      <c r="J6140" s="3" t="str">
        <f>HYPERLINK("https://www.boe.es/gazeta/dias/1812/03/26/pdfs/GRE-1812-38.pdf#page=8","Abrir facsímil")</f>
        <v>Abrir facsímil</v>
      </c>
      <c r="K6140" s="3" t="s">
        <v>23</v>
      </c>
    </row>
    <row r="6141" spans="1:11" ht="42" customHeight="1">
      <c r="A6141" s="2" t="s">
        <v>15492</v>
      </c>
      <c r="B6141" s="2" t="s">
        <v>15493</v>
      </c>
      <c r="C6141" s="2" t="s">
        <v>26</v>
      </c>
      <c r="D6141" s="2" t="s">
        <v>27</v>
      </c>
      <c r="E6141" s="4">
        <v>-31838</v>
      </c>
      <c r="F6141" s="3" t="s">
        <v>1452</v>
      </c>
      <c r="G6141" s="3" t="s">
        <v>29</v>
      </c>
      <c r="H6141" s="2" t="s">
        <v>21</v>
      </c>
      <c r="I6141" s="2" t="s">
        <v>15494</v>
      </c>
      <c r="J6141" s="3" t="str">
        <f>HYPERLINK("https://www.boe.es/gazeta/dias/1812/10/29/pdfs/GMR-1812-33.pdf#page=8","Abrir facsímil")</f>
        <v>Abrir facsímil</v>
      </c>
      <c r="K6141" s="3" t="s">
        <v>23</v>
      </c>
    </row>
    <row r="6142" spans="1:11" ht="42" customHeight="1">
      <c r="A6142" s="2" t="s">
        <v>15495</v>
      </c>
      <c r="B6142" s="2" t="s">
        <v>15496</v>
      </c>
      <c r="C6142" s="2" t="s">
        <v>17</v>
      </c>
      <c r="D6142" s="2" t="s">
        <v>27</v>
      </c>
      <c r="E6142" s="4">
        <v>-32109</v>
      </c>
      <c r="F6142" s="3" t="s">
        <v>62</v>
      </c>
      <c r="G6142" s="3" t="s">
        <v>472</v>
      </c>
      <c r="H6142" s="2" t="s">
        <v>21</v>
      </c>
      <c r="I6142" s="2" t="s">
        <v>15497</v>
      </c>
      <c r="J6142" s="3" t="str">
        <f>HYPERLINK("https://www.boe.es/gazeta/dias/1812/02/01/pdfs/GRE-1812-14.pdf#page=12","Abrir facsímil")</f>
        <v>Abrir facsímil</v>
      </c>
      <c r="K6142" s="3" t="s">
        <v>23</v>
      </c>
    </row>
    <row r="6143" spans="1:11" ht="42" customHeight="1">
      <c r="A6143" s="2" t="s">
        <v>15498</v>
      </c>
      <c r="B6143" s="2" t="s">
        <v>15499</v>
      </c>
      <c r="C6143" s="2" t="s">
        <v>26</v>
      </c>
      <c r="D6143" s="2" t="s">
        <v>27</v>
      </c>
      <c r="E6143" s="4">
        <v>-31994</v>
      </c>
      <c r="F6143" s="3" t="s">
        <v>207</v>
      </c>
      <c r="G6143" s="3" t="s">
        <v>1176</v>
      </c>
      <c r="H6143" s="2" t="s">
        <v>21</v>
      </c>
      <c r="I6143" s="2" t="s">
        <v>15500</v>
      </c>
      <c r="J6143" s="3" t="str">
        <f>HYPERLINK("https://www.boe.es/gazeta/dias/1812/05/26/pdfs/GRE-1812-65.pdf#page=8","Abrir facsímil")</f>
        <v>Abrir facsímil</v>
      </c>
      <c r="K6143" s="3" t="s">
        <v>23</v>
      </c>
    </row>
    <row r="6144" spans="1:11" ht="42" customHeight="1">
      <c r="A6144" s="2" t="s">
        <v>15501</v>
      </c>
      <c r="B6144" s="2" t="s">
        <v>15502</v>
      </c>
      <c r="C6144" s="2" t="s">
        <v>17</v>
      </c>
      <c r="D6144" s="2" t="s">
        <v>27</v>
      </c>
      <c r="E6144" s="4">
        <v>-32067</v>
      </c>
      <c r="F6144" s="3" t="s">
        <v>199</v>
      </c>
      <c r="G6144" s="3" t="s">
        <v>237</v>
      </c>
      <c r="H6144" s="2" t="s">
        <v>21</v>
      </c>
      <c r="I6144" s="2" t="s">
        <v>15503</v>
      </c>
      <c r="J6144" s="3" t="str">
        <f>HYPERLINK("https://www.boe.es/gazeta/dias/1812/03/14/pdfs/GRE-1812-33.pdf#page=8","Abrir facsímil")</f>
        <v>Abrir facsímil</v>
      </c>
      <c r="K6144" s="3" t="s">
        <v>23</v>
      </c>
    </row>
    <row r="6145" spans="1:11" ht="42" customHeight="1">
      <c r="A6145" s="2" t="s">
        <v>15504</v>
      </c>
      <c r="B6145" s="2" t="s">
        <v>15505</v>
      </c>
      <c r="C6145" s="2" t="s">
        <v>17</v>
      </c>
      <c r="D6145" s="2" t="s">
        <v>18</v>
      </c>
      <c r="E6145" s="4">
        <v>-32053</v>
      </c>
      <c r="F6145" s="3" t="s">
        <v>2877</v>
      </c>
      <c r="G6145" s="3" t="s">
        <v>965</v>
      </c>
      <c r="H6145" s="2" t="s">
        <v>21</v>
      </c>
      <c r="I6145" s="2" t="s">
        <v>15506</v>
      </c>
      <c r="J6145" s="3" t="str">
        <f>HYPERLINK("https://www.boe.es/gazeta/dias/1812/03/28/pdfs/GMD-1812-88.pdf#page=4","Abrir facsímil")</f>
        <v>Abrir facsímil</v>
      </c>
      <c r="K6145" s="3" t="s">
        <v>23</v>
      </c>
    </row>
    <row r="6146" spans="1:11" ht="42" customHeight="1">
      <c r="A6146" s="2" t="s">
        <v>15507</v>
      </c>
      <c r="B6146" s="2" t="s">
        <v>15507</v>
      </c>
      <c r="C6146" s="2" t="s">
        <v>49</v>
      </c>
      <c r="D6146" s="2" t="s">
        <v>194</v>
      </c>
      <c r="E6146" s="4">
        <v>-31903</v>
      </c>
      <c r="F6146" s="3" t="s">
        <v>2720</v>
      </c>
      <c r="G6146" s="3" t="s">
        <v>9189</v>
      </c>
      <c r="H6146" s="2" t="s">
        <v>21</v>
      </c>
      <c r="I6146" s="2" t="s">
        <v>15508</v>
      </c>
      <c r="J6146" s="3" t="str">
        <f>HYPERLINK("https://www.boe.es/gazeta/dias/1812/08/25/pdfs/GRE-1812-110.pdf#page=2","Abrir facsímil")</f>
        <v>Abrir facsímil</v>
      </c>
      <c r="K6146" s="3" t="s">
        <v>23</v>
      </c>
    </row>
    <row r="6147" spans="1:11" ht="42" customHeight="1">
      <c r="A6147" s="2" t="s">
        <v>15509</v>
      </c>
      <c r="B6147" s="2" t="s">
        <v>15510</v>
      </c>
      <c r="C6147" s="2" t="s">
        <v>186</v>
      </c>
      <c r="D6147" s="2" t="s">
        <v>27</v>
      </c>
      <c r="E6147" s="4">
        <v>-32002</v>
      </c>
      <c r="F6147" s="3" t="s">
        <v>619</v>
      </c>
      <c r="G6147" s="3" t="s">
        <v>20</v>
      </c>
      <c r="H6147" s="2" t="s">
        <v>21</v>
      </c>
      <c r="I6147" s="2" t="s">
        <v>15511</v>
      </c>
      <c r="J6147" s="3" t="str">
        <f>HYPERLINK("https://www.boe.es/gazeta/dias/1812/05/18/pdfs/GMD-1812-139.pdf#page=3","Abrir facsímil")</f>
        <v>Abrir facsímil</v>
      </c>
      <c r="K6147" s="3" t="s">
        <v>23</v>
      </c>
    </row>
    <row r="6148" spans="1:11" ht="42" customHeight="1">
      <c r="A6148" s="2" t="s">
        <v>15512</v>
      </c>
      <c r="B6148" s="2" t="s">
        <v>15513</v>
      </c>
      <c r="C6148" s="2" t="s">
        <v>26</v>
      </c>
      <c r="D6148" s="2" t="s">
        <v>27</v>
      </c>
      <c r="E6148" s="4">
        <v>-32010</v>
      </c>
      <c r="F6148" s="3" t="s">
        <v>243</v>
      </c>
      <c r="G6148" s="3" t="s">
        <v>45</v>
      </c>
      <c r="H6148" s="2" t="s">
        <v>30</v>
      </c>
      <c r="I6148" s="2" t="s">
        <v>15514</v>
      </c>
      <c r="J6148" s="3" t="str">
        <f>HYPERLINK("https://www.boe.es/gazeta/dias/1812/05/10/pdfs/GMD-1812-131.pdf#page=3","Abrir facsímil")</f>
        <v>Abrir facsímil</v>
      </c>
      <c r="K6148" s="3" t="s">
        <v>32</v>
      </c>
    </row>
    <row r="6149" spans="1:11" ht="42" customHeight="1">
      <c r="A6149" s="2" t="s">
        <v>15515</v>
      </c>
      <c r="B6149" s="2" t="s">
        <v>15516</v>
      </c>
      <c r="C6149" s="2" t="s">
        <v>26</v>
      </c>
      <c r="D6149" s="2" t="s">
        <v>27</v>
      </c>
      <c r="E6149" s="4">
        <v>-31982</v>
      </c>
      <c r="F6149" s="3" t="s">
        <v>1630</v>
      </c>
      <c r="G6149" s="3" t="s">
        <v>1631</v>
      </c>
      <c r="H6149" s="2" t="s">
        <v>30</v>
      </c>
      <c r="I6149" s="2" t="s">
        <v>15517</v>
      </c>
      <c r="J6149" s="3" t="str">
        <f>HYPERLINK("https://www.boe.es/gazeta/dias/1812/06/07/pdfs/GMD-1812-159.pdf#page=4","Abrir facsímil")</f>
        <v>Abrir facsímil</v>
      </c>
      <c r="K6149" s="3" t="s">
        <v>32</v>
      </c>
    </row>
    <row r="6150" spans="1:11" ht="42" customHeight="1">
      <c r="A6150" s="2" t="s">
        <v>15515</v>
      </c>
      <c r="B6150" s="2" t="s">
        <v>15516</v>
      </c>
      <c r="C6150" s="2" t="s">
        <v>17</v>
      </c>
      <c r="D6150" s="2" t="s">
        <v>27</v>
      </c>
      <c r="E6150" s="4">
        <v>-31976</v>
      </c>
      <c r="F6150" s="3" t="s">
        <v>54</v>
      </c>
      <c r="G6150" s="3" t="s">
        <v>55</v>
      </c>
      <c r="H6150" s="2" t="s">
        <v>30</v>
      </c>
      <c r="I6150" s="2" t="s">
        <v>15518</v>
      </c>
      <c r="J6150" s="3" t="str">
        <f>HYPERLINK("https://www.boe.es/gazeta/dias/1812/06/13/pdfs/GRE-1812-73.pdf#page=6","Abrir facsímil")</f>
        <v>Abrir facsímil</v>
      </c>
      <c r="K6150" s="3" t="s">
        <v>32</v>
      </c>
    </row>
    <row r="6151" spans="1:11" ht="42" customHeight="1">
      <c r="A6151" s="2" t="s">
        <v>15519</v>
      </c>
      <c r="B6151" s="2" t="s">
        <v>15520</v>
      </c>
      <c r="C6151" s="2" t="s">
        <v>26</v>
      </c>
      <c r="D6151" s="2" t="s">
        <v>27</v>
      </c>
      <c r="E6151" s="4">
        <v>-32081</v>
      </c>
      <c r="F6151" s="3" t="s">
        <v>232</v>
      </c>
      <c r="G6151" s="3" t="s">
        <v>233</v>
      </c>
      <c r="H6151" s="2" t="s">
        <v>30</v>
      </c>
      <c r="I6151" s="2" t="s">
        <v>15521</v>
      </c>
      <c r="J6151" s="3" t="str">
        <f>HYPERLINK("https://www.boe.es/gazeta/dias/1812/02/29/pdfs/GRE-1812-27.pdf#page=8","Abrir facsímil")</f>
        <v>Abrir facsímil</v>
      </c>
      <c r="K6151" s="3" t="s">
        <v>32</v>
      </c>
    </row>
    <row r="6152" spans="1:11" ht="42" customHeight="1">
      <c r="A6152" s="2" t="s">
        <v>15522</v>
      </c>
      <c r="B6152" s="2" t="s">
        <v>15523</v>
      </c>
      <c r="C6152" s="2" t="s">
        <v>17</v>
      </c>
      <c r="D6152" s="2" t="s">
        <v>18</v>
      </c>
      <c r="E6152" s="4">
        <v>-31857</v>
      </c>
      <c r="F6152" s="3" t="s">
        <v>1000</v>
      </c>
      <c r="G6152" s="3" t="s">
        <v>1001</v>
      </c>
      <c r="H6152" s="2" t="s">
        <v>30</v>
      </c>
      <c r="I6152" s="2" t="s">
        <v>15524</v>
      </c>
      <c r="J6152" s="3" t="str">
        <f>HYPERLINK("https://www.boe.es/gazeta/dias/1812/10/10/pdfs/GRE-1812-137.pdf#page=7","Abrir facsímil")</f>
        <v>Abrir facsímil</v>
      </c>
      <c r="K6152" s="3" t="s">
        <v>32</v>
      </c>
    </row>
    <row r="6153" spans="1:11" ht="42" customHeight="1">
      <c r="A6153" s="2" t="s">
        <v>15525</v>
      </c>
      <c r="B6153" s="2" t="s">
        <v>15526</v>
      </c>
      <c r="C6153" s="2" t="s">
        <v>17</v>
      </c>
      <c r="D6153" s="2" t="s">
        <v>27</v>
      </c>
      <c r="E6153" s="4">
        <v>-32067</v>
      </c>
      <c r="F6153" s="3" t="s">
        <v>199</v>
      </c>
      <c r="G6153" s="3" t="s">
        <v>237</v>
      </c>
      <c r="H6153" s="2" t="s">
        <v>30</v>
      </c>
      <c r="I6153" s="2" t="s">
        <v>15527</v>
      </c>
      <c r="J6153" s="3" t="str">
        <f>HYPERLINK("https://www.boe.es/gazeta/dias/1812/03/14/pdfs/GRE-1812-33.pdf#page=8","Abrir facsímil")</f>
        <v>Abrir facsímil</v>
      </c>
      <c r="K6153" s="3" t="s">
        <v>32</v>
      </c>
    </row>
    <row r="6154" spans="1:11" ht="42" customHeight="1">
      <c r="A6154" s="2" t="s">
        <v>15528</v>
      </c>
      <c r="B6154" s="2" t="s">
        <v>15529</v>
      </c>
      <c r="C6154" s="2" t="s">
        <v>17</v>
      </c>
      <c r="D6154" s="2" t="s">
        <v>134</v>
      </c>
      <c r="E6154" s="4">
        <v>-31896</v>
      </c>
      <c r="F6154" s="3" t="s">
        <v>2506</v>
      </c>
      <c r="G6154" s="3" t="s">
        <v>514</v>
      </c>
      <c r="H6154" s="2" t="s">
        <v>30</v>
      </c>
      <c r="I6154" s="2" t="s">
        <v>15530</v>
      </c>
      <c r="J6154" s="3" t="str">
        <f>HYPERLINK("https://www.boe.es/gazeta/dias/1812/09/01/pdfs/GRE-F-1812-117.pdf#page=2","Abrir facsímil")</f>
        <v>Abrir facsímil</v>
      </c>
      <c r="K6154" s="3" t="s">
        <v>32</v>
      </c>
    </row>
    <row r="6155" spans="1:11" ht="42" customHeight="1">
      <c r="A6155" s="2" t="s">
        <v>15528</v>
      </c>
      <c r="B6155" s="2" t="s">
        <v>15529</v>
      </c>
      <c r="C6155" s="2" t="s">
        <v>17</v>
      </c>
      <c r="D6155" s="2" t="s">
        <v>18</v>
      </c>
      <c r="E6155" s="4">
        <v>-31896</v>
      </c>
      <c r="F6155" s="3" t="s">
        <v>2506</v>
      </c>
      <c r="G6155" s="3" t="s">
        <v>217</v>
      </c>
      <c r="H6155" s="2" t="s">
        <v>30</v>
      </c>
      <c r="I6155" s="2" t="s">
        <v>15531</v>
      </c>
      <c r="J6155" s="3" t="str">
        <f>HYPERLINK("https://www.boe.es/gazeta/dias/1812/09/01/pdfs/GRE-F-1812-117.pdf#page=4","Abrir facsímil")</f>
        <v>Abrir facsímil</v>
      </c>
      <c r="K6155" s="3" t="s">
        <v>32</v>
      </c>
    </row>
    <row r="6156" spans="1:11" ht="42" customHeight="1">
      <c r="A6156" s="2" t="s">
        <v>15532</v>
      </c>
      <c r="B6156" s="2" t="s">
        <v>15533</v>
      </c>
      <c r="C6156" s="2" t="s">
        <v>186</v>
      </c>
      <c r="D6156" s="2" t="s">
        <v>27</v>
      </c>
      <c r="E6156" s="4">
        <v>-32045</v>
      </c>
      <c r="F6156" s="3" t="s">
        <v>129</v>
      </c>
      <c r="G6156" s="3" t="s">
        <v>130</v>
      </c>
      <c r="H6156" s="2" t="s">
        <v>30</v>
      </c>
      <c r="I6156" s="2" t="s">
        <v>15534</v>
      </c>
      <c r="J6156" s="3" t="str">
        <f>HYPERLINK("https://www.boe.es/gazeta/dias/1812/04/05/pdfs/GMD-1812-96.pdf#page=4","Abrir facsímil")</f>
        <v>Abrir facsímil</v>
      </c>
      <c r="K6156" s="3" t="s">
        <v>32</v>
      </c>
    </row>
    <row r="6157" spans="1:11" ht="42" customHeight="1">
      <c r="A6157" s="2" t="s">
        <v>15535</v>
      </c>
      <c r="B6157" s="2" t="s">
        <v>15536</v>
      </c>
      <c r="C6157" s="2" t="s">
        <v>26</v>
      </c>
      <c r="D6157" s="2" t="s">
        <v>27</v>
      </c>
      <c r="E6157" s="4">
        <v>-31976</v>
      </c>
      <c r="F6157" s="3" t="s">
        <v>54</v>
      </c>
      <c r="G6157" s="3" t="s">
        <v>55</v>
      </c>
      <c r="H6157" s="2" t="s">
        <v>30</v>
      </c>
      <c r="I6157" s="2" t="s">
        <v>15537</v>
      </c>
      <c r="J6157" s="3" t="str">
        <f>HYPERLINK("https://www.boe.es/gazeta/dias/1812/06/13/pdfs/GRE-1812-73.pdf#page=6","Abrir facsímil")</f>
        <v>Abrir facsímil</v>
      </c>
      <c r="K6157" s="3" t="s">
        <v>32</v>
      </c>
    </row>
    <row r="6158" spans="1:11" ht="42" customHeight="1">
      <c r="A6158" s="2" t="s">
        <v>15538</v>
      </c>
      <c r="B6158" s="2" t="s">
        <v>15539</v>
      </c>
      <c r="C6158" s="2" t="s">
        <v>67</v>
      </c>
      <c r="D6158" s="2" t="s">
        <v>275</v>
      </c>
      <c r="E6158" s="4">
        <v>-31938</v>
      </c>
      <c r="F6158" s="3" t="s">
        <v>324</v>
      </c>
      <c r="G6158" s="3" t="s">
        <v>237</v>
      </c>
      <c r="H6158" s="2" t="s">
        <v>30</v>
      </c>
      <c r="I6158" s="2" t="s">
        <v>15540</v>
      </c>
      <c r="J6158" s="3" t="str">
        <f>HYPERLINK("https://www.boe.es/gazeta/dias/1812/07/21/pdfs/GMD-1812-203.pdf#page=2","Abrir facsímil")</f>
        <v>Abrir facsímil</v>
      </c>
      <c r="K6158" s="3" t="s">
        <v>32</v>
      </c>
    </row>
    <row r="6159" spans="1:11" ht="42" customHeight="1">
      <c r="A6159" s="2" t="s">
        <v>15541</v>
      </c>
      <c r="B6159" s="2" t="s">
        <v>15541</v>
      </c>
      <c r="C6159" s="2" t="s">
        <v>17</v>
      </c>
      <c r="D6159" s="2" t="s">
        <v>27</v>
      </c>
      <c r="E6159" s="4">
        <v>-32116</v>
      </c>
      <c r="F6159" s="3" t="s">
        <v>993</v>
      </c>
      <c r="G6159" s="3" t="s">
        <v>13587</v>
      </c>
      <c r="H6159" s="2" t="s">
        <v>21</v>
      </c>
      <c r="I6159" s="2" t="s">
        <v>15542</v>
      </c>
      <c r="J6159" s="3" t="str">
        <f>HYPERLINK("https://www.boe.es/gazeta/dias/1812/01/25/pdfs/GEI-1812-11.pdf#page=6","Abrir facsímil")</f>
        <v>Abrir facsímil</v>
      </c>
      <c r="K6159" s="3" t="s">
        <v>23</v>
      </c>
    </row>
    <row r="6160" spans="1:11" ht="42" customHeight="1">
      <c r="A6160" s="2" t="s">
        <v>15543</v>
      </c>
      <c r="B6160" s="2" t="s">
        <v>15543</v>
      </c>
      <c r="C6160" s="2" t="s">
        <v>17</v>
      </c>
      <c r="D6160" s="2" t="s">
        <v>18</v>
      </c>
      <c r="E6160" s="4">
        <v>-32109</v>
      </c>
      <c r="F6160" s="3" t="s">
        <v>62</v>
      </c>
      <c r="G6160" s="3" t="s">
        <v>317</v>
      </c>
      <c r="H6160" s="2" t="s">
        <v>21</v>
      </c>
      <c r="I6160" s="2" t="s">
        <v>15544</v>
      </c>
      <c r="J6160" s="3" t="str">
        <f>HYPERLINK("https://www.boe.es/gazeta/dias/1812/02/01/pdfs/GRE-1812-14.pdf#page=6","Abrir facsímil")</f>
        <v>Abrir facsímil</v>
      </c>
      <c r="K6160" s="3" t="s">
        <v>23</v>
      </c>
    </row>
    <row r="6161" spans="1:11" ht="42" customHeight="1">
      <c r="A6161" s="2" t="s">
        <v>15545</v>
      </c>
      <c r="B6161" s="2" t="s">
        <v>15545</v>
      </c>
      <c r="C6161" s="2" t="s">
        <v>17</v>
      </c>
      <c r="D6161" s="2" t="s">
        <v>18</v>
      </c>
      <c r="E6161" s="4">
        <v>-31782</v>
      </c>
      <c r="F6161" s="3" t="s">
        <v>860</v>
      </c>
      <c r="G6161" s="3" t="s">
        <v>140</v>
      </c>
      <c r="H6161" s="2" t="s">
        <v>21</v>
      </c>
      <c r="I6161" s="2" t="s">
        <v>15546</v>
      </c>
      <c r="J6161" s="3" t="str">
        <f>HYPERLINK("https://www.boe.es/gazeta/dias/1812/12/24/pdfs/GRE-1812-169.pdf#page=2","Abrir facsímil")</f>
        <v>Abrir facsímil</v>
      </c>
      <c r="K6161" s="3" t="s">
        <v>23</v>
      </c>
    </row>
    <row r="6162" spans="1:11" ht="42" customHeight="1">
      <c r="A6162" s="2" t="s">
        <v>15547</v>
      </c>
      <c r="B6162" s="2" t="s">
        <v>15547</v>
      </c>
      <c r="C6162" s="2" t="s">
        <v>17</v>
      </c>
      <c r="D6162" s="2" t="s">
        <v>27</v>
      </c>
      <c r="E6162" s="4">
        <v>-31782</v>
      </c>
      <c r="F6162" s="3" t="s">
        <v>860</v>
      </c>
      <c r="G6162" s="3" t="s">
        <v>140</v>
      </c>
      <c r="H6162" s="2" t="s">
        <v>21</v>
      </c>
      <c r="I6162" s="2" t="s">
        <v>15548</v>
      </c>
      <c r="J6162" s="3" t="str">
        <f>HYPERLINK("https://www.boe.es/gazeta/dias/1812/12/24/pdfs/GRE-1812-169.pdf#page=2","Abrir facsímil")</f>
        <v>Abrir facsímil</v>
      </c>
      <c r="K6162" s="3" t="s">
        <v>23</v>
      </c>
    </row>
    <row r="6163" spans="1:11" ht="42" customHeight="1">
      <c r="A6163" s="2" t="s">
        <v>15549</v>
      </c>
      <c r="B6163" s="2" t="s">
        <v>15549</v>
      </c>
      <c r="C6163" s="2" t="s">
        <v>17</v>
      </c>
      <c r="D6163" s="2" t="s">
        <v>18</v>
      </c>
      <c r="E6163" s="4">
        <v>-31782</v>
      </c>
      <c r="F6163" s="3" t="s">
        <v>860</v>
      </c>
      <c r="G6163" s="3" t="s">
        <v>140</v>
      </c>
      <c r="H6163" s="2" t="s">
        <v>21</v>
      </c>
      <c r="I6163" s="2" t="s">
        <v>15550</v>
      </c>
      <c r="J6163" s="3" t="str">
        <f>HYPERLINK("https://www.boe.es/gazeta/dias/1812/12/24/pdfs/GRE-1812-169.pdf#page=2","Abrir facsímil")</f>
        <v>Abrir facsímil</v>
      </c>
      <c r="K6163" s="3" t="s">
        <v>23</v>
      </c>
    </row>
    <row r="6164" spans="1:11" ht="42" customHeight="1">
      <c r="A6164" s="2" t="s">
        <v>15551</v>
      </c>
      <c r="B6164" s="2" t="s">
        <v>15552</v>
      </c>
      <c r="C6164" s="2" t="s">
        <v>17</v>
      </c>
      <c r="D6164" s="2" t="s">
        <v>18</v>
      </c>
      <c r="E6164" s="4">
        <v>-31875</v>
      </c>
      <c r="F6164" s="3" t="s">
        <v>110</v>
      </c>
      <c r="G6164" s="3" t="s">
        <v>20</v>
      </c>
      <c r="H6164" s="2" t="s">
        <v>21</v>
      </c>
      <c r="I6164" s="2" t="s">
        <v>15553</v>
      </c>
      <c r="J6164" s="3" t="str">
        <f>HYPERLINK("https://www.boe.es/gazeta/dias/1812/09/22/pdfs/GRE-1812-128.pdf#page=3","Abrir facsímil")</f>
        <v>Abrir facsímil</v>
      </c>
      <c r="K6164" s="3" t="s">
        <v>23</v>
      </c>
    </row>
    <row r="6165" spans="1:11" ht="42" customHeight="1">
      <c r="A6165" s="2" t="s">
        <v>15554</v>
      </c>
      <c r="B6165" s="2" t="s">
        <v>15555</v>
      </c>
      <c r="C6165" s="2" t="s">
        <v>17</v>
      </c>
      <c r="D6165" s="2" t="s">
        <v>275</v>
      </c>
      <c r="E6165" s="4">
        <v>-32029</v>
      </c>
      <c r="F6165" s="3" t="s">
        <v>176</v>
      </c>
      <c r="G6165" s="3" t="s">
        <v>177</v>
      </c>
      <c r="H6165" s="2" t="s">
        <v>21</v>
      </c>
      <c r="I6165" s="2" t="s">
        <v>15556</v>
      </c>
      <c r="J6165" s="3" t="str">
        <f>HYPERLINK("https://www.boe.es/gazeta/dias/1812/04/21/pdfs/GRE-1812-50.pdf#page=8","Abrir facsímil")</f>
        <v>Abrir facsímil</v>
      </c>
      <c r="K6165" s="3" t="s">
        <v>23</v>
      </c>
    </row>
    <row r="6166" spans="1:11" ht="42" customHeight="1">
      <c r="A6166" s="2" t="s">
        <v>15557</v>
      </c>
      <c r="B6166" s="2" t="s">
        <v>15557</v>
      </c>
      <c r="C6166" s="2" t="s">
        <v>17</v>
      </c>
      <c r="D6166" s="2" t="s">
        <v>194</v>
      </c>
      <c r="E6166" s="4">
        <v>-32075</v>
      </c>
      <c r="F6166" s="3" t="s">
        <v>301</v>
      </c>
      <c r="G6166" s="3" t="s">
        <v>2664</v>
      </c>
      <c r="H6166" s="2" t="s">
        <v>21</v>
      </c>
      <c r="I6166" s="2" t="s">
        <v>15558</v>
      </c>
      <c r="J6166" s="3" t="str">
        <f>HYPERLINK("https://www.boe.es/gazeta/dias/1812/03/06/pdfs/GMD-1812-66.pdf#page=3","Abrir facsímil")</f>
        <v>Abrir facsímil</v>
      </c>
      <c r="K6166" s="3" t="s">
        <v>23</v>
      </c>
    </row>
    <row r="6167" spans="1:11" ht="42" customHeight="1">
      <c r="A6167" s="2" t="s">
        <v>15557</v>
      </c>
      <c r="B6167" s="2" t="s">
        <v>15557</v>
      </c>
      <c r="C6167" s="2" t="s">
        <v>17</v>
      </c>
      <c r="D6167" s="2" t="s">
        <v>275</v>
      </c>
      <c r="E6167" s="4">
        <v>-32035</v>
      </c>
      <c r="F6167" s="3" t="s">
        <v>2646</v>
      </c>
      <c r="G6167" s="3" t="s">
        <v>130</v>
      </c>
      <c r="H6167" s="2" t="s">
        <v>21</v>
      </c>
      <c r="I6167" s="2" t="s">
        <v>15559</v>
      </c>
      <c r="J6167" s="3" t="str">
        <f>HYPERLINK("https://www.boe.es/gazeta/dias/1812/04/15/pdfs/GMD-1812-106.pdf#page=4","Abrir facsímil")</f>
        <v>Abrir facsímil</v>
      </c>
      <c r="K6167" s="3" t="s">
        <v>23</v>
      </c>
    </row>
    <row r="6168" spans="1:11" ht="42" customHeight="1">
      <c r="A6168" s="2" t="s">
        <v>15557</v>
      </c>
      <c r="B6168" s="2" t="s">
        <v>15557</v>
      </c>
      <c r="C6168" s="2" t="s">
        <v>17</v>
      </c>
      <c r="D6168" s="2" t="s">
        <v>27</v>
      </c>
      <c r="E6168" s="4">
        <v>-32033</v>
      </c>
      <c r="F6168" s="3" t="s">
        <v>771</v>
      </c>
      <c r="G6168" s="3" t="s">
        <v>13197</v>
      </c>
      <c r="H6168" s="2" t="s">
        <v>21</v>
      </c>
      <c r="I6168" s="2" t="s">
        <v>15560</v>
      </c>
      <c r="J6168" s="3" t="str">
        <f>HYPERLINK("https://www.boe.es/gazeta/dias/1812/04/17/pdfs/GMD-1812-108.pdf#page=2","Abrir facsímil")</f>
        <v>Abrir facsímil</v>
      </c>
      <c r="K6168" s="3" t="s">
        <v>23</v>
      </c>
    </row>
    <row r="6169" spans="1:11" ht="42" customHeight="1">
      <c r="A6169" s="2" t="s">
        <v>15557</v>
      </c>
      <c r="B6169" s="2" t="s">
        <v>15557</v>
      </c>
      <c r="C6169" s="2" t="s">
        <v>17</v>
      </c>
      <c r="D6169" s="2" t="s">
        <v>27</v>
      </c>
      <c r="E6169" s="4">
        <v>-32033</v>
      </c>
      <c r="F6169" s="3" t="s">
        <v>771</v>
      </c>
      <c r="G6169" s="3" t="s">
        <v>217</v>
      </c>
      <c r="H6169" s="2" t="s">
        <v>21</v>
      </c>
      <c r="I6169" s="2" t="s">
        <v>15561</v>
      </c>
      <c r="J6169" s="3" t="str">
        <f>HYPERLINK("https://www.boe.es/gazeta/dias/1812/04/17/pdfs/GMD-1812-108.pdf#page=3","Abrir facsímil")</f>
        <v>Abrir facsímil</v>
      </c>
      <c r="K6169" s="3" t="s">
        <v>23</v>
      </c>
    </row>
    <row r="6170" spans="1:11" ht="42" customHeight="1">
      <c r="A6170" s="2" t="s">
        <v>15557</v>
      </c>
      <c r="B6170" s="2" t="s">
        <v>15557</v>
      </c>
      <c r="C6170" s="2" t="s">
        <v>17</v>
      </c>
      <c r="D6170" s="2" t="s">
        <v>27</v>
      </c>
      <c r="E6170" s="4">
        <v>-31892</v>
      </c>
      <c r="F6170" s="3" t="s">
        <v>1825</v>
      </c>
      <c r="G6170" s="3" t="s">
        <v>2156</v>
      </c>
      <c r="H6170" s="2" t="s">
        <v>21</v>
      </c>
      <c r="I6170" s="2" t="s">
        <v>15562</v>
      </c>
      <c r="J6170" s="3" t="str">
        <f>HYPERLINK("https://www.boe.es/gazeta/dias/1812/09/05/pdfs/GMR-1812-10.pdf#page=10","Abrir facsímil")</f>
        <v>Abrir facsímil</v>
      </c>
      <c r="K6170" s="3" t="s">
        <v>23</v>
      </c>
    </row>
    <row r="6171" spans="1:11" ht="42" customHeight="1">
      <c r="A6171" s="2" t="s">
        <v>15563</v>
      </c>
      <c r="B6171" s="2" t="s">
        <v>15564</v>
      </c>
      <c r="C6171" s="2" t="s">
        <v>17</v>
      </c>
      <c r="D6171" s="2" t="s">
        <v>18</v>
      </c>
      <c r="E6171" s="4">
        <v>-31819</v>
      </c>
      <c r="F6171" s="3" t="s">
        <v>1856</v>
      </c>
      <c r="G6171" s="3" t="s">
        <v>794</v>
      </c>
      <c r="H6171" s="2" t="s">
        <v>21</v>
      </c>
      <c r="I6171" s="2" t="s">
        <v>15565</v>
      </c>
      <c r="J6171" s="3" t="str">
        <f>HYPERLINK("https://www.boe.es/gazeta/dias/1812/11/17/pdfs/GMR-1812-35.pdf#page=7","Abrir facsímil")</f>
        <v>Abrir facsímil</v>
      </c>
      <c r="K6171" s="3" t="s">
        <v>23</v>
      </c>
    </row>
    <row r="6172" spans="1:11" ht="42" customHeight="1">
      <c r="A6172" s="2" t="s">
        <v>15566</v>
      </c>
      <c r="B6172" s="2" t="s">
        <v>15567</v>
      </c>
      <c r="C6172" s="2" t="s">
        <v>17</v>
      </c>
      <c r="D6172" s="2" t="s">
        <v>27</v>
      </c>
      <c r="E6172" s="4">
        <v>-31882</v>
      </c>
      <c r="F6172" s="3" t="s">
        <v>1798</v>
      </c>
      <c r="G6172" s="3" t="s">
        <v>1799</v>
      </c>
      <c r="H6172" s="2" t="s">
        <v>21</v>
      </c>
      <c r="I6172" s="2" t="s">
        <v>15568</v>
      </c>
      <c r="J6172" s="3" t="str">
        <f>HYPERLINK("https://www.boe.es/gazeta/dias/1812/09/15/pdfs/GMR-1812-14.pdf#page=12","Abrir facsímil")</f>
        <v>Abrir facsímil</v>
      </c>
      <c r="K6172" s="3" t="s">
        <v>23</v>
      </c>
    </row>
    <row r="6173" spans="1:11" ht="42" customHeight="1">
      <c r="A6173" s="2" t="s">
        <v>15569</v>
      </c>
      <c r="B6173" s="2" t="s">
        <v>15569</v>
      </c>
      <c r="C6173" s="2" t="s">
        <v>17</v>
      </c>
      <c r="D6173" s="2" t="s">
        <v>27</v>
      </c>
      <c r="E6173" s="4">
        <v>-32043</v>
      </c>
      <c r="F6173" s="3" t="s">
        <v>4582</v>
      </c>
      <c r="G6173" s="3" t="s">
        <v>214</v>
      </c>
      <c r="H6173" s="2" t="s">
        <v>21</v>
      </c>
      <c r="I6173" s="2" t="s">
        <v>15570</v>
      </c>
      <c r="J6173" s="3" t="str">
        <f>HYPERLINK("https://www.boe.es/gazeta/dias/1812/04/07/pdfs/GRE-1812-43.pdf#page=6","Abrir facsímil")</f>
        <v>Abrir facsímil</v>
      </c>
      <c r="K6173" s="3" t="s">
        <v>23</v>
      </c>
    </row>
    <row r="6174" spans="1:11" ht="42" customHeight="1">
      <c r="A6174" s="2" t="s">
        <v>15571</v>
      </c>
      <c r="B6174" s="2" t="s">
        <v>15572</v>
      </c>
      <c r="C6174" s="2" t="s">
        <v>17</v>
      </c>
      <c r="D6174" s="2" t="s">
        <v>18</v>
      </c>
      <c r="E6174" s="4">
        <v>-32022</v>
      </c>
      <c r="F6174" s="3" t="s">
        <v>1186</v>
      </c>
      <c r="G6174" s="3" t="s">
        <v>125</v>
      </c>
      <c r="H6174" s="2" t="s">
        <v>21</v>
      </c>
      <c r="I6174" s="2" t="s">
        <v>15573</v>
      </c>
      <c r="J6174" s="3" t="str">
        <f>HYPERLINK("https://www.boe.es/gazeta/dias/1812/04/28/pdfs/GRE-1812-53.pdf#page=5","Abrir facsímil")</f>
        <v>Abrir facsímil</v>
      </c>
      <c r="K6174" s="3" t="s">
        <v>23</v>
      </c>
    </row>
    <row r="6175" spans="1:11" ht="42" customHeight="1">
      <c r="A6175" s="2" t="s">
        <v>15574</v>
      </c>
      <c r="B6175" s="2" t="s">
        <v>15574</v>
      </c>
      <c r="C6175" s="2" t="s">
        <v>17</v>
      </c>
      <c r="D6175" s="2" t="s">
        <v>18</v>
      </c>
      <c r="E6175" s="4">
        <v>-32117</v>
      </c>
      <c r="F6175" s="3" t="s">
        <v>15575</v>
      </c>
      <c r="G6175" s="3" t="s">
        <v>20</v>
      </c>
      <c r="H6175" s="2" t="s">
        <v>21</v>
      </c>
      <c r="I6175" s="2" t="s">
        <v>15576</v>
      </c>
      <c r="J6175" s="3" t="str">
        <f>HYPERLINK("https://www.boe.es/gazeta/dias/1812/01/24/pdfs/GMD-1812-24.pdf#page=4","Abrir facsímil")</f>
        <v>Abrir facsímil</v>
      </c>
      <c r="K6175" s="3" t="s">
        <v>23</v>
      </c>
    </row>
    <row r="6176" spans="1:11" ht="42" customHeight="1">
      <c r="A6176" s="2" t="s">
        <v>15577</v>
      </c>
      <c r="B6176" s="2" t="s">
        <v>15578</v>
      </c>
      <c r="C6176" s="2" t="s">
        <v>17</v>
      </c>
      <c r="D6176" s="2" t="s">
        <v>18</v>
      </c>
      <c r="E6176" s="4">
        <v>-32095</v>
      </c>
      <c r="F6176" s="3" t="s">
        <v>181</v>
      </c>
      <c r="G6176" s="3" t="s">
        <v>777</v>
      </c>
      <c r="H6176" s="2" t="s">
        <v>21</v>
      </c>
      <c r="I6176" s="2" t="s">
        <v>15579</v>
      </c>
      <c r="J6176" s="3" t="str">
        <f>HYPERLINK("https://www.boe.es/gazeta/dias/1812/02/15/pdfs/GMD-1812-47.pdf#page=3","Abrir facsímil")</f>
        <v>Abrir facsímil</v>
      </c>
      <c r="K6176" s="3" t="s">
        <v>23</v>
      </c>
    </row>
    <row r="6177" spans="1:11" ht="42" customHeight="1">
      <c r="A6177" s="2" t="s">
        <v>15577</v>
      </c>
      <c r="B6177" s="2" t="s">
        <v>15578</v>
      </c>
      <c r="C6177" s="2" t="s">
        <v>17</v>
      </c>
      <c r="D6177" s="2" t="s">
        <v>18</v>
      </c>
      <c r="E6177" s="4">
        <v>-32094</v>
      </c>
      <c r="F6177" s="3" t="s">
        <v>181</v>
      </c>
      <c r="G6177" s="3" t="s">
        <v>777</v>
      </c>
      <c r="H6177" s="2" t="s">
        <v>21</v>
      </c>
      <c r="I6177" s="2" t="s">
        <v>15579</v>
      </c>
      <c r="J6177" s="3" t="str">
        <f>HYPERLINK("https://www.boe.es/gazeta/dias/1812/02/16/pdfs/GMD-1812-47.pdf#page=3","Abrir facsímil")</f>
        <v>Abrir facsímil</v>
      </c>
      <c r="K6177" s="3" t="s">
        <v>23</v>
      </c>
    </row>
    <row r="6178" spans="1:11" ht="42" customHeight="1">
      <c r="A6178" s="2" t="s">
        <v>15580</v>
      </c>
      <c r="B6178" s="2" t="s">
        <v>15581</v>
      </c>
      <c r="C6178" s="2" t="s">
        <v>17</v>
      </c>
      <c r="D6178" s="2" t="s">
        <v>18</v>
      </c>
      <c r="E6178" s="4">
        <v>-31931</v>
      </c>
      <c r="F6178" s="3" t="s">
        <v>4174</v>
      </c>
      <c r="G6178" s="3" t="s">
        <v>214</v>
      </c>
      <c r="H6178" s="2" t="s">
        <v>21</v>
      </c>
      <c r="I6178" s="2" t="s">
        <v>15582</v>
      </c>
      <c r="J6178" s="3" t="str">
        <f>HYPERLINK("https://www.boe.es/gazeta/dias/1812/07/28/pdfs/GRE-1812-94.pdf#page=3","Abrir facsímil")</f>
        <v>Abrir facsímil</v>
      </c>
      <c r="K6178" s="3" t="s">
        <v>23</v>
      </c>
    </row>
    <row r="6179" spans="1:11" ht="42" customHeight="1">
      <c r="A6179" s="2" t="s">
        <v>15580</v>
      </c>
      <c r="B6179" s="2" t="s">
        <v>15581</v>
      </c>
      <c r="C6179" s="2" t="s">
        <v>105</v>
      </c>
      <c r="D6179" s="2" t="s">
        <v>27</v>
      </c>
      <c r="E6179" s="4">
        <v>-31878</v>
      </c>
      <c r="F6179" s="3" t="s">
        <v>2891</v>
      </c>
      <c r="G6179" s="3" t="s">
        <v>3294</v>
      </c>
      <c r="H6179" s="2" t="s">
        <v>21</v>
      </c>
      <c r="I6179" s="2" t="s">
        <v>15583</v>
      </c>
      <c r="J6179" s="3" t="str">
        <f>HYPERLINK("https://www.boe.es/gazeta/dias/1812/09/19/pdfs/GRE-1812-127.pdf#page=4","Abrir facsímil")</f>
        <v>Abrir facsímil</v>
      </c>
      <c r="K6179" s="3" t="s">
        <v>23</v>
      </c>
    </row>
    <row r="6180" spans="1:11" ht="42" customHeight="1">
      <c r="A6180" s="2" t="s">
        <v>15584</v>
      </c>
      <c r="B6180" s="2" t="s">
        <v>15584</v>
      </c>
      <c r="C6180" s="2" t="s">
        <v>105</v>
      </c>
      <c r="D6180" s="2" t="s">
        <v>27</v>
      </c>
      <c r="E6180" s="4">
        <v>-31901</v>
      </c>
      <c r="F6180" s="3" t="s">
        <v>590</v>
      </c>
      <c r="G6180" s="3" t="s">
        <v>514</v>
      </c>
      <c r="H6180" s="2" t="s">
        <v>21</v>
      </c>
      <c r="I6180" s="2" t="s">
        <v>15585</v>
      </c>
      <c r="J6180" s="3" t="str">
        <f>HYPERLINK("https://www.boe.es/gazeta/dias/1812/08/27/pdfs/GMR-1812-6.pdf#page=4","Abrir facsímil")</f>
        <v>Abrir facsímil</v>
      </c>
      <c r="K6180" s="3" t="s">
        <v>23</v>
      </c>
    </row>
    <row r="6181" spans="1:11" ht="42" customHeight="1">
      <c r="A6181" s="2" t="s">
        <v>15586</v>
      </c>
      <c r="B6181" s="2" t="s">
        <v>15586</v>
      </c>
      <c r="C6181" s="2" t="s">
        <v>105</v>
      </c>
      <c r="D6181" s="2" t="s">
        <v>27</v>
      </c>
      <c r="E6181" s="4">
        <v>-31857</v>
      </c>
      <c r="F6181" s="3" t="s">
        <v>2176</v>
      </c>
      <c r="G6181" s="3" t="s">
        <v>58</v>
      </c>
      <c r="H6181" s="2" t="s">
        <v>21</v>
      </c>
      <c r="I6181" s="2" t="s">
        <v>15587</v>
      </c>
      <c r="J6181" s="3" t="str">
        <f>HYPERLINK("https://www.boe.es/gazeta/dias/1812/10/10/pdfs/GMR-1812-25.pdf#page=4","Abrir facsímil")</f>
        <v>Abrir facsímil</v>
      </c>
      <c r="K6181" s="3" t="s">
        <v>23</v>
      </c>
    </row>
    <row r="6182" spans="1:11" ht="42" customHeight="1">
      <c r="A6182" s="2" t="s">
        <v>15588</v>
      </c>
      <c r="B6182" s="2" t="s">
        <v>15589</v>
      </c>
      <c r="C6182" s="2" t="s">
        <v>17</v>
      </c>
      <c r="D6182" s="2" t="s">
        <v>18</v>
      </c>
      <c r="E6182" s="4">
        <v>-32077</v>
      </c>
      <c r="F6182" s="3" t="s">
        <v>639</v>
      </c>
      <c r="G6182" s="3" t="s">
        <v>237</v>
      </c>
      <c r="H6182" s="2" t="s">
        <v>21</v>
      </c>
      <c r="I6182" s="2" t="s">
        <v>15590</v>
      </c>
      <c r="J6182" s="3" t="str">
        <f>HYPERLINK("https://www.boe.es/gazeta/dias/1812/03/04/pdfs/GMD-1812-64.pdf#page=4","Abrir facsímil")</f>
        <v>Abrir facsímil</v>
      </c>
      <c r="K6182" s="3" t="s">
        <v>23</v>
      </c>
    </row>
    <row r="6183" spans="1:11" ht="42" customHeight="1">
      <c r="A6183" s="2" t="s">
        <v>15591</v>
      </c>
      <c r="B6183" s="2" t="s">
        <v>15591</v>
      </c>
      <c r="C6183" s="2" t="s">
        <v>105</v>
      </c>
      <c r="D6183" s="2" t="s">
        <v>27</v>
      </c>
      <c r="E6183" s="4">
        <v>-31887</v>
      </c>
      <c r="F6183" s="3" t="s">
        <v>703</v>
      </c>
      <c r="G6183" s="3" t="s">
        <v>2354</v>
      </c>
      <c r="H6183" s="2" t="s">
        <v>21</v>
      </c>
      <c r="I6183" s="2" t="s">
        <v>15592</v>
      </c>
      <c r="J6183" s="3" t="str">
        <f>HYPERLINK("https://www.boe.es/gazeta/dias/1812/09/10/pdfs/GRE-1812-122.pdf#page=4","Abrir facsímil")</f>
        <v>Abrir facsímil</v>
      </c>
      <c r="K6183" s="3" t="s">
        <v>23</v>
      </c>
    </row>
    <row r="6184" spans="1:11" ht="42" customHeight="1">
      <c r="A6184" s="2" t="s">
        <v>15593</v>
      </c>
      <c r="B6184" s="2" t="s">
        <v>15594</v>
      </c>
      <c r="C6184" s="2" t="s">
        <v>17</v>
      </c>
      <c r="D6184" s="2" t="s">
        <v>18</v>
      </c>
      <c r="E6184" s="4">
        <v>-32035</v>
      </c>
      <c r="F6184" s="3" t="s">
        <v>2646</v>
      </c>
      <c r="G6184" s="3" t="s">
        <v>1176</v>
      </c>
      <c r="H6184" s="2" t="s">
        <v>21</v>
      </c>
      <c r="I6184" s="2" t="s">
        <v>15595</v>
      </c>
      <c r="J6184" s="3" t="str">
        <f>HYPERLINK("https://www.boe.es/gazeta/dias/1812/04/15/pdfs/GMD-1812-106.pdf#page=2","Abrir facsímil")</f>
        <v>Abrir facsímil</v>
      </c>
      <c r="K6184" s="3" t="s">
        <v>23</v>
      </c>
    </row>
    <row r="6185" spans="1:11" ht="42" customHeight="1">
      <c r="A6185" s="2" t="s">
        <v>15596</v>
      </c>
      <c r="B6185" s="2" t="s">
        <v>15597</v>
      </c>
      <c r="C6185" s="2" t="s">
        <v>26</v>
      </c>
      <c r="D6185" s="2" t="s">
        <v>27</v>
      </c>
      <c r="E6185" s="4">
        <v>-31840</v>
      </c>
      <c r="F6185" s="3" t="s">
        <v>7112</v>
      </c>
      <c r="G6185" s="3" t="s">
        <v>644</v>
      </c>
      <c r="H6185" s="2" t="s">
        <v>21</v>
      </c>
      <c r="I6185" s="2" t="s">
        <v>15598</v>
      </c>
      <c r="J6185" s="3" t="str">
        <f>HYPERLINK("https://www.boe.es/gazeta/dias/1812/10/27/pdfs/GRE-1812-144.pdf#page=4","Abrir facsímil")</f>
        <v>Abrir facsímil</v>
      </c>
      <c r="K6185" s="3" t="s">
        <v>23</v>
      </c>
    </row>
    <row r="6186" spans="1:11" ht="42" customHeight="1">
      <c r="A6186" s="2" t="s">
        <v>15599</v>
      </c>
      <c r="B6186" s="2" t="s">
        <v>15600</v>
      </c>
      <c r="C6186" s="2" t="s">
        <v>49</v>
      </c>
      <c r="D6186" s="2" t="s">
        <v>275</v>
      </c>
      <c r="E6186" s="4">
        <v>-31962</v>
      </c>
      <c r="F6186" s="3" t="s">
        <v>153</v>
      </c>
      <c r="G6186" s="3" t="s">
        <v>8894</v>
      </c>
      <c r="H6186" s="2" t="s">
        <v>21</v>
      </c>
      <c r="I6186" s="2" t="s">
        <v>15601</v>
      </c>
      <c r="J6186" s="3" t="str">
        <f>HYPERLINK("https://www.boe.es/gazeta/dias/1812/06/27/pdfs/GRE-1812-79.pdf#page=7","Abrir facsímil")</f>
        <v>Abrir facsímil</v>
      </c>
      <c r="K6186" s="3" t="s">
        <v>23</v>
      </c>
    </row>
    <row r="6187" spans="1:11" ht="42" customHeight="1">
      <c r="A6187" s="2" t="s">
        <v>15602</v>
      </c>
      <c r="B6187" s="2" t="s">
        <v>15603</v>
      </c>
      <c r="C6187" s="2" t="s">
        <v>17</v>
      </c>
      <c r="D6187" s="2" t="s">
        <v>18</v>
      </c>
      <c r="E6187" s="4">
        <v>-31928</v>
      </c>
      <c r="F6187" s="3" t="s">
        <v>3638</v>
      </c>
      <c r="G6187" s="3" t="s">
        <v>13690</v>
      </c>
      <c r="H6187" s="2" t="s">
        <v>30</v>
      </c>
      <c r="I6187" s="2" t="s">
        <v>15604</v>
      </c>
      <c r="J6187" s="3" t="str">
        <f>HYPERLINK("https://www.boe.es/gazeta/dias/1812/07/31/pdfs/GRE-1812-96E.pdf#page=3","Abrir facsímil")</f>
        <v>Abrir facsímil</v>
      </c>
      <c r="K6187" s="3" t="s">
        <v>32</v>
      </c>
    </row>
    <row r="6188" spans="1:11" ht="42" customHeight="1">
      <c r="A6188" s="2" t="s">
        <v>15605</v>
      </c>
      <c r="B6188" s="2" t="s">
        <v>15606</v>
      </c>
      <c r="C6188" s="2" t="s">
        <v>17</v>
      </c>
      <c r="D6188" s="2" t="s">
        <v>18</v>
      </c>
      <c r="E6188" s="4">
        <v>-31861</v>
      </c>
      <c r="F6188" s="3" t="s">
        <v>216</v>
      </c>
      <c r="G6188" s="3" t="s">
        <v>3726</v>
      </c>
      <c r="H6188" s="2" t="s">
        <v>21</v>
      </c>
      <c r="I6188" s="2" t="s">
        <v>15607</v>
      </c>
      <c r="J6188" s="3" t="str">
        <f>HYPERLINK("https://www.boe.es/gazeta/dias/1812/10/06/pdfs/GRE-1812-135.pdf#page=8","Abrir facsímil")</f>
        <v>Abrir facsímil</v>
      </c>
      <c r="K6188" s="3" t="s">
        <v>23</v>
      </c>
    </row>
    <row r="6189" spans="1:11" ht="42" customHeight="1">
      <c r="A6189" s="2" t="s">
        <v>15608</v>
      </c>
      <c r="B6189" s="2" t="s">
        <v>15609</v>
      </c>
      <c r="C6189" s="2" t="s">
        <v>17</v>
      </c>
      <c r="D6189" s="2" t="s">
        <v>27</v>
      </c>
      <c r="E6189" s="4">
        <v>-32081</v>
      </c>
      <c r="F6189" s="3" t="s">
        <v>232</v>
      </c>
      <c r="G6189" s="3" t="s">
        <v>233</v>
      </c>
      <c r="H6189" s="2" t="s">
        <v>21</v>
      </c>
      <c r="I6189" s="2" t="s">
        <v>15610</v>
      </c>
      <c r="J6189" s="3" t="str">
        <f>HYPERLINK("https://www.boe.es/gazeta/dias/1812/02/29/pdfs/GRE-1812-27.pdf#page=8","Abrir facsímil")</f>
        <v>Abrir facsímil</v>
      </c>
      <c r="K6189" s="3" t="s">
        <v>23</v>
      </c>
    </row>
    <row r="6190" spans="1:11" ht="42" customHeight="1">
      <c r="A6190" s="2" t="s">
        <v>15611</v>
      </c>
      <c r="B6190" s="2" t="s">
        <v>15611</v>
      </c>
      <c r="C6190" s="2" t="s">
        <v>17</v>
      </c>
      <c r="D6190" s="2" t="s">
        <v>18</v>
      </c>
      <c r="E6190" s="4">
        <v>-32111</v>
      </c>
      <c r="F6190" s="3" t="s">
        <v>951</v>
      </c>
      <c r="G6190" s="3" t="s">
        <v>45</v>
      </c>
      <c r="H6190" s="2" t="s">
        <v>21</v>
      </c>
      <c r="I6190" s="2" t="s">
        <v>15612</v>
      </c>
      <c r="J6190" s="3" t="str">
        <f>HYPERLINK("https://www.boe.es/gazeta/dias/1812/01/30/pdfs/GMD-1812-30.pdf#page=4","Abrir facsímil")</f>
        <v>Abrir facsímil</v>
      </c>
      <c r="K6190" s="3" t="s">
        <v>23</v>
      </c>
    </row>
    <row r="6191" spans="1:11" ht="42" customHeight="1">
      <c r="A6191" s="2" t="s">
        <v>15613</v>
      </c>
      <c r="B6191" s="2" t="s">
        <v>15613</v>
      </c>
      <c r="C6191" s="2" t="s">
        <v>17</v>
      </c>
      <c r="D6191" s="2" t="s">
        <v>27</v>
      </c>
      <c r="E6191" s="4">
        <v>-32033</v>
      </c>
      <c r="F6191" s="3" t="s">
        <v>771</v>
      </c>
      <c r="G6191" s="3" t="s">
        <v>13197</v>
      </c>
      <c r="H6191" s="2" t="s">
        <v>21</v>
      </c>
      <c r="I6191" s="2" t="s">
        <v>15614</v>
      </c>
      <c r="J6191" s="3" t="str">
        <f>HYPERLINK("https://www.boe.es/gazeta/dias/1812/04/17/pdfs/GMD-1812-108.pdf#page=2","Abrir facsímil")</f>
        <v>Abrir facsímil</v>
      </c>
      <c r="K6191" s="3" t="s">
        <v>23</v>
      </c>
    </row>
    <row r="6192" spans="1:11" ht="42" customHeight="1">
      <c r="A6192" s="2" t="s">
        <v>15615</v>
      </c>
      <c r="B6192" s="2" t="s">
        <v>15616</v>
      </c>
      <c r="C6192" s="2" t="s">
        <v>17</v>
      </c>
      <c r="D6192" s="2" t="s">
        <v>27</v>
      </c>
      <c r="E6192" s="4">
        <v>-32062</v>
      </c>
      <c r="F6192" s="3" t="s">
        <v>280</v>
      </c>
      <c r="G6192" s="3" t="s">
        <v>20</v>
      </c>
      <c r="H6192" s="2" t="s">
        <v>21</v>
      </c>
      <c r="I6192" s="2" t="s">
        <v>15617</v>
      </c>
      <c r="J6192" s="3" t="str">
        <f>HYPERLINK("https://www.boe.es/gazeta/dias/1812/03/19/pdfs/GMD-1812-79.pdf#page=4","Abrir facsímil")</f>
        <v>Abrir facsímil</v>
      </c>
      <c r="K6192" s="3" t="s">
        <v>23</v>
      </c>
    </row>
    <row r="6193" spans="1:11" ht="42" customHeight="1">
      <c r="A6193" s="2" t="s">
        <v>15618</v>
      </c>
      <c r="B6193" s="2" t="s">
        <v>15619</v>
      </c>
      <c r="C6193" s="2" t="s">
        <v>26</v>
      </c>
      <c r="D6193" s="2" t="s">
        <v>27</v>
      </c>
      <c r="E6193" s="4">
        <v>-32034</v>
      </c>
      <c r="F6193" s="3" t="s">
        <v>28</v>
      </c>
      <c r="G6193" s="3" t="s">
        <v>130</v>
      </c>
      <c r="H6193" s="2" t="s">
        <v>21</v>
      </c>
      <c r="I6193" s="2" t="s">
        <v>15620</v>
      </c>
      <c r="J6193" s="3" t="str">
        <f>HYPERLINK("https://www.boe.es/gazeta/dias/1812/04/16/pdfs/GMD-1812-107.pdf#page=4","Abrir facsímil")</f>
        <v>Abrir facsímil</v>
      </c>
      <c r="K6193" s="3" t="s">
        <v>23</v>
      </c>
    </row>
    <row r="6194" spans="1:11" ht="42" customHeight="1">
      <c r="A6194" s="2" t="s">
        <v>15621</v>
      </c>
      <c r="B6194" s="2" t="s">
        <v>15622</v>
      </c>
      <c r="C6194" s="2" t="s">
        <v>26</v>
      </c>
      <c r="D6194" s="2" t="s">
        <v>27</v>
      </c>
      <c r="E6194" s="4">
        <v>-31976</v>
      </c>
      <c r="F6194" s="3" t="s">
        <v>54</v>
      </c>
      <c r="G6194" s="3" t="s">
        <v>55</v>
      </c>
      <c r="H6194" s="2" t="s">
        <v>21</v>
      </c>
      <c r="I6194" s="2" t="s">
        <v>15623</v>
      </c>
      <c r="J6194" s="3" t="str">
        <f>HYPERLINK("https://www.boe.es/gazeta/dias/1812/06/13/pdfs/GRE-1812-73.pdf#page=6","Abrir facsímil")</f>
        <v>Abrir facsímil</v>
      </c>
      <c r="K6194" s="3" t="s">
        <v>23</v>
      </c>
    </row>
    <row r="6195" spans="1:11" ht="42" customHeight="1">
      <c r="A6195" s="2" t="s">
        <v>15624</v>
      </c>
      <c r="B6195" s="2" t="s">
        <v>15624</v>
      </c>
      <c r="C6195" s="2" t="s">
        <v>17</v>
      </c>
      <c r="D6195" s="2" t="s">
        <v>18</v>
      </c>
      <c r="E6195" s="4">
        <v>-32035</v>
      </c>
      <c r="F6195" s="3" t="s">
        <v>2646</v>
      </c>
      <c r="G6195" s="3" t="s">
        <v>45</v>
      </c>
      <c r="H6195" s="2" t="s">
        <v>21</v>
      </c>
      <c r="I6195" s="2" t="s">
        <v>15625</v>
      </c>
      <c r="J6195" s="3" t="str">
        <f>HYPERLINK("https://www.boe.es/gazeta/dias/1812/04/15/pdfs/GMD-1812-106.pdf#page=3","Abrir facsímil")</f>
        <v>Abrir facsímil</v>
      </c>
      <c r="K6195" s="3" t="s">
        <v>23</v>
      </c>
    </row>
    <row r="6196" spans="1:11" ht="42" customHeight="1">
      <c r="A6196" s="2" t="s">
        <v>15626</v>
      </c>
      <c r="B6196" s="2" t="s">
        <v>15626</v>
      </c>
      <c r="C6196" s="2" t="s">
        <v>17</v>
      </c>
      <c r="D6196" s="2" t="s">
        <v>27</v>
      </c>
      <c r="E6196" s="4">
        <v>-32033</v>
      </c>
      <c r="F6196" s="3" t="s">
        <v>771</v>
      </c>
      <c r="G6196" s="3" t="s">
        <v>217</v>
      </c>
      <c r="H6196" s="2" t="s">
        <v>21</v>
      </c>
      <c r="I6196" s="2" t="s">
        <v>15627</v>
      </c>
      <c r="J6196" s="3" t="str">
        <f>HYPERLINK("https://www.boe.es/gazeta/dias/1812/04/17/pdfs/GMD-1812-108.pdf#page=3","Abrir facsímil")</f>
        <v>Abrir facsímil</v>
      </c>
      <c r="K6196" s="3" t="s">
        <v>23</v>
      </c>
    </row>
    <row r="6197" spans="1:11" ht="42" customHeight="1">
      <c r="A6197" s="2" t="s">
        <v>15628</v>
      </c>
      <c r="B6197" s="2" t="s">
        <v>15628</v>
      </c>
      <c r="C6197" s="2" t="s">
        <v>17</v>
      </c>
      <c r="D6197" s="2" t="s">
        <v>27</v>
      </c>
      <c r="E6197" s="4">
        <v>-32035</v>
      </c>
      <c r="F6197" s="3" t="s">
        <v>2646</v>
      </c>
      <c r="G6197" s="3" t="s">
        <v>45</v>
      </c>
      <c r="H6197" s="2" t="s">
        <v>21</v>
      </c>
      <c r="I6197" s="2" t="s">
        <v>15629</v>
      </c>
      <c r="J6197" s="3" t="str">
        <f>HYPERLINK("https://www.boe.es/gazeta/dias/1812/04/15/pdfs/GMD-1812-106.pdf#page=3","Abrir facsímil")</f>
        <v>Abrir facsímil</v>
      </c>
      <c r="K6197" s="3" t="s">
        <v>23</v>
      </c>
    </row>
    <row r="6198" spans="1:11" ht="42" customHeight="1">
      <c r="A6198" s="2" t="s">
        <v>15628</v>
      </c>
      <c r="B6198" s="2" t="s">
        <v>15628</v>
      </c>
      <c r="C6198" s="2" t="s">
        <v>17</v>
      </c>
      <c r="D6198" s="2" t="s">
        <v>275</v>
      </c>
      <c r="E6198" s="4">
        <v>-32035</v>
      </c>
      <c r="F6198" s="3" t="s">
        <v>2646</v>
      </c>
      <c r="G6198" s="3" t="s">
        <v>130</v>
      </c>
      <c r="H6198" s="2" t="s">
        <v>21</v>
      </c>
      <c r="I6198" s="2" t="s">
        <v>15630</v>
      </c>
      <c r="J6198" s="3" t="str">
        <f>HYPERLINK("https://www.boe.es/gazeta/dias/1812/04/15/pdfs/GMD-1812-106.pdf#page=4","Abrir facsímil")</f>
        <v>Abrir facsímil</v>
      </c>
      <c r="K6198" s="3" t="s">
        <v>23</v>
      </c>
    </row>
    <row r="6199" spans="1:11" ht="42" customHeight="1">
      <c r="A6199" s="2" t="s">
        <v>15628</v>
      </c>
      <c r="B6199" s="2" t="s">
        <v>15628</v>
      </c>
      <c r="C6199" s="2" t="s">
        <v>17</v>
      </c>
      <c r="D6199" s="2" t="s">
        <v>18</v>
      </c>
      <c r="E6199" s="4">
        <v>-32033</v>
      </c>
      <c r="F6199" s="3" t="s">
        <v>771</v>
      </c>
      <c r="G6199" s="3" t="s">
        <v>13197</v>
      </c>
      <c r="H6199" s="2" t="s">
        <v>21</v>
      </c>
      <c r="I6199" s="2" t="s">
        <v>15631</v>
      </c>
      <c r="J6199" s="3" t="str">
        <f>HYPERLINK("https://www.boe.es/gazeta/dias/1812/04/17/pdfs/GMD-1812-108.pdf#page=2","Abrir facsímil")</f>
        <v>Abrir facsímil</v>
      </c>
      <c r="K6199" s="3" t="s">
        <v>23</v>
      </c>
    </row>
    <row r="6200" spans="1:11" ht="42" customHeight="1">
      <c r="A6200" s="2" t="s">
        <v>15632</v>
      </c>
      <c r="B6200" s="2" t="s">
        <v>15632</v>
      </c>
      <c r="C6200" s="2" t="s">
        <v>17</v>
      </c>
      <c r="D6200" s="2" t="s">
        <v>18</v>
      </c>
      <c r="E6200" s="4">
        <v>-32033</v>
      </c>
      <c r="F6200" s="3" t="s">
        <v>771</v>
      </c>
      <c r="G6200" s="3" t="s">
        <v>217</v>
      </c>
      <c r="H6200" s="2" t="s">
        <v>21</v>
      </c>
      <c r="I6200" s="2" t="s">
        <v>15633</v>
      </c>
      <c r="J6200" s="3" t="str">
        <f>HYPERLINK("https://www.boe.es/gazeta/dias/1812/04/17/pdfs/GMD-1812-108.pdf#page=3","Abrir facsímil")</f>
        <v>Abrir facsímil</v>
      </c>
      <c r="K6200" s="3" t="s">
        <v>23</v>
      </c>
    </row>
    <row r="6201" spans="1:11" ht="42" customHeight="1">
      <c r="A6201" s="2" t="s">
        <v>15634</v>
      </c>
      <c r="B6201" s="2" t="s">
        <v>15635</v>
      </c>
      <c r="C6201" s="2" t="s">
        <v>26</v>
      </c>
      <c r="D6201" s="2" t="s">
        <v>27</v>
      </c>
      <c r="E6201" s="4">
        <v>-31940</v>
      </c>
      <c r="F6201" s="3" t="s">
        <v>187</v>
      </c>
      <c r="G6201" s="3" t="s">
        <v>404</v>
      </c>
      <c r="H6201" s="2" t="s">
        <v>21</v>
      </c>
      <c r="I6201" s="2" t="s">
        <v>15636</v>
      </c>
      <c r="J6201" s="3" t="str">
        <f>HYPERLINK("https://www.boe.es/gazeta/dias/1812/07/19/pdfs/GMD-1812-201.pdf#page=3","Abrir facsímil")</f>
        <v>Abrir facsímil</v>
      </c>
      <c r="K6201" s="3" t="s">
        <v>23</v>
      </c>
    </row>
    <row r="6202" spans="1:11" ht="42" customHeight="1">
      <c r="A6202" s="2" t="s">
        <v>15637</v>
      </c>
      <c r="B6202" s="2" t="s">
        <v>15638</v>
      </c>
      <c r="C6202" s="2" t="s">
        <v>186</v>
      </c>
      <c r="D6202" s="2" t="s">
        <v>27</v>
      </c>
      <c r="E6202" s="4">
        <v>-32034</v>
      </c>
      <c r="F6202" s="3" t="s">
        <v>28</v>
      </c>
      <c r="G6202" s="3" t="s">
        <v>29</v>
      </c>
      <c r="H6202" s="2" t="s">
        <v>21</v>
      </c>
      <c r="I6202" s="2" t="s">
        <v>15639</v>
      </c>
      <c r="J6202" s="3" t="str">
        <f>HYPERLINK("https://www.boe.es/gazeta/dias/1812/04/16/pdfs/GMD-1812-107.pdf#page=8","Abrir facsímil")</f>
        <v>Abrir facsímil</v>
      </c>
      <c r="K6202" s="3" t="s">
        <v>23</v>
      </c>
    </row>
    <row r="6203" spans="1:11" ht="42" customHeight="1">
      <c r="A6203" s="2" t="s">
        <v>15640</v>
      </c>
      <c r="B6203" s="2" t="s">
        <v>15641</v>
      </c>
      <c r="C6203" s="2" t="s">
        <v>26</v>
      </c>
      <c r="D6203" s="2" t="s">
        <v>27</v>
      </c>
      <c r="E6203" s="4">
        <v>-31821</v>
      </c>
      <c r="F6203" s="3" t="s">
        <v>1979</v>
      </c>
      <c r="G6203" s="3" t="s">
        <v>317</v>
      </c>
      <c r="H6203" s="2" t="s">
        <v>21</v>
      </c>
      <c r="I6203" s="2" t="s">
        <v>15642</v>
      </c>
      <c r="J6203" s="3" t="str">
        <f>HYPERLINK("https://www.boe.es/gazeta/dias/1812/11/15/pdfs/GMR-1812-34.pdf#page=6","Abrir facsímil")</f>
        <v>Abrir facsímil</v>
      </c>
      <c r="K6203" s="3" t="s">
        <v>23</v>
      </c>
    </row>
    <row r="6204" spans="1:11" ht="42" customHeight="1">
      <c r="A6204" s="2" t="s">
        <v>15643</v>
      </c>
      <c r="B6204" s="2" t="s">
        <v>15644</v>
      </c>
      <c r="C6204" s="2" t="s">
        <v>17</v>
      </c>
      <c r="D6204" s="2" t="s">
        <v>27</v>
      </c>
      <c r="E6204" s="4">
        <v>-32067</v>
      </c>
      <c r="F6204" s="3" t="s">
        <v>199</v>
      </c>
      <c r="G6204" s="3" t="s">
        <v>3583</v>
      </c>
      <c r="H6204" s="2" t="s">
        <v>21</v>
      </c>
      <c r="I6204" s="2" t="s">
        <v>15645</v>
      </c>
      <c r="J6204" s="3" t="str">
        <f>HYPERLINK("https://www.boe.es/gazeta/dias/1812/03/14/pdfs/GRE-1812-33.pdf#page=4","Abrir facsímil")</f>
        <v>Abrir facsímil</v>
      </c>
      <c r="K6204" s="3" t="s">
        <v>23</v>
      </c>
    </row>
    <row r="6205" spans="1:11" ht="42" customHeight="1">
      <c r="A6205" s="2" t="s">
        <v>15646</v>
      </c>
      <c r="B6205" s="2" t="s">
        <v>15646</v>
      </c>
      <c r="C6205" s="2" t="s">
        <v>26</v>
      </c>
      <c r="D6205" s="2" t="s">
        <v>27</v>
      </c>
      <c r="E6205" s="4">
        <v>-32076</v>
      </c>
      <c r="F6205" s="3" t="s">
        <v>1610</v>
      </c>
      <c r="G6205" s="3" t="s">
        <v>1611</v>
      </c>
      <c r="H6205" s="2" t="s">
        <v>21</v>
      </c>
      <c r="I6205" s="2" t="s">
        <v>15647</v>
      </c>
      <c r="J6205" s="3" t="str">
        <f>HYPERLINK("https://www.boe.es/gazeta/dias/1812/03/05/pdfs/GMD-1812-65.pdf#page=2","Abrir facsímil")</f>
        <v>Abrir facsímil</v>
      </c>
      <c r="K6205" s="3" t="s">
        <v>23</v>
      </c>
    </row>
    <row r="6206" spans="1:11" ht="42" customHeight="1">
      <c r="A6206" s="2" t="s">
        <v>15648</v>
      </c>
      <c r="B6206" s="2" t="s">
        <v>15649</v>
      </c>
      <c r="C6206" s="2" t="s">
        <v>26</v>
      </c>
      <c r="D6206" s="2" t="s">
        <v>27</v>
      </c>
      <c r="E6206" s="4">
        <v>-31992</v>
      </c>
      <c r="F6206" s="3" t="s">
        <v>1292</v>
      </c>
      <c r="G6206" s="3" t="s">
        <v>45</v>
      </c>
      <c r="H6206" s="2" t="s">
        <v>21</v>
      </c>
      <c r="I6206" s="2" t="s">
        <v>15650</v>
      </c>
      <c r="J6206" s="3" t="str">
        <f>HYPERLINK("https://www.boe.es/gazeta/dias/1812/05/28/pdfs/GRE-1812-66.pdf#page=3","Abrir facsímil")</f>
        <v>Abrir facsímil</v>
      </c>
      <c r="K6206" s="3" t="s">
        <v>23</v>
      </c>
    </row>
    <row r="6207" spans="1:11" ht="42" customHeight="1">
      <c r="A6207" s="2" t="s">
        <v>15651</v>
      </c>
      <c r="B6207" s="2" t="s">
        <v>15652</v>
      </c>
      <c r="C6207" s="2" t="s">
        <v>26</v>
      </c>
      <c r="D6207" s="2" t="s">
        <v>27</v>
      </c>
      <c r="E6207" s="4">
        <v>-32137</v>
      </c>
      <c r="F6207" s="3" t="s">
        <v>355</v>
      </c>
      <c r="G6207" s="3" t="s">
        <v>117</v>
      </c>
      <c r="H6207" s="2" t="s">
        <v>21</v>
      </c>
      <c r="I6207" s="2" t="s">
        <v>15653</v>
      </c>
      <c r="J6207" s="3" t="str">
        <f>HYPERLINK("https://www.boe.es/gazeta/dias/1812/01/04/pdfs/GEI-1812-2.pdf#page=8","Abrir facsímil")</f>
        <v>Abrir facsímil</v>
      </c>
      <c r="K6207" s="3" t="s">
        <v>23</v>
      </c>
    </row>
    <row r="6208" spans="1:11" ht="42" customHeight="1">
      <c r="A6208" s="2" t="s">
        <v>15654</v>
      </c>
      <c r="B6208" s="2" t="s">
        <v>15655</v>
      </c>
      <c r="C6208" s="2" t="s">
        <v>26</v>
      </c>
      <c r="D6208" s="2" t="s">
        <v>27</v>
      </c>
      <c r="E6208" s="4">
        <v>-32010</v>
      </c>
      <c r="F6208" s="3" t="s">
        <v>243</v>
      </c>
      <c r="G6208" s="3" t="s">
        <v>45</v>
      </c>
      <c r="H6208" s="2" t="s">
        <v>21</v>
      </c>
      <c r="I6208" s="2" t="s">
        <v>15656</v>
      </c>
      <c r="J6208" s="3" t="str">
        <f>HYPERLINK("https://www.boe.es/gazeta/dias/1812/05/10/pdfs/GMD-1812-131.pdf#page=3","Abrir facsímil")</f>
        <v>Abrir facsímil</v>
      </c>
      <c r="K6208" s="3" t="s">
        <v>23</v>
      </c>
    </row>
    <row r="6209" spans="1:11" ht="42" customHeight="1">
      <c r="A6209" s="2" t="s">
        <v>15657</v>
      </c>
      <c r="B6209" s="2" t="s">
        <v>15657</v>
      </c>
      <c r="C6209" s="2" t="s">
        <v>17</v>
      </c>
      <c r="D6209" s="2" t="s">
        <v>18</v>
      </c>
      <c r="E6209" s="4">
        <v>-32008</v>
      </c>
      <c r="F6209" s="3" t="s">
        <v>15658</v>
      </c>
      <c r="G6209" s="3" t="s">
        <v>15659</v>
      </c>
      <c r="H6209" s="2" t="s">
        <v>21</v>
      </c>
      <c r="I6209" s="2" t="s">
        <v>15660</v>
      </c>
      <c r="J6209" s="3" t="str">
        <f>HYPERLINK("https://www.boe.es/gazeta/dias/1812/05/12/pdfs/GMD-1812-133.pdf#page=1","Abrir facsímil")</f>
        <v>Abrir facsímil</v>
      </c>
      <c r="K6209" s="3" t="s">
        <v>23</v>
      </c>
    </row>
    <row r="6210" spans="1:11" ht="42" customHeight="1">
      <c r="A6210" s="2" t="s">
        <v>15661</v>
      </c>
      <c r="B6210" s="2" t="s">
        <v>15662</v>
      </c>
      <c r="C6210" s="2" t="s">
        <v>26</v>
      </c>
      <c r="D6210" s="2" t="s">
        <v>27</v>
      </c>
      <c r="E6210" s="4">
        <v>-32022</v>
      </c>
      <c r="F6210" s="3" t="s">
        <v>1186</v>
      </c>
      <c r="G6210" s="3" t="s">
        <v>336</v>
      </c>
      <c r="H6210" s="2" t="s">
        <v>21</v>
      </c>
      <c r="I6210" s="2" t="s">
        <v>15663</v>
      </c>
      <c r="J6210" s="3" t="str">
        <f>HYPERLINK("https://www.boe.es/gazeta/dias/1812/04/28/pdfs/GRE-1812-53.pdf#page=8","Abrir facsímil")</f>
        <v>Abrir facsímil</v>
      </c>
      <c r="K6210" s="3" t="s">
        <v>23</v>
      </c>
    </row>
    <row r="6211" spans="1:11" ht="42" customHeight="1">
      <c r="A6211" s="2" t="s">
        <v>15664</v>
      </c>
      <c r="B6211" s="2" t="s">
        <v>15665</v>
      </c>
      <c r="C6211" s="2" t="s">
        <v>17</v>
      </c>
      <c r="D6211" s="2" t="s">
        <v>18</v>
      </c>
      <c r="E6211" s="4">
        <v>-31980</v>
      </c>
      <c r="F6211" s="3" t="s">
        <v>40</v>
      </c>
      <c r="G6211" s="3" t="s">
        <v>41</v>
      </c>
      <c r="H6211" s="2" t="s">
        <v>21</v>
      </c>
      <c r="I6211" s="2" t="s">
        <v>15666</v>
      </c>
      <c r="J6211" s="3" t="str">
        <f>HYPERLINK("https://www.boe.es/gazeta/dias/1812/06/09/pdfs/GRE-1812-71.pdf#page=6","Abrir facsímil")</f>
        <v>Abrir facsímil</v>
      </c>
      <c r="K6211" s="3" t="s">
        <v>23</v>
      </c>
    </row>
    <row r="6212" spans="1:11" ht="42" customHeight="1">
      <c r="A6212" s="2" t="s">
        <v>15667</v>
      </c>
      <c r="B6212" s="2" t="s">
        <v>15668</v>
      </c>
      <c r="C6212" s="2" t="s">
        <v>49</v>
      </c>
      <c r="D6212" s="2" t="s">
        <v>18</v>
      </c>
      <c r="E6212" s="4">
        <v>-32018</v>
      </c>
      <c r="F6212" s="3" t="s">
        <v>365</v>
      </c>
      <c r="G6212" s="3" t="s">
        <v>366</v>
      </c>
      <c r="H6212" s="2" t="s">
        <v>21</v>
      </c>
      <c r="I6212" s="2" t="s">
        <v>15669</v>
      </c>
      <c r="J6212" s="3" t="str">
        <f>HYPERLINK("https://www.boe.es/gazeta/dias/1812/05/02/pdfs/GRE-1812-55.pdf#page=3","Abrir facsímil")</f>
        <v>Abrir facsímil</v>
      </c>
      <c r="K6212" s="3" t="s">
        <v>23</v>
      </c>
    </row>
    <row r="6213" spans="1:11" ht="42" customHeight="1">
      <c r="A6213" s="2" t="s">
        <v>15670</v>
      </c>
      <c r="B6213" s="2" t="s">
        <v>15671</v>
      </c>
      <c r="C6213" s="2" t="s">
        <v>17</v>
      </c>
      <c r="D6213" s="2" t="s">
        <v>27</v>
      </c>
      <c r="E6213" s="4">
        <v>-32013</v>
      </c>
      <c r="F6213" s="3" t="s">
        <v>849</v>
      </c>
      <c r="G6213" s="3" t="s">
        <v>1154</v>
      </c>
      <c r="H6213" s="2" t="s">
        <v>21</v>
      </c>
      <c r="I6213" s="2" t="s">
        <v>15672</v>
      </c>
      <c r="J6213" s="3" t="str">
        <f>HYPERLINK("https://www.boe.es/gazeta/dias/1812/05/07/pdfs/GRE-1812-57.pdf#page=6","Abrir facsímil")</f>
        <v>Abrir facsímil</v>
      </c>
      <c r="K6213" s="3" t="s">
        <v>23</v>
      </c>
    </row>
    <row r="6214" spans="1:11" ht="42" customHeight="1">
      <c r="A6214" s="2" t="s">
        <v>15673</v>
      </c>
      <c r="B6214" s="2" t="s">
        <v>15673</v>
      </c>
      <c r="C6214" s="2" t="s">
        <v>17</v>
      </c>
      <c r="D6214" s="2" t="s">
        <v>18</v>
      </c>
      <c r="E6214" s="4">
        <v>-32041</v>
      </c>
      <c r="F6214" s="3" t="s">
        <v>35</v>
      </c>
      <c r="G6214" s="3" t="s">
        <v>13719</v>
      </c>
      <c r="H6214" s="2" t="s">
        <v>21</v>
      </c>
      <c r="I6214" s="2" t="s">
        <v>15674</v>
      </c>
      <c r="J6214" s="3" t="str">
        <f>HYPERLINK("https://www.boe.es/gazeta/dias/1812/04/09/pdfs/GRE-1812-44.pdf#page=4","Abrir facsímil")</f>
        <v>Abrir facsímil</v>
      </c>
      <c r="K6214" s="3" t="s">
        <v>23</v>
      </c>
    </row>
    <row r="6215" spans="1:11" ht="42" customHeight="1">
      <c r="A6215" s="2" t="s">
        <v>15675</v>
      </c>
      <c r="B6215" s="2" t="s">
        <v>15676</v>
      </c>
      <c r="C6215" s="2" t="s">
        <v>17</v>
      </c>
      <c r="D6215" s="2" t="s">
        <v>27</v>
      </c>
      <c r="E6215" s="4">
        <v>-31990</v>
      </c>
      <c r="F6215" s="3" t="s">
        <v>629</v>
      </c>
      <c r="G6215" s="3" t="s">
        <v>514</v>
      </c>
      <c r="H6215" s="2" t="s">
        <v>21</v>
      </c>
      <c r="I6215" s="2" t="s">
        <v>15677</v>
      </c>
      <c r="J6215" s="3" t="str">
        <f>HYPERLINK("https://www.boe.es/gazeta/dias/1812/05/30/pdfs/GMD-1812-151.pdf#page=3","Abrir facsímil")</f>
        <v>Abrir facsímil</v>
      </c>
      <c r="K6215" s="3" t="s">
        <v>23</v>
      </c>
    </row>
    <row r="6216" spans="1:11" ht="42" customHeight="1">
      <c r="A6216" s="2" t="s">
        <v>15678</v>
      </c>
      <c r="B6216" s="2" t="s">
        <v>15678</v>
      </c>
      <c r="C6216" s="2" t="s">
        <v>17</v>
      </c>
      <c r="D6216" s="2" t="s">
        <v>18</v>
      </c>
      <c r="E6216" s="4">
        <v>-31878</v>
      </c>
      <c r="F6216" s="3" t="s">
        <v>1831</v>
      </c>
      <c r="G6216" s="3" t="s">
        <v>20</v>
      </c>
      <c r="H6216" s="2" t="s">
        <v>21</v>
      </c>
      <c r="I6216" s="2" t="s">
        <v>15679</v>
      </c>
      <c r="J6216" s="3" t="str">
        <f>HYPERLINK("https://www.boe.es/gazeta/dias/1812/09/19/pdfs/GMR-1812-16.pdf#page=2","Abrir facsímil")</f>
        <v>Abrir facsímil</v>
      </c>
      <c r="K6216" s="3" t="s">
        <v>23</v>
      </c>
    </row>
    <row r="6217" spans="1:11" ht="42" customHeight="1">
      <c r="A6217" s="2" t="s">
        <v>15680</v>
      </c>
      <c r="B6217" s="2" t="s">
        <v>15681</v>
      </c>
      <c r="C6217" s="2" t="s">
        <v>26</v>
      </c>
      <c r="D6217" s="2" t="s">
        <v>27</v>
      </c>
      <c r="E6217" s="4">
        <v>-32069</v>
      </c>
      <c r="F6217" s="3" t="s">
        <v>445</v>
      </c>
      <c r="G6217" s="3" t="s">
        <v>623</v>
      </c>
      <c r="H6217" s="2" t="s">
        <v>21</v>
      </c>
      <c r="I6217" s="2" t="s">
        <v>15682</v>
      </c>
      <c r="J6217" s="3" t="str">
        <f>HYPERLINK("https://www.boe.es/gazeta/dias/1812/03/12/pdfs/GRE-1812-32.pdf#page=7","Abrir facsímil")</f>
        <v>Abrir facsímil</v>
      </c>
      <c r="K6217" s="3" t="s">
        <v>23</v>
      </c>
    </row>
    <row r="6218" spans="1:11" ht="42" customHeight="1">
      <c r="A6218" s="2" t="s">
        <v>15683</v>
      </c>
      <c r="B6218" s="2" t="s">
        <v>15684</v>
      </c>
      <c r="C6218" s="2" t="s">
        <v>17</v>
      </c>
      <c r="D6218" s="2" t="s">
        <v>18</v>
      </c>
      <c r="E6218" s="4">
        <v>-32033</v>
      </c>
      <c r="F6218" s="3" t="s">
        <v>771</v>
      </c>
      <c r="G6218" s="3" t="s">
        <v>130</v>
      </c>
      <c r="H6218" s="2" t="s">
        <v>21</v>
      </c>
      <c r="I6218" s="2" t="s">
        <v>15685</v>
      </c>
      <c r="J6218" s="3" t="str">
        <f>HYPERLINK("https://www.boe.es/gazeta/dias/1812/04/17/pdfs/GMD-1812-108.pdf#page=4","Abrir facsímil")</f>
        <v>Abrir facsímil</v>
      </c>
      <c r="K6218" s="3" t="s">
        <v>23</v>
      </c>
    </row>
    <row r="6219" spans="1:11" ht="42" customHeight="1">
      <c r="A6219" s="2" t="s">
        <v>15686</v>
      </c>
      <c r="B6219" s="2" t="s">
        <v>15686</v>
      </c>
      <c r="C6219" s="2" t="s">
        <v>26</v>
      </c>
      <c r="D6219" s="2" t="s">
        <v>275</v>
      </c>
      <c r="E6219" s="4">
        <v>-31868</v>
      </c>
      <c r="F6219" s="3" t="s">
        <v>1833</v>
      </c>
      <c r="G6219" s="3" t="s">
        <v>20</v>
      </c>
      <c r="H6219" s="2" t="s">
        <v>21</v>
      </c>
      <c r="I6219" s="2" t="s">
        <v>15687</v>
      </c>
      <c r="J6219" s="3" t="str">
        <f>HYPERLINK("https://www.boe.es/gazeta/dias/1812/09/29/pdfs/GMR-1812-20.pdf#page=6","Abrir facsímil")</f>
        <v>Abrir facsímil</v>
      </c>
      <c r="K6219" s="3" t="s">
        <v>23</v>
      </c>
    </row>
    <row r="6220" spans="1:11" ht="42" customHeight="1">
      <c r="A6220" s="2" t="s">
        <v>15688</v>
      </c>
      <c r="B6220" s="2" t="s">
        <v>15689</v>
      </c>
      <c r="C6220" s="2" t="s">
        <v>26</v>
      </c>
      <c r="D6220" s="2" t="s">
        <v>27</v>
      </c>
      <c r="E6220" s="4">
        <v>-32019</v>
      </c>
      <c r="F6220" s="3" t="s">
        <v>476</v>
      </c>
      <c r="G6220" s="3" t="s">
        <v>404</v>
      </c>
      <c r="H6220" s="2" t="s">
        <v>21</v>
      </c>
      <c r="I6220" s="2" t="s">
        <v>15690</v>
      </c>
      <c r="J6220" s="3" t="str">
        <f>HYPERLINK("https://www.boe.es/gazeta/dias/1812/05/01/pdfs/GMD-1812-122.pdf#page=3","Abrir facsímil")</f>
        <v>Abrir facsímil</v>
      </c>
      <c r="K6220" s="3" t="s">
        <v>23</v>
      </c>
    </row>
    <row r="6221" spans="1:11" ht="42" customHeight="1">
      <c r="A6221" s="2" t="s">
        <v>15688</v>
      </c>
      <c r="B6221" s="2" t="s">
        <v>15689</v>
      </c>
      <c r="C6221" s="2" t="s">
        <v>26</v>
      </c>
      <c r="D6221" s="2" t="s">
        <v>275</v>
      </c>
      <c r="E6221" s="4">
        <v>-31962</v>
      </c>
      <c r="F6221" s="3" t="s">
        <v>643</v>
      </c>
      <c r="G6221" s="3" t="s">
        <v>644</v>
      </c>
      <c r="H6221" s="2" t="s">
        <v>21</v>
      </c>
      <c r="I6221" s="2" t="s">
        <v>15691</v>
      </c>
      <c r="J6221" s="3" t="str">
        <f>HYPERLINK("https://www.boe.es/gazeta/dias/1812/06/27/pdfs/GMD-1812-179.pdf#page=2","Abrir facsímil")</f>
        <v>Abrir facsímil</v>
      </c>
      <c r="K6221" s="3" t="s">
        <v>23</v>
      </c>
    </row>
    <row r="6222" spans="1:11" ht="42" customHeight="1">
      <c r="A6222" s="2" t="s">
        <v>15692</v>
      </c>
      <c r="B6222" s="2" t="s">
        <v>15693</v>
      </c>
      <c r="C6222" s="2" t="s">
        <v>26</v>
      </c>
      <c r="D6222" s="2" t="s">
        <v>27</v>
      </c>
      <c r="E6222" s="4">
        <v>-32139</v>
      </c>
      <c r="F6222" s="3" t="s">
        <v>518</v>
      </c>
      <c r="G6222" s="3" t="s">
        <v>125</v>
      </c>
      <c r="H6222" s="2" t="s">
        <v>21</v>
      </c>
      <c r="I6222" s="2" t="s">
        <v>15694</v>
      </c>
      <c r="J6222" s="3" t="str">
        <f>HYPERLINK("https://www.boe.es/gazeta/dias/1812/01/02/pdfs/GEI-1812-1.pdf#page=8","Abrir facsímil")</f>
        <v>Abrir facsímil</v>
      </c>
      <c r="K6222" s="3" t="s">
        <v>23</v>
      </c>
    </row>
    <row r="6223" spans="1:11" ht="42" customHeight="1">
      <c r="A6223" s="2" t="s">
        <v>15695</v>
      </c>
      <c r="B6223" s="2" t="s">
        <v>15696</v>
      </c>
      <c r="C6223" s="2" t="s">
        <v>49</v>
      </c>
      <c r="D6223" s="2" t="s">
        <v>27</v>
      </c>
      <c r="E6223" s="4">
        <v>-32075</v>
      </c>
      <c r="F6223" s="3" t="s">
        <v>301</v>
      </c>
      <c r="G6223" s="3" t="s">
        <v>20</v>
      </c>
      <c r="H6223" s="2" t="s">
        <v>21</v>
      </c>
      <c r="I6223" s="2" t="s">
        <v>15697</v>
      </c>
      <c r="J6223" s="3" t="str">
        <f>HYPERLINK("https://www.boe.es/gazeta/dias/1812/03/06/pdfs/GMD-1812-66.pdf#page=4","Abrir facsímil")</f>
        <v>Abrir facsímil</v>
      </c>
      <c r="K6223" s="3" t="s">
        <v>23</v>
      </c>
    </row>
    <row r="6224" spans="1:11" ht="42" customHeight="1">
      <c r="A6224" s="2" t="s">
        <v>15698</v>
      </c>
      <c r="B6224" s="2" t="s">
        <v>15699</v>
      </c>
      <c r="C6224" s="2" t="s">
        <v>26</v>
      </c>
      <c r="D6224" s="2" t="s">
        <v>27</v>
      </c>
      <c r="E6224" s="4">
        <v>-31936</v>
      </c>
      <c r="F6224" s="3" t="s">
        <v>614</v>
      </c>
      <c r="G6224" s="3" t="s">
        <v>615</v>
      </c>
      <c r="H6224" s="2" t="s">
        <v>21</v>
      </c>
      <c r="I6224" s="2" t="s">
        <v>15700</v>
      </c>
      <c r="J6224" s="3" t="str">
        <f>HYPERLINK("https://www.boe.es/gazeta/dias/1812/07/23/pdfs/GRE-1812-92.pdf#page=8","Abrir facsímil")</f>
        <v>Abrir facsímil</v>
      </c>
      <c r="K6224" s="3" t="s">
        <v>23</v>
      </c>
    </row>
    <row r="6225" spans="1:11" ht="42" customHeight="1">
      <c r="A6225" s="2" t="s">
        <v>15701</v>
      </c>
      <c r="B6225" s="2" t="s">
        <v>15701</v>
      </c>
      <c r="C6225" s="2" t="s">
        <v>17</v>
      </c>
      <c r="D6225" s="2" t="s">
        <v>27</v>
      </c>
      <c r="E6225" s="4">
        <v>-31969</v>
      </c>
      <c r="F6225" s="3" t="s">
        <v>83</v>
      </c>
      <c r="G6225" s="3" t="s">
        <v>10941</v>
      </c>
      <c r="H6225" s="2" t="s">
        <v>21</v>
      </c>
      <c r="I6225" s="2" t="s">
        <v>15702</v>
      </c>
      <c r="J6225" s="3" t="str">
        <f>HYPERLINK("https://www.boe.es/gazeta/dias/1812/06/20/pdfs/GRE-1812-76.pdf#page=6","Abrir facsímil")</f>
        <v>Abrir facsímil</v>
      </c>
      <c r="K6225" s="3" t="s">
        <v>23</v>
      </c>
    </row>
    <row r="6226" spans="1:11" ht="42" customHeight="1">
      <c r="A6226" s="2" t="s">
        <v>15703</v>
      </c>
      <c r="B6226" s="2" t="s">
        <v>15704</v>
      </c>
      <c r="C6226" s="2" t="s">
        <v>26</v>
      </c>
      <c r="D6226" s="2" t="s">
        <v>27</v>
      </c>
      <c r="E6226" s="4">
        <v>-32114</v>
      </c>
      <c r="F6226" s="3" t="s">
        <v>480</v>
      </c>
      <c r="G6226" s="3" t="s">
        <v>481</v>
      </c>
      <c r="H6226" s="2" t="s">
        <v>21</v>
      </c>
      <c r="I6226" s="2" t="s">
        <v>15705</v>
      </c>
      <c r="J6226" s="3" t="str">
        <f>HYPERLINK("https://www.boe.es/gazeta/dias/1812/01/27/pdfs/GMD-1812-27.pdf#page=4","Abrir facsímil")</f>
        <v>Abrir facsímil</v>
      </c>
      <c r="K6226" s="3" t="s">
        <v>23</v>
      </c>
    </row>
    <row r="6227" spans="1:11" ht="42" customHeight="1">
      <c r="A6227" s="2" t="s">
        <v>15706</v>
      </c>
      <c r="B6227" s="2" t="s">
        <v>15707</v>
      </c>
      <c r="C6227" s="2" t="s">
        <v>26</v>
      </c>
      <c r="D6227" s="2" t="s">
        <v>27</v>
      </c>
      <c r="E6227" s="4">
        <v>-32034</v>
      </c>
      <c r="F6227" s="3" t="s">
        <v>28</v>
      </c>
      <c r="G6227" s="3" t="s">
        <v>29</v>
      </c>
      <c r="H6227" s="2" t="s">
        <v>21</v>
      </c>
      <c r="I6227" s="2" t="s">
        <v>15708</v>
      </c>
      <c r="J6227" s="3" t="str">
        <f>HYPERLINK("https://www.boe.es/gazeta/dias/1812/04/16/pdfs/GMD-1812-107.pdf#page=8","Abrir facsímil")</f>
        <v>Abrir facsímil</v>
      </c>
      <c r="K6227" s="3" t="s">
        <v>23</v>
      </c>
    </row>
    <row r="6228" spans="1:11" ht="42" customHeight="1">
      <c r="A6228" s="2" t="s">
        <v>15709</v>
      </c>
      <c r="B6228" s="2" t="s">
        <v>15710</v>
      </c>
      <c r="C6228" s="2" t="s">
        <v>26</v>
      </c>
      <c r="D6228" s="2" t="s">
        <v>27</v>
      </c>
      <c r="E6228" s="4">
        <v>-31939</v>
      </c>
      <c r="F6228" s="3" t="s">
        <v>408</v>
      </c>
      <c r="G6228" s="3" t="s">
        <v>20</v>
      </c>
      <c r="H6228" s="2" t="s">
        <v>21</v>
      </c>
      <c r="I6228" s="2" t="s">
        <v>15711</v>
      </c>
      <c r="J6228" s="3" t="str">
        <f>HYPERLINK("https://www.boe.es/gazeta/dias/1812/07/20/pdfs/GMD-1812-202.pdf#page=4","Abrir facsímil")</f>
        <v>Abrir facsímil</v>
      </c>
      <c r="K6228" s="3" t="s">
        <v>23</v>
      </c>
    </row>
    <row r="6229" spans="1:11" ht="42" customHeight="1">
      <c r="A6229" s="2" t="s">
        <v>15712</v>
      </c>
      <c r="B6229" s="2" t="s">
        <v>15713</v>
      </c>
      <c r="C6229" s="2" t="s">
        <v>17</v>
      </c>
      <c r="D6229" s="2" t="s">
        <v>18</v>
      </c>
      <c r="E6229" s="4">
        <v>-32069</v>
      </c>
      <c r="F6229" s="3" t="s">
        <v>445</v>
      </c>
      <c r="G6229" s="3" t="s">
        <v>446</v>
      </c>
      <c r="H6229" s="2" t="s">
        <v>21</v>
      </c>
      <c r="I6229" s="2" t="s">
        <v>15714</v>
      </c>
      <c r="J6229" s="3" t="str">
        <f>HYPERLINK("https://www.boe.es/gazeta/dias/1812/03/12/pdfs/GRE-1812-32.pdf#page=8","Abrir facsímil")</f>
        <v>Abrir facsímil</v>
      </c>
      <c r="K6229" s="3" t="s">
        <v>23</v>
      </c>
    </row>
    <row r="6230" spans="1:11" ht="42" customHeight="1">
      <c r="A6230" s="2" t="s">
        <v>15715</v>
      </c>
      <c r="B6230" s="2" t="s">
        <v>15716</v>
      </c>
      <c r="C6230" s="2" t="s">
        <v>17</v>
      </c>
      <c r="D6230" s="2" t="s">
        <v>27</v>
      </c>
      <c r="E6230" s="4">
        <v>-31843</v>
      </c>
      <c r="F6230" s="3" t="s">
        <v>6436</v>
      </c>
      <c r="G6230" s="3" t="s">
        <v>15717</v>
      </c>
      <c r="H6230" s="2" t="s">
        <v>21</v>
      </c>
      <c r="I6230" s="2" t="s">
        <v>15718</v>
      </c>
      <c r="J6230" s="3" t="str">
        <f>HYPERLINK("https://www.boe.es/gazeta/dias/1812/10/24/pdfs/GRE-1812-143.pdf#page=2","Abrir facsímil")</f>
        <v>Abrir facsímil</v>
      </c>
      <c r="K6230" s="3" t="s">
        <v>23</v>
      </c>
    </row>
    <row r="6231" spans="1:11" ht="42" customHeight="1">
      <c r="A6231" s="2" t="s">
        <v>15719</v>
      </c>
      <c r="B6231" s="2" t="s">
        <v>15720</v>
      </c>
      <c r="C6231" s="2" t="s">
        <v>26</v>
      </c>
      <c r="D6231" s="2" t="s">
        <v>27</v>
      </c>
      <c r="E6231" s="4">
        <v>-32059</v>
      </c>
      <c r="F6231" s="3" t="s">
        <v>2531</v>
      </c>
      <c r="G6231" s="3" t="s">
        <v>2532</v>
      </c>
      <c r="H6231" s="2" t="s">
        <v>21</v>
      </c>
      <c r="I6231" s="2" t="s">
        <v>15721</v>
      </c>
      <c r="J6231" s="3" t="str">
        <f>HYPERLINK("https://www.boe.es/gazeta/dias/1812/03/22/pdfs/GMD-1812-82.pdf#page=4","Abrir facsímil")</f>
        <v>Abrir facsímil</v>
      </c>
      <c r="K6231" s="3" t="s">
        <v>23</v>
      </c>
    </row>
    <row r="6232" spans="1:11" ht="42" customHeight="1">
      <c r="A6232" s="2" t="s">
        <v>15722</v>
      </c>
      <c r="B6232" s="2" t="s">
        <v>15723</v>
      </c>
      <c r="C6232" s="2" t="s">
        <v>26</v>
      </c>
      <c r="D6232" s="2" t="s">
        <v>27</v>
      </c>
      <c r="E6232" s="4">
        <v>-32034</v>
      </c>
      <c r="F6232" s="3" t="s">
        <v>28</v>
      </c>
      <c r="G6232" s="3" t="s">
        <v>20</v>
      </c>
      <c r="H6232" s="2" t="s">
        <v>21</v>
      </c>
      <c r="I6232" s="2" t="s">
        <v>15724</v>
      </c>
      <c r="J6232" s="3" t="str">
        <f>HYPERLINK("https://www.boe.es/gazeta/dias/1812/04/16/pdfs/GMD-1812-107.pdf#page=3","Abrir facsímil")</f>
        <v>Abrir facsímil</v>
      </c>
      <c r="K6232" s="3" t="s">
        <v>23</v>
      </c>
    </row>
    <row r="6233" spans="1:11" ht="42" customHeight="1">
      <c r="A6233" s="2" t="s">
        <v>15725</v>
      </c>
      <c r="B6233" s="2" t="s">
        <v>15726</v>
      </c>
      <c r="C6233" s="2" t="s">
        <v>26</v>
      </c>
      <c r="D6233" s="2" t="s">
        <v>27</v>
      </c>
      <c r="E6233" s="4">
        <v>-32114</v>
      </c>
      <c r="F6233" s="3" t="s">
        <v>480</v>
      </c>
      <c r="G6233" s="3" t="s">
        <v>481</v>
      </c>
      <c r="H6233" s="2" t="s">
        <v>21</v>
      </c>
      <c r="I6233" s="2" t="s">
        <v>15727</v>
      </c>
      <c r="J6233" s="3" t="str">
        <f>HYPERLINK("https://www.boe.es/gazeta/dias/1812/01/27/pdfs/GMD-1812-27.pdf#page=4","Abrir facsímil")</f>
        <v>Abrir facsímil</v>
      </c>
      <c r="K6233" s="3" t="s">
        <v>23</v>
      </c>
    </row>
    <row r="6234" spans="1:11" ht="42" customHeight="1">
      <c r="A6234" s="2" t="s">
        <v>15728</v>
      </c>
      <c r="B6234" s="2" t="s">
        <v>15729</v>
      </c>
      <c r="C6234" s="2" t="s">
        <v>17</v>
      </c>
      <c r="D6234" s="2" t="s">
        <v>275</v>
      </c>
      <c r="E6234" s="4">
        <v>-32114</v>
      </c>
      <c r="F6234" s="3" t="s">
        <v>480</v>
      </c>
      <c r="G6234" s="3" t="s">
        <v>481</v>
      </c>
      <c r="H6234" s="2" t="s">
        <v>21</v>
      </c>
      <c r="I6234" s="2" t="s">
        <v>15730</v>
      </c>
      <c r="J6234" s="3" t="str">
        <f>HYPERLINK("https://www.boe.es/gazeta/dias/1812/01/27/pdfs/GMD-1812-27.pdf#page=4","Abrir facsímil")</f>
        <v>Abrir facsímil</v>
      </c>
      <c r="K6234" s="3" t="s">
        <v>23</v>
      </c>
    </row>
    <row r="6235" spans="1:11" ht="42" customHeight="1">
      <c r="A6235" s="2" t="s">
        <v>15731</v>
      </c>
      <c r="B6235" s="2" t="s">
        <v>15732</v>
      </c>
      <c r="C6235" s="2" t="s">
        <v>26</v>
      </c>
      <c r="D6235" s="2" t="s">
        <v>27</v>
      </c>
      <c r="E6235" s="4">
        <v>-32034</v>
      </c>
      <c r="F6235" s="3" t="s">
        <v>28</v>
      </c>
      <c r="G6235" s="3" t="s">
        <v>130</v>
      </c>
      <c r="H6235" s="2" t="s">
        <v>21</v>
      </c>
      <c r="I6235" s="2" t="s">
        <v>15733</v>
      </c>
      <c r="J6235" s="3" t="str">
        <f>HYPERLINK("https://www.boe.es/gazeta/dias/1812/04/16/pdfs/GMD-1812-107.pdf#page=4","Abrir facsímil")</f>
        <v>Abrir facsímil</v>
      </c>
      <c r="K6235" s="3" t="s">
        <v>23</v>
      </c>
    </row>
    <row r="6236" spans="1:11" ht="42" customHeight="1">
      <c r="A6236" s="2" t="s">
        <v>15734</v>
      </c>
      <c r="B6236" s="2" t="s">
        <v>15735</v>
      </c>
      <c r="C6236" s="2" t="s">
        <v>17</v>
      </c>
      <c r="D6236" s="2" t="s">
        <v>27</v>
      </c>
      <c r="E6236" s="4">
        <v>-32041</v>
      </c>
      <c r="F6236" s="3" t="s">
        <v>35</v>
      </c>
      <c r="G6236" s="3" t="s">
        <v>13719</v>
      </c>
      <c r="H6236" s="2" t="s">
        <v>21</v>
      </c>
      <c r="I6236" s="2" t="s">
        <v>15736</v>
      </c>
      <c r="J6236" s="3" t="str">
        <f>HYPERLINK("https://www.boe.es/gazeta/dias/1812/04/09/pdfs/GRE-1812-44.pdf#page=4","Abrir facsímil")</f>
        <v>Abrir facsímil</v>
      </c>
      <c r="K6236" s="3" t="s">
        <v>23</v>
      </c>
    </row>
    <row r="6237" spans="1:11" ht="42" customHeight="1">
      <c r="A6237" s="2" t="s">
        <v>15737</v>
      </c>
      <c r="B6237" s="2" t="s">
        <v>15737</v>
      </c>
      <c r="C6237" s="2" t="s">
        <v>17</v>
      </c>
      <c r="D6237" s="2" t="s">
        <v>194</v>
      </c>
      <c r="E6237" s="4">
        <v>-31995</v>
      </c>
      <c r="F6237" s="3" t="s">
        <v>100</v>
      </c>
      <c r="G6237" s="3" t="s">
        <v>101</v>
      </c>
      <c r="H6237" s="2" t="s">
        <v>21</v>
      </c>
      <c r="I6237" s="2" t="s">
        <v>15738</v>
      </c>
      <c r="J6237" s="3" t="str">
        <f>HYPERLINK("https://www.boe.es/gazeta/dias/1812/05/25/pdfs/GMD-1812-146.pdf#page=1","Abrir facsímil")</f>
        <v>Abrir facsímil</v>
      </c>
      <c r="K6237" s="3" t="s">
        <v>23</v>
      </c>
    </row>
    <row r="6238" spans="1:11" ht="42" customHeight="1">
      <c r="A6238" s="2" t="s">
        <v>15739</v>
      </c>
      <c r="B6238" s="2" t="s">
        <v>15740</v>
      </c>
      <c r="C6238" s="2" t="s">
        <v>17</v>
      </c>
      <c r="D6238" s="2" t="s">
        <v>27</v>
      </c>
      <c r="E6238" s="4">
        <v>-32046</v>
      </c>
      <c r="F6238" s="3" t="s">
        <v>1013</v>
      </c>
      <c r="G6238" s="3" t="s">
        <v>1014</v>
      </c>
      <c r="H6238" s="2" t="s">
        <v>21</v>
      </c>
      <c r="I6238" s="2" t="s">
        <v>15741</v>
      </c>
      <c r="J6238" s="3" t="str">
        <f>HYPERLINK("https://www.boe.es/gazeta/dias/1812/04/04/pdfs/GRE-1812-42.pdf#page=4","Abrir facsímil")</f>
        <v>Abrir facsímil</v>
      </c>
      <c r="K6238" s="3" t="s">
        <v>23</v>
      </c>
    </row>
    <row r="6239" spans="1:11" ht="42" customHeight="1">
      <c r="A6239" s="2" t="s">
        <v>15742</v>
      </c>
      <c r="B6239" s="2" t="s">
        <v>15743</v>
      </c>
      <c r="C6239" s="2" t="s">
        <v>186</v>
      </c>
      <c r="D6239" s="2" t="s">
        <v>275</v>
      </c>
      <c r="E6239" s="4">
        <v>-32090</v>
      </c>
      <c r="F6239" s="3" t="s">
        <v>142</v>
      </c>
      <c r="G6239" s="3" t="s">
        <v>29</v>
      </c>
      <c r="H6239" s="2" t="s">
        <v>21</v>
      </c>
      <c r="I6239" s="2" t="s">
        <v>15744</v>
      </c>
      <c r="J6239" s="3" t="str">
        <f>HYPERLINK("https://www.boe.es/gazeta/dias/1812/02/20/pdfs/GRE-1812-22.pdf#page=8","Abrir facsímil")</f>
        <v>Abrir facsímil</v>
      </c>
      <c r="K6239" s="3" t="s">
        <v>23</v>
      </c>
    </row>
    <row r="6240" spans="1:11" ht="42" customHeight="1">
      <c r="A6240" s="2" t="s">
        <v>15745</v>
      </c>
      <c r="B6240" s="2" t="s">
        <v>15746</v>
      </c>
      <c r="C6240" s="2" t="s">
        <v>26</v>
      </c>
      <c r="D6240" s="2" t="s">
        <v>27</v>
      </c>
      <c r="E6240" s="4">
        <v>-31938</v>
      </c>
      <c r="F6240" s="3" t="s">
        <v>370</v>
      </c>
      <c r="G6240" s="3" t="s">
        <v>371</v>
      </c>
      <c r="H6240" s="2" t="s">
        <v>21</v>
      </c>
      <c r="I6240" s="2" t="s">
        <v>15747</v>
      </c>
      <c r="J6240" s="3" t="str">
        <f>HYPERLINK("https://www.boe.es/gazeta/dias/1812/07/21/pdfs/GRE-1812-91.pdf#page=8","Abrir facsímil")</f>
        <v>Abrir facsímil</v>
      </c>
      <c r="K6240" s="3" t="s">
        <v>23</v>
      </c>
    </row>
    <row r="6241" spans="1:11" ht="42" customHeight="1">
      <c r="A6241" s="2" t="s">
        <v>15748</v>
      </c>
      <c r="B6241" s="2" t="s">
        <v>15749</v>
      </c>
      <c r="C6241" s="2" t="s">
        <v>17</v>
      </c>
      <c r="D6241" s="2" t="s">
        <v>18</v>
      </c>
      <c r="E6241" s="4">
        <v>-32090</v>
      </c>
      <c r="F6241" s="3" t="s">
        <v>142</v>
      </c>
      <c r="G6241" s="3" t="s">
        <v>29</v>
      </c>
      <c r="H6241" s="2" t="s">
        <v>21</v>
      </c>
      <c r="I6241" s="2" t="s">
        <v>15750</v>
      </c>
      <c r="J6241" s="3" t="str">
        <f>HYPERLINK("https://www.boe.es/gazeta/dias/1812/02/20/pdfs/GRE-1812-22.pdf#page=8","Abrir facsímil")</f>
        <v>Abrir facsímil</v>
      </c>
      <c r="K6241" s="3" t="s">
        <v>23</v>
      </c>
    </row>
    <row r="6242" spans="1:11" ht="42" customHeight="1">
      <c r="A6242" s="2" t="s">
        <v>15751</v>
      </c>
      <c r="B6242" s="2" t="s">
        <v>15752</v>
      </c>
      <c r="C6242" s="2" t="s">
        <v>26</v>
      </c>
      <c r="D6242" s="2" t="s">
        <v>27</v>
      </c>
      <c r="E6242" s="4">
        <v>-31922</v>
      </c>
      <c r="F6242" s="3" t="s">
        <v>375</v>
      </c>
      <c r="G6242" s="3" t="s">
        <v>6978</v>
      </c>
      <c r="H6242" s="2" t="s">
        <v>21</v>
      </c>
      <c r="I6242" s="2" t="s">
        <v>15753</v>
      </c>
      <c r="J6242" s="3" t="str">
        <f>HYPERLINK("https://www.boe.es/gazeta/dias/1812/08/06/pdfs/GRE-1812-100.pdf#page=6","Abrir facsímil")</f>
        <v>Abrir facsímil</v>
      </c>
      <c r="K6242" s="3" t="s">
        <v>23</v>
      </c>
    </row>
    <row r="6243" spans="1:11" ht="42" customHeight="1">
      <c r="A6243" s="2" t="s">
        <v>15754</v>
      </c>
      <c r="B6243" s="2" t="s">
        <v>15754</v>
      </c>
      <c r="C6243" s="2" t="s">
        <v>17</v>
      </c>
      <c r="D6243" s="2" t="s">
        <v>27</v>
      </c>
      <c r="E6243" s="4">
        <v>-32111</v>
      </c>
      <c r="F6243" s="3" t="s">
        <v>951</v>
      </c>
      <c r="G6243" s="3" t="s">
        <v>45</v>
      </c>
      <c r="H6243" s="2" t="s">
        <v>21</v>
      </c>
      <c r="I6243" s="2" t="s">
        <v>15755</v>
      </c>
      <c r="J6243" s="3" t="str">
        <f>HYPERLINK("https://www.boe.es/gazeta/dias/1812/01/30/pdfs/GMD-1812-30.pdf#page=4","Abrir facsímil")</f>
        <v>Abrir facsímil</v>
      </c>
      <c r="K6243" s="3" t="s">
        <v>23</v>
      </c>
    </row>
    <row r="6244" spans="1:11" ht="42" customHeight="1">
      <c r="A6244" s="2" t="s">
        <v>15756</v>
      </c>
      <c r="B6244" s="2" t="s">
        <v>15757</v>
      </c>
      <c r="C6244" s="2" t="s">
        <v>26</v>
      </c>
      <c r="D6244" s="2" t="s">
        <v>27</v>
      </c>
      <c r="E6244" s="4">
        <v>-31859</v>
      </c>
      <c r="F6244" s="3" t="s">
        <v>3024</v>
      </c>
      <c r="G6244" s="3" t="s">
        <v>739</v>
      </c>
      <c r="H6244" s="2" t="s">
        <v>21</v>
      </c>
      <c r="I6244" s="2" t="s">
        <v>15758</v>
      </c>
      <c r="J6244" s="3" t="str">
        <f>HYPERLINK("https://www.boe.es/gazeta/dias/1812/10/08/pdfs/GRE-1812-136.pdf#page=7","Abrir facsímil")</f>
        <v>Abrir facsímil</v>
      </c>
      <c r="K6244" s="3" t="s">
        <v>23</v>
      </c>
    </row>
    <row r="6245" spans="1:11" ht="42" customHeight="1">
      <c r="A6245" s="2" t="s">
        <v>15759</v>
      </c>
      <c r="B6245" s="2" t="s">
        <v>15760</v>
      </c>
      <c r="C6245" s="2" t="s">
        <v>26</v>
      </c>
      <c r="D6245" s="2" t="s">
        <v>27</v>
      </c>
      <c r="E6245" s="4">
        <v>-32129</v>
      </c>
      <c r="F6245" s="3" t="s">
        <v>3162</v>
      </c>
      <c r="G6245" s="3" t="s">
        <v>2313</v>
      </c>
      <c r="H6245" s="2" t="s">
        <v>21</v>
      </c>
      <c r="I6245" s="2" t="s">
        <v>15761</v>
      </c>
      <c r="J6245" s="3" t="str">
        <f>HYPERLINK("https://www.boe.es/gazeta/dias/1812/01/12/pdfs/GMD-1812-12.pdf#page=4","Abrir facsímil")</f>
        <v>Abrir facsímil</v>
      </c>
      <c r="K6245" s="3" t="s">
        <v>23</v>
      </c>
    </row>
    <row r="6246" spans="1:11" ht="42" customHeight="1">
      <c r="A6246" s="2" t="s">
        <v>15762</v>
      </c>
      <c r="B6246" s="2" t="s">
        <v>15763</v>
      </c>
      <c r="C6246" s="2" t="s">
        <v>17</v>
      </c>
      <c r="D6246" s="2" t="s">
        <v>27</v>
      </c>
      <c r="E6246" s="4">
        <v>-32044</v>
      </c>
      <c r="F6246" s="3" t="s">
        <v>1031</v>
      </c>
      <c r="G6246" s="3" t="s">
        <v>1873</v>
      </c>
      <c r="H6246" s="2" t="s">
        <v>21</v>
      </c>
      <c r="I6246" s="2" t="s">
        <v>15764</v>
      </c>
      <c r="J6246" s="3" t="str">
        <f>HYPERLINK("https://www.boe.es/gazeta/dias/1812/04/06/pdfs/GMD-1812-97.pdf#page=4","Abrir facsímil")</f>
        <v>Abrir facsímil</v>
      </c>
      <c r="K6246" s="3" t="s">
        <v>23</v>
      </c>
    </row>
    <row r="6247" spans="1:11" ht="42" customHeight="1">
      <c r="A6247" s="2" t="s">
        <v>15765</v>
      </c>
      <c r="B6247" s="2" t="s">
        <v>15766</v>
      </c>
      <c r="C6247" s="2" t="s">
        <v>17</v>
      </c>
      <c r="D6247" s="2" t="s">
        <v>27</v>
      </c>
      <c r="E6247" s="4">
        <v>-32060</v>
      </c>
      <c r="F6247" s="3" t="s">
        <v>399</v>
      </c>
      <c r="G6247" s="3" t="s">
        <v>136</v>
      </c>
      <c r="H6247" s="2" t="s">
        <v>21</v>
      </c>
      <c r="I6247" s="2" t="s">
        <v>15767</v>
      </c>
      <c r="J6247" s="3" t="str">
        <f>HYPERLINK("https://www.boe.es/gazeta/dias/1812/03/21/pdfs/GMD-1812-81.pdf#page=4","Abrir facsímil")</f>
        <v>Abrir facsímil</v>
      </c>
      <c r="K6247" s="3" t="s">
        <v>23</v>
      </c>
    </row>
    <row r="6248" spans="1:11" ht="42" customHeight="1">
      <c r="A6248" s="2" t="s">
        <v>15768</v>
      </c>
      <c r="B6248" s="2" t="s">
        <v>15769</v>
      </c>
      <c r="C6248" s="2" t="s">
        <v>17</v>
      </c>
      <c r="D6248" s="2" t="s">
        <v>27</v>
      </c>
      <c r="E6248" s="4">
        <v>-32015</v>
      </c>
      <c r="F6248" s="3" t="s">
        <v>77</v>
      </c>
      <c r="G6248" s="3" t="s">
        <v>78</v>
      </c>
      <c r="H6248" s="2" t="s">
        <v>21</v>
      </c>
      <c r="I6248" s="2" t="s">
        <v>15770</v>
      </c>
      <c r="J6248" s="3" t="str">
        <f>HYPERLINK("https://www.boe.es/gazeta/dias/1812/05/05/pdfs/GRE-1812-56.pdf#page=8","Abrir facsímil")</f>
        <v>Abrir facsímil</v>
      </c>
      <c r="K6248" s="3" t="s">
        <v>23</v>
      </c>
    </row>
    <row r="6249" spans="1:11" ht="42" customHeight="1">
      <c r="A6249" s="2" t="s">
        <v>15771</v>
      </c>
      <c r="B6249" s="2" t="s">
        <v>15772</v>
      </c>
      <c r="C6249" s="2" t="s">
        <v>26</v>
      </c>
      <c r="D6249" s="2" t="s">
        <v>27</v>
      </c>
      <c r="E6249" s="4">
        <v>-32127</v>
      </c>
      <c r="F6249" s="3" t="s">
        <v>88</v>
      </c>
      <c r="G6249" s="3" t="s">
        <v>89</v>
      </c>
      <c r="H6249" s="2" t="s">
        <v>21</v>
      </c>
      <c r="I6249" s="2" t="s">
        <v>15773</v>
      </c>
      <c r="J6249" s="3" t="str">
        <f>HYPERLINK("https://www.boe.es/gazeta/dias/1812/01/14/pdfs/GEI-1812-6.pdf#page=8","Abrir facsímil")</f>
        <v>Abrir facsímil</v>
      </c>
      <c r="K6249" s="3" t="s">
        <v>23</v>
      </c>
    </row>
    <row r="6250" spans="1:11" ht="42" customHeight="1">
      <c r="A6250" s="2" t="s">
        <v>15774</v>
      </c>
      <c r="B6250" s="2" t="s">
        <v>15774</v>
      </c>
      <c r="C6250" s="2" t="s">
        <v>17</v>
      </c>
      <c r="D6250" s="2" t="s">
        <v>18</v>
      </c>
      <c r="E6250" s="4">
        <v>-32051</v>
      </c>
      <c r="F6250" s="3" t="s">
        <v>2534</v>
      </c>
      <c r="G6250" s="3" t="s">
        <v>125</v>
      </c>
      <c r="H6250" s="2" t="s">
        <v>21</v>
      </c>
      <c r="I6250" s="2" t="s">
        <v>15775</v>
      </c>
      <c r="J6250" s="3" t="str">
        <f>HYPERLINK("https://www.boe.es/gazeta/dias/1812/03/30/pdfs/GMD-1812-90.pdf#page=4","Abrir facsímil")</f>
        <v>Abrir facsímil</v>
      </c>
      <c r="K6250" s="3" t="s">
        <v>23</v>
      </c>
    </row>
    <row r="6251" spans="1:11" ht="42" customHeight="1">
      <c r="A6251" s="2" t="s">
        <v>15776</v>
      </c>
      <c r="B6251" s="2" t="s">
        <v>15776</v>
      </c>
      <c r="C6251" s="2" t="s">
        <v>17</v>
      </c>
      <c r="D6251" s="2" t="s">
        <v>27</v>
      </c>
      <c r="E6251" s="4">
        <v>-31796</v>
      </c>
      <c r="F6251" s="3" t="s">
        <v>649</v>
      </c>
      <c r="G6251" s="3" t="s">
        <v>217</v>
      </c>
      <c r="H6251" s="2" t="s">
        <v>21</v>
      </c>
      <c r="I6251" s="2" t="s">
        <v>15777</v>
      </c>
      <c r="J6251" s="3" t="str">
        <f>HYPERLINK("https://www.boe.es/gazeta/dias/1812/12/10/pdfs/GMD-1812-233.pdf#page=4","Abrir facsímil")</f>
        <v>Abrir facsímil</v>
      </c>
      <c r="K6251" s="3" t="s">
        <v>23</v>
      </c>
    </row>
    <row r="6252" spans="1:11" ht="42" customHeight="1">
      <c r="A6252" s="2" t="s">
        <v>15776</v>
      </c>
      <c r="B6252" s="2" t="s">
        <v>15776</v>
      </c>
      <c r="C6252" s="2" t="s">
        <v>17</v>
      </c>
      <c r="D6252" s="2" t="s">
        <v>27</v>
      </c>
      <c r="E6252" s="4">
        <v>-31795</v>
      </c>
      <c r="F6252" s="3" t="s">
        <v>2344</v>
      </c>
      <c r="G6252" s="3" t="s">
        <v>2280</v>
      </c>
      <c r="H6252" s="2" t="s">
        <v>21</v>
      </c>
      <c r="I6252" s="2" t="s">
        <v>15778</v>
      </c>
      <c r="J6252" s="3" t="str">
        <f>HYPERLINK("https://www.boe.es/gazeta/dias/1812/12/11/pdfs/GMD-1812-234.pdf#page=1","Abrir facsímil")</f>
        <v>Abrir facsímil</v>
      </c>
      <c r="K6252" s="3" t="s">
        <v>23</v>
      </c>
    </row>
    <row r="6253" spans="1:11" ht="42" customHeight="1">
      <c r="A6253" s="2" t="s">
        <v>15776</v>
      </c>
      <c r="B6253" s="2" t="s">
        <v>15776</v>
      </c>
      <c r="C6253" s="2" t="s">
        <v>17</v>
      </c>
      <c r="D6253" s="2" t="s">
        <v>27</v>
      </c>
      <c r="E6253" s="4">
        <v>-31782</v>
      </c>
      <c r="F6253" s="3" t="s">
        <v>4408</v>
      </c>
      <c r="G6253" s="3" t="s">
        <v>514</v>
      </c>
      <c r="H6253" s="2" t="s">
        <v>21</v>
      </c>
      <c r="I6253" s="2" t="s">
        <v>15779</v>
      </c>
      <c r="J6253" s="3" t="str">
        <f>HYPERLINK("https://www.boe.es/gazeta/dias/1812/12/24/pdfs/GMD-1812-247.pdf#page=3","Abrir facsímil")</f>
        <v>Abrir facsímil</v>
      </c>
      <c r="K6253" s="3" t="s">
        <v>23</v>
      </c>
    </row>
    <row r="6254" spans="1:11" ht="42" customHeight="1">
      <c r="A6254" s="2" t="s">
        <v>15780</v>
      </c>
      <c r="B6254" s="2" t="s">
        <v>15781</v>
      </c>
      <c r="C6254" s="2" t="s">
        <v>26</v>
      </c>
      <c r="D6254" s="2" t="s">
        <v>27</v>
      </c>
      <c r="E6254" s="4">
        <v>-31980</v>
      </c>
      <c r="F6254" s="3" t="s">
        <v>40</v>
      </c>
      <c r="G6254" s="3" t="s">
        <v>41</v>
      </c>
      <c r="H6254" s="2" t="s">
        <v>21</v>
      </c>
      <c r="I6254" s="2" t="s">
        <v>15782</v>
      </c>
      <c r="J6254" s="3" t="str">
        <f>HYPERLINK("https://www.boe.es/gazeta/dias/1812/06/09/pdfs/GRE-1812-71.pdf#page=6","Abrir facsímil")</f>
        <v>Abrir facsímil</v>
      </c>
      <c r="K6254" s="3" t="s">
        <v>23</v>
      </c>
    </row>
    <row r="6255" spans="1:11" ht="42" customHeight="1">
      <c r="A6255" s="2" t="s">
        <v>15783</v>
      </c>
      <c r="B6255" s="2" t="s">
        <v>15784</v>
      </c>
      <c r="C6255" s="2" t="s">
        <v>26</v>
      </c>
      <c r="D6255" s="2" t="s">
        <v>27</v>
      </c>
      <c r="E6255" s="4">
        <v>-31964</v>
      </c>
      <c r="F6255" s="3" t="s">
        <v>93</v>
      </c>
      <c r="G6255" s="3" t="s">
        <v>4894</v>
      </c>
      <c r="H6255" s="2" t="s">
        <v>21</v>
      </c>
      <c r="I6255" s="2" t="s">
        <v>15785</v>
      </c>
      <c r="J6255" s="3" t="str">
        <f>HYPERLINK("https://www.boe.es/gazeta/dias/1812/06/25/pdfs/GRE-1812-78.pdf#page=6","Abrir facsímil")</f>
        <v>Abrir facsímil</v>
      </c>
      <c r="K6255" s="3" t="s">
        <v>23</v>
      </c>
    </row>
    <row r="6256" spans="1:11" ht="42" customHeight="1">
      <c r="A6256" s="2" t="s">
        <v>15783</v>
      </c>
      <c r="B6256" s="2" t="s">
        <v>15784</v>
      </c>
      <c r="C6256" s="2" t="s">
        <v>26</v>
      </c>
      <c r="D6256" s="2" t="s">
        <v>27</v>
      </c>
      <c r="E6256" s="4">
        <v>-31945</v>
      </c>
      <c r="F6256" s="3" t="s">
        <v>1485</v>
      </c>
      <c r="G6256" s="3" t="s">
        <v>4494</v>
      </c>
      <c r="H6256" s="2" t="s">
        <v>21</v>
      </c>
      <c r="I6256" s="2" t="s">
        <v>15786</v>
      </c>
      <c r="J6256" s="3" t="str">
        <f>HYPERLINK("https://www.boe.es/gazeta/dias/1812/07/14/pdfs/GRE-1812-88.pdf#page=8","Abrir facsímil")</f>
        <v>Abrir facsímil</v>
      </c>
      <c r="K6256" s="3" t="s">
        <v>23</v>
      </c>
    </row>
    <row r="6257" spans="1:11" ht="42" customHeight="1">
      <c r="A6257" s="2" t="s">
        <v>15787</v>
      </c>
      <c r="B6257" s="2" t="s">
        <v>15787</v>
      </c>
      <c r="C6257" s="2" t="s">
        <v>17</v>
      </c>
      <c r="D6257" s="2" t="s">
        <v>18</v>
      </c>
      <c r="E6257" s="4">
        <v>-32032</v>
      </c>
      <c r="F6257" s="3" t="s">
        <v>421</v>
      </c>
      <c r="G6257" s="3" t="s">
        <v>10371</v>
      </c>
      <c r="H6257" s="2" t="s">
        <v>21</v>
      </c>
      <c r="I6257" s="2" t="s">
        <v>15788</v>
      </c>
      <c r="J6257" s="3" t="str">
        <f>HYPERLINK("https://www.boe.es/gazeta/dias/1812/04/18/pdfs/GRE-1812-49.pdf#page=2","Abrir facsímil")</f>
        <v>Abrir facsímil</v>
      </c>
      <c r="K6257" s="3" t="s">
        <v>23</v>
      </c>
    </row>
    <row r="6258" spans="1:11" ht="42" customHeight="1">
      <c r="A6258" s="2" t="s">
        <v>15789</v>
      </c>
      <c r="B6258" s="2" t="s">
        <v>15790</v>
      </c>
      <c r="C6258" s="2" t="s">
        <v>26</v>
      </c>
      <c r="D6258" s="2" t="s">
        <v>27</v>
      </c>
      <c r="E6258" s="4">
        <v>-32132</v>
      </c>
      <c r="F6258" s="3" t="s">
        <v>484</v>
      </c>
      <c r="G6258" s="3" t="s">
        <v>485</v>
      </c>
      <c r="H6258" s="2" t="s">
        <v>21</v>
      </c>
      <c r="I6258" s="2" t="s">
        <v>15791</v>
      </c>
      <c r="J6258" s="3" t="str">
        <f>HYPERLINK("https://www.boe.es/gazeta/dias/1812/01/09/pdfs/GEI-1812-4.pdf#page=8","Abrir facsímil")</f>
        <v>Abrir facsímil</v>
      </c>
      <c r="K6258" s="3" t="s">
        <v>23</v>
      </c>
    </row>
    <row r="6259" spans="1:11" ht="42" customHeight="1">
      <c r="A6259" s="2" t="s">
        <v>15792</v>
      </c>
      <c r="B6259" s="2" t="s">
        <v>15793</v>
      </c>
      <c r="C6259" s="2" t="s">
        <v>17</v>
      </c>
      <c r="D6259" s="2" t="s">
        <v>27</v>
      </c>
      <c r="E6259" s="4">
        <v>-32088</v>
      </c>
      <c r="F6259" s="3" t="s">
        <v>1217</v>
      </c>
      <c r="G6259" s="3" t="s">
        <v>1218</v>
      </c>
      <c r="H6259" s="2" t="s">
        <v>21</v>
      </c>
      <c r="I6259" s="2" t="s">
        <v>15794</v>
      </c>
      <c r="J6259" s="3" t="str">
        <f>HYPERLINK("https://www.boe.es/gazeta/dias/1812/02/22/pdfs/GMD-1812-53.pdf#page=4","Abrir facsímil")</f>
        <v>Abrir facsímil</v>
      </c>
      <c r="K6259" s="3" t="s">
        <v>23</v>
      </c>
    </row>
    <row r="6260" spans="1:11" ht="42" customHeight="1">
      <c r="A6260" s="2" t="s">
        <v>15795</v>
      </c>
      <c r="B6260" s="2" t="s">
        <v>15796</v>
      </c>
      <c r="C6260" s="2" t="s">
        <v>26</v>
      </c>
      <c r="D6260" s="2" t="s">
        <v>275</v>
      </c>
      <c r="E6260" s="4">
        <v>-32034</v>
      </c>
      <c r="F6260" s="3" t="s">
        <v>28</v>
      </c>
      <c r="G6260" s="3" t="s">
        <v>20</v>
      </c>
      <c r="H6260" s="2" t="s">
        <v>21</v>
      </c>
      <c r="I6260" s="2" t="s">
        <v>15797</v>
      </c>
      <c r="J6260" s="3" t="str">
        <f>HYPERLINK("https://www.boe.es/gazeta/dias/1812/04/16/pdfs/GMD-1812-107.pdf#page=3","Abrir facsímil")</f>
        <v>Abrir facsímil</v>
      </c>
      <c r="K6260" s="3" t="s">
        <v>23</v>
      </c>
    </row>
    <row r="6261" spans="1:11" ht="42" customHeight="1">
      <c r="A6261" s="2" t="s">
        <v>15798</v>
      </c>
      <c r="B6261" s="2" t="s">
        <v>15799</v>
      </c>
      <c r="C6261" s="2" t="s">
        <v>17</v>
      </c>
      <c r="D6261" s="2" t="s">
        <v>27</v>
      </c>
      <c r="E6261" s="4">
        <v>-31882</v>
      </c>
      <c r="F6261" s="3" t="s">
        <v>1798</v>
      </c>
      <c r="G6261" s="3" t="s">
        <v>125</v>
      </c>
      <c r="H6261" s="2" t="s">
        <v>21</v>
      </c>
      <c r="I6261" s="2" t="s">
        <v>15800</v>
      </c>
      <c r="J6261" s="3" t="str">
        <f>HYPERLINK("https://www.boe.es/gazeta/dias/1812/09/15/pdfs/GMR-1812-14.pdf#page=10","Abrir facsímil")</f>
        <v>Abrir facsímil</v>
      </c>
      <c r="K6261" s="3" t="s">
        <v>23</v>
      </c>
    </row>
    <row r="6262" spans="1:11" ht="42" customHeight="1">
      <c r="A6262" s="2" t="s">
        <v>15801</v>
      </c>
      <c r="B6262" s="2" t="s">
        <v>15802</v>
      </c>
      <c r="C6262" s="2" t="s">
        <v>26</v>
      </c>
      <c r="D6262" s="2" t="s">
        <v>27</v>
      </c>
      <c r="E6262" s="4">
        <v>-32139</v>
      </c>
      <c r="F6262" s="3" t="s">
        <v>518</v>
      </c>
      <c r="G6262" s="3" t="s">
        <v>125</v>
      </c>
      <c r="H6262" s="2" t="s">
        <v>21</v>
      </c>
      <c r="I6262" s="2" t="s">
        <v>15803</v>
      </c>
      <c r="J6262" s="3" t="str">
        <f>HYPERLINK("https://www.boe.es/gazeta/dias/1812/01/02/pdfs/GEI-1812-1.pdf#page=8","Abrir facsímil")</f>
        <v>Abrir facsímil</v>
      </c>
      <c r="K6262" s="3" t="s">
        <v>23</v>
      </c>
    </row>
    <row r="6263" spans="1:11" ht="42" customHeight="1">
      <c r="A6263" s="2" t="s">
        <v>15804</v>
      </c>
      <c r="B6263" s="2" t="s">
        <v>15805</v>
      </c>
      <c r="C6263" s="2" t="s">
        <v>26</v>
      </c>
      <c r="D6263" s="2" t="s">
        <v>27</v>
      </c>
      <c r="E6263" s="4">
        <v>-32003</v>
      </c>
      <c r="F6263" s="3" t="s">
        <v>585</v>
      </c>
      <c r="G6263" s="3" t="s">
        <v>1805</v>
      </c>
      <c r="H6263" s="2" t="s">
        <v>21</v>
      </c>
      <c r="I6263" s="2" t="s">
        <v>15806</v>
      </c>
      <c r="J6263" s="3" t="str">
        <f>HYPERLINK("https://www.boe.es/gazeta/dias/1812/05/17/pdfs/GMD-1812-138.pdf#page=1","Abrir facsímil")</f>
        <v>Abrir facsímil</v>
      </c>
      <c r="K6263" s="3" t="s">
        <v>23</v>
      </c>
    </row>
    <row r="6264" spans="1:11" ht="42" customHeight="1">
      <c r="A6264" s="2" t="s">
        <v>15807</v>
      </c>
      <c r="B6264" s="2" t="s">
        <v>15808</v>
      </c>
      <c r="C6264" s="2" t="s">
        <v>26</v>
      </c>
      <c r="D6264" s="2" t="s">
        <v>27</v>
      </c>
      <c r="E6264" s="4">
        <v>-32123</v>
      </c>
      <c r="F6264" s="3" t="s">
        <v>2642</v>
      </c>
      <c r="G6264" s="3" t="s">
        <v>20</v>
      </c>
      <c r="H6264" s="2" t="s">
        <v>21</v>
      </c>
      <c r="I6264" s="2" t="s">
        <v>15809</v>
      </c>
      <c r="J6264" s="3" t="str">
        <f>HYPERLINK("https://www.boe.es/gazeta/dias/1812/01/18/pdfs/GMD-1812-18.pdf#page=4","Abrir facsímil")</f>
        <v>Abrir facsímil</v>
      </c>
      <c r="K6264" s="3" t="s">
        <v>23</v>
      </c>
    </row>
    <row r="6265" spans="1:11" ht="42" customHeight="1">
      <c r="A6265" s="2" t="s">
        <v>15810</v>
      </c>
      <c r="B6265" s="2" t="s">
        <v>15811</v>
      </c>
      <c r="C6265" s="2" t="s">
        <v>26</v>
      </c>
      <c r="D6265" s="2" t="s">
        <v>27</v>
      </c>
      <c r="E6265" s="4">
        <v>-31927</v>
      </c>
      <c r="F6265" s="3" t="s">
        <v>1160</v>
      </c>
      <c r="G6265" s="3" t="s">
        <v>1852</v>
      </c>
      <c r="H6265" s="2" t="s">
        <v>21</v>
      </c>
      <c r="I6265" s="2" t="s">
        <v>15812</v>
      </c>
      <c r="J6265" s="3" t="str">
        <f>HYPERLINK("https://www.boe.es/gazeta/dias/1812/08/01/pdfs/GRE-1812-97.pdf#page=5","Abrir facsímil")</f>
        <v>Abrir facsímil</v>
      </c>
      <c r="K6265" s="3" t="s">
        <v>23</v>
      </c>
    </row>
    <row r="6266" spans="1:11" ht="42" customHeight="1">
      <c r="A6266" s="2" t="s">
        <v>15813</v>
      </c>
      <c r="B6266" s="2" t="s">
        <v>15814</v>
      </c>
      <c r="C6266" s="2" t="s">
        <v>26</v>
      </c>
      <c r="D6266" s="2" t="s">
        <v>27</v>
      </c>
      <c r="E6266" s="4">
        <v>-31938</v>
      </c>
      <c r="F6266" s="3" t="s">
        <v>370</v>
      </c>
      <c r="G6266" s="3" t="s">
        <v>371</v>
      </c>
      <c r="H6266" s="2" t="s">
        <v>21</v>
      </c>
      <c r="I6266" s="2" t="s">
        <v>15815</v>
      </c>
      <c r="J6266" s="3" t="str">
        <f>HYPERLINK("https://www.boe.es/gazeta/dias/1812/07/21/pdfs/GRE-1812-91.pdf#page=8","Abrir facsímil")</f>
        <v>Abrir facsímil</v>
      </c>
      <c r="K6266" s="3" t="s">
        <v>23</v>
      </c>
    </row>
    <row r="6267" spans="1:11" ht="42" customHeight="1">
      <c r="A6267" s="2" t="s">
        <v>15816</v>
      </c>
      <c r="B6267" s="2" t="s">
        <v>15816</v>
      </c>
      <c r="C6267" s="2" t="s">
        <v>17</v>
      </c>
      <c r="D6267" s="2" t="s">
        <v>18</v>
      </c>
      <c r="E6267" s="4">
        <v>-31819</v>
      </c>
      <c r="F6267" s="3" t="s">
        <v>1770</v>
      </c>
      <c r="G6267" s="3" t="s">
        <v>1771</v>
      </c>
      <c r="H6267" s="2" t="s">
        <v>21</v>
      </c>
      <c r="I6267" s="2" t="s">
        <v>15817</v>
      </c>
      <c r="J6267" s="3" t="str">
        <f>HYPERLINK("https://www.boe.es/gazeta/dias/1812/11/17/pdfs/GRE-1812-153.pdf#page=4","Abrir facsímil")</f>
        <v>Abrir facsímil</v>
      </c>
      <c r="K6267" s="3" t="s">
        <v>23</v>
      </c>
    </row>
    <row r="6268" spans="1:11" ht="42" customHeight="1">
      <c r="A6268" s="2" t="s">
        <v>15818</v>
      </c>
      <c r="B6268" s="2" t="s">
        <v>15819</v>
      </c>
      <c r="C6268" s="2" t="s">
        <v>26</v>
      </c>
      <c r="D6268" s="2" t="s">
        <v>27</v>
      </c>
      <c r="E6268" s="4">
        <v>-31939</v>
      </c>
      <c r="F6268" s="3" t="s">
        <v>408</v>
      </c>
      <c r="G6268" s="3" t="s">
        <v>20</v>
      </c>
      <c r="H6268" s="2" t="s">
        <v>21</v>
      </c>
      <c r="I6268" s="2" t="s">
        <v>15820</v>
      </c>
      <c r="J6268" s="3" t="str">
        <f>HYPERLINK("https://www.boe.es/gazeta/dias/1812/07/20/pdfs/GMD-1812-202.pdf#page=4","Abrir facsímil")</f>
        <v>Abrir facsímil</v>
      </c>
      <c r="K6268" s="3" t="s">
        <v>23</v>
      </c>
    </row>
    <row r="6269" spans="1:11" ht="42" customHeight="1">
      <c r="A6269" s="2" t="s">
        <v>15821</v>
      </c>
      <c r="B6269" s="2" t="s">
        <v>15822</v>
      </c>
      <c r="C6269" s="2" t="s">
        <v>26</v>
      </c>
      <c r="D6269" s="2" t="s">
        <v>27</v>
      </c>
      <c r="E6269" s="4">
        <v>-32137</v>
      </c>
      <c r="F6269" s="3" t="s">
        <v>355</v>
      </c>
      <c r="G6269" s="3" t="s">
        <v>117</v>
      </c>
      <c r="H6269" s="2" t="s">
        <v>21</v>
      </c>
      <c r="I6269" s="2" t="s">
        <v>15823</v>
      </c>
      <c r="J6269" s="3" t="str">
        <f>HYPERLINK("https://www.boe.es/gazeta/dias/1812/01/04/pdfs/GEI-1812-2.pdf#page=8","Abrir facsímil")</f>
        <v>Abrir facsímil</v>
      </c>
      <c r="K6269" s="3" t="s">
        <v>23</v>
      </c>
    </row>
    <row r="6270" spans="1:11" ht="42" customHeight="1">
      <c r="A6270" s="2" t="s">
        <v>15824</v>
      </c>
      <c r="B6270" s="2" t="s">
        <v>15825</v>
      </c>
      <c r="C6270" s="2" t="s">
        <v>549</v>
      </c>
      <c r="D6270" s="2" t="s">
        <v>27</v>
      </c>
      <c r="E6270" s="4">
        <v>-32022</v>
      </c>
      <c r="F6270" s="3" t="s">
        <v>1186</v>
      </c>
      <c r="G6270" s="3" t="s">
        <v>336</v>
      </c>
      <c r="H6270" s="2" t="s">
        <v>21</v>
      </c>
      <c r="I6270" s="2" t="s">
        <v>15826</v>
      </c>
      <c r="J6270" s="3" t="str">
        <f>HYPERLINK("https://www.boe.es/gazeta/dias/1812/04/28/pdfs/GRE-1812-53.pdf#page=8","Abrir facsímil")</f>
        <v>Abrir facsímil</v>
      </c>
      <c r="K6270" s="3" t="s">
        <v>23</v>
      </c>
    </row>
    <row r="6271" spans="1:11" ht="42" customHeight="1">
      <c r="A6271" s="2" t="s">
        <v>15827</v>
      </c>
      <c r="B6271" s="2" t="s">
        <v>15828</v>
      </c>
      <c r="C6271" s="2" t="s">
        <v>17</v>
      </c>
      <c r="D6271" s="2" t="s">
        <v>27</v>
      </c>
      <c r="E6271" s="4">
        <v>-31824</v>
      </c>
      <c r="F6271" s="3" t="s">
        <v>3123</v>
      </c>
      <c r="G6271" s="3" t="s">
        <v>20</v>
      </c>
      <c r="H6271" s="2" t="s">
        <v>30</v>
      </c>
      <c r="I6271" s="2" t="s">
        <v>15829</v>
      </c>
      <c r="J6271" s="3" t="str">
        <f>HYPERLINK("https://www.boe.es/gazeta/dias/1812/11/12/pdfs/GRE-1812-151.pdf#page=5","Abrir facsímil")</f>
        <v>Abrir facsímil</v>
      </c>
      <c r="K6271" s="3" t="s">
        <v>32</v>
      </c>
    </row>
    <row r="6272" spans="1:11" ht="42" customHeight="1">
      <c r="A6272" s="2" t="s">
        <v>15830</v>
      </c>
      <c r="B6272" s="2" t="s">
        <v>15831</v>
      </c>
      <c r="C6272" s="2" t="s">
        <v>26</v>
      </c>
      <c r="D6272" s="2" t="s">
        <v>27</v>
      </c>
      <c r="E6272" s="4">
        <v>-32137</v>
      </c>
      <c r="F6272" s="3" t="s">
        <v>355</v>
      </c>
      <c r="G6272" s="3" t="s">
        <v>117</v>
      </c>
      <c r="H6272" s="2" t="s">
        <v>21</v>
      </c>
      <c r="I6272" s="2" t="s">
        <v>15832</v>
      </c>
      <c r="J6272" s="3" t="str">
        <f>HYPERLINK("https://www.boe.es/gazeta/dias/1812/01/04/pdfs/GEI-1812-2.pdf#page=8","Abrir facsímil")</f>
        <v>Abrir facsímil</v>
      </c>
      <c r="K6272" s="3" t="s">
        <v>23</v>
      </c>
    </row>
    <row r="6273" spans="1:11" ht="42" customHeight="1">
      <c r="A6273" s="2" t="s">
        <v>15833</v>
      </c>
      <c r="B6273" s="2" t="s">
        <v>15834</v>
      </c>
      <c r="C6273" s="2" t="s">
        <v>26</v>
      </c>
      <c r="D6273" s="2" t="s">
        <v>27</v>
      </c>
      <c r="E6273" s="4">
        <v>-31969</v>
      </c>
      <c r="F6273" s="3" t="s">
        <v>83</v>
      </c>
      <c r="G6273" s="3" t="s">
        <v>84</v>
      </c>
      <c r="H6273" s="2" t="s">
        <v>21</v>
      </c>
      <c r="I6273" s="2" t="s">
        <v>15835</v>
      </c>
      <c r="J6273" s="3" t="str">
        <f>HYPERLINK("https://www.boe.es/gazeta/dias/1812/06/20/pdfs/GRE-1812-76.pdf#page=8","Abrir facsímil")</f>
        <v>Abrir facsímil</v>
      </c>
      <c r="K6273" s="3" t="s">
        <v>23</v>
      </c>
    </row>
    <row r="6274" spans="1:11" ht="42" customHeight="1">
      <c r="A6274" s="2" t="s">
        <v>15836</v>
      </c>
      <c r="B6274" s="2" t="s">
        <v>15837</v>
      </c>
      <c r="C6274" s="2" t="s">
        <v>26</v>
      </c>
      <c r="D6274" s="2" t="s">
        <v>275</v>
      </c>
      <c r="E6274" s="4">
        <v>-32116</v>
      </c>
      <c r="F6274" s="3" t="s">
        <v>993</v>
      </c>
      <c r="G6274" s="3" t="s">
        <v>233</v>
      </c>
      <c r="H6274" s="2" t="s">
        <v>21</v>
      </c>
      <c r="I6274" s="2" t="s">
        <v>15838</v>
      </c>
      <c r="J6274" s="3" t="str">
        <f>HYPERLINK("https://www.boe.es/gazeta/dias/1812/01/25/pdfs/GEI-1812-11.pdf#page=8","Abrir facsímil")</f>
        <v>Abrir facsímil</v>
      </c>
      <c r="K6274" s="3" t="s">
        <v>23</v>
      </c>
    </row>
    <row r="6275" spans="1:11" ht="42" customHeight="1">
      <c r="A6275" s="2" t="s">
        <v>15839</v>
      </c>
      <c r="B6275" s="2" t="s">
        <v>15840</v>
      </c>
      <c r="C6275" s="2" t="s">
        <v>26</v>
      </c>
      <c r="D6275" s="2" t="s">
        <v>27</v>
      </c>
      <c r="E6275" s="4">
        <v>-31938</v>
      </c>
      <c r="F6275" s="3" t="s">
        <v>324</v>
      </c>
      <c r="G6275" s="3" t="s">
        <v>497</v>
      </c>
      <c r="H6275" s="2" t="s">
        <v>21</v>
      </c>
      <c r="I6275" s="2" t="s">
        <v>15841</v>
      </c>
      <c r="J6275" s="3" t="str">
        <f>HYPERLINK("https://www.boe.es/gazeta/dias/1812/07/21/pdfs/GMD-1812-203.pdf#page=3","Abrir facsímil")</f>
        <v>Abrir facsímil</v>
      </c>
      <c r="K6275" s="3" t="s">
        <v>23</v>
      </c>
    </row>
    <row r="6276" spans="1:11" ht="42" customHeight="1">
      <c r="A6276" s="2" t="s">
        <v>15842</v>
      </c>
      <c r="B6276" s="2" t="s">
        <v>15843</v>
      </c>
      <c r="C6276" s="2" t="s">
        <v>26</v>
      </c>
      <c r="D6276" s="2" t="s">
        <v>27</v>
      </c>
      <c r="E6276" s="4">
        <v>-32109</v>
      </c>
      <c r="F6276" s="3" t="s">
        <v>62</v>
      </c>
      <c r="G6276" s="3" t="s">
        <v>63</v>
      </c>
      <c r="H6276" s="2" t="s">
        <v>21</v>
      </c>
      <c r="I6276" s="2" t="s">
        <v>15844</v>
      </c>
      <c r="J6276" s="3" t="str">
        <f>HYPERLINK("https://www.boe.es/gazeta/dias/1812/02/01/pdfs/GRE-1812-14.pdf#page=10","Abrir facsímil")</f>
        <v>Abrir facsímil</v>
      </c>
      <c r="K6276" s="3" t="s">
        <v>23</v>
      </c>
    </row>
    <row r="6277" spans="1:11" ht="42" customHeight="1">
      <c r="A6277" s="2" t="s">
        <v>15845</v>
      </c>
      <c r="B6277" s="2" t="s">
        <v>15846</v>
      </c>
      <c r="C6277" s="2" t="s">
        <v>17</v>
      </c>
      <c r="D6277" s="2" t="s">
        <v>27</v>
      </c>
      <c r="E6277" s="4">
        <v>-31917</v>
      </c>
      <c r="F6277" s="3" t="s">
        <v>946</v>
      </c>
      <c r="G6277" s="3" t="s">
        <v>947</v>
      </c>
      <c r="H6277" s="2" t="s">
        <v>21</v>
      </c>
      <c r="I6277" s="2" t="s">
        <v>15847</v>
      </c>
      <c r="J6277" s="3" t="str">
        <f>HYPERLINK("https://www.boe.es/gazeta/dias/1812/08/11/pdfs/GRE-1812-103.pdf#page=8","Abrir facsímil")</f>
        <v>Abrir facsímil</v>
      </c>
      <c r="K6277" s="3" t="s">
        <v>23</v>
      </c>
    </row>
    <row r="6278" spans="1:11" ht="42" customHeight="1">
      <c r="A6278" s="2" t="s">
        <v>15848</v>
      </c>
      <c r="B6278" s="2" t="s">
        <v>15849</v>
      </c>
      <c r="C6278" s="2" t="s">
        <v>26</v>
      </c>
      <c r="D6278" s="2" t="s">
        <v>27</v>
      </c>
      <c r="E6278" s="4">
        <v>-31875</v>
      </c>
      <c r="F6278" s="3" t="s">
        <v>708</v>
      </c>
      <c r="G6278" s="3" t="s">
        <v>2058</v>
      </c>
      <c r="H6278" s="2" t="s">
        <v>30</v>
      </c>
      <c r="I6278" s="2" t="s">
        <v>15850</v>
      </c>
      <c r="J6278" s="3" t="str">
        <f>HYPERLINK("https://www.boe.es/gazeta/dias/1812/09/22/pdfs/GMR-1812-17.pdf#page=11","Abrir facsímil")</f>
        <v>Abrir facsímil</v>
      </c>
      <c r="K6278" s="3" t="s">
        <v>32</v>
      </c>
    </row>
    <row r="6279" spans="1:11" ht="42" customHeight="1">
      <c r="A6279" s="2" t="s">
        <v>15851</v>
      </c>
      <c r="B6279" s="2" t="s">
        <v>15851</v>
      </c>
      <c r="C6279" s="2" t="s">
        <v>26</v>
      </c>
      <c r="D6279" s="2" t="s">
        <v>275</v>
      </c>
      <c r="E6279" s="4">
        <v>-32135</v>
      </c>
      <c r="F6279" s="3" t="s">
        <v>4558</v>
      </c>
      <c r="G6279" s="3" t="s">
        <v>214</v>
      </c>
      <c r="H6279" s="2" t="s">
        <v>21</v>
      </c>
      <c r="I6279" s="2" t="s">
        <v>15852</v>
      </c>
      <c r="J6279" s="3" t="str">
        <f>HYPERLINK("https://www.boe.es/gazeta/dias/1812/01/06/pdfs/GMD-1812-7.pdf#page=1","Abrir facsímil")</f>
        <v>Abrir facsímil</v>
      </c>
      <c r="K6279" s="3" t="s">
        <v>23</v>
      </c>
    </row>
    <row r="6280" spans="1:11" ht="42" customHeight="1">
      <c r="A6280" s="2" t="s">
        <v>15851</v>
      </c>
      <c r="B6280" s="2" t="s">
        <v>15851</v>
      </c>
      <c r="C6280" s="2" t="s">
        <v>26</v>
      </c>
      <c r="D6280" s="2" t="s">
        <v>275</v>
      </c>
      <c r="E6280" s="4">
        <v>-32134</v>
      </c>
      <c r="F6280" s="3" t="s">
        <v>4558</v>
      </c>
      <c r="G6280" s="3" t="s">
        <v>214</v>
      </c>
      <c r="H6280" s="2" t="s">
        <v>21</v>
      </c>
      <c r="I6280" s="2" t="s">
        <v>15852</v>
      </c>
      <c r="J6280" s="3" t="str">
        <f>HYPERLINK("https://www.boe.es/gazeta/dias/1812/01/07/pdfs/GMD-1812-7.pdf#page=1","Abrir facsímil")</f>
        <v>Abrir facsímil</v>
      </c>
      <c r="K6280" s="3" t="s">
        <v>23</v>
      </c>
    </row>
    <row r="6281" spans="1:11" ht="42" customHeight="1">
      <c r="A6281" s="2" t="s">
        <v>15853</v>
      </c>
      <c r="B6281" s="2" t="s">
        <v>15854</v>
      </c>
      <c r="C6281" s="2" t="s">
        <v>26</v>
      </c>
      <c r="D6281" s="2" t="s">
        <v>27</v>
      </c>
      <c r="E6281" s="4">
        <v>-31859</v>
      </c>
      <c r="F6281" s="3" t="s">
        <v>158</v>
      </c>
      <c r="G6281" s="3" t="s">
        <v>159</v>
      </c>
      <c r="H6281" s="2" t="s">
        <v>21</v>
      </c>
      <c r="I6281" s="2" t="s">
        <v>15855</v>
      </c>
      <c r="J6281" s="3" t="str">
        <f>HYPERLINK("https://www.boe.es/gazeta/dias/1812/10/08/pdfs/GMR-1812-24.pdf#page=9","Abrir facsímil")</f>
        <v>Abrir facsímil</v>
      </c>
      <c r="K6281" s="3" t="s">
        <v>23</v>
      </c>
    </row>
    <row r="6282" spans="1:11" ht="42" customHeight="1">
      <c r="A6282" s="2" t="s">
        <v>15856</v>
      </c>
      <c r="B6282" s="2" t="s">
        <v>15856</v>
      </c>
      <c r="C6282" s="2" t="s">
        <v>17</v>
      </c>
      <c r="D6282" s="2" t="s">
        <v>27</v>
      </c>
      <c r="E6282" s="4">
        <v>-31782</v>
      </c>
      <c r="F6282" s="3" t="s">
        <v>860</v>
      </c>
      <c r="G6282" s="3" t="s">
        <v>140</v>
      </c>
      <c r="H6282" s="2" t="s">
        <v>21</v>
      </c>
      <c r="I6282" s="2" t="s">
        <v>15857</v>
      </c>
      <c r="J6282" s="3" t="str">
        <f>HYPERLINK("https://www.boe.es/gazeta/dias/1812/12/24/pdfs/GRE-1812-169.pdf#page=2","Abrir facsímil")</f>
        <v>Abrir facsímil</v>
      </c>
      <c r="K6282" s="3" t="s">
        <v>23</v>
      </c>
    </row>
    <row r="6283" spans="1:11" ht="42" customHeight="1">
      <c r="A6283" s="2" t="s">
        <v>15858</v>
      </c>
      <c r="B6283" s="2" t="s">
        <v>15858</v>
      </c>
      <c r="C6283" s="2" t="s">
        <v>17</v>
      </c>
      <c r="D6283" s="2" t="s">
        <v>27</v>
      </c>
      <c r="E6283" s="4">
        <v>-31885</v>
      </c>
      <c r="F6283" s="3" t="s">
        <v>750</v>
      </c>
      <c r="G6283" s="3" t="s">
        <v>58</v>
      </c>
      <c r="H6283" s="2" t="s">
        <v>21</v>
      </c>
      <c r="I6283" s="2" t="s">
        <v>15859</v>
      </c>
      <c r="J6283" s="3" t="str">
        <f>HYPERLINK("https://www.boe.es/gazeta/dias/1812/09/12/pdfs/GMR-1812-13.pdf#page=4","Abrir facsímil")</f>
        <v>Abrir facsímil</v>
      </c>
      <c r="K6283" s="3" t="s">
        <v>23</v>
      </c>
    </row>
    <row r="6284" spans="1:11" ht="42" customHeight="1">
      <c r="A6284" s="2" t="s">
        <v>15858</v>
      </c>
      <c r="B6284" s="2" t="s">
        <v>15858</v>
      </c>
      <c r="C6284" s="2" t="s">
        <v>17</v>
      </c>
      <c r="D6284" s="2" t="s">
        <v>18</v>
      </c>
      <c r="E6284" s="4">
        <v>-31868</v>
      </c>
      <c r="F6284" s="3" t="s">
        <v>1833</v>
      </c>
      <c r="G6284" s="3" t="s">
        <v>45</v>
      </c>
      <c r="H6284" s="2" t="s">
        <v>21</v>
      </c>
      <c r="I6284" s="2" t="s">
        <v>15860</v>
      </c>
      <c r="J6284" s="3" t="str">
        <f>HYPERLINK("https://www.boe.es/gazeta/dias/1812/09/29/pdfs/GMR-1812-20.pdf#page=2","Abrir facsímil")</f>
        <v>Abrir facsímil</v>
      </c>
      <c r="K6284" s="3" t="s">
        <v>23</v>
      </c>
    </row>
    <row r="6285" spans="1:11" ht="42" customHeight="1">
      <c r="A6285" s="2" t="s">
        <v>15861</v>
      </c>
      <c r="B6285" s="2" t="s">
        <v>15861</v>
      </c>
      <c r="C6285" s="2" t="s">
        <v>17</v>
      </c>
      <c r="D6285" s="2" t="s">
        <v>27</v>
      </c>
      <c r="E6285" s="4">
        <v>-31796</v>
      </c>
      <c r="F6285" s="3" t="s">
        <v>649</v>
      </c>
      <c r="G6285" s="3" t="s">
        <v>217</v>
      </c>
      <c r="H6285" s="2" t="s">
        <v>21</v>
      </c>
      <c r="I6285" s="2" t="s">
        <v>15862</v>
      </c>
      <c r="J6285" s="3" t="str">
        <f>HYPERLINK("https://www.boe.es/gazeta/dias/1812/12/10/pdfs/GMD-1812-233.pdf#page=4","Abrir facsímil")</f>
        <v>Abrir facsímil</v>
      </c>
      <c r="K6285" s="3" t="s">
        <v>23</v>
      </c>
    </row>
    <row r="6286" spans="1:11" ht="42" customHeight="1">
      <c r="A6286" s="2" t="s">
        <v>15863</v>
      </c>
      <c r="B6286" s="2" t="s">
        <v>15863</v>
      </c>
      <c r="C6286" s="2" t="s">
        <v>17</v>
      </c>
      <c r="D6286" s="2" t="s">
        <v>18</v>
      </c>
      <c r="E6286" s="4">
        <v>-31782</v>
      </c>
      <c r="F6286" s="3" t="s">
        <v>860</v>
      </c>
      <c r="G6286" s="3" t="s">
        <v>140</v>
      </c>
      <c r="H6286" s="2" t="s">
        <v>21</v>
      </c>
      <c r="I6286" s="2" t="s">
        <v>15864</v>
      </c>
      <c r="J6286" s="3" t="str">
        <f>HYPERLINK("https://www.boe.es/gazeta/dias/1812/12/24/pdfs/GRE-1812-169.pdf#page=2","Abrir facsímil")</f>
        <v>Abrir facsímil</v>
      </c>
      <c r="K6286" s="3" t="s">
        <v>23</v>
      </c>
    </row>
    <row r="6287" spans="1:11" ht="42" customHeight="1">
      <c r="A6287" s="2" t="s">
        <v>15865</v>
      </c>
      <c r="B6287" s="2" t="s">
        <v>15866</v>
      </c>
      <c r="C6287" s="2" t="s">
        <v>105</v>
      </c>
      <c r="D6287" s="2" t="s">
        <v>27</v>
      </c>
      <c r="E6287" s="4">
        <v>-32100</v>
      </c>
      <c r="F6287" s="3" t="s">
        <v>492</v>
      </c>
      <c r="G6287" s="3" t="s">
        <v>493</v>
      </c>
      <c r="H6287" s="2" t="s">
        <v>21</v>
      </c>
      <c r="I6287" s="2" t="s">
        <v>15867</v>
      </c>
      <c r="J6287" s="3" t="str">
        <f>HYPERLINK("https://www.boe.es/gazeta/dias/1812/02/10/pdfs/GRE-1812-31.pdf#page=8","Abrir facsímil")</f>
        <v>Abrir facsímil</v>
      </c>
      <c r="K6287" s="3" t="s">
        <v>23</v>
      </c>
    </row>
    <row r="6288" spans="1:11" ht="42" customHeight="1">
      <c r="A6288" s="2" t="s">
        <v>15865</v>
      </c>
      <c r="B6288" s="2" t="s">
        <v>15866</v>
      </c>
      <c r="C6288" s="2" t="s">
        <v>105</v>
      </c>
      <c r="D6288" s="2" t="s">
        <v>27</v>
      </c>
      <c r="E6288" s="4">
        <v>-32071</v>
      </c>
      <c r="F6288" s="3" t="s">
        <v>492</v>
      </c>
      <c r="G6288" s="3" t="s">
        <v>493</v>
      </c>
      <c r="H6288" s="2" t="s">
        <v>21</v>
      </c>
      <c r="I6288" s="2" t="s">
        <v>15867</v>
      </c>
      <c r="J6288" s="3" t="str">
        <f>HYPERLINK("https://www.boe.es/gazeta/dias/1812/03/10/pdfs/GRE-1812-31.pdf#page=8","Abrir facsímil")</f>
        <v>Abrir facsímil</v>
      </c>
      <c r="K6288" s="3" t="s">
        <v>23</v>
      </c>
    </row>
    <row r="6289" spans="1:11" ht="42" customHeight="1">
      <c r="A6289" s="2" t="s">
        <v>15868</v>
      </c>
      <c r="B6289" s="2" t="s">
        <v>15868</v>
      </c>
      <c r="C6289" s="2" t="s">
        <v>17</v>
      </c>
      <c r="D6289" s="2" t="s">
        <v>27</v>
      </c>
      <c r="E6289" s="4">
        <v>-31808</v>
      </c>
      <c r="F6289" s="3" t="s">
        <v>416</v>
      </c>
      <c r="G6289" s="3" t="s">
        <v>130</v>
      </c>
      <c r="H6289" s="2" t="s">
        <v>21</v>
      </c>
      <c r="I6289" s="2" t="s">
        <v>15869</v>
      </c>
      <c r="J6289" s="3" t="str">
        <f>HYPERLINK("https://www.boe.es/gazeta/dias/1812/11/28/pdfs/GRE-1812-158.pdf#page=4","Abrir facsímil")</f>
        <v>Abrir facsímil</v>
      </c>
      <c r="K6289" s="3" t="s">
        <v>23</v>
      </c>
    </row>
    <row r="6290" spans="1:11" ht="42" customHeight="1">
      <c r="A6290" s="2" t="s">
        <v>15870</v>
      </c>
      <c r="B6290" s="2" t="s">
        <v>15870</v>
      </c>
      <c r="C6290" s="2" t="s">
        <v>17</v>
      </c>
      <c r="D6290" s="2" t="s">
        <v>27</v>
      </c>
      <c r="E6290" s="4">
        <v>-31880</v>
      </c>
      <c r="F6290" s="3" t="s">
        <v>705</v>
      </c>
      <c r="G6290" s="3" t="s">
        <v>172</v>
      </c>
      <c r="H6290" s="2" t="s">
        <v>21</v>
      </c>
      <c r="I6290" s="2" t="s">
        <v>15871</v>
      </c>
      <c r="J6290" s="3" t="str">
        <f>HYPERLINK("https://www.boe.es/gazeta/dias/1812/09/17/pdfs/GMR-1812-15.pdf#page=4","Abrir facsímil")</f>
        <v>Abrir facsímil</v>
      </c>
      <c r="K6290" s="3" t="s">
        <v>23</v>
      </c>
    </row>
    <row r="6291" spans="1:11" ht="42" customHeight="1">
      <c r="A6291" s="2" t="s">
        <v>15870</v>
      </c>
      <c r="B6291" s="2" t="s">
        <v>15870</v>
      </c>
      <c r="C6291" s="2" t="s">
        <v>17</v>
      </c>
      <c r="D6291" s="2" t="s">
        <v>18</v>
      </c>
      <c r="E6291" s="4">
        <v>-31808</v>
      </c>
      <c r="F6291" s="3" t="s">
        <v>416</v>
      </c>
      <c r="G6291" s="3" t="s">
        <v>6443</v>
      </c>
      <c r="H6291" s="2" t="s">
        <v>21</v>
      </c>
      <c r="I6291" s="2" t="s">
        <v>15872</v>
      </c>
      <c r="J6291" s="3" t="str">
        <f>HYPERLINK("https://www.boe.es/gazeta/dias/1812/11/28/pdfs/GRE-1812-158.pdf#page=5","Abrir facsímil")</f>
        <v>Abrir facsímil</v>
      </c>
      <c r="K6291" s="3" t="s">
        <v>23</v>
      </c>
    </row>
    <row r="6292" spans="1:11" ht="42" customHeight="1">
      <c r="A6292" s="2" t="s">
        <v>15873</v>
      </c>
      <c r="B6292" s="2" t="s">
        <v>15874</v>
      </c>
      <c r="C6292" s="2" t="s">
        <v>26</v>
      </c>
      <c r="D6292" s="2" t="s">
        <v>27</v>
      </c>
      <c r="E6292" s="4">
        <v>-32137</v>
      </c>
      <c r="F6292" s="3" t="s">
        <v>355</v>
      </c>
      <c r="G6292" s="3" t="s">
        <v>117</v>
      </c>
      <c r="H6292" s="2" t="s">
        <v>21</v>
      </c>
      <c r="I6292" s="2" t="s">
        <v>15875</v>
      </c>
      <c r="J6292" s="3" t="str">
        <f>HYPERLINK("https://www.boe.es/gazeta/dias/1812/01/04/pdfs/GEI-1812-2.pdf#page=8","Abrir facsímil")</f>
        <v>Abrir facsímil</v>
      </c>
      <c r="K6292" s="3" t="s">
        <v>23</v>
      </c>
    </row>
    <row r="6293" spans="1:11" ht="42" customHeight="1">
      <c r="A6293" s="2" t="s">
        <v>15876</v>
      </c>
      <c r="B6293" s="2" t="s">
        <v>15877</v>
      </c>
      <c r="C6293" s="2" t="s">
        <v>17</v>
      </c>
      <c r="D6293" s="2" t="s">
        <v>18</v>
      </c>
      <c r="E6293" s="4">
        <v>-32095</v>
      </c>
      <c r="F6293" s="3" t="s">
        <v>284</v>
      </c>
      <c r="G6293" s="3" t="s">
        <v>29</v>
      </c>
      <c r="H6293" s="2" t="s">
        <v>21</v>
      </c>
      <c r="I6293" s="2" t="s">
        <v>15878</v>
      </c>
      <c r="J6293" s="3" t="str">
        <f>HYPERLINK("https://www.boe.es/gazeta/dias/1812/02/15/pdfs/GRE-1812-20.pdf#page=8","Abrir facsímil")</f>
        <v>Abrir facsímil</v>
      </c>
      <c r="K6293" s="3" t="s">
        <v>23</v>
      </c>
    </row>
    <row r="6294" spans="1:11" ht="42" customHeight="1">
      <c r="A6294" s="2" t="s">
        <v>15879</v>
      </c>
      <c r="B6294" s="2" t="s">
        <v>15880</v>
      </c>
      <c r="C6294" s="2" t="s">
        <v>17</v>
      </c>
      <c r="D6294" s="2" t="s">
        <v>18</v>
      </c>
      <c r="E6294" s="4">
        <v>-31857</v>
      </c>
      <c r="F6294" s="3" t="s">
        <v>1000</v>
      </c>
      <c r="G6294" s="3" t="s">
        <v>1001</v>
      </c>
      <c r="H6294" s="2" t="s">
        <v>21</v>
      </c>
      <c r="I6294" s="2" t="s">
        <v>15881</v>
      </c>
      <c r="J6294" s="3" t="str">
        <f>HYPERLINK("https://www.boe.es/gazeta/dias/1812/10/10/pdfs/GRE-1812-137.pdf#page=7","Abrir facsímil")</f>
        <v>Abrir facsímil</v>
      </c>
      <c r="K6294" s="3" t="s">
        <v>23</v>
      </c>
    </row>
    <row r="6295" spans="1:11" ht="42" customHeight="1">
      <c r="A6295" s="2" t="s">
        <v>15882</v>
      </c>
      <c r="B6295" s="2" t="s">
        <v>15882</v>
      </c>
      <c r="C6295" s="2" t="s">
        <v>17</v>
      </c>
      <c r="D6295" s="2" t="s">
        <v>18</v>
      </c>
      <c r="E6295" s="4">
        <v>-31889</v>
      </c>
      <c r="F6295" s="3" t="s">
        <v>424</v>
      </c>
      <c r="G6295" s="3" t="s">
        <v>58</v>
      </c>
      <c r="H6295" s="2" t="s">
        <v>21</v>
      </c>
      <c r="I6295" s="2" t="s">
        <v>15883</v>
      </c>
      <c r="J6295" s="3" t="str">
        <f>HYPERLINK("https://www.boe.es/gazeta/dias/1812/09/08/pdfs/GRE-1812-121.pdf#page=2","Abrir facsímil")</f>
        <v>Abrir facsímil</v>
      </c>
      <c r="K6295" s="3" t="s">
        <v>23</v>
      </c>
    </row>
    <row r="6296" spans="1:11" ht="42" customHeight="1">
      <c r="A6296" s="2" t="s">
        <v>15882</v>
      </c>
      <c r="B6296" s="2" t="s">
        <v>15882</v>
      </c>
      <c r="C6296" s="2" t="s">
        <v>17</v>
      </c>
      <c r="D6296" s="2" t="s">
        <v>27</v>
      </c>
      <c r="E6296" s="4">
        <v>-31885</v>
      </c>
      <c r="F6296" s="3" t="s">
        <v>750</v>
      </c>
      <c r="G6296" s="3" t="s">
        <v>36</v>
      </c>
      <c r="H6296" s="2" t="s">
        <v>21</v>
      </c>
      <c r="I6296" s="2" t="s">
        <v>15884</v>
      </c>
      <c r="J6296" s="3" t="str">
        <f>HYPERLINK("https://www.boe.es/gazeta/dias/1812/09/12/pdfs/GMR-1812-13.pdf#page=3","Abrir facsímil")</f>
        <v>Abrir facsímil</v>
      </c>
      <c r="K6296" s="3" t="s">
        <v>23</v>
      </c>
    </row>
    <row r="6297" spans="1:11" ht="42" customHeight="1">
      <c r="A6297" s="2" t="s">
        <v>15882</v>
      </c>
      <c r="B6297" s="2" t="s">
        <v>15882</v>
      </c>
      <c r="C6297" s="2" t="s">
        <v>17</v>
      </c>
      <c r="D6297" s="2" t="s">
        <v>27</v>
      </c>
      <c r="E6297" s="4">
        <v>-31878</v>
      </c>
      <c r="F6297" s="3" t="s">
        <v>1831</v>
      </c>
      <c r="G6297" s="3" t="s">
        <v>20</v>
      </c>
      <c r="H6297" s="2" t="s">
        <v>21</v>
      </c>
      <c r="I6297" s="2" t="s">
        <v>15885</v>
      </c>
      <c r="J6297" s="3" t="str">
        <f>HYPERLINK("https://www.boe.es/gazeta/dias/1812/09/19/pdfs/GMR-1812-16.pdf#page=2","Abrir facsímil")</f>
        <v>Abrir facsímil</v>
      </c>
      <c r="K6297" s="3" t="s">
        <v>23</v>
      </c>
    </row>
    <row r="6298" spans="1:11" ht="42" customHeight="1">
      <c r="A6298" s="2" t="s">
        <v>15882</v>
      </c>
      <c r="B6298" s="2" t="s">
        <v>15882</v>
      </c>
      <c r="C6298" s="2" t="s">
        <v>17</v>
      </c>
      <c r="D6298" s="2" t="s">
        <v>18</v>
      </c>
      <c r="E6298" s="4">
        <v>-31878</v>
      </c>
      <c r="F6298" s="3" t="s">
        <v>1831</v>
      </c>
      <c r="G6298" s="3" t="s">
        <v>2895</v>
      </c>
      <c r="H6298" s="2" t="s">
        <v>21</v>
      </c>
      <c r="I6298" s="2" t="s">
        <v>15886</v>
      </c>
      <c r="J6298" s="3" t="str">
        <f>HYPERLINK("https://www.boe.es/gazeta/dias/1812/09/19/pdfs/GMR-1812-16.pdf#page=3","Abrir facsímil")</f>
        <v>Abrir facsímil</v>
      </c>
      <c r="K6298" s="3" t="s">
        <v>23</v>
      </c>
    </row>
    <row r="6299" spans="1:11" ht="42" customHeight="1">
      <c r="A6299" s="2" t="s">
        <v>15882</v>
      </c>
      <c r="B6299" s="2" t="s">
        <v>15882</v>
      </c>
      <c r="C6299" s="2" t="s">
        <v>17</v>
      </c>
      <c r="D6299" s="2" t="s">
        <v>18</v>
      </c>
      <c r="E6299" s="4">
        <v>-31873</v>
      </c>
      <c r="F6299" s="3" t="s">
        <v>654</v>
      </c>
      <c r="G6299" s="3" t="s">
        <v>11867</v>
      </c>
      <c r="H6299" s="2" t="s">
        <v>21</v>
      </c>
      <c r="I6299" s="2" t="s">
        <v>15887</v>
      </c>
      <c r="J6299" s="3" t="str">
        <f>HYPERLINK("https://www.boe.es/gazeta/dias/1812/09/24/pdfs/GRE-1812-130.pdf#page=3","Abrir facsímil")</f>
        <v>Abrir facsímil</v>
      </c>
      <c r="K6299" s="3" t="s">
        <v>23</v>
      </c>
    </row>
    <row r="6300" spans="1:11" ht="42" customHeight="1">
      <c r="A6300" s="2" t="s">
        <v>15882</v>
      </c>
      <c r="B6300" s="2" t="s">
        <v>15882</v>
      </c>
      <c r="C6300" s="2" t="s">
        <v>26</v>
      </c>
      <c r="D6300" s="2" t="s">
        <v>27</v>
      </c>
      <c r="E6300" s="4">
        <v>-31866</v>
      </c>
      <c r="F6300" s="3" t="s">
        <v>2438</v>
      </c>
      <c r="G6300" s="3" t="s">
        <v>1943</v>
      </c>
      <c r="H6300" s="2" t="s">
        <v>21</v>
      </c>
      <c r="I6300" s="2" t="s">
        <v>15888</v>
      </c>
      <c r="J6300" s="3" t="str">
        <f>HYPERLINK("https://www.boe.es/gazeta/dias/1812/10/01/pdfs/GMR-1812-21.pdf#page=2","Abrir facsímil")</f>
        <v>Abrir facsímil</v>
      </c>
      <c r="K6300" s="3" t="s">
        <v>23</v>
      </c>
    </row>
    <row r="6301" spans="1:11" ht="42" customHeight="1">
      <c r="A6301" s="2" t="s">
        <v>15882</v>
      </c>
      <c r="B6301" s="2" t="s">
        <v>15882</v>
      </c>
      <c r="C6301" s="2" t="s">
        <v>17</v>
      </c>
      <c r="D6301" s="2" t="s">
        <v>18</v>
      </c>
      <c r="E6301" s="4">
        <v>-31866</v>
      </c>
      <c r="F6301" s="3" t="s">
        <v>2438</v>
      </c>
      <c r="G6301" s="3" t="s">
        <v>6406</v>
      </c>
      <c r="H6301" s="2" t="s">
        <v>21</v>
      </c>
      <c r="I6301" s="2" t="s">
        <v>15889</v>
      </c>
      <c r="J6301" s="3" t="str">
        <f>HYPERLINK("https://www.boe.es/gazeta/dias/1812/10/01/pdfs/GMR-1812-21.pdf#page=4","Abrir facsímil")</f>
        <v>Abrir facsímil</v>
      </c>
      <c r="K6301" s="3" t="s">
        <v>23</v>
      </c>
    </row>
    <row r="6302" spans="1:11" ht="42" customHeight="1">
      <c r="A6302" s="2" t="s">
        <v>15882</v>
      </c>
      <c r="B6302" s="2" t="s">
        <v>15882</v>
      </c>
      <c r="C6302" s="2" t="s">
        <v>17</v>
      </c>
      <c r="D6302" s="2" t="s">
        <v>18</v>
      </c>
      <c r="E6302" s="4">
        <v>-31861</v>
      </c>
      <c r="F6302" s="3" t="s">
        <v>1080</v>
      </c>
      <c r="G6302" s="3" t="s">
        <v>125</v>
      </c>
      <c r="H6302" s="2" t="s">
        <v>21</v>
      </c>
      <c r="I6302" s="2" t="s">
        <v>15890</v>
      </c>
      <c r="J6302" s="3" t="str">
        <f>HYPERLINK("https://www.boe.es/gazeta/dias/1812/10/06/pdfs/GMR-1812-23.pdf#page=3","Abrir facsímil")</f>
        <v>Abrir facsímil</v>
      </c>
      <c r="K6302" s="3" t="s">
        <v>23</v>
      </c>
    </row>
    <row r="6303" spans="1:11" ht="42" customHeight="1">
      <c r="A6303" s="2" t="s">
        <v>15882</v>
      </c>
      <c r="B6303" s="2" t="s">
        <v>15882</v>
      </c>
      <c r="C6303" s="2" t="s">
        <v>17</v>
      </c>
      <c r="D6303" s="2" t="s">
        <v>18</v>
      </c>
      <c r="E6303" s="4">
        <v>-31852</v>
      </c>
      <c r="F6303" s="3" t="s">
        <v>4370</v>
      </c>
      <c r="G6303" s="3" t="s">
        <v>214</v>
      </c>
      <c r="H6303" s="2" t="s">
        <v>21</v>
      </c>
      <c r="I6303" s="2" t="s">
        <v>15891</v>
      </c>
      <c r="J6303" s="3" t="str">
        <f>HYPERLINK("https://www.boe.es/gazeta/dias/1812/10/15/pdfs/GMR-1812-27.pdf#page=2","Abrir facsímil")</f>
        <v>Abrir facsímil</v>
      </c>
      <c r="K6303" s="3" t="s">
        <v>23</v>
      </c>
    </row>
    <row r="6304" spans="1:11" ht="42" customHeight="1">
      <c r="A6304" s="2" t="s">
        <v>15882</v>
      </c>
      <c r="B6304" s="2" t="s">
        <v>15882</v>
      </c>
      <c r="C6304" s="2" t="s">
        <v>26</v>
      </c>
      <c r="D6304" s="2" t="s">
        <v>27</v>
      </c>
      <c r="E6304" s="4">
        <v>-31838</v>
      </c>
      <c r="F6304" s="3" t="s">
        <v>1452</v>
      </c>
      <c r="G6304" s="3" t="s">
        <v>1076</v>
      </c>
      <c r="H6304" s="2" t="s">
        <v>21</v>
      </c>
      <c r="I6304" s="2" t="s">
        <v>15892</v>
      </c>
      <c r="J6304" s="3" t="str">
        <f>HYPERLINK("https://www.boe.es/gazeta/dias/1812/10/29/pdfs/GMR-1812-33.pdf#page=1","Abrir facsímil")</f>
        <v>Abrir facsímil</v>
      </c>
      <c r="K6304" s="3" t="s">
        <v>23</v>
      </c>
    </row>
    <row r="6305" spans="1:11" ht="42" customHeight="1">
      <c r="A6305" s="2" t="s">
        <v>15882</v>
      </c>
      <c r="B6305" s="2" t="s">
        <v>15882</v>
      </c>
      <c r="C6305" s="2" t="s">
        <v>17</v>
      </c>
      <c r="D6305" s="2" t="s">
        <v>18</v>
      </c>
      <c r="E6305" s="4">
        <v>-31838</v>
      </c>
      <c r="F6305" s="3" t="s">
        <v>1452</v>
      </c>
      <c r="G6305" s="3" t="s">
        <v>15893</v>
      </c>
      <c r="H6305" s="2" t="s">
        <v>21</v>
      </c>
      <c r="I6305" s="2" t="s">
        <v>15894</v>
      </c>
      <c r="J6305" s="3" t="str">
        <f>HYPERLINK("https://www.boe.es/gazeta/dias/1812/10/29/pdfs/GMR-1812-33.pdf#page=2","Abrir facsímil")</f>
        <v>Abrir facsímil</v>
      </c>
      <c r="K6305" s="3" t="s">
        <v>23</v>
      </c>
    </row>
    <row r="6306" spans="1:11" ht="42" customHeight="1">
      <c r="A6306" s="2" t="s">
        <v>15882</v>
      </c>
      <c r="B6306" s="2" t="s">
        <v>15882</v>
      </c>
      <c r="C6306" s="2" t="s">
        <v>17</v>
      </c>
      <c r="D6306" s="2" t="s">
        <v>27</v>
      </c>
      <c r="E6306" s="4">
        <v>-31831</v>
      </c>
      <c r="F6306" s="3" t="s">
        <v>1963</v>
      </c>
      <c r="G6306" s="3" t="s">
        <v>6027</v>
      </c>
      <c r="H6306" s="2" t="s">
        <v>21</v>
      </c>
      <c r="I6306" s="2" t="s">
        <v>15895</v>
      </c>
      <c r="J6306" s="3" t="str">
        <f>HYPERLINK("https://www.boe.es/gazeta/dias/1812/11/05/pdfs/GRE-1812-148.pdf#page=2","Abrir facsímil")</f>
        <v>Abrir facsímil</v>
      </c>
      <c r="K6306" s="3" t="s">
        <v>23</v>
      </c>
    </row>
    <row r="6307" spans="1:11" ht="42" customHeight="1">
      <c r="A6307" s="2" t="s">
        <v>15882</v>
      </c>
      <c r="B6307" s="2" t="s">
        <v>15882</v>
      </c>
      <c r="C6307" s="2" t="s">
        <v>17</v>
      </c>
      <c r="D6307" s="2" t="s">
        <v>18</v>
      </c>
      <c r="E6307" s="4">
        <v>-31831</v>
      </c>
      <c r="F6307" s="3" t="s">
        <v>1963</v>
      </c>
      <c r="G6307" s="3" t="s">
        <v>9409</v>
      </c>
      <c r="H6307" s="2" t="s">
        <v>21</v>
      </c>
      <c r="I6307" s="2" t="s">
        <v>15896</v>
      </c>
      <c r="J6307" s="3" t="str">
        <f>HYPERLINK("https://www.boe.es/gazeta/dias/1812/11/05/pdfs/GRE-1812-148.pdf#page=3","Abrir facsímil")</f>
        <v>Abrir facsímil</v>
      </c>
      <c r="K6307" s="3" t="s">
        <v>23</v>
      </c>
    </row>
    <row r="6308" spans="1:11" ht="42" customHeight="1">
      <c r="A6308" s="2" t="s">
        <v>15897</v>
      </c>
      <c r="B6308" s="2" t="s">
        <v>15898</v>
      </c>
      <c r="C6308" s="2" t="s">
        <v>26</v>
      </c>
      <c r="D6308" s="2" t="s">
        <v>27</v>
      </c>
      <c r="E6308" s="4">
        <v>-31964</v>
      </c>
      <c r="F6308" s="3" t="s">
        <v>93</v>
      </c>
      <c r="G6308" s="3" t="s">
        <v>1722</v>
      </c>
      <c r="H6308" s="2" t="s">
        <v>21</v>
      </c>
      <c r="I6308" s="2" t="s">
        <v>15899</v>
      </c>
      <c r="J6308" s="3" t="str">
        <f>HYPERLINK("https://www.boe.es/gazeta/dias/1812/06/25/pdfs/GRE-1812-78.pdf#page=8","Abrir facsímil")</f>
        <v>Abrir facsímil</v>
      </c>
      <c r="K6308" s="3" t="s">
        <v>23</v>
      </c>
    </row>
    <row r="6309" spans="1:11" ht="42" customHeight="1">
      <c r="A6309" s="2" t="s">
        <v>15900</v>
      </c>
      <c r="B6309" s="2" t="s">
        <v>15901</v>
      </c>
      <c r="C6309" s="2" t="s">
        <v>26</v>
      </c>
      <c r="D6309" s="2" t="s">
        <v>27</v>
      </c>
      <c r="E6309" s="4">
        <v>-32134</v>
      </c>
      <c r="F6309" s="3" t="s">
        <v>50</v>
      </c>
      <c r="G6309" s="3" t="s">
        <v>233</v>
      </c>
      <c r="H6309" s="2" t="s">
        <v>21</v>
      </c>
      <c r="I6309" s="2" t="s">
        <v>15902</v>
      </c>
      <c r="J6309" s="3" t="str">
        <f>HYPERLINK("https://www.boe.es/gazeta/dias/1812/01/07/pdfs/GEI-1812-3.pdf#page=8","Abrir facsímil")</f>
        <v>Abrir facsímil</v>
      </c>
      <c r="K6309" s="3" t="s">
        <v>23</v>
      </c>
    </row>
    <row r="6310" spans="1:11" ht="42" customHeight="1">
      <c r="A6310" s="2" t="s">
        <v>15903</v>
      </c>
      <c r="B6310" s="2" t="s">
        <v>15904</v>
      </c>
      <c r="C6310" s="2" t="s">
        <v>82</v>
      </c>
      <c r="D6310" s="2" t="s">
        <v>27</v>
      </c>
      <c r="E6310" s="4">
        <v>-31969</v>
      </c>
      <c r="F6310" s="3" t="s">
        <v>83</v>
      </c>
      <c r="G6310" s="3" t="s">
        <v>84</v>
      </c>
      <c r="H6310" s="2" t="s">
        <v>21</v>
      </c>
      <c r="I6310" s="2" t="s">
        <v>15905</v>
      </c>
      <c r="J6310" s="3" t="str">
        <f>HYPERLINK("https://www.boe.es/gazeta/dias/1812/06/20/pdfs/GRE-1812-76.pdf#page=8","Abrir facsímil")</f>
        <v>Abrir facsímil</v>
      </c>
      <c r="K6310" s="3" t="s">
        <v>23</v>
      </c>
    </row>
    <row r="6311" spans="1:11" ht="42" customHeight="1">
      <c r="A6311" s="2" t="s">
        <v>15906</v>
      </c>
      <c r="B6311" s="2" t="s">
        <v>15907</v>
      </c>
      <c r="C6311" s="2" t="s">
        <v>26</v>
      </c>
      <c r="D6311" s="2" t="s">
        <v>27</v>
      </c>
      <c r="E6311" s="4">
        <v>-31980</v>
      </c>
      <c r="F6311" s="3" t="s">
        <v>40</v>
      </c>
      <c r="G6311" s="3" t="s">
        <v>41</v>
      </c>
      <c r="H6311" s="2" t="s">
        <v>21</v>
      </c>
      <c r="I6311" s="2" t="s">
        <v>15908</v>
      </c>
      <c r="J6311" s="3" t="str">
        <f>HYPERLINK("https://www.boe.es/gazeta/dias/1812/06/09/pdfs/GRE-1812-71.pdf#page=6","Abrir facsímil")</f>
        <v>Abrir facsímil</v>
      </c>
      <c r="K6311" s="3" t="s">
        <v>23</v>
      </c>
    </row>
    <row r="6312" spans="1:11" ht="42" customHeight="1">
      <c r="A6312" s="2" t="s">
        <v>15909</v>
      </c>
      <c r="B6312" s="2" t="s">
        <v>15909</v>
      </c>
      <c r="C6312" s="2" t="s">
        <v>26</v>
      </c>
      <c r="D6312" s="2" t="s">
        <v>27</v>
      </c>
      <c r="E6312" s="4">
        <v>-32047</v>
      </c>
      <c r="F6312" s="3" t="s">
        <v>9070</v>
      </c>
      <c r="G6312" s="3" t="s">
        <v>706</v>
      </c>
      <c r="H6312" s="2" t="s">
        <v>21</v>
      </c>
      <c r="I6312" s="2" t="s">
        <v>15910</v>
      </c>
      <c r="J6312" s="3" t="str">
        <f>HYPERLINK("https://www.boe.es/gazeta/dias/1812/04/03/pdfs/GMD-1812-94.pdf#page=2","Abrir facsímil")</f>
        <v>Abrir facsímil</v>
      </c>
      <c r="K6312" s="3" t="s">
        <v>23</v>
      </c>
    </row>
    <row r="6313" spans="1:11" ht="42" customHeight="1">
      <c r="A6313" s="2" t="s">
        <v>15911</v>
      </c>
      <c r="B6313" s="2" t="s">
        <v>15912</v>
      </c>
      <c r="C6313" s="2" t="s">
        <v>17</v>
      </c>
      <c r="D6313" s="2" t="s">
        <v>27</v>
      </c>
      <c r="E6313" s="4">
        <v>-32022</v>
      </c>
      <c r="F6313" s="3" t="s">
        <v>1186</v>
      </c>
      <c r="G6313" s="3" t="s">
        <v>15913</v>
      </c>
      <c r="H6313" s="2" t="s">
        <v>30</v>
      </c>
      <c r="I6313" s="2" t="s">
        <v>15914</v>
      </c>
      <c r="J6313" s="3" t="str">
        <f>HYPERLINK("https://www.boe.es/gazeta/dias/1812/04/28/pdfs/GRE-1812-53.pdf#page=1","Abrir facsímil")</f>
        <v>Abrir facsímil</v>
      </c>
      <c r="K6313" s="3" t="s">
        <v>32</v>
      </c>
    </row>
    <row r="6314" spans="1:11" ht="42" customHeight="1">
      <c r="A6314" s="2" t="s">
        <v>15915</v>
      </c>
      <c r="B6314" s="2" t="s">
        <v>15916</v>
      </c>
      <c r="C6314" s="2" t="s">
        <v>26</v>
      </c>
      <c r="D6314" s="2" t="s">
        <v>27</v>
      </c>
      <c r="E6314" s="4">
        <v>-32034</v>
      </c>
      <c r="F6314" s="3" t="s">
        <v>28</v>
      </c>
      <c r="G6314" s="3" t="s">
        <v>317</v>
      </c>
      <c r="H6314" s="2" t="s">
        <v>30</v>
      </c>
      <c r="I6314" s="2" t="s">
        <v>15917</v>
      </c>
      <c r="J6314" s="3" t="str">
        <f>HYPERLINK("https://www.boe.es/gazeta/dias/1812/04/16/pdfs/GMD-1812-107.pdf#page=6","Abrir facsímil")</f>
        <v>Abrir facsímil</v>
      </c>
      <c r="K6314" s="3" t="s">
        <v>32</v>
      </c>
    </row>
    <row r="6315" spans="1:11" ht="42" customHeight="1">
      <c r="A6315" s="2" t="s">
        <v>15915</v>
      </c>
      <c r="B6315" s="2" t="s">
        <v>15916</v>
      </c>
      <c r="C6315" s="2" t="s">
        <v>17</v>
      </c>
      <c r="D6315" s="2" t="s">
        <v>18</v>
      </c>
      <c r="E6315" s="4">
        <v>-31931</v>
      </c>
      <c r="F6315" s="3" t="s">
        <v>2350</v>
      </c>
      <c r="G6315" s="3" t="s">
        <v>2351</v>
      </c>
      <c r="H6315" s="2" t="s">
        <v>30</v>
      </c>
      <c r="I6315" s="2" t="s">
        <v>15918</v>
      </c>
      <c r="J6315" s="3" t="str">
        <f>HYPERLINK("https://www.boe.es/gazeta/dias/1812/07/28/pdfs/GMD-1812-210.pdf#page=2","Abrir facsímil")</f>
        <v>Abrir facsímil</v>
      </c>
      <c r="K6315" s="3" t="s">
        <v>32</v>
      </c>
    </row>
    <row r="6316" spans="1:11" ht="42" customHeight="1">
      <c r="A6316" s="2" t="s">
        <v>15915</v>
      </c>
      <c r="B6316" s="2" t="s">
        <v>15916</v>
      </c>
      <c r="C6316" s="2" t="s">
        <v>17</v>
      </c>
      <c r="D6316" s="2" t="s">
        <v>27</v>
      </c>
      <c r="E6316" s="4">
        <v>-31866</v>
      </c>
      <c r="F6316" s="3" t="s">
        <v>845</v>
      </c>
      <c r="G6316" s="3" t="s">
        <v>8924</v>
      </c>
      <c r="H6316" s="2" t="s">
        <v>30</v>
      </c>
      <c r="I6316" s="2" t="s">
        <v>15919</v>
      </c>
      <c r="J6316" s="3" t="str">
        <f>HYPERLINK("https://www.boe.es/gazeta/dias/1812/10/01/pdfs/GRE-1812-133.pdf#page=3","Abrir facsímil")</f>
        <v>Abrir facsímil</v>
      </c>
      <c r="K6316" s="3" t="s">
        <v>32</v>
      </c>
    </row>
    <row r="6317" spans="1:11" ht="42" customHeight="1">
      <c r="A6317" s="2" t="s">
        <v>15920</v>
      </c>
      <c r="B6317" s="2" t="s">
        <v>15921</v>
      </c>
      <c r="C6317" s="2" t="s">
        <v>26</v>
      </c>
      <c r="D6317" s="2" t="s">
        <v>27</v>
      </c>
      <c r="E6317" s="4">
        <v>-32034</v>
      </c>
      <c r="F6317" s="3" t="s">
        <v>28</v>
      </c>
      <c r="G6317" s="3" t="s">
        <v>29</v>
      </c>
      <c r="H6317" s="2" t="s">
        <v>30</v>
      </c>
      <c r="I6317" s="2" t="s">
        <v>15922</v>
      </c>
      <c r="J6317" s="3" t="str">
        <f>HYPERLINK("https://www.boe.es/gazeta/dias/1812/04/16/pdfs/GMD-1812-107.pdf#page=8","Abrir facsímil")</f>
        <v>Abrir facsímil</v>
      </c>
      <c r="K6317" s="3" t="s">
        <v>32</v>
      </c>
    </row>
    <row r="6318" spans="1:11" ht="42" customHeight="1">
      <c r="A6318" s="2" t="s">
        <v>15923</v>
      </c>
      <c r="B6318" s="2" t="s">
        <v>15924</v>
      </c>
      <c r="C6318" s="2" t="s">
        <v>67</v>
      </c>
      <c r="D6318" s="2" t="s">
        <v>27</v>
      </c>
      <c r="E6318" s="4">
        <v>-32110</v>
      </c>
      <c r="F6318" s="3" t="s">
        <v>68</v>
      </c>
      <c r="G6318" s="3" t="s">
        <v>20</v>
      </c>
      <c r="H6318" s="2" t="s">
        <v>21</v>
      </c>
      <c r="I6318" s="2" t="s">
        <v>15925</v>
      </c>
      <c r="J6318" s="3" t="str">
        <f>HYPERLINK("https://www.boe.es/gazeta/dias/1812/01/31/pdfs/GMD-1812-31.pdf#page=4","Abrir facsímil")</f>
        <v>Abrir facsímil</v>
      </c>
      <c r="K6318" s="3" t="s">
        <v>23</v>
      </c>
    </row>
    <row r="6319" spans="1:11" ht="42" customHeight="1">
      <c r="A6319" s="2" t="s">
        <v>15926</v>
      </c>
      <c r="B6319" s="2" t="s">
        <v>15927</v>
      </c>
      <c r="C6319" s="2" t="s">
        <v>17</v>
      </c>
      <c r="D6319" s="2" t="s">
        <v>275</v>
      </c>
      <c r="E6319" s="4">
        <v>-31974</v>
      </c>
      <c r="F6319" s="3" t="s">
        <v>2986</v>
      </c>
      <c r="G6319" s="3" t="s">
        <v>130</v>
      </c>
      <c r="H6319" s="2" t="s">
        <v>21</v>
      </c>
      <c r="I6319" s="2" t="s">
        <v>15928</v>
      </c>
      <c r="J6319" s="3" t="str">
        <f>HYPERLINK("https://www.boe.es/gazeta/dias/1812/06/15/pdfs/GMD-1812-167.pdf#page=4","Abrir facsímil")</f>
        <v>Abrir facsímil</v>
      </c>
      <c r="K6319" s="3" t="s">
        <v>23</v>
      </c>
    </row>
    <row r="6320" spans="1:11" ht="42" customHeight="1">
      <c r="A6320" s="2" t="s">
        <v>15929</v>
      </c>
      <c r="B6320" s="2" t="s">
        <v>15930</v>
      </c>
      <c r="C6320" s="2" t="s">
        <v>67</v>
      </c>
      <c r="D6320" s="2" t="s">
        <v>27</v>
      </c>
      <c r="E6320" s="4">
        <v>-31964</v>
      </c>
      <c r="F6320" s="3" t="s">
        <v>305</v>
      </c>
      <c r="G6320" s="3" t="s">
        <v>306</v>
      </c>
      <c r="H6320" s="2" t="s">
        <v>21</v>
      </c>
      <c r="I6320" s="2" t="s">
        <v>15931</v>
      </c>
      <c r="J6320" s="3" t="str">
        <f>HYPERLINK("https://www.boe.es/gazeta/dias/1812/06/25/pdfs/GMD-1812-177.pdf#page=3","Abrir facsímil")</f>
        <v>Abrir facsímil</v>
      </c>
      <c r="K6320" s="3" t="s">
        <v>23</v>
      </c>
    </row>
    <row r="6321" spans="1:11" ht="42" customHeight="1">
      <c r="A6321" s="2" t="s">
        <v>15932</v>
      </c>
      <c r="B6321" s="2" t="s">
        <v>15933</v>
      </c>
      <c r="C6321" s="2" t="s">
        <v>17</v>
      </c>
      <c r="D6321" s="2" t="s">
        <v>27</v>
      </c>
      <c r="E6321" s="4">
        <v>-31829</v>
      </c>
      <c r="F6321" s="3" t="s">
        <v>3229</v>
      </c>
      <c r="G6321" s="3" t="s">
        <v>3230</v>
      </c>
      <c r="H6321" s="2" t="s">
        <v>21</v>
      </c>
      <c r="I6321" s="2" t="s">
        <v>15934</v>
      </c>
      <c r="J6321" s="3" t="str">
        <f>HYPERLINK("https://www.boe.es/gazeta/dias/1812/11/07/pdfs/GRE-1812-149.pdf#page=5","Abrir facsímil")</f>
        <v>Abrir facsímil</v>
      </c>
      <c r="K6321" s="3" t="s">
        <v>23</v>
      </c>
    </row>
    <row r="6322" spans="1:11" ht="42" customHeight="1">
      <c r="A6322" s="2" t="s">
        <v>15935</v>
      </c>
      <c r="B6322" s="2" t="s">
        <v>15936</v>
      </c>
      <c r="C6322" s="2" t="s">
        <v>17</v>
      </c>
      <c r="D6322" s="2" t="s">
        <v>27</v>
      </c>
      <c r="E6322" s="4">
        <v>-31931</v>
      </c>
      <c r="F6322" s="3" t="s">
        <v>4174</v>
      </c>
      <c r="G6322" s="3" t="s">
        <v>4175</v>
      </c>
      <c r="H6322" s="2" t="s">
        <v>21</v>
      </c>
      <c r="I6322" s="2" t="s">
        <v>15937</v>
      </c>
      <c r="J6322" s="3" t="str">
        <f>HYPERLINK("https://www.boe.es/gazeta/dias/1812/07/28/pdfs/GRE-1812-94.pdf#page=5","Abrir facsímil")</f>
        <v>Abrir facsímil</v>
      </c>
      <c r="K6322" s="3" t="s">
        <v>23</v>
      </c>
    </row>
    <row r="6323" spans="1:11" ht="42" customHeight="1">
      <c r="A6323" s="2" t="s">
        <v>15938</v>
      </c>
      <c r="B6323" s="2" t="s">
        <v>15939</v>
      </c>
      <c r="C6323" s="2" t="s">
        <v>26</v>
      </c>
      <c r="D6323" s="2" t="s">
        <v>27</v>
      </c>
      <c r="E6323" s="4">
        <v>-32053</v>
      </c>
      <c r="F6323" s="3" t="s">
        <v>910</v>
      </c>
      <c r="G6323" s="3" t="s">
        <v>214</v>
      </c>
      <c r="H6323" s="2" t="s">
        <v>21</v>
      </c>
      <c r="I6323" s="2" t="s">
        <v>15940</v>
      </c>
      <c r="J6323" s="3" t="str">
        <f>HYPERLINK("https://www.boe.es/gazeta/dias/1812/03/28/pdfs/GRE-1812-39.pdf#page=7","Abrir facsímil")</f>
        <v>Abrir facsímil</v>
      </c>
      <c r="K6323" s="3" t="s">
        <v>23</v>
      </c>
    </row>
    <row r="6324" spans="1:11" ht="42" customHeight="1">
      <c r="A6324" s="2" t="s">
        <v>15941</v>
      </c>
      <c r="B6324" s="2" t="s">
        <v>15941</v>
      </c>
      <c r="C6324" s="2" t="s">
        <v>17</v>
      </c>
      <c r="D6324" s="2" t="s">
        <v>27</v>
      </c>
      <c r="E6324" s="4">
        <v>-31896</v>
      </c>
      <c r="F6324" s="3" t="s">
        <v>1808</v>
      </c>
      <c r="G6324" s="3" t="s">
        <v>58</v>
      </c>
      <c r="H6324" s="2" t="s">
        <v>21</v>
      </c>
      <c r="I6324" s="2" t="s">
        <v>15942</v>
      </c>
      <c r="J6324" s="3" t="str">
        <f>HYPERLINK("https://www.boe.es/gazeta/dias/1812/09/01/pdfs/GMR-1812-8.pdf#page=3","Abrir facsímil")</f>
        <v>Abrir facsímil</v>
      </c>
      <c r="K6324" s="3" t="s">
        <v>23</v>
      </c>
    </row>
    <row r="6325" spans="1:11" ht="42" customHeight="1">
      <c r="A6325" s="2" t="s">
        <v>15941</v>
      </c>
      <c r="B6325" s="2" t="s">
        <v>15941</v>
      </c>
      <c r="C6325" s="2" t="s">
        <v>17</v>
      </c>
      <c r="D6325" s="2" t="s">
        <v>27</v>
      </c>
      <c r="E6325" s="4">
        <v>-31861</v>
      </c>
      <c r="F6325" s="3" t="s">
        <v>1080</v>
      </c>
      <c r="G6325" s="3" t="s">
        <v>125</v>
      </c>
      <c r="H6325" s="2" t="s">
        <v>21</v>
      </c>
      <c r="I6325" s="2" t="s">
        <v>15943</v>
      </c>
      <c r="J6325" s="3" t="str">
        <f>HYPERLINK("https://www.boe.es/gazeta/dias/1812/10/06/pdfs/GMR-1812-23.pdf#page=3","Abrir facsímil")</f>
        <v>Abrir facsímil</v>
      </c>
      <c r="K6325" s="3" t="s">
        <v>23</v>
      </c>
    </row>
    <row r="6326" spans="1:11" ht="42" customHeight="1">
      <c r="A6326" s="2" t="s">
        <v>15944</v>
      </c>
      <c r="B6326" s="2" t="s">
        <v>15945</v>
      </c>
      <c r="C6326" s="2" t="s">
        <v>17</v>
      </c>
      <c r="D6326" s="2" t="s">
        <v>27</v>
      </c>
      <c r="E6326" s="4">
        <v>-31859</v>
      </c>
      <c r="F6326" s="3" t="s">
        <v>3024</v>
      </c>
      <c r="G6326" s="3" t="s">
        <v>217</v>
      </c>
      <c r="H6326" s="2" t="s">
        <v>21</v>
      </c>
      <c r="I6326" s="2" t="s">
        <v>15946</v>
      </c>
      <c r="J6326" s="3" t="str">
        <f>HYPERLINK("https://www.boe.es/gazeta/dias/1812/10/08/pdfs/GRE-1812-136.pdf#page=5","Abrir facsímil")</f>
        <v>Abrir facsímil</v>
      </c>
      <c r="K6326" s="3" t="s">
        <v>23</v>
      </c>
    </row>
    <row r="6327" spans="1:11" ht="42" customHeight="1">
      <c r="A6327" s="2" t="s">
        <v>15947</v>
      </c>
      <c r="B6327" s="2" t="s">
        <v>15948</v>
      </c>
      <c r="C6327" s="2" t="s">
        <v>17</v>
      </c>
      <c r="D6327" s="2" t="s">
        <v>27</v>
      </c>
      <c r="E6327" s="4">
        <v>-31859</v>
      </c>
      <c r="F6327" s="3" t="s">
        <v>3024</v>
      </c>
      <c r="G6327" s="3" t="s">
        <v>172</v>
      </c>
      <c r="H6327" s="2" t="s">
        <v>21</v>
      </c>
      <c r="I6327" s="2" t="s">
        <v>15949</v>
      </c>
      <c r="J6327" s="3" t="str">
        <f>HYPERLINK("https://www.boe.es/gazeta/dias/1812/10/08/pdfs/GRE-1812-136.pdf#page=4","Abrir facsímil")</f>
        <v>Abrir facsímil</v>
      </c>
      <c r="K6327" s="3" t="s">
        <v>23</v>
      </c>
    </row>
    <row r="6328" spans="1:11" ht="42" customHeight="1">
      <c r="A6328" s="2" t="s">
        <v>15950</v>
      </c>
      <c r="B6328" s="2" t="s">
        <v>15951</v>
      </c>
      <c r="C6328" s="2" t="s">
        <v>26</v>
      </c>
      <c r="D6328" s="2" t="s">
        <v>27</v>
      </c>
      <c r="E6328" s="4">
        <v>-32034</v>
      </c>
      <c r="F6328" s="3" t="s">
        <v>28</v>
      </c>
      <c r="G6328" s="3" t="s">
        <v>317</v>
      </c>
      <c r="H6328" s="2" t="s">
        <v>21</v>
      </c>
      <c r="I6328" s="2" t="s">
        <v>15952</v>
      </c>
      <c r="J6328" s="3" t="str">
        <f>HYPERLINK("https://www.boe.es/gazeta/dias/1812/04/16/pdfs/GMD-1812-107.pdf#page=6","Abrir facsímil")</f>
        <v>Abrir facsímil</v>
      </c>
      <c r="K6328" s="3" t="s">
        <v>23</v>
      </c>
    </row>
    <row r="6329" spans="1:11" ht="42" customHeight="1">
      <c r="A6329" s="2" t="s">
        <v>15953</v>
      </c>
      <c r="B6329" s="2" t="s">
        <v>15954</v>
      </c>
      <c r="C6329" s="2" t="s">
        <v>17</v>
      </c>
      <c r="D6329" s="2" t="s">
        <v>18</v>
      </c>
      <c r="E6329" s="4">
        <v>-32063</v>
      </c>
      <c r="F6329" s="3" t="s">
        <v>384</v>
      </c>
      <c r="G6329" s="3" t="s">
        <v>125</v>
      </c>
      <c r="H6329" s="2" t="s">
        <v>21</v>
      </c>
      <c r="I6329" s="2" t="s">
        <v>15955</v>
      </c>
      <c r="J6329" s="3" t="str">
        <f>HYPERLINK("https://www.boe.es/gazeta/dias/1812/03/18/pdfs/GMD-1812-78.pdf#page=3","Abrir facsímil")</f>
        <v>Abrir facsímil</v>
      </c>
      <c r="K6329" s="3" t="s">
        <v>23</v>
      </c>
    </row>
    <row r="6330" spans="1:11" ht="42" customHeight="1">
      <c r="A6330" s="2" t="s">
        <v>15956</v>
      </c>
      <c r="B6330" s="2" t="s">
        <v>15956</v>
      </c>
      <c r="C6330" s="2" t="s">
        <v>17</v>
      </c>
      <c r="D6330" s="2" t="s">
        <v>27</v>
      </c>
      <c r="E6330" s="4">
        <v>-32133</v>
      </c>
      <c r="F6330" s="3" t="s">
        <v>139</v>
      </c>
      <c r="G6330" s="3" t="s">
        <v>140</v>
      </c>
      <c r="H6330" s="2" t="s">
        <v>21</v>
      </c>
      <c r="I6330" s="2" t="s">
        <v>15957</v>
      </c>
      <c r="J6330" s="3" t="str">
        <f>HYPERLINK("https://www.boe.es/gazeta/dias/1812/01/08/pdfs/GMD-1812-8.pdf#page=2","Abrir facsímil")</f>
        <v>Abrir facsímil</v>
      </c>
      <c r="K6330" s="3" t="s">
        <v>23</v>
      </c>
    </row>
    <row r="6331" spans="1:11" ht="42" customHeight="1">
      <c r="A6331" s="2" t="s">
        <v>15958</v>
      </c>
      <c r="B6331" s="2" t="s">
        <v>15959</v>
      </c>
      <c r="C6331" s="2" t="s">
        <v>26</v>
      </c>
      <c r="D6331" s="2" t="s">
        <v>27</v>
      </c>
      <c r="E6331" s="4">
        <v>-32069</v>
      </c>
      <c r="F6331" s="3" t="s">
        <v>445</v>
      </c>
      <c r="G6331" s="3" t="s">
        <v>446</v>
      </c>
      <c r="H6331" s="2" t="s">
        <v>21</v>
      </c>
      <c r="I6331" s="2" t="s">
        <v>15960</v>
      </c>
      <c r="J6331" s="3" t="str">
        <f>HYPERLINK("https://www.boe.es/gazeta/dias/1812/03/12/pdfs/GRE-1812-32.pdf#page=8","Abrir facsímil")</f>
        <v>Abrir facsímil</v>
      </c>
      <c r="K6331" s="3" t="s">
        <v>23</v>
      </c>
    </row>
    <row r="6332" spans="1:11" ht="42" customHeight="1">
      <c r="A6332" s="2" t="s">
        <v>15961</v>
      </c>
      <c r="B6332" s="2" t="s">
        <v>15962</v>
      </c>
      <c r="C6332" s="2" t="s">
        <v>17</v>
      </c>
      <c r="D6332" s="2" t="s">
        <v>18</v>
      </c>
      <c r="E6332" s="4">
        <v>-31826</v>
      </c>
      <c r="F6332" s="3" t="s">
        <v>7488</v>
      </c>
      <c r="G6332" s="3" t="s">
        <v>15963</v>
      </c>
      <c r="H6332" s="2" t="s">
        <v>21</v>
      </c>
      <c r="I6332" s="2" t="s">
        <v>15964</v>
      </c>
      <c r="J6332" s="3" t="str">
        <f>HYPERLINK("https://www.boe.es/gazeta/dias/1812/11/10/pdfs/GRE-1812-150.pdf#page=5","Abrir facsímil")</f>
        <v>Abrir facsímil</v>
      </c>
      <c r="K6332" s="3" t="s">
        <v>23</v>
      </c>
    </row>
    <row r="6333" spans="1:11" ht="42" customHeight="1">
      <c r="A6333" s="2" t="s">
        <v>15965</v>
      </c>
      <c r="B6333" s="2" t="s">
        <v>15966</v>
      </c>
      <c r="C6333" s="2" t="s">
        <v>26</v>
      </c>
      <c r="D6333" s="2" t="s">
        <v>27</v>
      </c>
      <c r="E6333" s="4">
        <v>-32134</v>
      </c>
      <c r="F6333" s="3" t="s">
        <v>50</v>
      </c>
      <c r="G6333" s="3" t="s">
        <v>233</v>
      </c>
      <c r="H6333" s="2" t="s">
        <v>21</v>
      </c>
      <c r="I6333" s="2" t="s">
        <v>15967</v>
      </c>
      <c r="J6333" s="3" t="str">
        <f>HYPERLINK("https://www.boe.es/gazeta/dias/1812/01/07/pdfs/GEI-1812-3.pdf#page=8","Abrir facsímil")</f>
        <v>Abrir facsímil</v>
      </c>
      <c r="K6333" s="3" t="s">
        <v>23</v>
      </c>
    </row>
    <row r="6334" spans="1:11" ht="42" customHeight="1">
      <c r="A6334" s="2" t="s">
        <v>15965</v>
      </c>
      <c r="B6334" s="2" t="s">
        <v>15966</v>
      </c>
      <c r="C6334" s="2" t="s">
        <v>549</v>
      </c>
      <c r="D6334" s="2" t="s">
        <v>27</v>
      </c>
      <c r="E6334" s="4">
        <v>-32100</v>
      </c>
      <c r="F6334" s="3" t="s">
        <v>492</v>
      </c>
      <c r="G6334" s="3" t="s">
        <v>493</v>
      </c>
      <c r="H6334" s="2" t="s">
        <v>21</v>
      </c>
      <c r="I6334" s="2" t="s">
        <v>15968</v>
      </c>
      <c r="J6334" s="3" t="str">
        <f>HYPERLINK("https://www.boe.es/gazeta/dias/1812/02/10/pdfs/GRE-1812-31.pdf#page=8","Abrir facsímil")</f>
        <v>Abrir facsímil</v>
      </c>
      <c r="K6334" s="3" t="s">
        <v>23</v>
      </c>
    </row>
    <row r="6335" spans="1:11" ht="42" customHeight="1">
      <c r="A6335" s="2" t="s">
        <v>15965</v>
      </c>
      <c r="B6335" s="2" t="s">
        <v>15966</v>
      </c>
      <c r="C6335" s="2" t="s">
        <v>549</v>
      </c>
      <c r="D6335" s="2" t="s">
        <v>27</v>
      </c>
      <c r="E6335" s="4">
        <v>-32071</v>
      </c>
      <c r="F6335" s="3" t="s">
        <v>492</v>
      </c>
      <c r="G6335" s="3" t="s">
        <v>493</v>
      </c>
      <c r="H6335" s="2" t="s">
        <v>21</v>
      </c>
      <c r="I6335" s="2" t="s">
        <v>15968</v>
      </c>
      <c r="J6335" s="3" t="str">
        <f>HYPERLINK("https://www.boe.es/gazeta/dias/1812/03/10/pdfs/GRE-1812-31.pdf#page=8","Abrir facsímil")</f>
        <v>Abrir facsímil</v>
      </c>
      <c r="K6335" s="3" t="s">
        <v>23</v>
      </c>
    </row>
    <row r="6336" spans="1:11" ht="42" customHeight="1">
      <c r="A6336" s="2" t="s">
        <v>15969</v>
      </c>
      <c r="B6336" s="2" t="s">
        <v>15970</v>
      </c>
      <c r="C6336" s="2" t="s">
        <v>17</v>
      </c>
      <c r="D6336" s="2" t="s">
        <v>275</v>
      </c>
      <c r="E6336" s="4">
        <v>-31829</v>
      </c>
      <c r="F6336" s="3" t="s">
        <v>3229</v>
      </c>
      <c r="G6336" s="3" t="s">
        <v>8450</v>
      </c>
      <c r="H6336" s="2" t="s">
        <v>21</v>
      </c>
      <c r="I6336" s="2" t="s">
        <v>15971</v>
      </c>
      <c r="J6336" s="3" t="str">
        <f>HYPERLINK("https://www.boe.es/gazeta/dias/1812/11/07/pdfs/GRE-1812-149.pdf#page=4","Abrir facsímil")</f>
        <v>Abrir facsímil</v>
      </c>
      <c r="K6336" s="3" t="s">
        <v>23</v>
      </c>
    </row>
    <row r="6337" spans="1:11" ht="42" customHeight="1">
      <c r="A6337" s="2" t="s">
        <v>15972</v>
      </c>
      <c r="B6337" s="2" t="s">
        <v>15973</v>
      </c>
      <c r="C6337" s="2" t="s">
        <v>17</v>
      </c>
      <c r="D6337" s="2" t="s">
        <v>27</v>
      </c>
      <c r="E6337" s="4">
        <v>-31917</v>
      </c>
      <c r="F6337" s="3" t="s">
        <v>946</v>
      </c>
      <c r="G6337" s="3" t="s">
        <v>947</v>
      </c>
      <c r="H6337" s="2" t="s">
        <v>21</v>
      </c>
      <c r="I6337" s="2" t="s">
        <v>15974</v>
      </c>
      <c r="J6337" s="3" t="str">
        <f>HYPERLINK("https://www.boe.es/gazeta/dias/1812/08/11/pdfs/GRE-1812-103.pdf#page=8","Abrir facsímil")</f>
        <v>Abrir facsímil</v>
      </c>
      <c r="K6337" s="3" t="s">
        <v>23</v>
      </c>
    </row>
    <row r="6338" spans="1:11" ht="42" customHeight="1">
      <c r="A6338" s="2" t="s">
        <v>15975</v>
      </c>
      <c r="B6338" s="2" t="s">
        <v>15976</v>
      </c>
      <c r="C6338" s="2" t="s">
        <v>26</v>
      </c>
      <c r="D6338" s="2" t="s">
        <v>27</v>
      </c>
      <c r="E6338" s="4">
        <v>-32130</v>
      </c>
      <c r="F6338" s="3" t="s">
        <v>927</v>
      </c>
      <c r="G6338" s="3" t="s">
        <v>130</v>
      </c>
      <c r="H6338" s="2" t="s">
        <v>21</v>
      </c>
      <c r="I6338" s="2" t="s">
        <v>15977</v>
      </c>
      <c r="J6338" s="3" t="str">
        <f>HYPERLINK("https://www.boe.es/gazeta/dias/1812/01/11/pdfs/GMD-1812-11.pdf#page=4","Abrir facsímil")</f>
        <v>Abrir facsímil</v>
      </c>
      <c r="K6338" s="3" t="s">
        <v>23</v>
      </c>
    </row>
    <row r="6339" spans="1:11" ht="42" customHeight="1">
      <c r="A6339" s="2" t="s">
        <v>15978</v>
      </c>
      <c r="B6339" s="2" t="s">
        <v>15978</v>
      </c>
      <c r="C6339" s="2" t="s">
        <v>49</v>
      </c>
      <c r="D6339" s="2" t="s">
        <v>18</v>
      </c>
      <c r="E6339" s="4">
        <v>-32109</v>
      </c>
      <c r="F6339" s="3" t="s">
        <v>62</v>
      </c>
      <c r="G6339" s="3" t="s">
        <v>1650</v>
      </c>
      <c r="H6339" s="2" t="s">
        <v>21</v>
      </c>
      <c r="I6339" s="2" t="s">
        <v>15979</v>
      </c>
      <c r="J6339" s="3" t="str">
        <f>HYPERLINK("https://www.boe.es/gazeta/dias/1812/02/01/pdfs/GRE-1812-14.pdf#page=4","Abrir facsímil")</f>
        <v>Abrir facsímil</v>
      </c>
      <c r="K6339" s="3" t="s">
        <v>23</v>
      </c>
    </row>
    <row r="6340" spans="1:11" ht="42" customHeight="1">
      <c r="A6340" s="2" t="s">
        <v>15978</v>
      </c>
      <c r="B6340" s="2" t="s">
        <v>15978</v>
      </c>
      <c r="C6340" s="2" t="s">
        <v>17</v>
      </c>
      <c r="D6340" s="2" t="s">
        <v>18</v>
      </c>
      <c r="E6340" s="4">
        <v>-31921</v>
      </c>
      <c r="F6340" s="3" t="s">
        <v>785</v>
      </c>
      <c r="G6340" s="3" t="s">
        <v>130</v>
      </c>
      <c r="H6340" s="2" t="s">
        <v>21</v>
      </c>
      <c r="I6340" s="2" t="s">
        <v>15980</v>
      </c>
      <c r="J6340" s="3" t="str">
        <f>HYPERLINK("https://www.boe.es/gazeta/dias/1812/08/07/pdfs/GRE-1812-101E.pdf#page=4","Abrir facsímil")</f>
        <v>Abrir facsímil</v>
      </c>
      <c r="K6340" s="3" t="s">
        <v>23</v>
      </c>
    </row>
    <row r="6341" spans="1:11" ht="42" customHeight="1">
      <c r="A6341" s="2" t="s">
        <v>15978</v>
      </c>
      <c r="B6341" s="2" t="s">
        <v>15978</v>
      </c>
      <c r="C6341" s="2" t="s">
        <v>17</v>
      </c>
      <c r="D6341" s="2" t="s">
        <v>573</v>
      </c>
      <c r="E6341" s="4">
        <v>-31921</v>
      </c>
      <c r="F6341" s="3" t="s">
        <v>785</v>
      </c>
      <c r="G6341" s="3" t="s">
        <v>45</v>
      </c>
      <c r="H6341" s="2" t="s">
        <v>21</v>
      </c>
      <c r="I6341" s="2" t="s">
        <v>15981</v>
      </c>
      <c r="J6341" s="3" t="str">
        <f>HYPERLINK("https://www.boe.es/gazeta/dias/1812/08/07/pdfs/GRE-1812-101E.pdf#page=5","Abrir facsímil")</f>
        <v>Abrir facsímil</v>
      </c>
      <c r="K6341" s="3" t="s">
        <v>23</v>
      </c>
    </row>
    <row r="6342" spans="1:11" ht="42" customHeight="1">
      <c r="A6342" s="2" t="s">
        <v>15978</v>
      </c>
      <c r="B6342" s="2" t="s">
        <v>15978</v>
      </c>
      <c r="C6342" s="2" t="s">
        <v>17</v>
      </c>
      <c r="D6342" s="2" t="s">
        <v>18</v>
      </c>
      <c r="E6342" s="4">
        <v>-31905</v>
      </c>
      <c r="F6342" s="3" t="s">
        <v>855</v>
      </c>
      <c r="G6342" s="3" t="s">
        <v>2708</v>
      </c>
      <c r="H6342" s="2" t="s">
        <v>21</v>
      </c>
      <c r="I6342" s="2" t="s">
        <v>15982</v>
      </c>
      <c r="J6342" s="3" t="str">
        <f>HYPERLINK("https://www.boe.es/gazeta/dias/1812/08/23/pdfs/GMR-1812-4.pdf#page=4","Abrir facsímil")</f>
        <v>Abrir facsímil</v>
      </c>
      <c r="K6342" s="3" t="s">
        <v>23</v>
      </c>
    </row>
    <row r="6343" spans="1:11" ht="42" customHeight="1">
      <c r="A6343" s="2" t="s">
        <v>15978</v>
      </c>
      <c r="B6343" s="2" t="s">
        <v>15978</v>
      </c>
      <c r="C6343" s="2" t="s">
        <v>17</v>
      </c>
      <c r="D6343" s="2" t="s">
        <v>27</v>
      </c>
      <c r="E6343" s="4">
        <v>-31905</v>
      </c>
      <c r="F6343" s="3" t="s">
        <v>855</v>
      </c>
      <c r="G6343" s="3" t="s">
        <v>1650</v>
      </c>
      <c r="H6343" s="2" t="s">
        <v>21</v>
      </c>
      <c r="I6343" s="2" t="s">
        <v>15983</v>
      </c>
      <c r="J6343" s="3" t="str">
        <f>HYPERLINK("https://www.boe.es/gazeta/dias/1812/08/23/pdfs/GMR-1812-4.pdf#page=5","Abrir facsímil")</f>
        <v>Abrir facsímil</v>
      </c>
      <c r="K6343" s="3" t="s">
        <v>23</v>
      </c>
    </row>
    <row r="6344" spans="1:11" ht="42" customHeight="1">
      <c r="A6344" s="2" t="s">
        <v>15978</v>
      </c>
      <c r="B6344" s="2" t="s">
        <v>15978</v>
      </c>
      <c r="C6344" s="2" t="s">
        <v>17</v>
      </c>
      <c r="D6344" s="2" t="s">
        <v>27</v>
      </c>
      <c r="E6344" s="4">
        <v>-31794</v>
      </c>
      <c r="F6344" s="3" t="s">
        <v>3308</v>
      </c>
      <c r="G6344" s="3" t="s">
        <v>9191</v>
      </c>
      <c r="H6344" s="2" t="s">
        <v>21</v>
      </c>
      <c r="I6344" s="2" t="s">
        <v>15984</v>
      </c>
      <c r="J6344" s="3" t="str">
        <f>HYPERLINK("https://www.boe.es/gazeta/dias/1812/12/12/pdfs/GRE-1812-164.pdf#page=1","Abrir facsímil")</f>
        <v>Abrir facsímil</v>
      </c>
      <c r="K6344" s="3" t="s">
        <v>23</v>
      </c>
    </row>
    <row r="6345" spans="1:11" ht="42" customHeight="1">
      <c r="A6345" s="2" t="s">
        <v>15985</v>
      </c>
      <c r="B6345" s="2" t="s">
        <v>15985</v>
      </c>
      <c r="C6345" s="2" t="s">
        <v>17</v>
      </c>
      <c r="D6345" s="2" t="s">
        <v>573</v>
      </c>
      <c r="E6345" s="4">
        <v>-31921</v>
      </c>
      <c r="F6345" s="3" t="s">
        <v>785</v>
      </c>
      <c r="G6345" s="3" t="s">
        <v>130</v>
      </c>
      <c r="H6345" s="2" t="s">
        <v>21</v>
      </c>
      <c r="I6345" s="2" t="s">
        <v>15986</v>
      </c>
      <c r="J6345" s="3" t="str">
        <f>HYPERLINK("https://www.boe.es/gazeta/dias/1812/08/07/pdfs/GRE-1812-101E.pdf#page=4","Abrir facsímil")</f>
        <v>Abrir facsímil</v>
      </c>
      <c r="K6345" s="3" t="s">
        <v>23</v>
      </c>
    </row>
    <row r="6346" spans="1:11" ht="42" customHeight="1">
      <c r="A6346" s="2" t="s">
        <v>15987</v>
      </c>
      <c r="B6346" s="2" t="s">
        <v>15987</v>
      </c>
      <c r="C6346" s="2" t="s">
        <v>17</v>
      </c>
      <c r="D6346" s="2" t="s">
        <v>27</v>
      </c>
      <c r="E6346" s="4">
        <v>-32133</v>
      </c>
      <c r="F6346" s="3" t="s">
        <v>139</v>
      </c>
      <c r="G6346" s="3" t="s">
        <v>140</v>
      </c>
      <c r="H6346" s="2" t="s">
        <v>21</v>
      </c>
      <c r="I6346" s="2" t="s">
        <v>15988</v>
      </c>
      <c r="J6346" s="3" t="str">
        <f>HYPERLINK("https://www.boe.es/gazeta/dias/1812/01/08/pdfs/GMD-1812-8.pdf#page=2","Abrir facsímil")</f>
        <v>Abrir facsímil</v>
      </c>
      <c r="K6346" s="3" t="s">
        <v>23</v>
      </c>
    </row>
    <row r="6347" spans="1:11" ht="42" customHeight="1">
      <c r="A6347" s="2" t="s">
        <v>15987</v>
      </c>
      <c r="B6347" s="2" t="s">
        <v>15987</v>
      </c>
      <c r="C6347" s="2" t="s">
        <v>17</v>
      </c>
      <c r="D6347" s="2" t="s">
        <v>18</v>
      </c>
      <c r="E6347" s="4">
        <v>-31921</v>
      </c>
      <c r="F6347" s="3" t="s">
        <v>785</v>
      </c>
      <c r="G6347" s="3" t="s">
        <v>130</v>
      </c>
      <c r="H6347" s="2" t="s">
        <v>21</v>
      </c>
      <c r="I6347" s="2" t="s">
        <v>15989</v>
      </c>
      <c r="J6347" s="3" t="str">
        <f>HYPERLINK("https://www.boe.es/gazeta/dias/1812/08/07/pdfs/GRE-1812-101E.pdf#page=4","Abrir facsímil")</f>
        <v>Abrir facsímil</v>
      </c>
      <c r="K6347" s="3" t="s">
        <v>23</v>
      </c>
    </row>
    <row r="6348" spans="1:11" ht="42" customHeight="1">
      <c r="A6348" s="2" t="s">
        <v>15987</v>
      </c>
      <c r="B6348" s="2" t="s">
        <v>15987</v>
      </c>
      <c r="C6348" s="2" t="s">
        <v>17</v>
      </c>
      <c r="D6348" s="2" t="s">
        <v>573</v>
      </c>
      <c r="E6348" s="4">
        <v>-31921</v>
      </c>
      <c r="F6348" s="3" t="s">
        <v>785</v>
      </c>
      <c r="G6348" s="3" t="s">
        <v>1128</v>
      </c>
      <c r="H6348" s="2" t="s">
        <v>21</v>
      </c>
      <c r="I6348" s="2" t="s">
        <v>15990</v>
      </c>
      <c r="J6348" s="3" t="str">
        <f>HYPERLINK("https://www.boe.es/gazeta/dias/1812/08/07/pdfs/GRE-1812-101E.pdf#page=7","Abrir facsímil")</f>
        <v>Abrir facsímil</v>
      </c>
      <c r="K6348" s="3" t="s">
        <v>23</v>
      </c>
    </row>
    <row r="6349" spans="1:11" ht="42" customHeight="1">
      <c r="A6349" s="2" t="s">
        <v>15991</v>
      </c>
      <c r="B6349" s="2" t="s">
        <v>15992</v>
      </c>
      <c r="C6349" s="2" t="s">
        <v>17</v>
      </c>
      <c r="D6349" s="2" t="s">
        <v>18</v>
      </c>
      <c r="E6349" s="4">
        <v>-31921</v>
      </c>
      <c r="F6349" s="3" t="s">
        <v>785</v>
      </c>
      <c r="G6349" s="3" t="s">
        <v>45</v>
      </c>
      <c r="H6349" s="2" t="s">
        <v>21</v>
      </c>
      <c r="I6349" s="2" t="s">
        <v>15993</v>
      </c>
      <c r="J6349" s="3" t="str">
        <f>HYPERLINK("https://www.boe.es/gazeta/dias/1812/08/07/pdfs/GRE-1812-101E.pdf#page=5","Abrir facsímil")</f>
        <v>Abrir facsímil</v>
      </c>
      <c r="K6349" s="3" t="s">
        <v>23</v>
      </c>
    </row>
    <row r="6350" spans="1:11" ht="42" customHeight="1">
      <c r="A6350" s="2" t="s">
        <v>15994</v>
      </c>
      <c r="B6350" s="2" t="s">
        <v>15994</v>
      </c>
      <c r="C6350" s="2" t="s">
        <v>17</v>
      </c>
      <c r="D6350" s="2" t="s">
        <v>27</v>
      </c>
      <c r="E6350" s="4">
        <v>-32057</v>
      </c>
      <c r="F6350" s="3" t="s">
        <v>225</v>
      </c>
      <c r="G6350" s="3" t="s">
        <v>140</v>
      </c>
      <c r="H6350" s="2" t="s">
        <v>21</v>
      </c>
      <c r="I6350" s="2" t="s">
        <v>15995</v>
      </c>
      <c r="J6350" s="3" t="str">
        <f>HYPERLINK("https://www.boe.es/gazeta/dias/1812/03/24/pdfs/GMD-1812-84.pdf#page=2","Abrir facsímil")</f>
        <v>Abrir facsímil</v>
      </c>
      <c r="K6350" s="3" t="s">
        <v>23</v>
      </c>
    </row>
    <row r="6351" spans="1:11" ht="42" customHeight="1">
      <c r="A6351" s="2" t="s">
        <v>15996</v>
      </c>
      <c r="B6351" s="2" t="s">
        <v>15996</v>
      </c>
      <c r="C6351" s="2" t="s">
        <v>17</v>
      </c>
      <c r="D6351" s="2" t="s">
        <v>27</v>
      </c>
      <c r="E6351" s="4">
        <v>-32069</v>
      </c>
      <c r="F6351" s="3" t="s">
        <v>445</v>
      </c>
      <c r="G6351" s="3" t="s">
        <v>125</v>
      </c>
      <c r="H6351" s="2" t="s">
        <v>21</v>
      </c>
      <c r="I6351" s="2" t="s">
        <v>15997</v>
      </c>
      <c r="J6351" s="3" t="str">
        <f>HYPERLINK("https://www.boe.es/gazeta/dias/1812/03/12/pdfs/GRE-1812-32.pdf#page=3","Abrir facsímil")</f>
        <v>Abrir facsímil</v>
      </c>
      <c r="K6351" s="3" t="s">
        <v>23</v>
      </c>
    </row>
    <row r="6352" spans="1:11" ht="42" customHeight="1">
      <c r="A6352" s="2" t="s">
        <v>15996</v>
      </c>
      <c r="B6352" s="2" t="s">
        <v>15996</v>
      </c>
      <c r="C6352" s="2" t="s">
        <v>17</v>
      </c>
      <c r="D6352" s="2" t="s">
        <v>27</v>
      </c>
      <c r="E6352" s="4">
        <v>-32006</v>
      </c>
      <c r="F6352" s="3" t="s">
        <v>190</v>
      </c>
      <c r="G6352" s="3" t="s">
        <v>994</v>
      </c>
      <c r="H6352" s="2" t="s">
        <v>21</v>
      </c>
      <c r="I6352" s="2" t="s">
        <v>15998</v>
      </c>
      <c r="J6352" s="3" t="str">
        <f>HYPERLINK("https://www.boe.es/gazeta/dias/1812/05/14/pdfs/GRE-1812-60.pdf#page=2","Abrir facsímil")</f>
        <v>Abrir facsímil</v>
      </c>
      <c r="K6352" s="3" t="s">
        <v>23</v>
      </c>
    </row>
    <row r="6353" spans="1:11" ht="42" customHeight="1">
      <c r="A6353" s="2" t="s">
        <v>15996</v>
      </c>
      <c r="B6353" s="2" t="s">
        <v>15996</v>
      </c>
      <c r="C6353" s="2" t="s">
        <v>17</v>
      </c>
      <c r="D6353" s="2" t="s">
        <v>27</v>
      </c>
      <c r="E6353" s="4">
        <v>-31950</v>
      </c>
      <c r="F6353" s="3" t="s">
        <v>1024</v>
      </c>
      <c r="G6353" s="3" t="s">
        <v>1025</v>
      </c>
      <c r="H6353" s="2" t="s">
        <v>21</v>
      </c>
      <c r="I6353" s="2" t="s">
        <v>15999</v>
      </c>
      <c r="J6353" s="3" t="str">
        <f>HYPERLINK("https://www.boe.es/gazeta/dias/1812/07/09/pdfs/GRE-1812-84.pdf#page=7","Abrir facsímil")</f>
        <v>Abrir facsímil</v>
      </c>
      <c r="K6353" s="3" t="s">
        <v>23</v>
      </c>
    </row>
    <row r="6354" spans="1:11" ht="42" customHeight="1">
      <c r="A6354" s="2" t="s">
        <v>16000</v>
      </c>
      <c r="B6354" s="2" t="s">
        <v>16001</v>
      </c>
      <c r="C6354" s="2" t="s">
        <v>26</v>
      </c>
      <c r="D6354" s="2" t="s">
        <v>27</v>
      </c>
      <c r="E6354" s="4">
        <v>-31938</v>
      </c>
      <c r="F6354" s="3" t="s">
        <v>324</v>
      </c>
      <c r="G6354" s="3" t="s">
        <v>497</v>
      </c>
      <c r="H6354" s="2" t="s">
        <v>21</v>
      </c>
      <c r="I6354" s="2" t="s">
        <v>16002</v>
      </c>
      <c r="J6354" s="3" t="str">
        <f>HYPERLINK("https://www.boe.es/gazeta/dias/1812/07/21/pdfs/GMD-1812-203.pdf#page=3","Abrir facsímil")</f>
        <v>Abrir facsímil</v>
      </c>
      <c r="K6354" s="3" t="s">
        <v>23</v>
      </c>
    </row>
    <row r="6355" spans="1:11" ht="42" customHeight="1">
      <c r="A6355" s="2" t="s">
        <v>16003</v>
      </c>
      <c r="B6355" s="2" t="s">
        <v>16004</v>
      </c>
      <c r="C6355" s="2" t="s">
        <v>17</v>
      </c>
      <c r="D6355" s="2" t="s">
        <v>18</v>
      </c>
      <c r="E6355" s="4">
        <v>-31833</v>
      </c>
      <c r="F6355" s="3" t="s">
        <v>267</v>
      </c>
      <c r="G6355" s="3" t="s">
        <v>268</v>
      </c>
      <c r="H6355" s="2" t="s">
        <v>21</v>
      </c>
      <c r="I6355" s="2" t="s">
        <v>16005</v>
      </c>
      <c r="J6355" s="3" t="str">
        <f>HYPERLINK("https://www.boe.es/gazeta/dias/1812/11/03/pdfs/GRE-1812-147.pdf#page=8","Abrir facsímil")</f>
        <v>Abrir facsímil</v>
      </c>
      <c r="K6355" s="3" t="s">
        <v>23</v>
      </c>
    </row>
    <row r="6356" spans="1:11" ht="42" customHeight="1">
      <c r="A6356" s="2" t="s">
        <v>16003</v>
      </c>
      <c r="B6356" s="2" t="s">
        <v>16004</v>
      </c>
      <c r="C6356" s="2" t="s">
        <v>17</v>
      </c>
      <c r="D6356" s="2" t="s">
        <v>18</v>
      </c>
      <c r="E6356" s="4">
        <v>-31816</v>
      </c>
      <c r="F6356" s="3" t="s">
        <v>270</v>
      </c>
      <c r="G6356" s="3" t="s">
        <v>271</v>
      </c>
      <c r="H6356" s="2" t="s">
        <v>21</v>
      </c>
      <c r="I6356" s="2" t="s">
        <v>16006</v>
      </c>
      <c r="J6356" s="3" t="str">
        <f>HYPERLINK("https://www.boe.es/gazeta/dias/1812/11/20/pdfs/GMR-1812-36.pdf#page=6","Abrir facsímil")</f>
        <v>Abrir facsímil</v>
      </c>
      <c r="K6356" s="3" t="s">
        <v>23</v>
      </c>
    </row>
    <row r="6357" spans="1:11" ht="42" customHeight="1">
      <c r="A6357" s="2" t="s">
        <v>16007</v>
      </c>
      <c r="B6357" s="2" t="s">
        <v>16008</v>
      </c>
      <c r="C6357" s="2" t="s">
        <v>26</v>
      </c>
      <c r="D6357" s="2" t="s">
        <v>27</v>
      </c>
      <c r="E6357" s="4">
        <v>-31939</v>
      </c>
      <c r="F6357" s="3" t="s">
        <v>408</v>
      </c>
      <c r="G6357" s="3" t="s">
        <v>20</v>
      </c>
      <c r="H6357" s="2" t="s">
        <v>21</v>
      </c>
      <c r="I6357" s="2" t="s">
        <v>16009</v>
      </c>
      <c r="J6357" s="3" t="str">
        <f>HYPERLINK("https://www.boe.es/gazeta/dias/1812/07/20/pdfs/GMD-1812-202.pdf#page=4","Abrir facsímil")</f>
        <v>Abrir facsímil</v>
      </c>
      <c r="K6357" s="3" t="s">
        <v>23</v>
      </c>
    </row>
    <row r="6358" spans="1:11" ht="42" customHeight="1">
      <c r="A6358" s="2" t="s">
        <v>16010</v>
      </c>
      <c r="B6358" s="2" t="s">
        <v>16011</v>
      </c>
      <c r="C6358" s="2" t="s">
        <v>26</v>
      </c>
      <c r="D6358" s="2" t="s">
        <v>27</v>
      </c>
      <c r="E6358" s="4">
        <v>-32123</v>
      </c>
      <c r="F6358" s="3" t="s">
        <v>3501</v>
      </c>
      <c r="G6358" s="3" t="s">
        <v>58</v>
      </c>
      <c r="H6358" s="2" t="s">
        <v>21</v>
      </c>
      <c r="I6358" s="2" t="s">
        <v>16012</v>
      </c>
      <c r="J6358" s="3" t="str">
        <f>HYPERLINK("https://www.boe.es/gazeta/dias/1812/01/18/pdfs/GEI-1812-8.pdf#page=7","Abrir facsímil")</f>
        <v>Abrir facsímil</v>
      </c>
      <c r="K6358" s="3" t="s">
        <v>23</v>
      </c>
    </row>
    <row r="6359" spans="1:11" ht="42" customHeight="1">
      <c r="A6359" s="2" t="s">
        <v>16010</v>
      </c>
      <c r="B6359" s="2" t="s">
        <v>16011</v>
      </c>
      <c r="C6359" s="2" t="s">
        <v>49</v>
      </c>
      <c r="D6359" s="2" t="s">
        <v>27</v>
      </c>
      <c r="E6359" s="4">
        <v>-31955</v>
      </c>
      <c r="F6359" s="3" t="s">
        <v>789</v>
      </c>
      <c r="G6359" s="3" t="s">
        <v>58</v>
      </c>
      <c r="H6359" s="2" t="s">
        <v>21</v>
      </c>
      <c r="I6359" s="2" t="s">
        <v>16013</v>
      </c>
      <c r="J6359" s="3" t="str">
        <f>HYPERLINK("https://www.boe.es/gazeta/dias/1812/07/04/pdfs/GRE-1812-82.pdf#page=3","Abrir facsímil")</f>
        <v>Abrir facsímil</v>
      </c>
      <c r="K6359" s="3" t="s">
        <v>23</v>
      </c>
    </row>
    <row r="6360" spans="1:11" ht="42" customHeight="1">
      <c r="A6360" s="2" t="s">
        <v>16014</v>
      </c>
      <c r="B6360" s="2" t="s">
        <v>16015</v>
      </c>
      <c r="C6360" s="2" t="s">
        <v>49</v>
      </c>
      <c r="D6360" s="2" t="s">
        <v>27</v>
      </c>
      <c r="E6360" s="4">
        <v>-32075</v>
      </c>
      <c r="F6360" s="3" t="s">
        <v>301</v>
      </c>
      <c r="G6360" s="3" t="s">
        <v>20</v>
      </c>
      <c r="H6360" s="2" t="s">
        <v>21</v>
      </c>
      <c r="I6360" s="2" t="s">
        <v>16016</v>
      </c>
      <c r="J6360" s="3" t="str">
        <f>HYPERLINK("https://www.boe.es/gazeta/dias/1812/03/06/pdfs/GMD-1812-66.pdf#page=4","Abrir facsímil")</f>
        <v>Abrir facsímil</v>
      </c>
      <c r="K6360" s="3" t="s">
        <v>23</v>
      </c>
    </row>
    <row r="6361" spans="1:11" ht="42" customHeight="1">
      <c r="A6361" s="2" t="s">
        <v>16017</v>
      </c>
      <c r="B6361" s="2" t="s">
        <v>16018</v>
      </c>
      <c r="C6361" s="2" t="s">
        <v>26</v>
      </c>
      <c r="D6361" s="2" t="s">
        <v>27</v>
      </c>
      <c r="E6361" s="4">
        <v>-32075</v>
      </c>
      <c r="F6361" s="3" t="s">
        <v>301</v>
      </c>
      <c r="G6361" s="3" t="s">
        <v>20</v>
      </c>
      <c r="H6361" s="2" t="s">
        <v>21</v>
      </c>
      <c r="I6361" s="2" t="s">
        <v>16019</v>
      </c>
      <c r="J6361" s="3" t="str">
        <f>HYPERLINK("https://www.boe.es/gazeta/dias/1812/03/06/pdfs/GMD-1812-66.pdf#page=4","Abrir facsímil")</f>
        <v>Abrir facsímil</v>
      </c>
      <c r="K6361" s="3" t="s">
        <v>23</v>
      </c>
    </row>
    <row r="6362" spans="1:11" ht="42" customHeight="1">
      <c r="A6362" s="2" t="s">
        <v>16020</v>
      </c>
      <c r="B6362" s="2" t="s">
        <v>16021</v>
      </c>
      <c r="C6362" s="2" t="s">
        <v>115</v>
      </c>
      <c r="D6362" s="2" t="s">
        <v>27</v>
      </c>
      <c r="E6362" s="4">
        <v>-32019</v>
      </c>
      <c r="F6362" s="3" t="s">
        <v>476</v>
      </c>
      <c r="G6362" s="3" t="s">
        <v>404</v>
      </c>
      <c r="H6362" s="2" t="s">
        <v>21</v>
      </c>
      <c r="I6362" s="2" t="s">
        <v>16022</v>
      </c>
      <c r="J6362" s="3" t="str">
        <f>HYPERLINK("https://www.boe.es/gazeta/dias/1812/05/01/pdfs/GMD-1812-122.pdf#page=3","Abrir facsímil")</f>
        <v>Abrir facsímil</v>
      </c>
      <c r="K6362" s="3" t="s">
        <v>23</v>
      </c>
    </row>
    <row r="6363" spans="1:11" ht="42" customHeight="1">
      <c r="A6363" s="2" t="s">
        <v>16023</v>
      </c>
      <c r="B6363" s="2" t="s">
        <v>16024</v>
      </c>
      <c r="C6363" s="2" t="s">
        <v>26</v>
      </c>
      <c r="D6363" s="2" t="s">
        <v>27</v>
      </c>
      <c r="E6363" s="4">
        <v>-31976</v>
      </c>
      <c r="F6363" s="3" t="s">
        <v>54</v>
      </c>
      <c r="G6363" s="3" t="s">
        <v>55</v>
      </c>
      <c r="H6363" s="2" t="s">
        <v>21</v>
      </c>
      <c r="I6363" s="2" t="s">
        <v>16025</v>
      </c>
      <c r="J6363" s="3" t="str">
        <f>HYPERLINK("https://www.boe.es/gazeta/dias/1812/06/13/pdfs/GRE-1812-73.pdf#page=6","Abrir facsímil")</f>
        <v>Abrir facsímil</v>
      </c>
      <c r="K6363" s="3" t="s">
        <v>23</v>
      </c>
    </row>
    <row r="6364" spans="1:11" ht="42" customHeight="1">
      <c r="A6364" s="2" t="s">
        <v>16026</v>
      </c>
      <c r="B6364" s="2" t="s">
        <v>16027</v>
      </c>
      <c r="C6364" s="2" t="s">
        <v>26</v>
      </c>
      <c r="D6364" s="2" t="s">
        <v>27</v>
      </c>
      <c r="E6364" s="4">
        <v>-31965</v>
      </c>
      <c r="F6364" s="3" t="s">
        <v>1180</v>
      </c>
      <c r="G6364" s="3" t="s">
        <v>777</v>
      </c>
      <c r="H6364" s="2" t="s">
        <v>21</v>
      </c>
      <c r="I6364" s="2" t="s">
        <v>16028</v>
      </c>
      <c r="J6364" s="3" t="str">
        <f>HYPERLINK("https://www.boe.es/gazeta/dias/1812/06/24/pdfs/GMD-1812-176.pdf#page=2","Abrir facsímil")</f>
        <v>Abrir facsímil</v>
      </c>
      <c r="K6364" s="3" t="s">
        <v>23</v>
      </c>
    </row>
    <row r="6365" spans="1:11" ht="42" customHeight="1">
      <c r="A6365" s="2" t="s">
        <v>16029</v>
      </c>
      <c r="B6365" s="2" t="s">
        <v>16030</v>
      </c>
      <c r="C6365" s="2" t="s">
        <v>17</v>
      </c>
      <c r="D6365" s="2" t="s">
        <v>27</v>
      </c>
      <c r="E6365" s="4">
        <v>-31808</v>
      </c>
      <c r="F6365" s="3" t="s">
        <v>416</v>
      </c>
      <c r="G6365" s="3" t="s">
        <v>16031</v>
      </c>
      <c r="H6365" s="2" t="s">
        <v>21</v>
      </c>
      <c r="I6365" s="2" t="s">
        <v>16032</v>
      </c>
      <c r="J6365" s="3" t="str">
        <f>HYPERLINK("https://www.boe.es/gazeta/dias/1812/11/28/pdfs/GRE-1812-158.pdf#page=2","Abrir facsímil")</f>
        <v>Abrir facsímil</v>
      </c>
      <c r="K6365" s="3" t="s">
        <v>23</v>
      </c>
    </row>
    <row r="6366" spans="1:11" ht="42" customHeight="1">
      <c r="A6366" s="2" t="s">
        <v>16033</v>
      </c>
      <c r="B6366" s="2" t="s">
        <v>16034</v>
      </c>
      <c r="C6366" s="2" t="s">
        <v>17</v>
      </c>
      <c r="D6366" s="2" t="s">
        <v>18</v>
      </c>
      <c r="E6366" s="4">
        <v>-31801</v>
      </c>
      <c r="F6366" s="3" t="s">
        <v>632</v>
      </c>
      <c r="G6366" s="3" t="s">
        <v>214</v>
      </c>
      <c r="H6366" s="2" t="s">
        <v>21</v>
      </c>
      <c r="I6366" s="2" t="s">
        <v>16035</v>
      </c>
      <c r="J6366" s="3" t="str">
        <f>HYPERLINK("https://www.boe.es/gazeta/dias/1812/12/05/pdfs/GMD-1812-228.pdf#page=3","Abrir facsímil")</f>
        <v>Abrir facsímil</v>
      </c>
      <c r="K6366" s="3" t="s">
        <v>23</v>
      </c>
    </row>
    <row r="6367" spans="1:11" ht="42" customHeight="1">
      <c r="A6367" s="2" t="s">
        <v>16036</v>
      </c>
      <c r="B6367" s="2" t="s">
        <v>16037</v>
      </c>
      <c r="C6367" s="2" t="s">
        <v>17</v>
      </c>
      <c r="D6367" s="2" t="s">
        <v>18</v>
      </c>
      <c r="E6367" s="4">
        <v>-31794</v>
      </c>
      <c r="F6367" s="3" t="s">
        <v>3308</v>
      </c>
      <c r="G6367" s="3" t="s">
        <v>3309</v>
      </c>
      <c r="H6367" s="2" t="s">
        <v>21</v>
      </c>
      <c r="I6367" s="2" t="s">
        <v>16038</v>
      </c>
      <c r="J6367" s="3" t="str">
        <f>HYPERLINK("https://www.boe.es/gazeta/dias/1812/12/12/pdfs/GRE-1812-164.pdf#page=2","Abrir facsímil")</f>
        <v>Abrir facsímil</v>
      </c>
      <c r="K6367" s="3" t="s">
        <v>23</v>
      </c>
    </row>
    <row r="6368" spans="1:11" ht="42" customHeight="1">
      <c r="A6368" s="2" t="s">
        <v>16039</v>
      </c>
      <c r="B6368" s="2" t="s">
        <v>16039</v>
      </c>
      <c r="C6368" s="2" t="s">
        <v>26</v>
      </c>
      <c r="D6368" s="2" t="s">
        <v>194</v>
      </c>
      <c r="E6368" s="4">
        <v>-32114</v>
      </c>
      <c r="F6368" s="3" t="s">
        <v>480</v>
      </c>
      <c r="G6368" s="3" t="s">
        <v>140</v>
      </c>
      <c r="H6368" s="2" t="s">
        <v>21</v>
      </c>
      <c r="I6368" s="2" t="s">
        <v>16040</v>
      </c>
      <c r="J6368" s="3" t="str">
        <f>HYPERLINK("https://www.boe.es/gazeta/dias/1812/01/27/pdfs/GMD-1812-27.pdf#page=2","Abrir facsímil")</f>
        <v>Abrir facsímil</v>
      </c>
      <c r="K6368" s="3" t="s">
        <v>23</v>
      </c>
    </row>
    <row r="6369" spans="1:11" ht="42" customHeight="1">
      <c r="A6369" s="2" t="s">
        <v>16041</v>
      </c>
      <c r="B6369" s="2" t="s">
        <v>16042</v>
      </c>
      <c r="C6369" s="2" t="s">
        <v>17</v>
      </c>
      <c r="D6369" s="2" t="s">
        <v>134</v>
      </c>
      <c r="E6369" s="4">
        <v>-31955</v>
      </c>
      <c r="F6369" s="3" t="s">
        <v>135</v>
      </c>
      <c r="G6369" s="3" t="s">
        <v>514</v>
      </c>
      <c r="H6369" s="2" t="s">
        <v>21</v>
      </c>
      <c r="I6369" s="2" t="s">
        <v>16043</v>
      </c>
      <c r="J6369" s="3" t="str">
        <f>HYPERLINK("https://www.boe.es/gazeta/dias/1812/07/04/pdfs/GRE-F-1812-82.pdf#page=7","Abrir facsímil")</f>
        <v>Abrir facsímil</v>
      </c>
      <c r="K6369" s="3" t="s">
        <v>23</v>
      </c>
    </row>
    <row r="6370" spans="1:11" ht="42" customHeight="1">
      <c r="A6370" s="2" t="s">
        <v>16044</v>
      </c>
      <c r="B6370" s="2" t="s">
        <v>16045</v>
      </c>
      <c r="C6370" s="2" t="s">
        <v>49</v>
      </c>
      <c r="D6370" s="2" t="s">
        <v>27</v>
      </c>
      <c r="E6370" s="4">
        <v>-31978</v>
      </c>
      <c r="F6370" s="3" t="s">
        <v>1790</v>
      </c>
      <c r="G6370" s="3" t="s">
        <v>1791</v>
      </c>
      <c r="H6370" s="2" t="s">
        <v>21</v>
      </c>
      <c r="I6370" s="2" t="s">
        <v>16046</v>
      </c>
      <c r="J6370" s="3" t="str">
        <f>HYPERLINK("https://www.boe.es/gazeta/dias/1812/06/11/pdfs/GRE-1812-72.pdf#page=8","Abrir facsímil")</f>
        <v>Abrir facsímil</v>
      </c>
      <c r="K6370" s="3" t="s">
        <v>23</v>
      </c>
    </row>
    <row r="6371" spans="1:11" ht="42" customHeight="1">
      <c r="A6371" s="2" t="s">
        <v>16047</v>
      </c>
      <c r="B6371" s="2" t="s">
        <v>16048</v>
      </c>
      <c r="C6371" s="2" t="s">
        <v>17</v>
      </c>
      <c r="D6371" s="2" t="s">
        <v>27</v>
      </c>
      <c r="E6371" s="4">
        <v>-32088</v>
      </c>
      <c r="F6371" s="3" t="s">
        <v>250</v>
      </c>
      <c r="G6371" s="3" t="s">
        <v>237</v>
      </c>
      <c r="H6371" s="2" t="s">
        <v>21</v>
      </c>
      <c r="I6371" s="2" t="s">
        <v>16049</v>
      </c>
      <c r="J6371" s="3" t="str">
        <f>HYPERLINK("https://www.boe.es/gazeta/dias/1812/02/22/pdfs/GRE-1812-23.pdf#page=5","Abrir facsímil")</f>
        <v>Abrir facsímil</v>
      </c>
      <c r="K6371" s="3" t="s">
        <v>23</v>
      </c>
    </row>
    <row r="6372" spans="1:11" ht="42" customHeight="1">
      <c r="A6372" s="2" t="s">
        <v>16050</v>
      </c>
      <c r="B6372" s="2" t="s">
        <v>16050</v>
      </c>
      <c r="C6372" s="2" t="s">
        <v>17</v>
      </c>
      <c r="D6372" s="2" t="s">
        <v>27</v>
      </c>
      <c r="E6372" s="4">
        <v>-31829</v>
      </c>
      <c r="F6372" s="3" t="s">
        <v>328</v>
      </c>
      <c r="G6372" s="3" t="s">
        <v>1842</v>
      </c>
      <c r="H6372" s="2" t="s">
        <v>21</v>
      </c>
      <c r="I6372" s="2" t="s">
        <v>16051</v>
      </c>
      <c r="J6372" s="3" t="str">
        <f>HYPERLINK("https://www.boe.es/gazeta/dias/1812/11/07/pdfs/GMD-1812-227.pdf#page=3","Abrir facsímil")</f>
        <v>Abrir facsímil</v>
      </c>
      <c r="K6372" s="3" t="s">
        <v>23</v>
      </c>
    </row>
    <row r="6373" spans="1:11" ht="42" customHeight="1">
      <c r="A6373" s="2" t="s">
        <v>16052</v>
      </c>
      <c r="B6373" s="2" t="s">
        <v>16052</v>
      </c>
      <c r="C6373" s="2" t="s">
        <v>17</v>
      </c>
      <c r="D6373" s="2" t="s">
        <v>27</v>
      </c>
      <c r="E6373" s="4">
        <v>-31800</v>
      </c>
      <c r="F6373" s="3" t="s">
        <v>593</v>
      </c>
      <c r="G6373" s="3" t="s">
        <v>594</v>
      </c>
      <c r="H6373" s="2" t="s">
        <v>21</v>
      </c>
      <c r="I6373" s="2" t="s">
        <v>16053</v>
      </c>
      <c r="J6373" s="3" t="str">
        <f>HYPERLINK("https://www.boe.es/gazeta/dias/1812/12/06/pdfs/GMD-1812-229.pdf#page=3","Abrir facsímil")</f>
        <v>Abrir facsímil</v>
      </c>
      <c r="K6373" s="3" t="s">
        <v>23</v>
      </c>
    </row>
    <row r="6374" spans="1:11" ht="42" customHeight="1">
      <c r="A6374" s="2" t="s">
        <v>16052</v>
      </c>
      <c r="B6374" s="2" t="s">
        <v>16052</v>
      </c>
      <c r="C6374" s="2" t="s">
        <v>17</v>
      </c>
      <c r="D6374" s="2" t="s">
        <v>18</v>
      </c>
      <c r="E6374" s="4">
        <v>-31783</v>
      </c>
      <c r="F6374" s="3" t="s">
        <v>2074</v>
      </c>
      <c r="G6374" s="3" t="s">
        <v>4078</v>
      </c>
      <c r="H6374" s="2" t="s">
        <v>21</v>
      </c>
      <c r="I6374" s="2" t="s">
        <v>16054</v>
      </c>
      <c r="J6374" s="3" t="str">
        <f>HYPERLINK("https://www.boe.es/gazeta/dias/1812/12/23/pdfs/GMD-1812-246.pdf#page=2","Abrir facsímil")</f>
        <v>Abrir facsímil</v>
      </c>
      <c r="K6374" s="3" t="s">
        <v>23</v>
      </c>
    </row>
    <row r="6375" spans="1:11" ht="42" customHeight="1">
      <c r="A6375" s="2" t="s">
        <v>16055</v>
      </c>
      <c r="B6375" s="2" t="s">
        <v>16055</v>
      </c>
      <c r="C6375" s="2" t="s">
        <v>17</v>
      </c>
      <c r="D6375" s="2" t="s">
        <v>18</v>
      </c>
      <c r="E6375" s="4">
        <v>-31905</v>
      </c>
      <c r="F6375" s="3" t="s">
        <v>855</v>
      </c>
      <c r="G6375" s="3" t="s">
        <v>2708</v>
      </c>
      <c r="H6375" s="2" t="s">
        <v>21</v>
      </c>
      <c r="I6375" s="2" t="s">
        <v>16056</v>
      </c>
      <c r="J6375" s="3" t="str">
        <f>HYPERLINK("https://www.boe.es/gazeta/dias/1812/08/23/pdfs/GMR-1812-4.pdf#page=4","Abrir facsímil")</f>
        <v>Abrir facsímil</v>
      </c>
      <c r="K6375" s="3" t="s">
        <v>23</v>
      </c>
    </row>
    <row r="6376" spans="1:11" ht="42" customHeight="1">
      <c r="A6376" s="2" t="s">
        <v>16057</v>
      </c>
      <c r="B6376" s="2" t="s">
        <v>16057</v>
      </c>
      <c r="C6376" s="2" t="s">
        <v>49</v>
      </c>
      <c r="D6376" s="2" t="s">
        <v>18</v>
      </c>
      <c r="E6376" s="4">
        <v>-31905</v>
      </c>
      <c r="F6376" s="3" t="s">
        <v>855</v>
      </c>
      <c r="G6376" s="3" t="s">
        <v>1650</v>
      </c>
      <c r="H6376" s="2" t="s">
        <v>21</v>
      </c>
      <c r="I6376" s="2" t="s">
        <v>16058</v>
      </c>
      <c r="J6376" s="3" t="str">
        <f>HYPERLINK("https://www.boe.es/gazeta/dias/1812/08/23/pdfs/GMR-1812-4.pdf#page=5","Abrir facsímil")</f>
        <v>Abrir facsímil</v>
      </c>
      <c r="K6376" s="3" t="s">
        <v>23</v>
      </c>
    </row>
    <row r="6377" spans="1:11" ht="42" customHeight="1">
      <c r="A6377" s="2" t="s">
        <v>16057</v>
      </c>
      <c r="B6377" s="2" t="s">
        <v>16057</v>
      </c>
      <c r="C6377" s="2" t="s">
        <v>17</v>
      </c>
      <c r="D6377" s="2" t="s">
        <v>18</v>
      </c>
      <c r="E6377" s="4">
        <v>-31905</v>
      </c>
      <c r="F6377" s="3" t="s">
        <v>855</v>
      </c>
      <c r="G6377" s="3" t="s">
        <v>1826</v>
      </c>
      <c r="H6377" s="2" t="s">
        <v>21</v>
      </c>
      <c r="I6377" s="2" t="s">
        <v>16059</v>
      </c>
      <c r="J6377" s="3" t="str">
        <f>HYPERLINK("https://www.boe.es/gazeta/dias/1812/08/23/pdfs/GMR-1812-4.pdf#page=7","Abrir facsímil")</f>
        <v>Abrir facsímil</v>
      </c>
      <c r="K6377" s="3" t="s">
        <v>23</v>
      </c>
    </row>
    <row r="6378" spans="1:11" ht="42" customHeight="1">
      <c r="A6378" s="2" t="s">
        <v>16060</v>
      </c>
      <c r="B6378" s="2" t="s">
        <v>16061</v>
      </c>
      <c r="C6378" s="2" t="s">
        <v>17</v>
      </c>
      <c r="D6378" s="2" t="s">
        <v>18</v>
      </c>
      <c r="E6378" s="4">
        <v>-31973</v>
      </c>
      <c r="F6378" s="3" t="s">
        <v>1735</v>
      </c>
      <c r="G6378" s="3" t="s">
        <v>16062</v>
      </c>
      <c r="H6378" s="2" t="s">
        <v>21</v>
      </c>
      <c r="I6378" s="2" t="s">
        <v>16063</v>
      </c>
      <c r="J6378" s="3" t="str">
        <f>HYPERLINK("https://www.boe.es/gazeta/dias/1812/06/16/pdfs/GRE-1812-74.pdf#page=8","Abrir facsímil")</f>
        <v>Abrir facsímil</v>
      </c>
      <c r="K6378" s="3" t="s">
        <v>23</v>
      </c>
    </row>
    <row r="6379" spans="1:11" ht="42" customHeight="1">
      <c r="A6379" s="2" t="s">
        <v>16064</v>
      </c>
      <c r="B6379" s="2" t="s">
        <v>16065</v>
      </c>
      <c r="C6379" s="2" t="s">
        <v>26</v>
      </c>
      <c r="D6379" s="2" t="s">
        <v>27</v>
      </c>
      <c r="E6379" s="4">
        <v>-31859</v>
      </c>
      <c r="F6379" s="3" t="s">
        <v>158</v>
      </c>
      <c r="G6379" s="3" t="s">
        <v>159</v>
      </c>
      <c r="H6379" s="2" t="s">
        <v>21</v>
      </c>
      <c r="I6379" s="2" t="s">
        <v>16066</v>
      </c>
      <c r="J6379" s="3" t="str">
        <f>HYPERLINK("https://www.boe.es/gazeta/dias/1812/10/08/pdfs/GMR-1812-24.pdf#page=9","Abrir facsímil")</f>
        <v>Abrir facsímil</v>
      </c>
      <c r="K6379" s="3" t="s">
        <v>23</v>
      </c>
    </row>
    <row r="6380" spans="1:11" ht="42" customHeight="1">
      <c r="A6380" s="2" t="s">
        <v>16067</v>
      </c>
      <c r="B6380" s="2" t="s">
        <v>16068</v>
      </c>
      <c r="C6380" s="2" t="s">
        <v>26</v>
      </c>
      <c r="D6380" s="2" t="s">
        <v>27</v>
      </c>
      <c r="E6380" s="4">
        <v>-31931</v>
      </c>
      <c r="F6380" s="3" t="s">
        <v>2350</v>
      </c>
      <c r="G6380" s="3" t="s">
        <v>8911</v>
      </c>
      <c r="H6380" s="2" t="s">
        <v>21</v>
      </c>
      <c r="I6380" s="2" t="s">
        <v>16069</v>
      </c>
      <c r="J6380" s="3" t="str">
        <f>HYPERLINK("https://www.boe.es/gazeta/dias/1812/07/28/pdfs/GMD-1812-210.pdf#page=1","Abrir facsímil")</f>
        <v>Abrir facsímil</v>
      </c>
      <c r="K6380" s="3" t="s">
        <v>23</v>
      </c>
    </row>
    <row r="6381" spans="1:11" ht="42" customHeight="1">
      <c r="A6381" s="2" t="s">
        <v>16070</v>
      </c>
      <c r="B6381" s="2" t="s">
        <v>16071</v>
      </c>
      <c r="C6381" s="2" t="s">
        <v>26</v>
      </c>
      <c r="D6381" s="2" t="s">
        <v>27</v>
      </c>
      <c r="E6381" s="4">
        <v>-31992</v>
      </c>
      <c r="F6381" s="3" t="s">
        <v>1292</v>
      </c>
      <c r="G6381" s="3" t="s">
        <v>1424</v>
      </c>
      <c r="H6381" s="2" t="s">
        <v>21</v>
      </c>
      <c r="I6381" s="2" t="s">
        <v>16072</v>
      </c>
      <c r="J6381" s="3" t="str">
        <f>HYPERLINK("https://www.boe.es/gazeta/dias/1812/05/28/pdfs/GRE-1812-66.pdf#page=5","Abrir facsímil")</f>
        <v>Abrir facsímil</v>
      </c>
      <c r="K6381" s="3" t="s">
        <v>23</v>
      </c>
    </row>
    <row r="6382" spans="1:11" ht="42" customHeight="1">
      <c r="A6382" s="2" t="s">
        <v>16073</v>
      </c>
      <c r="B6382" s="2" t="s">
        <v>16074</v>
      </c>
      <c r="C6382" s="2" t="s">
        <v>26</v>
      </c>
      <c r="D6382" s="2" t="s">
        <v>27</v>
      </c>
      <c r="E6382" s="4">
        <v>-32114</v>
      </c>
      <c r="F6382" s="3" t="s">
        <v>480</v>
      </c>
      <c r="G6382" s="3" t="s">
        <v>481</v>
      </c>
      <c r="H6382" s="2" t="s">
        <v>21</v>
      </c>
      <c r="I6382" s="2" t="s">
        <v>16075</v>
      </c>
      <c r="J6382" s="3" t="str">
        <f>HYPERLINK("https://www.boe.es/gazeta/dias/1812/01/27/pdfs/GMD-1812-27.pdf#page=4","Abrir facsímil")</f>
        <v>Abrir facsímil</v>
      </c>
      <c r="K6382" s="3" t="s">
        <v>23</v>
      </c>
    </row>
    <row r="6383" spans="1:11" ht="42" customHeight="1">
      <c r="A6383" s="2" t="s">
        <v>16076</v>
      </c>
      <c r="B6383" s="2" t="s">
        <v>16077</v>
      </c>
      <c r="C6383" s="2" t="s">
        <v>82</v>
      </c>
      <c r="D6383" s="2" t="s">
        <v>27</v>
      </c>
      <c r="E6383" s="4">
        <v>-32095</v>
      </c>
      <c r="F6383" s="3" t="s">
        <v>284</v>
      </c>
      <c r="G6383" s="3" t="s">
        <v>29</v>
      </c>
      <c r="H6383" s="2" t="s">
        <v>21</v>
      </c>
      <c r="I6383" s="2" t="s">
        <v>16078</v>
      </c>
      <c r="J6383" s="3" t="str">
        <f>HYPERLINK("https://www.boe.es/gazeta/dias/1812/02/15/pdfs/GRE-1812-20.pdf#page=8","Abrir facsímil")</f>
        <v>Abrir facsímil</v>
      </c>
      <c r="K6383" s="3" t="s">
        <v>23</v>
      </c>
    </row>
    <row r="6384" spans="1:11" ht="42" customHeight="1">
      <c r="A6384" s="2" t="s">
        <v>16079</v>
      </c>
      <c r="B6384" s="2" t="s">
        <v>16080</v>
      </c>
      <c r="C6384" s="2" t="s">
        <v>26</v>
      </c>
      <c r="D6384" s="2" t="s">
        <v>27</v>
      </c>
      <c r="E6384" s="4">
        <v>-32114</v>
      </c>
      <c r="F6384" s="3" t="s">
        <v>480</v>
      </c>
      <c r="G6384" s="3" t="s">
        <v>481</v>
      </c>
      <c r="H6384" s="2" t="s">
        <v>21</v>
      </c>
      <c r="I6384" s="2" t="s">
        <v>16081</v>
      </c>
      <c r="J6384" s="3" t="str">
        <f>HYPERLINK("https://www.boe.es/gazeta/dias/1812/01/27/pdfs/GMD-1812-27.pdf#page=4","Abrir facsímil")</f>
        <v>Abrir facsímil</v>
      </c>
      <c r="K6384" s="3" t="s">
        <v>23</v>
      </c>
    </row>
    <row r="6385" spans="1:11" ht="42" customHeight="1">
      <c r="A6385" s="2" t="s">
        <v>16082</v>
      </c>
      <c r="B6385" s="2" t="s">
        <v>16083</v>
      </c>
      <c r="C6385" s="2" t="s">
        <v>49</v>
      </c>
      <c r="D6385" s="2" t="s">
        <v>18</v>
      </c>
      <c r="E6385" s="4">
        <v>-31822</v>
      </c>
      <c r="F6385" s="3" t="s">
        <v>541</v>
      </c>
      <c r="G6385" s="3" t="s">
        <v>1459</v>
      </c>
      <c r="H6385" s="2" t="s">
        <v>21</v>
      </c>
      <c r="I6385" s="2" t="s">
        <v>16084</v>
      </c>
      <c r="J6385" s="3" t="str">
        <f>HYPERLINK("https://www.boe.es/gazeta/dias/1812/11/14/pdfs/GRE-1812-152.pdf#page=8","Abrir facsímil")</f>
        <v>Abrir facsímil</v>
      </c>
      <c r="K6385" s="3" t="s">
        <v>23</v>
      </c>
    </row>
    <row r="6386" spans="1:11" ht="42" customHeight="1">
      <c r="A6386" s="2" t="s">
        <v>16085</v>
      </c>
      <c r="B6386" s="2" t="s">
        <v>16086</v>
      </c>
      <c r="C6386" s="2" t="s">
        <v>26</v>
      </c>
      <c r="D6386" s="2" t="s">
        <v>27</v>
      </c>
      <c r="E6386" s="4">
        <v>-32132</v>
      </c>
      <c r="F6386" s="3" t="s">
        <v>484</v>
      </c>
      <c r="G6386" s="3" t="s">
        <v>485</v>
      </c>
      <c r="H6386" s="2" t="s">
        <v>21</v>
      </c>
      <c r="I6386" s="2" t="s">
        <v>16087</v>
      </c>
      <c r="J6386" s="3" t="str">
        <f>HYPERLINK("https://www.boe.es/gazeta/dias/1812/01/09/pdfs/GEI-1812-4.pdf#page=8","Abrir facsímil")</f>
        <v>Abrir facsímil</v>
      </c>
      <c r="K6386" s="3" t="s">
        <v>23</v>
      </c>
    </row>
    <row r="6387" spans="1:11" ht="42" customHeight="1">
      <c r="A6387" s="2" t="s">
        <v>16088</v>
      </c>
      <c r="B6387" s="2" t="s">
        <v>16089</v>
      </c>
      <c r="C6387" s="2" t="s">
        <v>26</v>
      </c>
      <c r="D6387" s="2" t="s">
        <v>27</v>
      </c>
      <c r="E6387" s="4">
        <v>-31973</v>
      </c>
      <c r="F6387" s="3" t="s">
        <v>1735</v>
      </c>
      <c r="G6387" s="3" t="s">
        <v>8888</v>
      </c>
      <c r="H6387" s="2" t="s">
        <v>21</v>
      </c>
      <c r="I6387" s="2" t="s">
        <v>16090</v>
      </c>
      <c r="J6387" s="3" t="str">
        <f>HYPERLINK("https://www.boe.es/gazeta/dias/1812/06/16/pdfs/GRE-1812-74.pdf#page=7","Abrir facsímil")</f>
        <v>Abrir facsímil</v>
      </c>
      <c r="K6387" s="3" t="s">
        <v>23</v>
      </c>
    </row>
    <row r="6388" spans="1:11" ht="42" customHeight="1">
      <c r="A6388" s="2" t="s">
        <v>16091</v>
      </c>
      <c r="B6388" s="2" t="s">
        <v>16092</v>
      </c>
      <c r="C6388" s="2" t="s">
        <v>26</v>
      </c>
      <c r="D6388" s="2" t="s">
        <v>27</v>
      </c>
      <c r="E6388" s="4">
        <v>-32062</v>
      </c>
      <c r="F6388" s="3" t="s">
        <v>280</v>
      </c>
      <c r="G6388" s="3" t="s">
        <v>20</v>
      </c>
      <c r="H6388" s="2" t="s">
        <v>21</v>
      </c>
      <c r="I6388" s="2" t="s">
        <v>16093</v>
      </c>
      <c r="J6388" s="3" t="str">
        <f>HYPERLINK("https://www.boe.es/gazeta/dias/1812/03/19/pdfs/GMD-1812-79.pdf#page=4","Abrir facsímil")</f>
        <v>Abrir facsímil</v>
      </c>
      <c r="K6388" s="3" t="s">
        <v>23</v>
      </c>
    </row>
    <row r="6389" spans="1:11" ht="42" customHeight="1">
      <c r="A6389" s="2" t="s">
        <v>16094</v>
      </c>
      <c r="B6389" s="2" t="s">
        <v>16095</v>
      </c>
      <c r="C6389" s="2" t="s">
        <v>17</v>
      </c>
      <c r="D6389" s="2" t="s">
        <v>18</v>
      </c>
      <c r="E6389" s="4">
        <v>-32033</v>
      </c>
      <c r="F6389" s="3" t="s">
        <v>771</v>
      </c>
      <c r="G6389" s="3" t="s">
        <v>130</v>
      </c>
      <c r="H6389" s="2" t="s">
        <v>21</v>
      </c>
      <c r="I6389" s="2" t="s">
        <v>16096</v>
      </c>
      <c r="J6389" s="3" t="str">
        <f>HYPERLINK("https://www.boe.es/gazeta/dias/1812/04/17/pdfs/GMD-1812-108.pdf#page=4","Abrir facsímil")</f>
        <v>Abrir facsímil</v>
      </c>
      <c r="K6389" s="3" t="s">
        <v>23</v>
      </c>
    </row>
    <row r="6390" spans="1:11" ht="42" customHeight="1">
      <c r="A6390" s="2" t="s">
        <v>16097</v>
      </c>
      <c r="B6390" s="2" t="s">
        <v>16098</v>
      </c>
      <c r="C6390" s="2" t="s">
        <v>105</v>
      </c>
      <c r="D6390" s="2" t="s">
        <v>27</v>
      </c>
      <c r="E6390" s="4">
        <v>-32100</v>
      </c>
      <c r="F6390" s="3" t="s">
        <v>492</v>
      </c>
      <c r="G6390" s="3" t="s">
        <v>1650</v>
      </c>
      <c r="H6390" s="2" t="s">
        <v>21</v>
      </c>
      <c r="I6390" s="2" t="s">
        <v>16099</v>
      </c>
      <c r="J6390" s="3" t="str">
        <f>HYPERLINK("https://www.boe.es/gazeta/dias/1812/02/10/pdfs/GRE-1812-31.pdf#page=2","Abrir facsímil")</f>
        <v>Abrir facsímil</v>
      </c>
      <c r="K6390" s="3" t="s">
        <v>23</v>
      </c>
    </row>
    <row r="6391" spans="1:11" ht="42" customHeight="1">
      <c r="A6391" s="2" t="s">
        <v>16097</v>
      </c>
      <c r="B6391" s="2" t="s">
        <v>16098</v>
      </c>
      <c r="C6391" s="2" t="s">
        <v>105</v>
      </c>
      <c r="D6391" s="2" t="s">
        <v>275</v>
      </c>
      <c r="E6391" s="4">
        <v>-32100</v>
      </c>
      <c r="F6391" s="3" t="s">
        <v>492</v>
      </c>
      <c r="G6391" s="3" t="s">
        <v>1448</v>
      </c>
      <c r="H6391" s="2" t="s">
        <v>21</v>
      </c>
      <c r="I6391" s="2" t="s">
        <v>16100</v>
      </c>
      <c r="J6391" s="3" t="str">
        <f>HYPERLINK("https://www.boe.es/gazeta/dias/1812/02/10/pdfs/GRE-1812-31.pdf#page=7","Abrir facsímil")</f>
        <v>Abrir facsímil</v>
      </c>
      <c r="K6391" s="3" t="s">
        <v>23</v>
      </c>
    </row>
    <row r="6392" spans="1:11" ht="42" customHeight="1">
      <c r="A6392" s="2" t="s">
        <v>16097</v>
      </c>
      <c r="B6392" s="2" t="s">
        <v>16098</v>
      </c>
      <c r="C6392" s="2" t="s">
        <v>105</v>
      </c>
      <c r="D6392" s="2" t="s">
        <v>27</v>
      </c>
      <c r="E6392" s="4">
        <v>-32071</v>
      </c>
      <c r="F6392" s="3" t="s">
        <v>492</v>
      </c>
      <c r="G6392" s="3" t="s">
        <v>1650</v>
      </c>
      <c r="H6392" s="2" t="s">
        <v>21</v>
      </c>
      <c r="I6392" s="2" t="s">
        <v>16099</v>
      </c>
      <c r="J6392" s="3" t="str">
        <f>HYPERLINK("https://www.boe.es/gazeta/dias/1812/03/10/pdfs/GRE-1812-31.pdf#page=2","Abrir facsímil")</f>
        <v>Abrir facsímil</v>
      </c>
      <c r="K6392" s="3" t="s">
        <v>23</v>
      </c>
    </row>
    <row r="6393" spans="1:11" ht="42" customHeight="1">
      <c r="A6393" s="2" t="s">
        <v>16097</v>
      </c>
      <c r="B6393" s="2" t="s">
        <v>16098</v>
      </c>
      <c r="C6393" s="2" t="s">
        <v>105</v>
      </c>
      <c r="D6393" s="2" t="s">
        <v>275</v>
      </c>
      <c r="E6393" s="4">
        <v>-32071</v>
      </c>
      <c r="F6393" s="3" t="s">
        <v>492</v>
      </c>
      <c r="G6393" s="3" t="s">
        <v>1448</v>
      </c>
      <c r="H6393" s="2" t="s">
        <v>21</v>
      </c>
      <c r="I6393" s="2" t="s">
        <v>16100</v>
      </c>
      <c r="J6393" s="3" t="str">
        <f>HYPERLINK("https://www.boe.es/gazeta/dias/1812/03/10/pdfs/GRE-1812-31.pdf#page=7","Abrir facsímil")</f>
        <v>Abrir facsímil</v>
      </c>
      <c r="K6393" s="3" t="s">
        <v>23</v>
      </c>
    </row>
    <row r="6394" spans="1:11" ht="42" customHeight="1">
      <c r="A6394" s="2" t="s">
        <v>16097</v>
      </c>
      <c r="B6394" s="2" t="s">
        <v>16098</v>
      </c>
      <c r="C6394" s="2" t="s">
        <v>17</v>
      </c>
      <c r="D6394" s="2" t="s">
        <v>27</v>
      </c>
      <c r="E6394" s="4">
        <v>-32004</v>
      </c>
      <c r="F6394" s="3" t="s">
        <v>148</v>
      </c>
      <c r="G6394" s="3" t="s">
        <v>58</v>
      </c>
      <c r="H6394" s="2" t="s">
        <v>21</v>
      </c>
      <c r="I6394" s="2" t="s">
        <v>16101</v>
      </c>
      <c r="J6394" s="3" t="str">
        <f>HYPERLINK("https://www.boe.es/gazeta/dias/1812/05/16/pdfs/GRE-1812-61.pdf#page=4","Abrir facsímil")</f>
        <v>Abrir facsímil</v>
      </c>
      <c r="K6394" s="3" t="s">
        <v>23</v>
      </c>
    </row>
    <row r="6395" spans="1:11" ht="42" customHeight="1">
      <c r="A6395" s="2" t="s">
        <v>16097</v>
      </c>
      <c r="B6395" s="2" t="s">
        <v>16098</v>
      </c>
      <c r="C6395" s="2" t="s">
        <v>17</v>
      </c>
      <c r="D6395" s="2" t="s">
        <v>27</v>
      </c>
      <c r="E6395" s="4">
        <v>-31843</v>
      </c>
      <c r="F6395" s="3" t="s">
        <v>6436</v>
      </c>
      <c r="G6395" s="3" t="s">
        <v>130</v>
      </c>
      <c r="H6395" s="2" t="s">
        <v>21</v>
      </c>
      <c r="I6395" s="2" t="s">
        <v>16102</v>
      </c>
      <c r="J6395" s="3" t="str">
        <f>HYPERLINK("https://www.boe.es/gazeta/dias/1812/10/24/pdfs/GRE-1812-143.pdf#page=4","Abrir facsímil")</f>
        <v>Abrir facsímil</v>
      </c>
      <c r="K6395" s="3" t="s">
        <v>23</v>
      </c>
    </row>
    <row r="6396" spans="1:11" ht="42" customHeight="1">
      <c r="A6396" s="2" t="s">
        <v>16097</v>
      </c>
      <c r="B6396" s="2" t="s">
        <v>16098</v>
      </c>
      <c r="C6396" s="2" t="s">
        <v>49</v>
      </c>
      <c r="D6396" s="2" t="s">
        <v>275</v>
      </c>
      <c r="E6396" s="4">
        <v>-31812</v>
      </c>
      <c r="F6396" s="3" t="s">
        <v>1533</v>
      </c>
      <c r="G6396" s="3" t="s">
        <v>706</v>
      </c>
      <c r="H6396" s="2" t="s">
        <v>21</v>
      </c>
      <c r="I6396" s="2" t="s">
        <v>16103</v>
      </c>
      <c r="J6396" s="3" t="str">
        <f>HYPERLINK("https://www.boe.es/gazeta/dias/1812/11/24/pdfs/GMR-1812-37.pdf#page=1","Abrir facsímil")</f>
        <v>Abrir facsímil</v>
      </c>
      <c r="K6396" s="3" t="s">
        <v>23</v>
      </c>
    </row>
    <row r="6397" spans="1:11" ht="42" customHeight="1">
      <c r="A6397" s="2" t="s">
        <v>16104</v>
      </c>
      <c r="B6397" s="2" t="s">
        <v>16105</v>
      </c>
      <c r="C6397" s="2" t="s">
        <v>17</v>
      </c>
      <c r="D6397" s="2" t="s">
        <v>27</v>
      </c>
      <c r="E6397" s="4">
        <v>-32111</v>
      </c>
      <c r="F6397" s="3" t="s">
        <v>553</v>
      </c>
      <c r="G6397" s="3" t="s">
        <v>514</v>
      </c>
      <c r="H6397" s="2" t="s">
        <v>21</v>
      </c>
      <c r="I6397" s="2" t="s">
        <v>16106</v>
      </c>
      <c r="J6397" s="3" t="str">
        <f>HYPERLINK("https://www.boe.es/gazeta/dias/1812/01/30/pdfs/GRE-1812-13.pdf#page=3","Abrir facsímil")</f>
        <v>Abrir facsímil</v>
      </c>
      <c r="K6397" s="3" t="s">
        <v>23</v>
      </c>
    </row>
    <row r="6398" spans="1:11" ht="42" customHeight="1">
      <c r="A6398" s="2" t="s">
        <v>16107</v>
      </c>
      <c r="B6398" s="2" t="s">
        <v>16108</v>
      </c>
      <c r="C6398" s="2" t="s">
        <v>26</v>
      </c>
      <c r="D6398" s="2" t="s">
        <v>27</v>
      </c>
      <c r="E6398" s="4">
        <v>-32044</v>
      </c>
      <c r="F6398" s="3" t="s">
        <v>1031</v>
      </c>
      <c r="G6398" s="3" t="s">
        <v>1873</v>
      </c>
      <c r="H6398" s="2" t="s">
        <v>21</v>
      </c>
      <c r="I6398" s="2" t="s">
        <v>16109</v>
      </c>
      <c r="J6398" s="3" t="str">
        <f>HYPERLINK("https://www.boe.es/gazeta/dias/1812/04/06/pdfs/GMD-1812-97.pdf#page=4","Abrir facsímil")</f>
        <v>Abrir facsímil</v>
      </c>
      <c r="K6398" s="3" t="s">
        <v>23</v>
      </c>
    </row>
    <row r="6399" spans="1:11" ht="42" customHeight="1">
      <c r="A6399" s="2" t="s">
        <v>16110</v>
      </c>
      <c r="B6399" s="2" t="s">
        <v>16110</v>
      </c>
      <c r="C6399" s="2" t="s">
        <v>17</v>
      </c>
      <c r="D6399" s="2" t="s">
        <v>18</v>
      </c>
      <c r="E6399" s="4">
        <v>-31908</v>
      </c>
      <c r="F6399" s="3" t="s">
        <v>835</v>
      </c>
      <c r="G6399" s="3" t="s">
        <v>8575</v>
      </c>
      <c r="H6399" s="2" t="s">
        <v>21</v>
      </c>
      <c r="I6399" s="2" t="s">
        <v>16111</v>
      </c>
      <c r="J6399" s="3" t="str">
        <f>HYPERLINK("https://www.boe.es/gazeta/dias/1812/08/20/pdfs/GRE-1812-107.pdf#page=1","Abrir facsímil")</f>
        <v>Abrir facsímil</v>
      </c>
      <c r="K6399" s="3" t="s">
        <v>23</v>
      </c>
    </row>
    <row r="6400" spans="1:11" ht="42" customHeight="1">
      <c r="A6400" s="2" t="s">
        <v>16112</v>
      </c>
      <c r="B6400" s="2" t="s">
        <v>16112</v>
      </c>
      <c r="C6400" s="2" t="s">
        <v>17</v>
      </c>
      <c r="D6400" s="2" t="s">
        <v>194</v>
      </c>
      <c r="E6400" s="4">
        <v>-32036</v>
      </c>
      <c r="F6400" s="3" t="s">
        <v>16113</v>
      </c>
      <c r="G6400" s="3" t="s">
        <v>336</v>
      </c>
      <c r="H6400" s="2" t="s">
        <v>21</v>
      </c>
      <c r="I6400" s="2" t="s">
        <v>16114</v>
      </c>
      <c r="J6400" s="3" t="str">
        <f>HYPERLINK("https://www.boe.es/gazeta/dias/1812/04/14/pdfs/GMD-1812-105.pdf#page=2","Abrir facsímil")</f>
        <v>Abrir facsímil</v>
      </c>
      <c r="K6400" s="3" t="s">
        <v>23</v>
      </c>
    </row>
    <row r="6401" spans="1:11" ht="42" customHeight="1">
      <c r="A6401" s="2" t="s">
        <v>16115</v>
      </c>
      <c r="B6401" s="2" t="s">
        <v>16116</v>
      </c>
      <c r="C6401" s="2" t="s">
        <v>26</v>
      </c>
      <c r="D6401" s="2" t="s">
        <v>27</v>
      </c>
      <c r="E6401" s="4">
        <v>-31822</v>
      </c>
      <c r="F6401" s="3" t="s">
        <v>541</v>
      </c>
      <c r="G6401" s="3" t="s">
        <v>3583</v>
      </c>
      <c r="H6401" s="2" t="s">
        <v>21</v>
      </c>
      <c r="I6401" s="2" t="s">
        <v>16117</v>
      </c>
      <c r="J6401" s="3" t="str">
        <f>HYPERLINK("https://www.boe.es/gazeta/dias/1812/11/14/pdfs/GRE-1812-152.pdf#page=6","Abrir facsímil")</f>
        <v>Abrir facsímil</v>
      </c>
      <c r="K6401" s="3" t="s">
        <v>23</v>
      </c>
    </row>
    <row r="6402" spans="1:11" ht="42" customHeight="1">
      <c r="A6402" s="2" t="s">
        <v>16118</v>
      </c>
      <c r="B6402" s="2" t="s">
        <v>16119</v>
      </c>
      <c r="C6402" s="2" t="s">
        <v>115</v>
      </c>
      <c r="D6402" s="2" t="s">
        <v>134</v>
      </c>
      <c r="E6402" s="4">
        <v>-31952</v>
      </c>
      <c r="F6402" s="3" t="s">
        <v>1541</v>
      </c>
      <c r="G6402" s="3" t="s">
        <v>1542</v>
      </c>
      <c r="H6402" s="2" t="s">
        <v>21</v>
      </c>
      <c r="I6402" s="2" t="s">
        <v>16120</v>
      </c>
      <c r="J6402" s="3" t="str">
        <f>HYPERLINK("https://www.boe.es/gazeta/dias/1812/07/07/pdfs/GRE-F-1812-83.pdf#page=3","Abrir facsímil")</f>
        <v>Abrir facsímil</v>
      </c>
      <c r="K6402" s="3" t="s">
        <v>23</v>
      </c>
    </row>
    <row r="6403" spans="1:11" ht="42" customHeight="1">
      <c r="A6403" s="2" t="s">
        <v>16118</v>
      </c>
      <c r="B6403" s="2" t="s">
        <v>16119</v>
      </c>
      <c r="C6403" s="2" t="s">
        <v>26</v>
      </c>
      <c r="D6403" s="2" t="s">
        <v>27</v>
      </c>
      <c r="E6403" s="4">
        <v>-31929</v>
      </c>
      <c r="F6403" s="3" t="s">
        <v>1148</v>
      </c>
      <c r="G6403" s="3" t="s">
        <v>1301</v>
      </c>
      <c r="H6403" s="2" t="s">
        <v>21</v>
      </c>
      <c r="I6403" s="2" t="s">
        <v>16121</v>
      </c>
      <c r="J6403" s="3" t="str">
        <f>HYPERLINK("https://www.boe.es/gazeta/dias/1812/07/30/pdfs/GRE-1812-95.pdf#page=8","Abrir facsímil")</f>
        <v>Abrir facsímil</v>
      </c>
      <c r="K6403" s="3" t="s">
        <v>23</v>
      </c>
    </row>
    <row r="6404" spans="1:11" ht="42" customHeight="1">
      <c r="A6404" s="2" t="s">
        <v>16122</v>
      </c>
      <c r="B6404" s="2" t="s">
        <v>16123</v>
      </c>
      <c r="C6404" s="2" t="s">
        <v>26</v>
      </c>
      <c r="D6404" s="2" t="s">
        <v>27</v>
      </c>
      <c r="E6404" s="4">
        <v>-31936</v>
      </c>
      <c r="F6404" s="3" t="s">
        <v>614</v>
      </c>
      <c r="G6404" s="3" t="s">
        <v>615</v>
      </c>
      <c r="H6404" s="2" t="s">
        <v>21</v>
      </c>
      <c r="I6404" s="2" t="s">
        <v>16124</v>
      </c>
      <c r="J6404" s="3" t="str">
        <f>HYPERLINK("https://www.boe.es/gazeta/dias/1812/07/23/pdfs/GRE-1812-92.pdf#page=8","Abrir facsímil")</f>
        <v>Abrir facsímil</v>
      </c>
      <c r="K6404" s="3" t="s">
        <v>23</v>
      </c>
    </row>
    <row r="6405" spans="1:11" ht="42" customHeight="1">
      <c r="A6405" s="2" t="s">
        <v>16125</v>
      </c>
      <c r="B6405" s="2" t="s">
        <v>16126</v>
      </c>
      <c r="C6405" s="2" t="s">
        <v>26</v>
      </c>
      <c r="D6405" s="2" t="s">
        <v>27</v>
      </c>
      <c r="E6405" s="4">
        <v>-32137</v>
      </c>
      <c r="F6405" s="3" t="s">
        <v>355</v>
      </c>
      <c r="G6405" s="3" t="s">
        <v>117</v>
      </c>
      <c r="H6405" s="2" t="s">
        <v>21</v>
      </c>
      <c r="I6405" s="2" t="s">
        <v>16127</v>
      </c>
      <c r="J6405" s="3" t="str">
        <f>HYPERLINK("https://www.boe.es/gazeta/dias/1812/01/04/pdfs/GEI-1812-2.pdf#page=8","Abrir facsímil")</f>
        <v>Abrir facsímil</v>
      </c>
      <c r="K6405" s="3" t="s">
        <v>23</v>
      </c>
    </row>
    <row r="6406" spans="1:11" ht="42" customHeight="1">
      <c r="A6406" s="2" t="s">
        <v>16128</v>
      </c>
      <c r="B6406" s="2" t="s">
        <v>16129</v>
      </c>
      <c r="C6406" s="2" t="s">
        <v>26</v>
      </c>
      <c r="D6406" s="2" t="s">
        <v>27</v>
      </c>
      <c r="E6406" s="4">
        <v>-32015</v>
      </c>
      <c r="F6406" s="3" t="s">
        <v>77</v>
      </c>
      <c r="G6406" s="3" t="s">
        <v>78</v>
      </c>
      <c r="H6406" s="2" t="s">
        <v>21</v>
      </c>
      <c r="I6406" s="2" t="s">
        <v>16130</v>
      </c>
      <c r="J6406" s="3" t="str">
        <f>HYPERLINK("https://www.boe.es/gazeta/dias/1812/05/05/pdfs/GRE-1812-56.pdf#page=8","Abrir facsímil")</f>
        <v>Abrir facsímil</v>
      </c>
      <c r="K6406" s="3" t="s">
        <v>23</v>
      </c>
    </row>
    <row r="6407" spans="1:11" ht="42" customHeight="1">
      <c r="A6407" s="2" t="s">
        <v>16131</v>
      </c>
      <c r="B6407" s="2" t="s">
        <v>16132</v>
      </c>
      <c r="C6407" s="2" t="s">
        <v>26</v>
      </c>
      <c r="D6407" s="2" t="s">
        <v>27</v>
      </c>
      <c r="E6407" s="4">
        <v>-32018</v>
      </c>
      <c r="F6407" s="3" t="s">
        <v>365</v>
      </c>
      <c r="G6407" s="3" t="s">
        <v>366</v>
      </c>
      <c r="H6407" s="2" t="s">
        <v>21</v>
      </c>
      <c r="I6407" s="2" t="s">
        <v>16133</v>
      </c>
      <c r="J6407" s="3" t="str">
        <f>HYPERLINK("https://www.boe.es/gazeta/dias/1812/05/02/pdfs/GRE-1812-55.pdf#page=3","Abrir facsímil")</f>
        <v>Abrir facsímil</v>
      </c>
      <c r="K6407" s="3" t="s">
        <v>23</v>
      </c>
    </row>
    <row r="6408" spans="1:11" ht="42" customHeight="1">
      <c r="A6408" s="2" t="s">
        <v>16134</v>
      </c>
      <c r="B6408" s="2" t="s">
        <v>16135</v>
      </c>
      <c r="C6408" s="2" t="s">
        <v>26</v>
      </c>
      <c r="D6408" s="2" t="s">
        <v>275</v>
      </c>
      <c r="E6408" s="4">
        <v>-31964</v>
      </c>
      <c r="F6408" s="3" t="s">
        <v>305</v>
      </c>
      <c r="G6408" s="3" t="s">
        <v>58</v>
      </c>
      <c r="H6408" s="2" t="s">
        <v>21</v>
      </c>
      <c r="I6408" s="2" t="s">
        <v>16136</v>
      </c>
      <c r="J6408" s="3" t="str">
        <f>HYPERLINK("https://www.boe.es/gazeta/dias/1812/06/25/pdfs/GMD-1812-177.pdf#page=2","Abrir facsímil")</f>
        <v>Abrir facsímil</v>
      </c>
      <c r="K6408" s="3" t="s">
        <v>23</v>
      </c>
    </row>
    <row r="6409" spans="1:11" ht="42" customHeight="1">
      <c r="A6409" s="2" t="s">
        <v>16137</v>
      </c>
      <c r="B6409" s="2" t="s">
        <v>16138</v>
      </c>
      <c r="C6409" s="2" t="s">
        <v>26</v>
      </c>
      <c r="D6409" s="2" t="s">
        <v>27</v>
      </c>
      <c r="E6409" s="4">
        <v>-31938</v>
      </c>
      <c r="F6409" s="3" t="s">
        <v>324</v>
      </c>
      <c r="G6409" s="3" t="s">
        <v>497</v>
      </c>
      <c r="H6409" s="2" t="s">
        <v>21</v>
      </c>
      <c r="I6409" s="2" t="s">
        <v>16139</v>
      </c>
      <c r="J6409" s="3" t="str">
        <f>HYPERLINK("https://www.boe.es/gazeta/dias/1812/07/21/pdfs/GMD-1812-203.pdf#page=3","Abrir facsímil")</f>
        <v>Abrir facsímil</v>
      </c>
      <c r="K6409" s="3" t="s">
        <v>23</v>
      </c>
    </row>
    <row r="6410" spans="1:11" ht="42" customHeight="1">
      <c r="A6410" s="2" t="s">
        <v>16140</v>
      </c>
      <c r="B6410" s="2" t="s">
        <v>16140</v>
      </c>
      <c r="C6410" s="2" t="s">
        <v>17</v>
      </c>
      <c r="D6410" s="2" t="s">
        <v>27</v>
      </c>
      <c r="E6410" s="4">
        <v>-32018</v>
      </c>
      <c r="F6410" s="3" t="s">
        <v>365</v>
      </c>
      <c r="G6410" s="3" t="s">
        <v>10212</v>
      </c>
      <c r="H6410" s="2" t="s">
        <v>21</v>
      </c>
      <c r="I6410" s="2" t="s">
        <v>16141</v>
      </c>
      <c r="J6410" s="3" t="str">
        <f>HYPERLINK("https://www.boe.es/gazeta/dias/1812/05/02/pdfs/GRE-1812-55.pdf#page=5","Abrir facsímil")</f>
        <v>Abrir facsímil</v>
      </c>
      <c r="K6410" s="3" t="s">
        <v>23</v>
      </c>
    </row>
    <row r="6411" spans="1:11" ht="42" customHeight="1">
      <c r="A6411" s="2" t="s">
        <v>16140</v>
      </c>
      <c r="B6411" s="2" t="s">
        <v>16140</v>
      </c>
      <c r="C6411" s="2" t="s">
        <v>17</v>
      </c>
      <c r="D6411" s="2" t="s">
        <v>18</v>
      </c>
      <c r="E6411" s="4">
        <v>-31980</v>
      </c>
      <c r="F6411" s="3" t="s">
        <v>40</v>
      </c>
      <c r="G6411" s="3" t="s">
        <v>7947</v>
      </c>
      <c r="H6411" s="2" t="s">
        <v>21</v>
      </c>
      <c r="I6411" s="2" t="s">
        <v>16142</v>
      </c>
      <c r="J6411" s="3" t="str">
        <f>HYPERLINK("https://www.boe.es/gazeta/dias/1812/06/09/pdfs/GRE-1812-71.pdf#page=5","Abrir facsímil")</f>
        <v>Abrir facsímil</v>
      </c>
      <c r="K6411" s="3" t="s">
        <v>23</v>
      </c>
    </row>
    <row r="6412" spans="1:11" ht="42" customHeight="1">
      <c r="A6412" s="2" t="s">
        <v>16140</v>
      </c>
      <c r="B6412" s="2" t="s">
        <v>16140</v>
      </c>
      <c r="C6412" s="2" t="s">
        <v>17</v>
      </c>
      <c r="D6412" s="2" t="s">
        <v>27</v>
      </c>
      <c r="E6412" s="4">
        <v>-31971</v>
      </c>
      <c r="F6412" s="3" t="s">
        <v>686</v>
      </c>
      <c r="G6412" s="3" t="s">
        <v>2262</v>
      </c>
      <c r="H6412" s="2" t="s">
        <v>21</v>
      </c>
      <c r="I6412" s="2" t="s">
        <v>16143</v>
      </c>
      <c r="J6412" s="3" t="str">
        <f>HYPERLINK("https://www.boe.es/gazeta/dias/1812/06/18/pdfs/GRE-1812-75.pdf#page=5","Abrir facsímil")</f>
        <v>Abrir facsímil</v>
      </c>
      <c r="K6412" s="3" t="s">
        <v>23</v>
      </c>
    </row>
    <row r="6413" spans="1:11" ht="42" customHeight="1">
      <c r="A6413" s="2" t="s">
        <v>16140</v>
      </c>
      <c r="B6413" s="2" t="s">
        <v>16140</v>
      </c>
      <c r="C6413" s="2" t="s">
        <v>17</v>
      </c>
      <c r="D6413" s="2" t="s">
        <v>27</v>
      </c>
      <c r="E6413" s="4">
        <v>-31908</v>
      </c>
      <c r="F6413" s="3" t="s">
        <v>835</v>
      </c>
      <c r="G6413" s="3" t="s">
        <v>8578</v>
      </c>
      <c r="H6413" s="2" t="s">
        <v>21</v>
      </c>
      <c r="I6413" s="2" t="s">
        <v>16144</v>
      </c>
      <c r="J6413" s="3" t="str">
        <f>HYPERLINK("https://www.boe.es/gazeta/dias/1812/08/20/pdfs/GRE-1812-107.pdf#page=2","Abrir facsímil")</f>
        <v>Abrir facsímil</v>
      </c>
      <c r="K6413" s="3" t="s">
        <v>23</v>
      </c>
    </row>
    <row r="6414" spans="1:11" ht="42" customHeight="1">
      <c r="A6414" s="2" t="s">
        <v>16140</v>
      </c>
      <c r="B6414" s="2" t="s">
        <v>16140</v>
      </c>
      <c r="C6414" s="2" t="s">
        <v>17</v>
      </c>
      <c r="D6414" s="2" t="s">
        <v>194</v>
      </c>
      <c r="E6414" s="4">
        <v>-31868</v>
      </c>
      <c r="F6414" s="3" t="s">
        <v>711</v>
      </c>
      <c r="G6414" s="3" t="s">
        <v>4861</v>
      </c>
      <c r="H6414" s="2" t="s">
        <v>21</v>
      </c>
      <c r="I6414" s="2" t="s">
        <v>16145</v>
      </c>
      <c r="J6414" s="3" t="str">
        <f>HYPERLINK("https://www.boe.es/gazeta/dias/1812/09/29/pdfs/GRE-1812-132.pdf#page=4","Abrir facsímil")</f>
        <v>Abrir facsímil</v>
      </c>
      <c r="K6414" s="3" t="s">
        <v>23</v>
      </c>
    </row>
    <row r="6415" spans="1:11" ht="42" customHeight="1">
      <c r="A6415" s="2" t="s">
        <v>16146</v>
      </c>
      <c r="B6415" s="2" t="s">
        <v>16147</v>
      </c>
      <c r="C6415" s="2" t="s">
        <v>17</v>
      </c>
      <c r="D6415" s="2" t="s">
        <v>18</v>
      </c>
      <c r="E6415" s="4">
        <v>-32015</v>
      </c>
      <c r="F6415" s="3" t="s">
        <v>77</v>
      </c>
      <c r="G6415" s="3" t="s">
        <v>78</v>
      </c>
      <c r="H6415" s="2" t="s">
        <v>21</v>
      </c>
      <c r="I6415" s="2" t="s">
        <v>16148</v>
      </c>
      <c r="J6415" s="3" t="str">
        <f>HYPERLINK("https://www.boe.es/gazeta/dias/1812/05/05/pdfs/GRE-1812-56.pdf#page=8","Abrir facsímil")</f>
        <v>Abrir facsímil</v>
      </c>
      <c r="K6415" s="3" t="s">
        <v>23</v>
      </c>
    </row>
    <row r="6416" spans="1:11" ht="42" customHeight="1">
      <c r="A6416" s="2" t="s">
        <v>16149</v>
      </c>
      <c r="B6416" s="2" t="s">
        <v>16150</v>
      </c>
      <c r="C6416" s="2" t="s">
        <v>26</v>
      </c>
      <c r="D6416" s="2" t="s">
        <v>27</v>
      </c>
      <c r="E6416" s="4">
        <v>-32127</v>
      </c>
      <c r="F6416" s="3" t="s">
        <v>88</v>
      </c>
      <c r="G6416" s="3" t="s">
        <v>89</v>
      </c>
      <c r="H6416" s="2" t="s">
        <v>21</v>
      </c>
      <c r="I6416" s="2" t="s">
        <v>16151</v>
      </c>
      <c r="J6416" s="3" t="str">
        <f>HYPERLINK("https://www.boe.es/gazeta/dias/1812/01/14/pdfs/GEI-1812-6.pdf#page=8","Abrir facsímil")</f>
        <v>Abrir facsímil</v>
      </c>
      <c r="K6416" s="3" t="s">
        <v>23</v>
      </c>
    </row>
    <row r="6417" spans="1:11" ht="42" customHeight="1">
      <c r="A6417" s="2" t="s">
        <v>16152</v>
      </c>
      <c r="B6417" s="2" t="s">
        <v>16153</v>
      </c>
      <c r="C6417" s="2" t="s">
        <v>17</v>
      </c>
      <c r="D6417" s="2" t="s">
        <v>27</v>
      </c>
      <c r="E6417" s="4">
        <v>-32036</v>
      </c>
      <c r="F6417" s="3" t="s">
        <v>781</v>
      </c>
      <c r="G6417" s="3" t="s">
        <v>782</v>
      </c>
      <c r="H6417" s="2" t="s">
        <v>21</v>
      </c>
      <c r="I6417" s="2" t="s">
        <v>16154</v>
      </c>
      <c r="J6417" s="3" t="str">
        <f>HYPERLINK("https://www.boe.es/gazeta/dias/1812/04/14/pdfs/GRE-1812-47.pdf#page=8","Abrir facsímil")</f>
        <v>Abrir facsímil</v>
      </c>
      <c r="K6417" s="3" t="s">
        <v>23</v>
      </c>
    </row>
    <row r="6418" spans="1:11" ht="42" customHeight="1">
      <c r="A6418" s="2" t="s">
        <v>16155</v>
      </c>
      <c r="B6418" s="2" t="s">
        <v>16155</v>
      </c>
      <c r="C6418" s="2" t="s">
        <v>17</v>
      </c>
      <c r="D6418" s="2" t="s">
        <v>27</v>
      </c>
      <c r="E6418" s="4">
        <v>-31990</v>
      </c>
      <c r="F6418" s="3" t="s">
        <v>5078</v>
      </c>
      <c r="G6418" s="3" t="s">
        <v>237</v>
      </c>
      <c r="H6418" s="2" t="s">
        <v>21</v>
      </c>
      <c r="I6418" s="2" t="s">
        <v>16156</v>
      </c>
      <c r="J6418" s="3" t="str">
        <f>HYPERLINK("https://www.boe.es/gazeta/dias/1812/05/30/pdfs/GRE-1812-67.pdf#page=3","Abrir facsímil")</f>
        <v>Abrir facsímil</v>
      </c>
      <c r="K6418" s="3" t="s">
        <v>23</v>
      </c>
    </row>
    <row r="6419" spans="1:11" ht="42" customHeight="1">
      <c r="A6419" s="2" t="s">
        <v>16157</v>
      </c>
      <c r="B6419" s="2" t="s">
        <v>16158</v>
      </c>
      <c r="C6419" s="2" t="s">
        <v>26</v>
      </c>
      <c r="D6419" s="2" t="s">
        <v>27</v>
      </c>
      <c r="E6419" s="4">
        <v>-32125</v>
      </c>
      <c r="F6419" s="3" t="s">
        <v>335</v>
      </c>
      <c r="G6419" s="3" t="s">
        <v>336</v>
      </c>
      <c r="H6419" s="2" t="s">
        <v>21</v>
      </c>
      <c r="I6419" s="2" t="s">
        <v>16159</v>
      </c>
      <c r="J6419" s="3" t="str">
        <f>HYPERLINK("https://www.boe.es/gazeta/dias/1812/01/16/pdfs/GEI-1812-7.pdf#page=8","Abrir facsímil")</f>
        <v>Abrir facsímil</v>
      </c>
      <c r="K6419" s="3" t="s">
        <v>23</v>
      </c>
    </row>
    <row r="6420" spans="1:11" ht="42" customHeight="1">
      <c r="A6420" s="2" t="s">
        <v>16160</v>
      </c>
      <c r="B6420" s="2" t="s">
        <v>16161</v>
      </c>
      <c r="C6420" s="2" t="s">
        <v>17</v>
      </c>
      <c r="D6420" s="2" t="s">
        <v>27</v>
      </c>
      <c r="E6420" s="4">
        <v>-31950</v>
      </c>
      <c r="F6420" s="3" t="s">
        <v>1024</v>
      </c>
      <c r="G6420" s="3" t="s">
        <v>1025</v>
      </c>
      <c r="H6420" s="2" t="s">
        <v>21</v>
      </c>
      <c r="I6420" s="2" t="s">
        <v>16162</v>
      </c>
      <c r="J6420" s="3" t="str">
        <f>HYPERLINK("https://www.boe.es/gazeta/dias/1812/07/09/pdfs/GRE-1812-84.pdf#page=7","Abrir facsímil")</f>
        <v>Abrir facsímil</v>
      </c>
      <c r="K6420" s="3" t="s">
        <v>23</v>
      </c>
    </row>
    <row r="6421" spans="1:11" ht="42" customHeight="1">
      <c r="A6421" s="2" t="s">
        <v>16163</v>
      </c>
      <c r="B6421" s="2" t="s">
        <v>16164</v>
      </c>
      <c r="C6421" s="2" t="s">
        <v>67</v>
      </c>
      <c r="D6421" s="2" t="s">
        <v>27</v>
      </c>
      <c r="E6421" s="4">
        <v>-32009</v>
      </c>
      <c r="F6421" s="3" t="s">
        <v>8049</v>
      </c>
      <c r="G6421" s="3" t="s">
        <v>130</v>
      </c>
      <c r="H6421" s="2" t="s">
        <v>21</v>
      </c>
      <c r="I6421" s="2" t="s">
        <v>16165</v>
      </c>
      <c r="J6421" s="3" t="str">
        <f>HYPERLINK("https://www.boe.es/gazeta/dias/1812/05/11/pdfs/GMD-1812-132.pdf#page=4","Abrir facsímil")</f>
        <v>Abrir facsímil</v>
      </c>
      <c r="K6421" s="3" t="s">
        <v>23</v>
      </c>
    </row>
    <row r="6422" spans="1:11" ht="42" customHeight="1">
      <c r="A6422" s="2" t="s">
        <v>16166</v>
      </c>
      <c r="B6422" s="2" t="s">
        <v>16167</v>
      </c>
      <c r="C6422" s="2" t="s">
        <v>26</v>
      </c>
      <c r="D6422" s="2" t="s">
        <v>27</v>
      </c>
      <c r="E6422" s="4">
        <v>-31822</v>
      </c>
      <c r="F6422" s="3" t="s">
        <v>541</v>
      </c>
      <c r="G6422" s="3" t="s">
        <v>214</v>
      </c>
      <c r="H6422" s="2" t="s">
        <v>21</v>
      </c>
      <c r="I6422" s="2" t="s">
        <v>16168</v>
      </c>
      <c r="J6422" s="3" t="str">
        <f>HYPERLINK("https://www.boe.es/gazeta/dias/1812/11/14/pdfs/GRE-1812-152.pdf#page=3","Abrir facsímil")</f>
        <v>Abrir facsímil</v>
      </c>
      <c r="K6422" s="3" t="s">
        <v>23</v>
      </c>
    </row>
    <row r="6423" spans="1:11" ht="42" customHeight="1">
      <c r="A6423" s="2" t="s">
        <v>16169</v>
      </c>
      <c r="B6423" s="2" t="s">
        <v>16169</v>
      </c>
      <c r="C6423" s="2" t="s">
        <v>17</v>
      </c>
      <c r="D6423" s="2" t="s">
        <v>27</v>
      </c>
      <c r="E6423" s="4">
        <v>-32099</v>
      </c>
      <c r="F6423" s="3" t="s">
        <v>2566</v>
      </c>
      <c r="G6423" s="3" t="s">
        <v>16170</v>
      </c>
      <c r="H6423" s="2" t="s">
        <v>21</v>
      </c>
      <c r="I6423" s="2" t="s">
        <v>16171</v>
      </c>
      <c r="J6423" s="3" t="str">
        <f>HYPERLINK("https://www.boe.es/gazeta/dias/1812/02/11/pdfs/GRE-1812-18.pdf#page=2","Abrir facsímil")</f>
        <v>Abrir facsímil</v>
      </c>
      <c r="K6423" s="3" t="s">
        <v>23</v>
      </c>
    </row>
    <row r="6424" spans="1:11" ht="42" customHeight="1">
      <c r="A6424" s="2" t="s">
        <v>16172</v>
      </c>
      <c r="B6424" s="2" t="s">
        <v>16173</v>
      </c>
      <c r="C6424" s="2" t="s">
        <v>26</v>
      </c>
      <c r="D6424" s="2" t="s">
        <v>27</v>
      </c>
      <c r="E6424" s="4">
        <v>-31957</v>
      </c>
      <c r="F6424" s="3" t="s">
        <v>2173</v>
      </c>
      <c r="G6424" s="3" t="s">
        <v>58</v>
      </c>
      <c r="H6424" s="2" t="s">
        <v>21</v>
      </c>
      <c r="I6424" s="2" t="s">
        <v>16174</v>
      </c>
      <c r="J6424" s="3" t="str">
        <f>HYPERLINK("https://www.boe.es/gazeta/dias/1812/07/02/pdfs/GRE-1812-81.pdf#page=3","Abrir facsímil")</f>
        <v>Abrir facsímil</v>
      </c>
      <c r="K6424" s="3" t="s">
        <v>23</v>
      </c>
    </row>
    <row r="6425" spans="1:11" ht="42" customHeight="1">
      <c r="A6425" s="2" t="s">
        <v>16175</v>
      </c>
      <c r="B6425" s="2" t="s">
        <v>16176</v>
      </c>
      <c r="C6425" s="2" t="s">
        <v>26</v>
      </c>
      <c r="D6425" s="2" t="s">
        <v>27</v>
      </c>
      <c r="E6425" s="4">
        <v>-32109</v>
      </c>
      <c r="F6425" s="3" t="s">
        <v>62</v>
      </c>
      <c r="G6425" s="3" t="s">
        <v>63</v>
      </c>
      <c r="H6425" s="2" t="s">
        <v>21</v>
      </c>
      <c r="I6425" s="2" t="s">
        <v>16177</v>
      </c>
      <c r="J6425" s="3" t="str">
        <f>HYPERLINK("https://www.boe.es/gazeta/dias/1812/02/01/pdfs/GRE-1812-14.pdf#page=10","Abrir facsímil")</f>
        <v>Abrir facsímil</v>
      </c>
      <c r="K6425" s="3" t="s">
        <v>23</v>
      </c>
    </row>
    <row r="6426" spans="1:11" ht="42" customHeight="1">
      <c r="A6426" s="2" t="s">
        <v>16178</v>
      </c>
      <c r="B6426" s="2" t="s">
        <v>16178</v>
      </c>
      <c r="C6426" s="2" t="s">
        <v>17</v>
      </c>
      <c r="D6426" s="2" t="s">
        <v>27</v>
      </c>
      <c r="E6426" s="4">
        <v>-31977</v>
      </c>
      <c r="F6426" s="3" t="s">
        <v>1566</v>
      </c>
      <c r="G6426" s="3" t="s">
        <v>58</v>
      </c>
      <c r="H6426" s="2" t="s">
        <v>21</v>
      </c>
      <c r="I6426" s="2" t="s">
        <v>16179</v>
      </c>
      <c r="J6426" s="3" t="str">
        <f>HYPERLINK("https://www.boe.es/gazeta/dias/1812/06/12/pdfs/GMD-1812-164.pdf#page=3","Abrir facsímil")</f>
        <v>Abrir facsímil</v>
      </c>
      <c r="K6426" s="3" t="s">
        <v>23</v>
      </c>
    </row>
    <row r="6427" spans="1:11" ht="42" customHeight="1">
      <c r="A6427" s="2" t="s">
        <v>16180</v>
      </c>
      <c r="B6427" s="2" t="s">
        <v>16180</v>
      </c>
      <c r="C6427" s="2" t="s">
        <v>17</v>
      </c>
      <c r="D6427" s="2" t="s">
        <v>27</v>
      </c>
      <c r="E6427" s="4">
        <v>-31995</v>
      </c>
      <c r="F6427" s="3" t="s">
        <v>100</v>
      </c>
      <c r="G6427" s="3" t="s">
        <v>1842</v>
      </c>
      <c r="H6427" s="2" t="s">
        <v>21</v>
      </c>
      <c r="I6427" s="2" t="s">
        <v>16181</v>
      </c>
      <c r="J6427" s="3" t="str">
        <f>HYPERLINK("https://www.boe.es/gazeta/dias/1812/05/25/pdfs/GMD-1812-146.pdf#page=4","Abrir facsímil")</f>
        <v>Abrir facsímil</v>
      </c>
      <c r="K6427" s="3" t="s">
        <v>23</v>
      </c>
    </row>
    <row r="6428" spans="1:11" ht="42" customHeight="1">
      <c r="A6428" s="2" t="s">
        <v>16182</v>
      </c>
      <c r="B6428" s="2" t="s">
        <v>16182</v>
      </c>
      <c r="C6428" s="2" t="s">
        <v>17</v>
      </c>
      <c r="D6428" s="2" t="s">
        <v>18</v>
      </c>
      <c r="E6428" s="4">
        <v>-31928</v>
      </c>
      <c r="F6428" s="3" t="s">
        <v>3638</v>
      </c>
      <c r="G6428" s="3" t="s">
        <v>13688</v>
      </c>
      <c r="H6428" s="2" t="s">
        <v>21</v>
      </c>
      <c r="I6428" s="2" t="s">
        <v>16183</v>
      </c>
      <c r="J6428" s="3" t="str">
        <f>HYPERLINK("https://www.boe.es/gazeta/dias/1812/07/31/pdfs/GRE-1812-96E.pdf#page=2","Abrir facsímil")</f>
        <v>Abrir facsímil</v>
      </c>
      <c r="K6428" s="3" t="s">
        <v>23</v>
      </c>
    </row>
    <row r="6429" spans="1:11" ht="42" customHeight="1">
      <c r="A6429" s="2" t="s">
        <v>16184</v>
      </c>
      <c r="B6429" s="2" t="s">
        <v>16185</v>
      </c>
      <c r="C6429" s="2" t="s">
        <v>26</v>
      </c>
      <c r="D6429" s="2" t="s">
        <v>27</v>
      </c>
      <c r="E6429" s="4">
        <v>-32055</v>
      </c>
      <c r="F6429" s="3" t="s">
        <v>1271</v>
      </c>
      <c r="G6429" s="3" t="s">
        <v>130</v>
      </c>
      <c r="H6429" s="2" t="s">
        <v>21</v>
      </c>
      <c r="I6429" s="2" t="s">
        <v>16186</v>
      </c>
      <c r="J6429" s="3" t="str">
        <f>HYPERLINK("https://www.boe.es/gazeta/dias/1812/03/26/pdfs/GMD-1812-86.pdf#page=4","Abrir facsímil")</f>
        <v>Abrir facsímil</v>
      </c>
      <c r="K6429" s="3" t="s">
        <v>23</v>
      </c>
    </row>
    <row r="6430" spans="1:11" ht="42" customHeight="1">
      <c r="A6430" s="2" t="s">
        <v>16187</v>
      </c>
      <c r="B6430" s="2" t="s">
        <v>16188</v>
      </c>
      <c r="C6430" s="2" t="s">
        <v>26</v>
      </c>
      <c r="D6430" s="2" t="s">
        <v>27</v>
      </c>
      <c r="E6430" s="4">
        <v>-32034</v>
      </c>
      <c r="F6430" s="3" t="s">
        <v>28</v>
      </c>
      <c r="G6430" s="3" t="s">
        <v>794</v>
      </c>
      <c r="H6430" s="2" t="s">
        <v>21</v>
      </c>
      <c r="I6430" s="2" t="s">
        <v>16189</v>
      </c>
      <c r="J6430" s="3" t="str">
        <f>HYPERLINK("https://www.boe.es/gazeta/dias/1812/04/16/pdfs/GMD-1812-107.pdf#page=7","Abrir facsímil")</f>
        <v>Abrir facsímil</v>
      </c>
      <c r="K6430" s="3" t="s">
        <v>23</v>
      </c>
    </row>
    <row r="6431" spans="1:11" ht="42" customHeight="1">
      <c r="A6431" s="2" t="s">
        <v>16190</v>
      </c>
      <c r="B6431" s="2" t="s">
        <v>16191</v>
      </c>
      <c r="C6431" s="2" t="s">
        <v>17</v>
      </c>
      <c r="D6431" s="2" t="s">
        <v>27</v>
      </c>
      <c r="E6431" s="4">
        <v>-32067</v>
      </c>
      <c r="F6431" s="3" t="s">
        <v>199</v>
      </c>
      <c r="G6431" s="3" t="s">
        <v>237</v>
      </c>
      <c r="H6431" s="2" t="s">
        <v>21</v>
      </c>
      <c r="I6431" s="2" t="s">
        <v>16192</v>
      </c>
      <c r="J6431" s="3" t="str">
        <f>HYPERLINK("https://www.boe.es/gazeta/dias/1812/03/14/pdfs/GRE-1812-33.pdf#page=8","Abrir facsímil")</f>
        <v>Abrir facsímil</v>
      </c>
      <c r="K6431" s="3" t="s">
        <v>23</v>
      </c>
    </row>
    <row r="6432" spans="1:11" ht="42" customHeight="1">
      <c r="A6432" s="2" t="s">
        <v>16193</v>
      </c>
      <c r="B6432" s="2" t="s">
        <v>16194</v>
      </c>
      <c r="C6432" s="2" t="s">
        <v>26</v>
      </c>
      <c r="D6432" s="2" t="s">
        <v>27</v>
      </c>
      <c r="E6432" s="4">
        <v>-31941</v>
      </c>
      <c r="F6432" s="3" t="s">
        <v>2048</v>
      </c>
      <c r="G6432" s="3" t="s">
        <v>2584</v>
      </c>
      <c r="H6432" s="2" t="s">
        <v>21</v>
      </c>
      <c r="I6432" s="2" t="s">
        <v>16195</v>
      </c>
      <c r="J6432" s="3" t="str">
        <f>HYPERLINK("https://www.boe.es/gazeta/dias/1812/07/18/pdfs/GRE-1812-90.pdf#page=1","Abrir facsímil")</f>
        <v>Abrir facsímil</v>
      </c>
      <c r="K6432" s="3" t="s">
        <v>23</v>
      </c>
    </row>
    <row r="6433" spans="1:11" ht="42" customHeight="1">
      <c r="A6433" s="2" t="s">
        <v>16196</v>
      </c>
      <c r="B6433" s="2" t="s">
        <v>16197</v>
      </c>
      <c r="C6433" s="2" t="s">
        <v>26</v>
      </c>
      <c r="D6433" s="2" t="s">
        <v>27</v>
      </c>
      <c r="E6433" s="4">
        <v>-32034</v>
      </c>
      <c r="F6433" s="3" t="s">
        <v>28</v>
      </c>
      <c r="G6433" s="3" t="s">
        <v>29</v>
      </c>
      <c r="H6433" s="2" t="s">
        <v>21</v>
      </c>
      <c r="I6433" s="2" t="s">
        <v>16198</v>
      </c>
      <c r="J6433" s="3" t="str">
        <f>HYPERLINK("https://www.boe.es/gazeta/dias/1812/04/16/pdfs/GMD-1812-107.pdf#page=8","Abrir facsímil")</f>
        <v>Abrir facsímil</v>
      </c>
      <c r="K6433" s="3" t="s">
        <v>23</v>
      </c>
    </row>
    <row r="6434" spans="1:11" ht="42" customHeight="1">
      <c r="A6434" s="2" t="s">
        <v>16199</v>
      </c>
      <c r="B6434" s="2" t="s">
        <v>16200</v>
      </c>
      <c r="C6434" s="2" t="s">
        <v>105</v>
      </c>
      <c r="D6434" s="2" t="s">
        <v>27</v>
      </c>
      <c r="E6434" s="4">
        <v>-31819</v>
      </c>
      <c r="F6434" s="3" t="s">
        <v>1770</v>
      </c>
      <c r="G6434" s="3" t="s">
        <v>45</v>
      </c>
      <c r="H6434" s="2" t="s">
        <v>21</v>
      </c>
      <c r="I6434" s="2" t="s">
        <v>16201</v>
      </c>
      <c r="J6434" s="3" t="str">
        <f>HYPERLINK("https://www.boe.es/gazeta/dias/1812/11/17/pdfs/GRE-1812-153.pdf#page=3","Abrir facsímil")</f>
        <v>Abrir facsímil</v>
      </c>
      <c r="K6434" s="3" t="s">
        <v>23</v>
      </c>
    </row>
    <row r="6435" spans="1:11" ht="42" customHeight="1">
      <c r="A6435" s="2" t="s">
        <v>16202</v>
      </c>
      <c r="B6435" s="2" t="s">
        <v>16203</v>
      </c>
      <c r="C6435" s="2" t="s">
        <v>17</v>
      </c>
      <c r="D6435" s="2" t="s">
        <v>18</v>
      </c>
      <c r="E6435" s="4">
        <v>-32020</v>
      </c>
      <c r="F6435" s="3" t="s">
        <v>1860</v>
      </c>
      <c r="G6435" s="3" t="s">
        <v>10431</v>
      </c>
      <c r="H6435" s="2" t="s">
        <v>21</v>
      </c>
      <c r="I6435" s="2" t="s">
        <v>16204</v>
      </c>
      <c r="J6435" s="3" t="str">
        <f>HYPERLINK("https://www.boe.es/gazeta/dias/1812/04/30/pdfs/GMD-1812-121.pdf#page=1","Abrir facsímil")</f>
        <v>Abrir facsímil</v>
      </c>
      <c r="K6435" s="3" t="s">
        <v>23</v>
      </c>
    </row>
    <row r="6436" spans="1:11" ht="42" customHeight="1">
      <c r="A6436" s="2" t="s">
        <v>16205</v>
      </c>
      <c r="B6436" s="2" t="s">
        <v>16206</v>
      </c>
      <c r="C6436" s="2" t="s">
        <v>26</v>
      </c>
      <c r="D6436" s="2" t="s">
        <v>27</v>
      </c>
      <c r="E6436" s="4">
        <v>-31969</v>
      </c>
      <c r="F6436" s="3" t="s">
        <v>83</v>
      </c>
      <c r="G6436" s="3" t="s">
        <v>84</v>
      </c>
      <c r="H6436" s="2" t="s">
        <v>21</v>
      </c>
      <c r="I6436" s="2" t="s">
        <v>16207</v>
      </c>
      <c r="J6436" s="3" t="str">
        <f>HYPERLINK("https://www.boe.es/gazeta/dias/1812/06/20/pdfs/GRE-1812-76.pdf#page=8","Abrir facsímil")</f>
        <v>Abrir facsímil</v>
      </c>
      <c r="K6436" s="3" t="s">
        <v>23</v>
      </c>
    </row>
    <row r="6437" spans="1:11" ht="42" customHeight="1">
      <c r="A6437" s="2" t="s">
        <v>16208</v>
      </c>
      <c r="B6437" s="2" t="s">
        <v>16209</v>
      </c>
      <c r="C6437" s="2" t="s">
        <v>26</v>
      </c>
      <c r="D6437" s="2" t="s">
        <v>27</v>
      </c>
      <c r="E6437" s="4">
        <v>-32125</v>
      </c>
      <c r="F6437" s="3" t="s">
        <v>335</v>
      </c>
      <c r="G6437" s="3" t="s">
        <v>336</v>
      </c>
      <c r="H6437" s="2" t="s">
        <v>21</v>
      </c>
      <c r="I6437" s="2" t="s">
        <v>16210</v>
      </c>
      <c r="J6437" s="3" t="str">
        <f>HYPERLINK("https://www.boe.es/gazeta/dias/1812/01/16/pdfs/GEI-1812-7.pdf#page=8","Abrir facsímil")</f>
        <v>Abrir facsímil</v>
      </c>
      <c r="K6437" s="3" t="s">
        <v>23</v>
      </c>
    </row>
    <row r="6438" spans="1:11" ht="42" customHeight="1">
      <c r="A6438" s="2" t="s">
        <v>16211</v>
      </c>
      <c r="B6438" s="2" t="s">
        <v>16212</v>
      </c>
      <c r="C6438" s="2" t="s">
        <v>26</v>
      </c>
      <c r="D6438" s="2" t="s">
        <v>27</v>
      </c>
      <c r="E6438" s="4">
        <v>-31990</v>
      </c>
      <c r="F6438" s="3" t="s">
        <v>5078</v>
      </c>
      <c r="G6438" s="3" t="s">
        <v>16213</v>
      </c>
      <c r="H6438" s="2" t="s">
        <v>21</v>
      </c>
      <c r="I6438" s="2" t="s">
        <v>16214</v>
      </c>
      <c r="J6438" s="3" t="str">
        <f>HYPERLINK("https://www.boe.es/gazeta/dias/1812/05/30/pdfs/GRE-1812-67.pdf#page=4","Abrir facsímil")</f>
        <v>Abrir facsímil</v>
      </c>
      <c r="K6438" s="3" t="s">
        <v>23</v>
      </c>
    </row>
    <row r="6439" spans="1:11" ht="42" customHeight="1">
      <c r="A6439" s="2" t="s">
        <v>16215</v>
      </c>
      <c r="B6439" s="2" t="s">
        <v>16216</v>
      </c>
      <c r="C6439" s="2" t="s">
        <v>26</v>
      </c>
      <c r="D6439" s="2" t="s">
        <v>27</v>
      </c>
      <c r="E6439" s="4">
        <v>-31938</v>
      </c>
      <c r="F6439" s="3" t="s">
        <v>370</v>
      </c>
      <c r="G6439" s="3" t="s">
        <v>371</v>
      </c>
      <c r="H6439" s="2" t="s">
        <v>21</v>
      </c>
      <c r="I6439" s="2" t="s">
        <v>16217</v>
      </c>
      <c r="J6439" s="3" t="str">
        <f>HYPERLINK("https://www.boe.es/gazeta/dias/1812/07/21/pdfs/GRE-1812-91.pdf#page=8","Abrir facsímil")</f>
        <v>Abrir facsímil</v>
      </c>
      <c r="K6439" s="3" t="s">
        <v>23</v>
      </c>
    </row>
    <row r="6440" spans="1:11" ht="42" customHeight="1">
      <c r="A6440" s="2" t="s">
        <v>16218</v>
      </c>
      <c r="B6440" s="2" t="s">
        <v>16219</v>
      </c>
      <c r="C6440" s="2" t="s">
        <v>26</v>
      </c>
      <c r="D6440" s="2" t="s">
        <v>27</v>
      </c>
      <c r="E6440" s="4">
        <v>-31957</v>
      </c>
      <c r="F6440" s="3" t="s">
        <v>2173</v>
      </c>
      <c r="G6440" s="3" t="s">
        <v>620</v>
      </c>
      <c r="H6440" s="2" t="s">
        <v>21</v>
      </c>
      <c r="I6440" s="2" t="s">
        <v>16220</v>
      </c>
      <c r="J6440" s="3" t="str">
        <f>HYPERLINK("https://www.boe.es/gazeta/dias/1812/07/02/pdfs/GRE-1812-81.pdf#page=8","Abrir facsímil")</f>
        <v>Abrir facsímil</v>
      </c>
      <c r="K6440" s="3" t="s">
        <v>23</v>
      </c>
    </row>
    <row r="6441" spans="1:11" ht="42" customHeight="1">
      <c r="A6441" s="2" t="s">
        <v>16221</v>
      </c>
      <c r="B6441" s="2" t="s">
        <v>16222</v>
      </c>
      <c r="C6441" s="2" t="s">
        <v>82</v>
      </c>
      <c r="D6441" s="2" t="s">
        <v>27</v>
      </c>
      <c r="E6441" s="4">
        <v>-32118</v>
      </c>
      <c r="F6441" s="3" t="s">
        <v>964</v>
      </c>
      <c r="G6441" s="3" t="s">
        <v>965</v>
      </c>
      <c r="H6441" s="2" t="s">
        <v>21</v>
      </c>
      <c r="I6441" s="2" t="s">
        <v>16223</v>
      </c>
      <c r="J6441" s="3" t="str">
        <f>HYPERLINK("https://www.boe.es/gazeta/dias/1812/01/23/pdfs/GEI-H-1812-10.pdf#page=4","Abrir facsímil")</f>
        <v>Abrir facsímil</v>
      </c>
      <c r="K6441" s="3" t="s">
        <v>23</v>
      </c>
    </row>
    <row r="6442" spans="1:11" ht="42" customHeight="1">
      <c r="A6442" s="2" t="s">
        <v>16224</v>
      </c>
      <c r="B6442" s="2" t="s">
        <v>16225</v>
      </c>
      <c r="C6442" s="2" t="s">
        <v>26</v>
      </c>
      <c r="D6442" s="2" t="s">
        <v>27</v>
      </c>
      <c r="E6442" s="4">
        <v>-32053</v>
      </c>
      <c r="F6442" s="3" t="s">
        <v>2877</v>
      </c>
      <c r="G6442" s="3" t="s">
        <v>965</v>
      </c>
      <c r="H6442" s="2" t="s">
        <v>21</v>
      </c>
      <c r="I6442" s="2" t="s">
        <v>16226</v>
      </c>
      <c r="J6442" s="3" t="str">
        <f>HYPERLINK("https://www.boe.es/gazeta/dias/1812/03/28/pdfs/GMD-1812-88.pdf#page=4","Abrir facsímil")</f>
        <v>Abrir facsímil</v>
      </c>
      <c r="K6442" s="3" t="s">
        <v>23</v>
      </c>
    </row>
    <row r="6443" spans="1:11" ht="42" customHeight="1">
      <c r="A6443" s="2" t="s">
        <v>16227</v>
      </c>
      <c r="B6443" s="2" t="s">
        <v>16227</v>
      </c>
      <c r="C6443" s="2" t="s">
        <v>17</v>
      </c>
      <c r="D6443" s="2" t="s">
        <v>27</v>
      </c>
      <c r="E6443" s="4">
        <v>-32006</v>
      </c>
      <c r="F6443" s="3" t="s">
        <v>190</v>
      </c>
      <c r="G6443" s="3" t="s">
        <v>191</v>
      </c>
      <c r="H6443" s="2" t="s">
        <v>21</v>
      </c>
      <c r="I6443" s="2" t="s">
        <v>16228</v>
      </c>
      <c r="J6443" s="3" t="str">
        <f>HYPERLINK("https://www.boe.es/gazeta/dias/1812/05/14/pdfs/GRE-1812-60.pdf#page=4","Abrir facsímil")</f>
        <v>Abrir facsímil</v>
      </c>
      <c r="K6443" s="3" t="s">
        <v>23</v>
      </c>
    </row>
    <row r="6444" spans="1:11" ht="42" customHeight="1">
      <c r="A6444" s="2" t="s">
        <v>16227</v>
      </c>
      <c r="B6444" s="2" t="s">
        <v>16227</v>
      </c>
      <c r="C6444" s="2" t="s">
        <v>17</v>
      </c>
      <c r="D6444" s="2" t="s">
        <v>194</v>
      </c>
      <c r="E6444" s="4">
        <v>-31977</v>
      </c>
      <c r="F6444" s="3" t="s">
        <v>1566</v>
      </c>
      <c r="G6444" s="3" t="s">
        <v>58</v>
      </c>
      <c r="H6444" s="2" t="s">
        <v>21</v>
      </c>
      <c r="I6444" s="2" t="s">
        <v>16229</v>
      </c>
      <c r="J6444" s="3" t="str">
        <f>HYPERLINK("https://www.boe.es/gazeta/dias/1812/06/12/pdfs/GMD-1812-164.pdf#page=3","Abrir facsímil")</f>
        <v>Abrir facsímil</v>
      </c>
      <c r="K6444" s="3" t="s">
        <v>23</v>
      </c>
    </row>
    <row r="6445" spans="1:11" ht="42" customHeight="1">
      <c r="A6445" s="2" t="s">
        <v>16227</v>
      </c>
      <c r="B6445" s="2" t="s">
        <v>16227</v>
      </c>
      <c r="C6445" s="2" t="s">
        <v>17</v>
      </c>
      <c r="D6445" s="2" t="s">
        <v>27</v>
      </c>
      <c r="E6445" s="4">
        <v>-31948</v>
      </c>
      <c r="F6445" s="3" t="s">
        <v>431</v>
      </c>
      <c r="G6445" s="3" t="s">
        <v>688</v>
      </c>
      <c r="H6445" s="2" t="s">
        <v>21</v>
      </c>
      <c r="I6445" s="2" t="s">
        <v>16230</v>
      </c>
      <c r="J6445" s="3" t="str">
        <f>HYPERLINK("https://www.boe.es/gazeta/dias/1812/07/11/pdfs/GRE-1812-86.pdf#page=7","Abrir facsímil")</f>
        <v>Abrir facsímil</v>
      </c>
      <c r="K6445" s="3" t="s">
        <v>23</v>
      </c>
    </row>
    <row r="6446" spans="1:11" ht="42" customHeight="1">
      <c r="A6446" s="2" t="s">
        <v>16231</v>
      </c>
      <c r="B6446" s="2" t="s">
        <v>16232</v>
      </c>
      <c r="C6446" s="2" t="s">
        <v>17</v>
      </c>
      <c r="D6446" s="2" t="s">
        <v>18</v>
      </c>
      <c r="E6446" s="4">
        <v>-32072</v>
      </c>
      <c r="F6446" s="3" t="s">
        <v>8696</v>
      </c>
      <c r="G6446" s="3" t="s">
        <v>336</v>
      </c>
      <c r="H6446" s="2" t="s">
        <v>21</v>
      </c>
      <c r="I6446" s="2" t="s">
        <v>16233</v>
      </c>
      <c r="J6446" s="3" t="str">
        <f>HYPERLINK("https://www.boe.es/gazeta/dias/1812/03/09/pdfs/GMD-1812-69.pdf#page=4","Abrir facsímil")</f>
        <v>Abrir facsímil</v>
      </c>
      <c r="K6446" s="3" t="s">
        <v>23</v>
      </c>
    </row>
    <row r="6447" spans="1:11" ht="42" customHeight="1">
      <c r="A6447" s="2" t="s">
        <v>16234</v>
      </c>
      <c r="B6447" s="2" t="s">
        <v>16235</v>
      </c>
      <c r="C6447" s="2" t="s">
        <v>26</v>
      </c>
      <c r="D6447" s="2" t="s">
        <v>27</v>
      </c>
      <c r="E6447" s="4">
        <v>-32002</v>
      </c>
      <c r="F6447" s="3" t="s">
        <v>619</v>
      </c>
      <c r="G6447" s="3" t="s">
        <v>620</v>
      </c>
      <c r="H6447" s="2" t="s">
        <v>21</v>
      </c>
      <c r="I6447" s="2" t="s">
        <v>16236</v>
      </c>
      <c r="J6447" s="3" t="str">
        <f>HYPERLINK("https://www.boe.es/gazeta/dias/1812/05/18/pdfs/GMD-1812-139.pdf#page=2","Abrir facsímil")</f>
        <v>Abrir facsímil</v>
      </c>
      <c r="K6447" s="3" t="s">
        <v>23</v>
      </c>
    </row>
    <row r="6448" spans="1:11" ht="42" customHeight="1">
      <c r="A6448" s="2" t="s">
        <v>16234</v>
      </c>
      <c r="B6448" s="2" t="s">
        <v>16235</v>
      </c>
      <c r="C6448" s="2" t="s">
        <v>26</v>
      </c>
      <c r="D6448" s="2" t="s">
        <v>27</v>
      </c>
      <c r="E6448" s="4">
        <v>-31963</v>
      </c>
      <c r="F6448" s="3" t="s">
        <v>171</v>
      </c>
      <c r="G6448" s="3" t="s">
        <v>172</v>
      </c>
      <c r="H6448" s="2" t="s">
        <v>21</v>
      </c>
      <c r="I6448" s="2" t="s">
        <v>16237</v>
      </c>
      <c r="J6448" s="3" t="str">
        <f>HYPERLINK("https://www.boe.es/gazeta/dias/1812/06/26/pdfs/GMD-1812-178.pdf#page=3","Abrir facsímil")</f>
        <v>Abrir facsímil</v>
      </c>
      <c r="K6448" s="3" t="s">
        <v>23</v>
      </c>
    </row>
    <row r="6449" spans="1:11" ht="42" customHeight="1">
      <c r="A6449" s="2" t="s">
        <v>16238</v>
      </c>
      <c r="B6449" s="2" t="s">
        <v>16239</v>
      </c>
      <c r="C6449" s="2" t="s">
        <v>26</v>
      </c>
      <c r="D6449" s="2" t="s">
        <v>27</v>
      </c>
      <c r="E6449" s="4">
        <v>-32095</v>
      </c>
      <c r="F6449" s="3" t="s">
        <v>1099</v>
      </c>
      <c r="G6449" s="3" t="s">
        <v>438</v>
      </c>
      <c r="H6449" s="2" t="s">
        <v>21</v>
      </c>
      <c r="I6449" s="2" t="s">
        <v>16240</v>
      </c>
      <c r="J6449" s="3" t="str">
        <f>HYPERLINK("https://www.boe.es/gazeta/dias/1812/02/15/pdfs/GMD-1812-46.pdf#page=4","Abrir facsímil")</f>
        <v>Abrir facsímil</v>
      </c>
      <c r="K6449" s="3" t="s">
        <v>23</v>
      </c>
    </row>
    <row r="6450" spans="1:11" ht="42" customHeight="1">
      <c r="A6450" s="2" t="s">
        <v>16241</v>
      </c>
      <c r="B6450" s="2" t="s">
        <v>16242</v>
      </c>
      <c r="C6450" s="2" t="s">
        <v>26</v>
      </c>
      <c r="D6450" s="2" t="s">
        <v>27</v>
      </c>
      <c r="E6450" s="4">
        <v>-31964</v>
      </c>
      <c r="F6450" s="3" t="s">
        <v>305</v>
      </c>
      <c r="G6450" s="3" t="s">
        <v>306</v>
      </c>
      <c r="H6450" s="2" t="s">
        <v>21</v>
      </c>
      <c r="I6450" s="2" t="s">
        <v>16243</v>
      </c>
      <c r="J6450" s="3" t="str">
        <f>HYPERLINK("https://www.boe.es/gazeta/dias/1812/06/25/pdfs/GMD-1812-177.pdf#page=3","Abrir facsímil")</f>
        <v>Abrir facsímil</v>
      </c>
      <c r="K6450" s="3" t="s">
        <v>23</v>
      </c>
    </row>
    <row r="6451" spans="1:11" ht="42" customHeight="1">
      <c r="A6451" s="2" t="s">
        <v>16244</v>
      </c>
      <c r="B6451" s="2" t="s">
        <v>16245</v>
      </c>
      <c r="C6451" s="2" t="s">
        <v>105</v>
      </c>
      <c r="D6451" s="2" t="s">
        <v>27</v>
      </c>
      <c r="E6451" s="4">
        <v>-31833</v>
      </c>
      <c r="F6451" s="3" t="s">
        <v>267</v>
      </c>
      <c r="G6451" s="3" t="s">
        <v>268</v>
      </c>
      <c r="H6451" s="2" t="s">
        <v>21</v>
      </c>
      <c r="I6451" s="2" t="s">
        <v>16246</v>
      </c>
      <c r="J6451" s="3" t="str">
        <f>HYPERLINK("https://www.boe.es/gazeta/dias/1812/11/03/pdfs/GRE-1812-147.pdf#page=8","Abrir facsímil")</f>
        <v>Abrir facsímil</v>
      </c>
      <c r="K6451" s="3" t="s">
        <v>23</v>
      </c>
    </row>
    <row r="6452" spans="1:11" ht="42" customHeight="1">
      <c r="A6452" s="2" t="s">
        <v>16244</v>
      </c>
      <c r="B6452" s="2" t="s">
        <v>16245</v>
      </c>
      <c r="C6452" s="2" t="s">
        <v>105</v>
      </c>
      <c r="D6452" s="2" t="s">
        <v>27</v>
      </c>
      <c r="E6452" s="4">
        <v>-31816</v>
      </c>
      <c r="F6452" s="3" t="s">
        <v>270</v>
      </c>
      <c r="G6452" s="3" t="s">
        <v>271</v>
      </c>
      <c r="H6452" s="2" t="s">
        <v>21</v>
      </c>
      <c r="I6452" s="2" t="s">
        <v>16247</v>
      </c>
      <c r="J6452" s="3" t="str">
        <f>HYPERLINK("https://www.boe.es/gazeta/dias/1812/11/20/pdfs/GMR-1812-36.pdf#page=6","Abrir facsímil")</f>
        <v>Abrir facsímil</v>
      </c>
      <c r="K6452" s="3" t="s">
        <v>23</v>
      </c>
    </row>
    <row r="6453" spans="1:11" ht="42" customHeight="1">
      <c r="A6453" s="2" t="s">
        <v>16248</v>
      </c>
      <c r="B6453" s="2" t="s">
        <v>16249</v>
      </c>
      <c r="C6453" s="2" t="s">
        <v>49</v>
      </c>
      <c r="D6453" s="2" t="s">
        <v>27</v>
      </c>
      <c r="E6453" s="4">
        <v>-32075</v>
      </c>
      <c r="F6453" s="3" t="s">
        <v>301</v>
      </c>
      <c r="G6453" s="3" t="s">
        <v>20</v>
      </c>
      <c r="H6453" s="2" t="s">
        <v>21</v>
      </c>
      <c r="I6453" s="2" t="s">
        <v>16250</v>
      </c>
      <c r="J6453" s="3" t="str">
        <f>HYPERLINK("https://www.boe.es/gazeta/dias/1812/03/06/pdfs/GMD-1812-66.pdf#page=4","Abrir facsímil")</f>
        <v>Abrir facsímil</v>
      </c>
      <c r="K6453" s="3" t="s">
        <v>23</v>
      </c>
    </row>
    <row r="6454" spans="1:11" ht="42" customHeight="1">
      <c r="A6454" s="2" t="s">
        <v>16251</v>
      </c>
      <c r="B6454" s="2" t="s">
        <v>16251</v>
      </c>
      <c r="C6454" s="2" t="s">
        <v>26</v>
      </c>
      <c r="D6454" s="2" t="s">
        <v>27</v>
      </c>
      <c r="E6454" s="4">
        <v>-31956</v>
      </c>
      <c r="F6454" s="3" t="s">
        <v>19</v>
      </c>
      <c r="G6454" s="3" t="s">
        <v>36</v>
      </c>
      <c r="H6454" s="2" t="s">
        <v>21</v>
      </c>
      <c r="I6454" s="2" t="s">
        <v>16252</v>
      </c>
      <c r="J6454" s="3" t="str">
        <f>HYPERLINK("https://www.boe.es/gazeta/dias/1812/07/03/pdfs/GMD-1812-185.pdf#page=3","Abrir facsímil")</f>
        <v>Abrir facsímil</v>
      </c>
      <c r="K6454" s="3" t="s">
        <v>23</v>
      </c>
    </row>
    <row r="6455" spans="1:11" ht="42" customHeight="1">
      <c r="A6455" s="2" t="s">
        <v>16253</v>
      </c>
      <c r="B6455" s="2" t="s">
        <v>16254</v>
      </c>
      <c r="C6455" s="2" t="s">
        <v>105</v>
      </c>
      <c r="D6455" s="2" t="s">
        <v>27</v>
      </c>
      <c r="E6455" s="4">
        <v>-32100</v>
      </c>
      <c r="F6455" s="3" t="s">
        <v>492</v>
      </c>
      <c r="G6455" s="3" t="s">
        <v>493</v>
      </c>
      <c r="H6455" s="2" t="s">
        <v>21</v>
      </c>
      <c r="I6455" s="2" t="s">
        <v>16255</v>
      </c>
      <c r="J6455" s="3" t="str">
        <f>HYPERLINK("https://www.boe.es/gazeta/dias/1812/02/10/pdfs/GRE-1812-31.pdf#page=8","Abrir facsímil")</f>
        <v>Abrir facsímil</v>
      </c>
      <c r="K6455" s="3" t="s">
        <v>23</v>
      </c>
    </row>
    <row r="6456" spans="1:11" ht="42" customHeight="1">
      <c r="A6456" s="2" t="s">
        <v>16253</v>
      </c>
      <c r="B6456" s="2" t="s">
        <v>16254</v>
      </c>
      <c r="C6456" s="2" t="s">
        <v>105</v>
      </c>
      <c r="D6456" s="2" t="s">
        <v>27</v>
      </c>
      <c r="E6456" s="4">
        <v>-32071</v>
      </c>
      <c r="F6456" s="3" t="s">
        <v>492</v>
      </c>
      <c r="G6456" s="3" t="s">
        <v>493</v>
      </c>
      <c r="H6456" s="2" t="s">
        <v>21</v>
      </c>
      <c r="I6456" s="2" t="s">
        <v>16255</v>
      </c>
      <c r="J6456" s="3" t="str">
        <f>HYPERLINK("https://www.boe.es/gazeta/dias/1812/03/10/pdfs/GRE-1812-31.pdf#page=8","Abrir facsímil")</f>
        <v>Abrir facsímil</v>
      </c>
      <c r="K6456" s="3" t="s">
        <v>23</v>
      </c>
    </row>
    <row r="6457" spans="1:11" ht="42" customHeight="1">
      <c r="A6457" s="2" t="s">
        <v>16256</v>
      </c>
      <c r="B6457" s="2" t="s">
        <v>16256</v>
      </c>
      <c r="C6457" s="2" t="s">
        <v>26</v>
      </c>
      <c r="D6457" s="2" t="s">
        <v>27</v>
      </c>
      <c r="E6457" s="4">
        <v>-31973</v>
      </c>
      <c r="F6457" s="3" t="s">
        <v>1735</v>
      </c>
      <c r="G6457" s="3" t="s">
        <v>8888</v>
      </c>
      <c r="H6457" s="2" t="s">
        <v>21</v>
      </c>
      <c r="I6457" s="2" t="s">
        <v>16257</v>
      </c>
      <c r="J6457" s="3" t="str">
        <f>HYPERLINK("https://www.boe.es/gazeta/dias/1812/06/16/pdfs/GRE-1812-74.pdf#page=7","Abrir facsímil")</f>
        <v>Abrir facsímil</v>
      </c>
      <c r="K6457" s="3" t="s">
        <v>23</v>
      </c>
    </row>
    <row r="6458" spans="1:11" ht="42" customHeight="1">
      <c r="A6458" s="2" t="s">
        <v>16258</v>
      </c>
      <c r="B6458" s="2" t="s">
        <v>16258</v>
      </c>
      <c r="C6458" s="2" t="s">
        <v>26</v>
      </c>
      <c r="D6458" s="2" t="s">
        <v>27</v>
      </c>
      <c r="E6458" s="4">
        <v>-32030</v>
      </c>
      <c r="F6458" s="3" t="s">
        <v>2226</v>
      </c>
      <c r="G6458" s="3" t="s">
        <v>20</v>
      </c>
      <c r="H6458" s="2" t="s">
        <v>21</v>
      </c>
      <c r="I6458" s="2" t="s">
        <v>16259</v>
      </c>
      <c r="J6458" s="3" t="str">
        <f>HYPERLINK("https://www.boe.es/gazeta/dias/1812/04/20/pdfs/GMD-1812-111.pdf#page=4","Abrir facsímil")</f>
        <v>Abrir facsímil</v>
      </c>
      <c r="K6458" s="3" t="s">
        <v>23</v>
      </c>
    </row>
    <row r="6459" spans="1:11" ht="42" customHeight="1">
      <c r="A6459" s="2" t="s">
        <v>16260</v>
      </c>
      <c r="B6459" s="2" t="s">
        <v>16260</v>
      </c>
      <c r="C6459" s="2" t="s">
        <v>26</v>
      </c>
      <c r="D6459" s="2" t="s">
        <v>27</v>
      </c>
      <c r="E6459" s="4">
        <v>-32044</v>
      </c>
      <c r="F6459" s="3" t="s">
        <v>1031</v>
      </c>
      <c r="G6459" s="3" t="s">
        <v>20</v>
      </c>
      <c r="H6459" s="2" t="s">
        <v>21</v>
      </c>
      <c r="I6459" s="2" t="s">
        <v>16261</v>
      </c>
      <c r="J6459" s="3" t="str">
        <f>HYPERLINK("https://www.boe.es/gazeta/dias/1812/04/06/pdfs/GMD-1812-97.pdf#page=3","Abrir facsímil")</f>
        <v>Abrir facsímil</v>
      </c>
      <c r="K6459" s="3" t="s">
        <v>23</v>
      </c>
    </row>
    <row r="6460" spans="1:11" ht="42" customHeight="1">
      <c r="A6460" s="2" t="s">
        <v>16262</v>
      </c>
      <c r="B6460" s="2" t="s">
        <v>16262</v>
      </c>
      <c r="C6460" s="2" t="s">
        <v>17</v>
      </c>
      <c r="D6460" s="2" t="s">
        <v>134</v>
      </c>
      <c r="E6460" s="4">
        <v>-31955</v>
      </c>
      <c r="F6460" s="3" t="s">
        <v>135</v>
      </c>
      <c r="G6460" s="3" t="s">
        <v>214</v>
      </c>
      <c r="H6460" s="2" t="s">
        <v>21</v>
      </c>
      <c r="I6460" s="2" t="s">
        <v>16263</v>
      </c>
      <c r="J6460" s="3" t="str">
        <f>HYPERLINK("https://www.boe.es/gazeta/dias/1812/07/04/pdfs/GRE-F-1812-82.pdf#page=5","Abrir facsímil")</f>
        <v>Abrir facsímil</v>
      </c>
      <c r="K6460" s="3" t="s">
        <v>23</v>
      </c>
    </row>
    <row r="6461" spans="1:11" ht="42" customHeight="1">
      <c r="A6461" s="2" t="s">
        <v>16264</v>
      </c>
      <c r="B6461" s="2" t="s">
        <v>16265</v>
      </c>
      <c r="C6461" s="2" t="s">
        <v>26</v>
      </c>
      <c r="D6461" s="2" t="s">
        <v>27</v>
      </c>
      <c r="E6461" s="4">
        <v>-32034</v>
      </c>
      <c r="F6461" s="3" t="s">
        <v>28</v>
      </c>
      <c r="G6461" s="3" t="s">
        <v>45</v>
      </c>
      <c r="H6461" s="2" t="s">
        <v>21</v>
      </c>
      <c r="I6461" s="2" t="s">
        <v>16266</v>
      </c>
      <c r="J6461" s="3" t="str">
        <f>HYPERLINK("https://www.boe.es/gazeta/dias/1812/04/16/pdfs/GMD-1812-107.pdf#page=5","Abrir facsímil")</f>
        <v>Abrir facsímil</v>
      </c>
      <c r="K6461" s="3" t="s">
        <v>23</v>
      </c>
    </row>
    <row r="6462" spans="1:11" ht="42" customHeight="1">
      <c r="A6462" s="2" t="s">
        <v>16267</v>
      </c>
      <c r="B6462" s="2" t="s">
        <v>16268</v>
      </c>
      <c r="C6462" s="2" t="s">
        <v>26</v>
      </c>
      <c r="D6462" s="2" t="s">
        <v>27</v>
      </c>
      <c r="E6462" s="4">
        <v>-31826</v>
      </c>
      <c r="F6462" s="3" t="s">
        <v>7488</v>
      </c>
      <c r="G6462" s="3" t="s">
        <v>16269</v>
      </c>
      <c r="H6462" s="2" t="s">
        <v>21</v>
      </c>
      <c r="I6462" s="2" t="s">
        <v>16270</v>
      </c>
      <c r="J6462" s="3" t="str">
        <f>HYPERLINK("https://www.boe.es/gazeta/dias/1812/11/10/pdfs/GRE-1812-150.pdf#page=3","Abrir facsímil")</f>
        <v>Abrir facsímil</v>
      </c>
      <c r="K6462" s="3" t="s">
        <v>23</v>
      </c>
    </row>
    <row r="6463" spans="1:11" ht="42" customHeight="1">
      <c r="A6463" s="2" t="s">
        <v>16271</v>
      </c>
      <c r="B6463" s="2" t="s">
        <v>16272</v>
      </c>
      <c r="C6463" s="2" t="s">
        <v>26</v>
      </c>
      <c r="D6463" s="2" t="s">
        <v>27</v>
      </c>
      <c r="E6463" s="4">
        <v>-32100</v>
      </c>
      <c r="F6463" s="3" t="s">
        <v>492</v>
      </c>
      <c r="G6463" s="3" t="s">
        <v>493</v>
      </c>
      <c r="H6463" s="2" t="s">
        <v>21</v>
      </c>
      <c r="I6463" s="2" t="s">
        <v>16273</v>
      </c>
      <c r="J6463" s="3" t="str">
        <f>HYPERLINK("https://www.boe.es/gazeta/dias/1812/02/10/pdfs/GRE-1812-31.pdf#page=8","Abrir facsímil")</f>
        <v>Abrir facsímil</v>
      </c>
      <c r="K6463" s="3" t="s">
        <v>23</v>
      </c>
    </row>
    <row r="6464" spans="1:11" ht="42" customHeight="1">
      <c r="A6464" s="2" t="s">
        <v>16271</v>
      </c>
      <c r="B6464" s="2" t="s">
        <v>16272</v>
      </c>
      <c r="C6464" s="2" t="s">
        <v>26</v>
      </c>
      <c r="D6464" s="2" t="s">
        <v>27</v>
      </c>
      <c r="E6464" s="4">
        <v>-32071</v>
      </c>
      <c r="F6464" s="3" t="s">
        <v>492</v>
      </c>
      <c r="G6464" s="3" t="s">
        <v>493</v>
      </c>
      <c r="H6464" s="2" t="s">
        <v>21</v>
      </c>
      <c r="I6464" s="2" t="s">
        <v>16273</v>
      </c>
      <c r="J6464" s="3" t="str">
        <f>HYPERLINK("https://www.boe.es/gazeta/dias/1812/03/10/pdfs/GRE-1812-31.pdf#page=8","Abrir facsímil")</f>
        <v>Abrir facsímil</v>
      </c>
      <c r="K6464" s="3" t="s">
        <v>23</v>
      </c>
    </row>
    <row r="6465" spans="1:11" ht="42" customHeight="1">
      <c r="A6465" s="2" t="s">
        <v>16274</v>
      </c>
      <c r="B6465" s="2" t="s">
        <v>16275</v>
      </c>
      <c r="C6465" s="2" t="s">
        <v>17</v>
      </c>
      <c r="D6465" s="2" t="s">
        <v>134</v>
      </c>
      <c r="E6465" s="4">
        <v>-31955</v>
      </c>
      <c r="F6465" s="3" t="s">
        <v>135</v>
      </c>
      <c r="G6465" s="3" t="s">
        <v>136</v>
      </c>
      <c r="H6465" s="2" t="s">
        <v>21</v>
      </c>
      <c r="I6465" s="2" t="s">
        <v>16276</v>
      </c>
      <c r="J6465" s="3" t="str">
        <f>HYPERLINK("https://www.boe.es/gazeta/dias/1812/07/04/pdfs/GRE-F-1812-82.pdf#page=8","Abrir facsímil")</f>
        <v>Abrir facsímil</v>
      </c>
      <c r="K6465" s="3" t="s">
        <v>23</v>
      </c>
    </row>
    <row r="6466" spans="1:11" ht="42" customHeight="1">
      <c r="A6466" s="2" t="s">
        <v>16277</v>
      </c>
      <c r="B6466" s="2" t="s">
        <v>16277</v>
      </c>
      <c r="C6466" s="2" t="s">
        <v>26</v>
      </c>
      <c r="D6466" s="2" t="s">
        <v>27</v>
      </c>
      <c r="E6466" s="4">
        <v>-32082</v>
      </c>
      <c r="F6466" s="3" t="s">
        <v>16278</v>
      </c>
      <c r="G6466" s="3" t="s">
        <v>117</v>
      </c>
      <c r="H6466" s="2" t="s">
        <v>21</v>
      </c>
      <c r="I6466" s="2" t="s">
        <v>16279</v>
      </c>
      <c r="J6466" s="3" t="str">
        <f>HYPERLINK("https://www.boe.es/gazeta/dias/1812/02/28/pdfs/GMD-1812-59.pdf#page=2","Abrir facsímil")</f>
        <v>Abrir facsímil</v>
      </c>
      <c r="K6466" s="3" t="s">
        <v>23</v>
      </c>
    </row>
    <row r="6467" spans="1:11" ht="42" customHeight="1">
      <c r="A6467" s="2" t="s">
        <v>16280</v>
      </c>
      <c r="B6467" s="2" t="s">
        <v>16280</v>
      </c>
      <c r="C6467" s="2" t="s">
        <v>17</v>
      </c>
      <c r="D6467" s="2" t="s">
        <v>194</v>
      </c>
      <c r="E6467" s="4">
        <v>-32060</v>
      </c>
      <c r="F6467" s="3" t="s">
        <v>1403</v>
      </c>
      <c r="G6467" s="3" t="s">
        <v>336</v>
      </c>
      <c r="H6467" s="2" t="s">
        <v>21</v>
      </c>
      <c r="I6467" s="2" t="s">
        <v>16281</v>
      </c>
      <c r="J6467" s="3" t="str">
        <f>HYPERLINK("https://www.boe.es/gazeta/dias/1812/03/21/pdfs/GRE-1812-36.pdf#page=3","Abrir facsímil")</f>
        <v>Abrir facsímil</v>
      </c>
      <c r="K6467" s="3" t="s">
        <v>23</v>
      </c>
    </row>
    <row r="6468" spans="1:11" ht="42" customHeight="1">
      <c r="A6468" s="2" t="s">
        <v>16282</v>
      </c>
      <c r="B6468" s="2" t="s">
        <v>16283</v>
      </c>
      <c r="C6468" s="2" t="s">
        <v>26</v>
      </c>
      <c r="D6468" s="2" t="s">
        <v>27</v>
      </c>
      <c r="E6468" s="4">
        <v>-31936</v>
      </c>
      <c r="F6468" s="3" t="s">
        <v>603</v>
      </c>
      <c r="G6468" s="3" t="s">
        <v>36</v>
      </c>
      <c r="H6468" s="2" t="s">
        <v>21</v>
      </c>
      <c r="I6468" s="2" t="s">
        <v>16284</v>
      </c>
      <c r="J6468" s="3" t="str">
        <f>HYPERLINK("https://www.boe.es/gazeta/dias/1812/07/23/pdfs/GMD-1812-205.pdf#page=3","Abrir facsímil")</f>
        <v>Abrir facsímil</v>
      </c>
      <c r="K6468" s="3" t="s">
        <v>23</v>
      </c>
    </row>
    <row r="6469" spans="1:11" ht="42" customHeight="1">
      <c r="A6469" s="2" t="s">
        <v>16282</v>
      </c>
      <c r="B6469" s="2" t="s">
        <v>16283</v>
      </c>
      <c r="C6469" s="2" t="s">
        <v>17</v>
      </c>
      <c r="D6469" s="2" t="s">
        <v>27</v>
      </c>
      <c r="E6469" s="4">
        <v>-31922</v>
      </c>
      <c r="F6469" s="3" t="s">
        <v>622</v>
      </c>
      <c r="G6469" s="3" t="s">
        <v>404</v>
      </c>
      <c r="H6469" s="2" t="s">
        <v>21</v>
      </c>
      <c r="I6469" s="2" t="s">
        <v>16285</v>
      </c>
      <c r="J6469" s="3" t="str">
        <f>HYPERLINK("https://www.boe.es/gazeta/dias/1812/08/06/pdfs/GMD-1812-219.pdf#page=2","Abrir facsímil")</f>
        <v>Abrir facsímil</v>
      </c>
      <c r="K6469" s="3" t="s">
        <v>23</v>
      </c>
    </row>
    <row r="6470" spans="1:11" ht="42" customHeight="1">
      <c r="A6470" s="2" t="s">
        <v>16286</v>
      </c>
      <c r="B6470" s="2" t="s">
        <v>16287</v>
      </c>
      <c r="C6470" s="2" t="s">
        <v>105</v>
      </c>
      <c r="D6470" s="2" t="s">
        <v>27</v>
      </c>
      <c r="E6470" s="4">
        <v>-31922</v>
      </c>
      <c r="F6470" s="3" t="s">
        <v>622</v>
      </c>
      <c r="G6470" s="3" t="s">
        <v>404</v>
      </c>
      <c r="H6470" s="2" t="s">
        <v>21</v>
      </c>
      <c r="I6470" s="2" t="s">
        <v>16288</v>
      </c>
      <c r="J6470" s="3" t="str">
        <f>HYPERLINK("https://www.boe.es/gazeta/dias/1812/08/06/pdfs/GMD-1812-219.pdf#page=2","Abrir facsímil")</f>
        <v>Abrir facsímil</v>
      </c>
      <c r="K6470" s="3" t="s">
        <v>23</v>
      </c>
    </row>
    <row r="6471" spans="1:11" ht="42" customHeight="1">
      <c r="A6471" s="2" t="s">
        <v>16289</v>
      </c>
      <c r="B6471" s="2" t="s">
        <v>16290</v>
      </c>
      <c r="C6471" s="2" t="s">
        <v>26</v>
      </c>
      <c r="D6471" s="2" t="s">
        <v>27</v>
      </c>
      <c r="E6471" s="4">
        <v>-31929</v>
      </c>
      <c r="F6471" s="3" t="s">
        <v>1148</v>
      </c>
      <c r="G6471" s="3" t="s">
        <v>1301</v>
      </c>
      <c r="H6471" s="2" t="s">
        <v>21</v>
      </c>
      <c r="I6471" s="2" t="s">
        <v>16291</v>
      </c>
      <c r="J6471" s="3" t="str">
        <f>HYPERLINK("https://www.boe.es/gazeta/dias/1812/07/30/pdfs/GRE-1812-95.pdf#page=8","Abrir facsímil")</f>
        <v>Abrir facsímil</v>
      </c>
      <c r="K6471" s="3" t="s">
        <v>23</v>
      </c>
    </row>
    <row r="6472" spans="1:11" ht="42" customHeight="1">
      <c r="A6472" s="2" t="s">
        <v>16292</v>
      </c>
      <c r="B6472" s="2" t="s">
        <v>16293</v>
      </c>
      <c r="C6472" s="2" t="s">
        <v>26</v>
      </c>
      <c r="D6472" s="2" t="s">
        <v>27</v>
      </c>
      <c r="E6472" s="4">
        <v>-32006</v>
      </c>
      <c r="F6472" s="3" t="s">
        <v>190</v>
      </c>
      <c r="G6472" s="3" t="s">
        <v>6353</v>
      </c>
      <c r="H6472" s="2" t="s">
        <v>21</v>
      </c>
      <c r="I6472" s="2" t="s">
        <v>16294</v>
      </c>
      <c r="J6472" s="3" t="str">
        <f>HYPERLINK("https://www.boe.es/gazeta/dias/1812/05/14/pdfs/GRE-1812-60.pdf#page=5","Abrir facsímil")</f>
        <v>Abrir facsímil</v>
      </c>
      <c r="K6472" s="3" t="s">
        <v>23</v>
      </c>
    </row>
    <row r="6473" spans="1:11" ht="42" customHeight="1">
      <c r="A6473" s="2" t="s">
        <v>16295</v>
      </c>
      <c r="B6473" s="2" t="s">
        <v>16296</v>
      </c>
      <c r="C6473" s="2" t="s">
        <v>26</v>
      </c>
      <c r="D6473" s="2" t="s">
        <v>27</v>
      </c>
      <c r="E6473" s="4">
        <v>-32125</v>
      </c>
      <c r="F6473" s="3" t="s">
        <v>335</v>
      </c>
      <c r="G6473" s="3" t="s">
        <v>336</v>
      </c>
      <c r="H6473" s="2" t="s">
        <v>21</v>
      </c>
      <c r="I6473" s="2" t="s">
        <v>16297</v>
      </c>
      <c r="J6473" s="3" t="str">
        <f>HYPERLINK("https://www.boe.es/gazeta/dias/1812/01/16/pdfs/GEI-1812-7.pdf#page=8","Abrir facsímil")</f>
        <v>Abrir facsímil</v>
      </c>
      <c r="K6473" s="3" t="s">
        <v>23</v>
      </c>
    </row>
    <row r="6474" spans="1:11" ht="42" customHeight="1">
      <c r="A6474" s="2" t="s">
        <v>16298</v>
      </c>
      <c r="B6474" s="2" t="s">
        <v>16299</v>
      </c>
      <c r="C6474" s="2" t="s">
        <v>115</v>
      </c>
      <c r="D6474" s="2" t="s">
        <v>27</v>
      </c>
      <c r="E6474" s="4">
        <v>-31957</v>
      </c>
      <c r="F6474" s="3" t="s">
        <v>598</v>
      </c>
      <c r="G6474" s="3" t="s">
        <v>599</v>
      </c>
      <c r="H6474" s="2" t="s">
        <v>21</v>
      </c>
      <c r="I6474" s="2" t="s">
        <v>16300</v>
      </c>
      <c r="J6474" s="3" t="str">
        <f>HYPERLINK("https://www.boe.es/gazeta/dias/1812/07/02/pdfs/GMD-1812-184.pdf#page=2","Abrir facsímil")</f>
        <v>Abrir facsímil</v>
      </c>
      <c r="K6474" s="3" t="s">
        <v>23</v>
      </c>
    </row>
    <row r="6475" spans="1:11" ht="42" customHeight="1">
      <c r="A6475" s="2" t="s">
        <v>16301</v>
      </c>
      <c r="B6475" s="2" t="s">
        <v>16301</v>
      </c>
      <c r="C6475" s="2" t="s">
        <v>26</v>
      </c>
      <c r="D6475" s="2" t="s">
        <v>27</v>
      </c>
      <c r="E6475" s="4">
        <v>-31929</v>
      </c>
      <c r="F6475" s="3" t="s">
        <v>2786</v>
      </c>
      <c r="G6475" s="3" t="s">
        <v>36</v>
      </c>
      <c r="H6475" s="2" t="s">
        <v>21</v>
      </c>
      <c r="I6475" s="2" t="s">
        <v>16302</v>
      </c>
      <c r="J6475" s="3" t="str">
        <f>HYPERLINK("https://www.boe.es/gazeta/dias/1812/07/30/pdfs/GMD-1812-212.pdf#page=3","Abrir facsímil")</f>
        <v>Abrir facsímil</v>
      </c>
      <c r="K6475" s="3" t="s">
        <v>23</v>
      </c>
    </row>
    <row r="6476" spans="1:11" ht="42" customHeight="1">
      <c r="A6476" s="2" t="s">
        <v>16303</v>
      </c>
      <c r="B6476" s="2" t="s">
        <v>16303</v>
      </c>
      <c r="C6476" s="2" t="s">
        <v>82</v>
      </c>
      <c r="D6476" s="2" t="s">
        <v>27</v>
      </c>
      <c r="E6476" s="4">
        <v>-31927</v>
      </c>
      <c r="F6476" s="3" t="s">
        <v>16304</v>
      </c>
      <c r="G6476" s="3" t="s">
        <v>196</v>
      </c>
      <c r="H6476" s="2" t="s">
        <v>21</v>
      </c>
      <c r="I6476" s="2" t="s">
        <v>16305</v>
      </c>
      <c r="J6476" s="3" t="str">
        <f>HYPERLINK("https://www.boe.es/gazeta/dias/1812/08/01/pdfs/GMD-1812-214.pdf#page=1","Abrir facsímil")</f>
        <v>Abrir facsímil</v>
      </c>
      <c r="K6476" s="3" t="s">
        <v>23</v>
      </c>
    </row>
    <row r="6477" spans="1:11" ht="42" customHeight="1">
      <c r="A6477" s="2" t="s">
        <v>16306</v>
      </c>
      <c r="B6477" s="2" t="s">
        <v>16307</v>
      </c>
      <c r="C6477" s="2" t="s">
        <v>17</v>
      </c>
      <c r="D6477" s="2" t="s">
        <v>275</v>
      </c>
      <c r="E6477" s="4">
        <v>-32137</v>
      </c>
      <c r="F6477" s="3" t="s">
        <v>355</v>
      </c>
      <c r="G6477" s="3" t="s">
        <v>117</v>
      </c>
      <c r="H6477" s="2" t="s">
        <v>21</v>
      </c>
      <c r="I6477" s="2" t="s">
        <v>16308</v>
      </c>
      <c r="J6477" s="3" t="str">
        <f>HYPERLINK("https://www.boe.es/gazeta/dias/1812/01/04/pdfs/GEI-1812-2.pdf#page=8","Abrir facsímil")</f>
        <v>Abrir facsímil</v>
      </c>
      <c r="K6477" s="3" t="s">
        <v>23</v>
      </c>
    </row>
    <row r="6478" spans="1:11" ht="42" customHeight="1">
      <c r="A6478" s="2" t="s">
        <v>16309</v>
      </c>
      <c r="B6478" s="2" t="s">
        <v>16310</v>
      </c>
      <c r="C6478" s="2" t="s">
        <v>26</v>
      </c>
      <c r="D6478" s="2" t="s">
        <v>27</v>
      </c>
      <c r="E6478" s="4">
        <v>-32050</v>
      </c>
      <c r="F6478" s="3" t="s">
        <v>2028</v>
      </c>
      <c r="G6478" s="3" t="s">
        <v>2029</v>
      </c>
      <c r="H6478" s="2" t="s">
        <v>21</v>
      </c>
      <c r="I6478" s="2" t="s">
        <v>16311</v>
      </c>
      <c r="J6478" s="3" t="str">
        <f>HYPERLINK("https://www.boe.es/gazeta/dias/1812/03/31/pdfs/GMD-1812-91.pdf#page=1","Abrir facsímil")</f>
        <v>Abrir facsímil</v>
      </c>
      <c r="K6478" s="3" t="s">
        <v>23</v>
      </c>
    </row>
    <row r="6479" spans="1:11" ht="42" customHeight="1">
      <c r="A6479" s="2" t="s">
        <v>16312</v>
      </c>
      <c r="B6479" s="2" t="s">
        <v>16313</v>
      </c>
      <c r="C6479" s="2" t="s">
        <v>26</v>
      </c>
      <c r="D6479" s="2" t="s">
        <v>275</v>
      </c>
      <c r="E6479" s="4">
        <v>-31965</v>
      </c>
      <c r="F6479" s="3" t="s">
        <v>1180</v>
      </c>
      <c r="G6479" s="3" t="s">
        <v>777</v>
      </c>
      <c r="H6479" s="2" t="s">
        <v>21</v>
      </c>
      <c r="I6479" s="2" t="s">
        <v>16314</v>
      </c>
      <c r="J6479" s="3" t="str">
        <f>HYPERLINK("https://www.boe.es/gazeta/dias/1812/06/24/pdfs/GMD-1812-176.pdf#page=2","Abrir facsímil")</f>
        <v>Abrir facsímil</v>
      </c>
      <c r="K6479" s="3" t="s">
        <v>23</v>
      </c>
    </row>
    <row r="6480" spans="1:11" ht="42" customHeight="1">
      <c r="A6480" s="2" t="s">
        <v>16315</v>
      </c>
      <c r="B6480" s="2" t="s">
        <v>16316</v>
      </c>
      <c r="C6480" s="2" t="s">
        <v>26</v>
      </c>
      <c r="D6480" s="2" t="s">
        <v>27</v>
      </c>
      <c r="E6480" s="4">
        <v>-32137</v>
      </c>
      <c r="F6480" s="3" t="s">
        <v>355</v>
      </c>
      <c r="G6480" s="3" t="s">
        <v>117</v>
      </c>
      <c r="H6480" s="2" t="s">
        <v>21</v>
      </c>
      <c r="I6480" s="2" t="s">
        <v>16317</v>
      </c>
      <c r="J6480" s="3" t="str">
        <f>HYPERLINK("https://www.boe.es/gazeta/dias/1812/01/04/pdfs/GEI-1812-2.pdf#page=8","Abrir facsímil")</f>
        <v>Abrir facsímil</v>
      </c>
      <c r="K6480" s="3" t="s">
        <v>23</v>
      </c>
    </row>
    <row r="6481" spans="1:11" ht="42" customHeight="1">
      <c r="A6481" s="2" t="s">
        <v>16318</v>
      </c>
      <c r="B6481" s="2" t="s">
        <v>16319</v>
      </c>
      <c r="C6481" s="2" t="s">
        <v>26</v>
      </c>
      <c r="D6481" s="2" t="s">
        <v>27</v>
      </c>
      <c r="E6481" s="4">
        <v>-31940</v>
      </c>
      <c r="F6481" s="3" t="s">
        <v>187</v>
      </c>
      <c r="G6481" s="3" t="s">
        <v>45</v>
      </c>
      <c r="H6481" s="2" t="s">
        <v>21</v>
      </c>
      <c r="I6481" s="2" t="s">
        <v>16320</v>
      </c>
      <c r="J6481" s="3" t="str">
        <f>HYPERLINK("https://www.boe.es/gazeta/dias/1812/07/19/pdfs/GMD-1812-201.pdf#page=2","Abrir facsímil")</f>
        <v>Abrir facsímil</v>
      </c>
      <c r="K6481" s="3" t="s">
        <v>23</v>
      </c>
    </row>
    <row r="6482" spans="1:11" ht="42" customHeight="1">
      <c r="A6482" s="2" t="s">
        <v>16321</v>
      </c>
      <c r="B6482" s="2" t="s">
        <v>16322</v>
      </c>
      <c r="C6482" s="2" t="s">
        <v>26</v>
      </c>
      <c r="D6482" s="2" t="s">
        <v>27</v>
      </c>
      <c r="E6482" s="4">
        <v>-31938</v>
      </c>
      <c r="F6482" s="3" t="s">
        <v>324</v>
      </c>
      <c r="G6482" s="3" t="s">
        <v>404</v>
      </c>
      <c r="H6482" s="2" t="s">
        <v>21</v>
      </c>
      <c r="I6482" s="2" t="s">
        <v>16323</v>
      </c>
      <c r="J6482" s="3" t="str">
        <f>HYPERLINK("https://www.boe.es/gazeta/dias/1812/07/21/pdfs/GMD-1812-203.pdf#page=4","Abrir facsímil")</f>
        <v>Abrir facsímil</v>
      </c>
      <c r="K6482" s="3" t="s">
        <v>23</v>
      </c>
    </row>
    <row r="6483" spans="1:11" ht="42" customHeight="1">
      <c r="A6483" s="2" t="s">
        <v>16324</v>
      </c>
      <c r="B6483" s="2" t="s">
        <v>16324</v>
      </c>
      <c r="C6483" s="2" t="s">
        <v>17</v>
      </c>
      <c r="D6483" s="2" t="s">
        <v>194</v>
      </c>
      <c r="E6483" s="4">
        <v>-32057</v>
      </c>
      <c r="F6483" s="3" t="s">
        <v>225</v>
      </c>
      <c r="G6483" s="3" t="s">
        <v>140</v>
      </c>
      <c r="H6483" s="2" t="s">
        <v>21</v>
      </c>
      <c r="I6483" s="2" t="s">
        <v>16325</v>
      </c>
      <c r="J6483" s="3" t="str">
        <f>HYPERLINK("https://www.boe.es/gazeta/dias/1812/03/24/pdfs/GMD-1812-84.pdf#page=2","Abrir facsímil")</f>
        <v>Abrir facsímil</v>
      </c>
      <c r="K6483" s="3" t="s">
        <v>23</v>
      </c>
    </row>
    <row r="6484" spans="1:11" ht="42" customHeight="1">
      <c r="A6484" s="2" t="s">
        <v>16326</v>
      </c>
      <c r="B6484" s="2" t="s">
        <v>16326</v>
      </c>
      <c r="C6484" s="2" t="s">
        <v>49</v>
      </c>
      <c r="D6484" s="2" t="s">
        <v>27</v>
      </c>
      <c r="E6484" s="4">
        <v>-32087</v>
      </c>
      <c r="F6484" s="3" t="s">
        <v>9693</v>
      </c>
      <c r="G6484" s="3" t="s">
        <v>58</v>
      </c>
      <c r="H6484" s="2" t="s">
        <v>21</v>
      </c>
      <c r="I6484" s="2" t="s">
        <v>16327</v>
      </c>
      <c r="J6484" s="3" t="str">
        <f>HYPERLINK("https://www.boe.es/gazeta/dias/1812/02/23/pdfs/GMD-1812-54.pdf#page=4","Abrir facsímil")</f>
        <v>Abrir facsímil</v>
      </c>
      <c r="K6484" s="3" t="s">
        <v>23</v>
      </c>
    </row>
    <row r="6485" spans="1:11" ht="42" customHeight="1">
      <c r="A6485" s="2" t="s">
        <v>16328</v>
      </c>
      <c r="B6485" s="2" t="s">
        <v>16329</v>
      </c>
      <c r="C6485" s="2" t="s">
        <v>105</v>
      </c>
      <c r="D6485" s="2" t="s">
        <v>27</v>
      </c>
      <c r="E6485" s="4">
        <v>-31857</v>
      </c>
      <c r="F6485" s="3" t="s">
        <v>2176</v>
      </c>
      <c r="G6485" s="3" t="s">
        <v>217</v>
      </c>
      <c r="H6485" s="2" t="s">
        <v>21</v>
      </c>
      <c r="I6485" s="2" t="s">
        <v>16330</v>
      </c>
      <c r="J6485" s="3" t="str">
        <f>HYPERLINK("https://www.boe.es/gazeta/dias/1812/10/10/pdfs/GMR-1812-25.pdf#page=7","Abrir facsímil")</f>
        <v>Abrir facsímil</v>
      </c>
      <c r="K6485" s="3" t="s">
        <v>23</v>
      </c>
    </row>
    <row r="6486" spans="1:11" ht="42" customHeight="1">
      <c r="A6486" s="2" t="s">
        <v>16331</v>
      </c>
      <c r="B6486" s="2" t="s">
        <v>16332</v>
      </c>
      <c r="C6486" s="2" t="s">
        <v>49</v>
      </c>
      <c r="D6486" s="2" t="s">
        <v>27</v>
      </c>
      <c r="E6486" s="4">
        <v>-31982</v>
      </c>
      <c r="F6486" s="3" t="s">
        <v>1630</v>
      </c>
      <c r="G6486" s="3" t="s">
        <v>1631</v>
      </c>
      <c r="H6486" s="2" t="s">
        <v>21</v>
      </c>
      <c r="I6486" s="2" t="s">
        <v>16333</v>
      </c>
      <c r="J6486" s="3" t="str">
        <f>HYPERLINK("https://www.boe.es/gazeta/dias/1812/06/07/pdfs/GMD-1812-159.pdf#page=4","Abrir facsímil")</f>
        <v>Abrir facsímil</v>
      </c>
      <c r="K6486" s="3" t="s">
        <v>23</v>
      </c>
    </row>
    <row r="6487" spans="1:11" ht="42" customHeight="1">
      <c r="A6487" s="2" t="s">
        <v>16334</v>
      </c>
      <c r="B6487" s="2" t="s">
        <v>16335</v>
      </c>
      <c r="C6487" s="2" t="s">
        <v>26</v>
      </c>
      <c r="D6487" s="2" t="s">
        <v>27</v>
      </c>
      <c r="E6487" s="4">
        <v>-31913</v>
      </c>
      <c r="F6487" s="3" t="s">
        <v>450</v>
      </c>
      <c r="G6487" s="3" t="s">
        <v>2131</v>
      </c>
      <c r="H6487" s="2" t="s">
        <v>21</v>
      </c>
      <c r="I6487" s="2" t="s">
        <v>16336</v>
      </c>
      <c r="J6487" s="3" t="str">
        <f>HYPERLINK("https://www.boe.es/gazeta/dias/1812/08/15/pdfs/GRE-1812-105.pdf#page=5","Abrir facsímil")</f>
        <v>Abrir facsímil</v>
      </c>
      <c r="K6487" s="3" t="s">
        <v>23</v>
      </c>
    </row>
    <row r="6488" spans="1:11" ht="42" customHeight="1">
      <c r="A6488" s="2" t="s">
        <v>16337</v>
      </c>
      <c r="B6488" s="2" t="s">
        <v>16337</v>
      </c>
      <c r="C6488" s="2" t="s">
        <v>17</v>
      </c>
      <c r="D6488" s="2" t="s">
        <v>194</v>
      </c>
      <c r="E6488" s="4">
        <v>-31969</v>
      </c>
      <c r="F6488" s="3" t="s">
        <v>83</v>
      </c>
      <c r="G6488" s="3" t="s">
        <v>6943</v>
      </c>
      <c r="H6488" s="2" t="s">
        <v>21</v>
      </c>
      <c r="I6488" s="2" t="s">
        <v>16338</v>
      </c>
      <c r="J6488" s="3" t="str">
        <f>HYPERLINK("https://www.boe.es/gazeta/dias/1812/06/20/pdfs/GRE-1812-76.pdf#page=2","Abrir facsímil")</f>
        <v>Abrir facsímil</v>
      </c>
      <c r="K6488" s="3" t="s">
        <v>23</v>
      </c>
    </row>
    <row r="6489" spans="1:11" ht="42" customHeight="1">
      <c r="A6489" s="2" t="s">
        <v>16339</v>
      </c>
      <c r="B6489" s="2" t="s">
        <v>16340</v>
      </c>
      <c r="C6489" s="2" t="s">
        <v>26</v>
      </c>
      <c r="D6489" s="2" t="s">
        <v>27</v>
      </c>
      <c r="E6489" s="4">
        <v>-32116</v>
      </c>
      <c r="F6489" s="3" t="s">
        <v>964</v>
      </c>
      <c r="G6489" s="3" t="s">
        <v>125</v>
      </c>
      <c r="H6489" s="2" t="s">
        <v>21</v>
      </c>
      <c r="I6489" s="2" t="s">
        <v>16341</v>
      </c>
      <c r="J6489" s="3" t="str">
        <f>HYPERLINK("https://www.boe.es/gazeta/dias/1812/01/25/pdfs/GEI-H-1812-11.pdf#page=1","Abrir facsímil")</f>
        <v>Abrir facsímil</v>
      </c>
      <c r="K6489" s="3" t="s">
        <v>23</v>
      </c>
    </row>
    <row r="6490" spans="1:11" ht="42" customHeight="1">
      <c r="A6490" s="2" t="s">
        <v>16342</v>
      </c>
      <c r="B6490" s="2" t="s">
        <v>16343</v>
      </c>
      <c r="C6490" s="2" t="s">
        <v>26</v>
      </c>
      <c r="D6490" s="2" t="s">
        <v>27</v>
      </c>
      <c r="E6490" s="4">
        <v>-31962</v>
      </c>
      <c r="F6490" s="3" t="s">
        <v>643</v>
      </c>
      <c r="G6490" s="3" t="s">
        <v>6986</v>
      </c>
      <c r="H6490" s="2" t="s">
        <v>21</v>
      </c>
      <c r="I6490" s="2" t="s">
        <v>16344</v>
      </c>
      <c r="J6490" s="3" t="str">
        <f>HYPERLINK("https://www.boe.es/gazeta/dias/1812/06/27/pdfs/GMD-1812-179.pdf#page=4","Abrir facsímil")</f>
        <v>Abrir facsímil</v>
      </c>
      <c r="K6490" s="3" t="s">
        <v>23</v>
      </c>
    </row>
    <row r="6491" spans="1:11" ht="42" customHeight="1">
      <c r="A6491" s="2" t="s">
        <v>16345</v>
      </c>
      <c r="B6491" s="2" t="s">
        <v>16346</v>
      </c>
      <c r="C6491" s="2" t="s">
        <v>17</v>
      </c>
      <c r="D6491" s="2" t="s">
        <v>18</v>
      </c>
      <c r="E6491" s="4">
        <v>-31952</v>
      </c>
      <c r="F6491" s="3" t="s">
        <v>694</v>
      </c>
      <c r="G6491" s="3" t="s">
        <v>2895</v>
      </c>
      <c r="H6491" s="2" t="s">
        <v>21</v>
      </c>
      <c r="I6491" s="2" t="s">
        <v>16347</v>
      </c>
      <c r="J6491" s="3" t="str">
        <f>HYPERLINK("https://www.boe.es/gazeta/dias/1812/07/07/pdfs/GMD-1812-189.pdf#page=4","Abrir facsímil")</f>
        <v>Abrir facsímil</v>
      </c>
      <c r="K6491" s="3" t="s">
        <v>23</v>
      </c>
    </row>
    <row r="6492" spans="1:11" ht="42" customHeight="1">
      <c r="A6492" s="2" t="s">
        <v>16348</v>
      </c>
      <c r="B6492" s="2" t="s">
        <v>16348</v>
      </c>
      <c r="C6492" s="2" t="s">
        <v>17</v>
      </c>
      <c r="D6492" s="2" t="s">
        <v>27</v>
      </c>
      <c r="E6492" s="4">
        <v>-32043</v>
      </c>
      <c r="F6492" s="3" t="s">
        <v>4582</v>
      </c>
      <c r="G6492" s="3" t="s">
        <v>237</v>
      </c>
      <c r="H6492" s="2" t="s">
        <v>21</v>
      </c>
      <c r="I6492" s="2" t="s">
        <v>16349</v>
      </c>
      <c r="J6492" s="3" t="str">
        <f>HYPERLINK("https://www.boe.es/gazeta/dias/1812/04/07/pdfs/GRE-1812-43.pdf#page=8","Abrir facsímil")</f>
        <v>Abrir facsímil</v>
      </c>
      <c r="K6492" s="3" t="s">
        <v>23</v>
      </c>
    </row>
    <row r="6493" spans="1:11" ht="42" customHeight="1">
      <c r="A6493" s="2" t="s">
        <v>16350</v>
      </c>
      <c r="B6493" s="2" t="s">
        <v>16351</v>
      </c>
      <c r="C6493" s="2" t="s">
        <v>26</v>
      </c>
      <c r="D6493" s="2" t="s">
        <v>27</v>
      </c>
      <c r="E6493" s="4">
        <v>-31964</v>
      </c>
      <c r="F6493" s="3" t="s">
        <v>93</v>
      </c>
      <c r="G6493" s="3" t="s">
        <v>1722</v>
      </c>
      <c r="H6493" s="2" t="s">
        <v>21</v>
      </c>
      <c r="I6493" s="2" t="s">
        <v>16352</v>
      </c>
      <c r="J6493" s="3" t="str">
        <f>HYPERLINK("https://www.boe.es/gazeta/dias/1812/06/25/pdfs/GRE-1812-78.pdf#page=8","Abrir facsímil")</f>
        <v>Abrir facsímil</v>
      </c>
      <c r="K6493" s="3" t="s">
        <v>23</v>
      </c>
    </row>
    <row r="6494" spans="1:11" ht="42" customHeight="1">
      <c r="A6494" s="2" t="s">
        <v>16353</v>
      </c>
      <c r="B6494" s="2" t="s">
        <v>16354</v>
      </c>
      <c r="C6494" s="2" t="s">
        <v>26</v>
      </c>
      <c r="D6494" s="2" t="s">
        <v>27</v>
      </c>
      <c r="E6494" s="4">
        <v>-31976</v>
      </c>
      <c r="F6494" s="3" t="s">
        <v>54</v>
      </c>
      <c r="G6494" s="3" t="s">
        <v>55</v>
      </c>
      <c r="H6494" s="2" t="s">
        <v>21</v>
      </c>
      <c r="I6494" s="2" t="s">
        <v>16355</v>
      </c>
      <c r="J6494" s="3" t="str">
        <f>HYPERLINK("https://www.boe.es/gazeta/dias/1812/06/13/pdfs/GRE-1812-73.pdf#page=6","Abrir facsímil")</f>
        <v>Abrir facsímil</v>
      </c>
      <c r="K6494" s="3" t="s">
        <v>23</v>
      </c>
    </row>
    <row r="6495" spans="1:11" ht="42" customHeight="1">
      <c r="A6495" s="2" t="s">
        <v>16356</v>
      </c>
      <c r="B6495" s="2" t="s">
        <v>16357</v>
      </c>
      <c r="C6495" s="2" t="s">
        <v>17</v>
      </c>
      <c r="D6495" s="2" t="s">
        <v>18</v>
      </c>
      <c r="E6495" s="4">
        <v>-32125</v>
      </c>
      <c r="F6495" s="3" t="s">
        <v>335</v>
      </c>
      <c r="G6495" s="3" t="s">
        <v>1698</v>
      </c>
      <c r="H6495" s="2" t="s">
        <v>21</v>
      </c>
      <c r="I6495" s="2" t="s">
        <v>16358</v>
      </c>
      <c r="J6495" s="3" t="str">
        <f>HYPERLINK("https://www.boe.es/gazeta/dias/1812/01/16/pdfs/GEI-1812-7.pdf#page=7","Abrir facsímil")</f>
        <v>Abrir facsímil</v>
      </c>
      <c r="K6495" s="3" t="s">
        <v>23</v>
      </c>
    </row>
    <row r="6496" spans="1:11" ht="42" customHeight="1">
      <c r="A6496" s="2" t="s">
        <v>16359</v>
      </c>
      <c r="B6496" s="2" t="s">
        <v>16360</v>
      </c>
      <c r="C6496" s="2" t="s">
        <v>17</v>
      </c>
      <c r="D6496" s="2" t="s">
        <v>27</v>
      </c>
      <c r="E6496" s="4">
        <v>-31917</v>
      </c>
      <c r="F6496" s="3" t="s">
        <v>946</v>
      </c>
      <c r="G6496" s="3" t="s">
        <v>947</v>
      </c>
      <c r="H6496" s="2" t="s">
        <v>21</v>
      </c>
      <c r="I6496" s="2" t="s">
        <v>16361</v>
      </c>
      <c r="J6496" s="3" t="str">
        <f>HYPERLINK("https://www.boe.es/gazeta/dias/1812/08/11/pdfs/GRE-1812-103.pdf#page=8","Abrir facsímil")</f>
        <v>Abrir facsímil</v>
      </c>
      <c r="K6496" s="3" t="s">
        <v>23</v>
      </c>
    </row>
    <row r="6497" spans="1:11" ht="42" customHeight="1">
      <c r="A6497" s="2" t="s">
        <v>16362</v>
      </c>
      <c r="B6497" s="2" t="s">
        <v>16362</v>
      </c>
      <c r="C6497" s="2" t="s">
        <v>17</v>
      </c>
      <c r="D6497" s="2" t="s">
        <v>134</v>
      </c>
      <c r="E6497" s="4">
        <v>-31955</v>
      </c>
      <c r="F6497" s="3" t="s">
        <v>135</v>
      </c>
      <c r="G6497" s="3" t="s">
        <v>58</v>
      </c>
      <c r="H6497" s="2" t="s">
        <v>21</v>
      </c>
      <c r="I6497" s="2" t="s">
        <v>16363</v>
      </c>
      <c r="J6497" s="3" t="str">
        <f>HYPERLINK("https://www.boe.es/gazeta/dias/1812/07/04/pdfs/GRE-F-1812-82.pdf#page=6","Abrir facsímil")</f>
        <v>Abrir facsímil</v>
      </c>
      <c r="K6497" s="3" t="s">
        <v>23</v>
      </c>
    </row>
    <row r="6498" spans="1:11" ht="42" customHeight="1">
      <c r="A6498" s="2" t="s">
        <v>16364</v>
      </c>
      <c r="B6498" s="2" t="s">
        <v>16365</v>
      </c>
      <c r="C6498" s="2" t="s">
        <v>17</v>
      </c>
      <c r="D6498" s="2" t="s">
        <v>27</v>
      </c>
      <c r="E6498" s="4">
        <v>-32113</v>
      </c>
      <c r="F6498" s="3" t="s">
        <v>121</v>
      </c>
      <c r="G6498" s="3" t="s">
        <v>2655</v>
      </c>
      <c r="H6498" s="2" t="s">
        <v>21</v>
      </c>
      <c r="I6498" s="2" t="s">
        <v>16366</v>
      </c>
      <c r="J6498" s="3" t="str">
        <f>HYPERLINK("https://www.boe.es/gazeta/dias/1812/01/28/pdfs/GRE-1812-12.pdf#page=8","Abrir facsímil")</f>
        <v>Abrir facsímil</v>
      </c>
      <c r="K6498" s="3" t="s">
        <v>23</v>
      </c>
    </row>
    <row r="6499" spans="1:11" ht="42" customHeight="1">
      <c r="A6499" s="2" t="s">
        <v>16367</v>
      </c>
      <c r="B6499" s="2" t="s">
        <v>16368</v>
      </c>
      <c r="C6499" s="2" t="s">
        <v>26</v>
      </c>
      <c r="D6499" s="2" t="s">
        <v>573</v>
      </c>
      <c r="E6499" s="4">
        <v>-31900</v>
      </c>
      <c r="F6499" s="3" t="s">
        <v>276</v>
      </c>
      <c r="G6499" s="3" t="s">
        <v>277</v>
      </c>
      <c r="H6499" s="2" t="s">
        <v>21</v>
      </c>
      <c r="I6499" s="2" t="s">
        <v>16369</v>
      </c>
      <c r="J6499" s="3" t="str">
        <f>HYPERLINK("https://www.boe.es/gazeta/dias/1812/08/28/pdfs/GRE-1812-113E.pdf#page=8","Abrir facsímil")</f>
        <v>Abrir facsímil</v>
      </c>
      <c r="K6499" s="3" t="s">
        <v>23</v>
      </c>
    </row>
    <row r="6500" spans="1:11" ht="42" customHeight="1">
      <c r="A6500" s="2" t="s">
        <v>16370</v>
      </c>
      <c r="B6500" s="2" t="s">
        <v>16371</v>
      </c>
      <c r="C6500" s="2" t="s">
        <v>17</v>
      </c>
      <c r="D6500" s="2" t="s">
        <v>27</v>
      </c>
      <c r="E6500" s="4">
        <v>-31922</v>
      </c>
      <c r="F6500" s="3" t="s">
        <v>375</v>
      </c>
      <c r="G6500" s="3" t="s">
        <v>5327</v>
      </c>
      <c r="H6500" s="2" t="s">
        <v>21</v>
      </c>
      <c r="I6500" s="2" t="s">
        <v>16372</v>
      </c>
      <c r="J6500" s="3" t="str">
        <f>HYPERLINK("https://www.boe.es/gazeta/dias/1812/08/06/pdfs/GRE-1812-100.pdf#page=3","Abrir facsímil")</f>
        <v>Abrir facsímil</v>
      </c>
      <c r="K6500" s="3" t="s">
        <v>23</v>
      </c>
    </row>
    <row r="6501" spans="1:11" ht="42" customHeight="1">
      <c r="A6501" s="2" t="s">
        <v>16373</v>
      </c>
      <c r="B6501" s="2" t="s">
        <v>16373</v>
      </c>
      <c r="C6501" s="2" t="s">
        <v>26</v>
      </c>
      <c r="D6501" s="2" t="s">
        <v>27</v>
      </c>
      <c r="E6501" s="4">
        <v>-32140</v>
      </c>
      <c r="F6501" s="3" t="s">
        <v>822</v>
      </c>
      <c r="G6501" s="3" t="s">
        <v>106</v>
      </c>
      <c r="H6501" s="2" t="s">
        <v>21</v>
      </c>
      <c r="I6501" s="2" t="s">
        <v>16374</v>
      </c>
      <c r="J6501" s="3" t="str">
        <f>HYPERLINK("https://www.boe.es/gazeta/dias/1812/01/01/pdfs/GMD-1812-1.pdf#page=4","Abrir facsímil")</f>
        <v>Abrir facsímil</v>
      </c>
      <c r="K6501" s="3" t="s">
        <v>23</v>
      </c>
    </row>
    <row r="6502" spans="1:11" ht="42" customHeight="1">
      <c r="A6502" s="2" t="s">
        <v>16373</v>
      </c>
      <c r="B6502" s="2" t="s">
        <v>16373</v>
      </c>
      <c r="C6502" s="2" t="s">
        <v>17</v>
      </c>
      <c r="D6502" s="2" t="s">
        <v>27</v>
      </c>
      <c r="E6502" s="4">
        <v>-32134</v>
      </c>
      <c r="F6502" s="3" t="s">
        <v>50</v>
      </c>
      <c r="G6502" s="3" t="s">
        <v>2262</v>
      </c>
      <c r="H6502" s="2" t="s">
        <v>21</v>
      </c>
      <c r="I6502" s="2" t="s">
        <v>16375</v>
      </c>
      <c r="J6502" s="3" t="str">
        <f>HYPERLINK("https://www.boe.es/gazeta/dias/1812/01/07/pdfs/GEI-1812-3.pdf#page=5","Abrir facsímil")</f>
        <v>Abrir facsímil</v>
      </c>
      <c r="K6502" s="3" t="s">
        <v>23</v>
      </c>
    </row>
    <row r="6503" spans="1:11" ht="42" customHeight="1">
      <c r="A6503" s="2" t="s">
        <v>16373</v>
      </c>
      <c r="B6503" s="2" t="s">
        <v>16373</v>
      </c>
      <c r="C6503" s="2" t="s">
        <v>17</v>
      </c>
      <c r="D6503" s="2" t="s">
        <v>18</v>
      </c>
      <c r="E6503" s="4">
        <v>-32118</v>
      </c>
      <c r="F6503" s="3" t="s">
        <v>964</v>
      </c>
      <c r="G6503" s="3" t="s">
        <v>836</v>
      </c>
      <c r="H6503" s="2" t="s">
        <v>21</v>
      </c>
      <c r="I6503" s="2" t="s">
        <v>16376</v>
      </c>
      <c r="J6503" s="3" t="str">
        <f>HYPERLINK("https://www.boe.es/gazeta/dias/1812/01/23/pdfs/GEI-H-1812-10.pdf#page=2","Abrir facsímil")</f>
        <v>Abrir facsímil</v>
      </c>
      <c r="K6503" s="3" t="s">
        <v>23</v>
      </c>
    </row>
    <row r="6504" spans="1:11" ht="42" customHeight="1">
      <c r="A6504" s="2" t="s">
        <v>16373</v>
      </c>
      <c r="B6504" s="2" t="s">
        <v>16373</v>
      </c>
      <c r="C6504" s="2" t="s">
        <v>67</v>
      </c>
      <c r="D6504" s="2" t="s">
        <v>27</v>
      </c>
      <c r="E6504" s="4">
        <v>-32116</v>
      </c>
      <c r="F6504" s="3" t="s">
        <v>382</v>
      </c>
      <c r="G6504" s="3" t="s">
        <v>136</v>
      </c>
      <c r="H6504" s="2" t="s">
        <v>21</v>
      </c>
      <c r="I6504" s="2" t="s">
        <v>16377</v>
      </c>
      <c r="J6504" s="3" t="str">
        <f>HYPERLINK("https://www.boe.es/gazeta/dias/1812/01/25/pdfs/GMD-1812-25.pdf#page=4","Abrir facsímil")</f>
        <v>Abrir facsímil</v>
      </c>
      <c r="K6504" s="3" t="s">
        <v>23</v>
      </c>
    </row>
    <row r="6505" spans="1:11" ht="42" customHeight="1">
      <c r="A6505" s="2" t="s">
        <v>16373</v>
      </c>
      <c r="B6505" s="2" t="s">
        <v>16373</v>
      </c>
      <c r="C6505" s="2" t="s">
        <v>26</v>
      </c>
      <c r="D6505" s="2" t="s">
        <v>27</v>
      </c>
      <c r="E6505" s="4">
        <v>-32112</v>
      </c>
      <c r="F6505" s="3" t="s">
        <v>2794</v>
      </c>
      <c r="G6505" s="3" t="s">
        <v>58</v>
      </c>
      <c r="H6505" s="2" t="s">
        <v>21</v>
      </c>
      <c r="I6505" s="2" t="s">
        <v>16378</v>
      </c>
      <c r="J6505" s="3" t="str">
        <f>HYPERLINK("https://www.boe.es/gazeta/dias/1812/01/29/pdfs/GMD-1812-29.pdf#page=4","Abrir facsímil")</f>
        <v>Abrir facsímil</v>
      </c>
      <c r="K6505" s="3" t="s">
        <v>23</v>
      </c>
    </row>
    <row r="6506" spans="1:11" ht="42" customHeight="1">
      <c r="A6506" s="2" t="s">
        <v>16373</v>
      </c>
      <c r="B6506" s="2" t="s">
        <v>16373</v>
      </c>
      <c r="C6506" s="2" t="s">
        <v>17</v>
      </c>
      <c r="D6506" s="2" t="s">
        <v>275</v>
      </c>
      <c r="E6506" s="4">
        <v>-32063</v>
      </c>
      <c r="F6506" s="3" t="s">
        <v>384</v>
      </c>
      <c r="G6506" s="3" t="s">
        <v>125</v>
      </c>
      <c r="H6506" s="2" t="s">
        <v>21</v>
      </c>
      <c r="I6506" s="2" t="s">
        <v>16379</v>
      </c>
      <c r="J6506" s="3" t="str">
        <f>HYPERLINK("https://www.boe.es/gazeta/dias/1812/03/18/pdfs/GMD-1812-78.pdf#page=3","Abrir facsímil")</f>
        <v>Abrir facsímil</v>
      </c>
      <c r="K6506" s="3" t="s">
        <v>23</v>
      </c>
    </row>
    <row r="6507" spans="1:11" ht="42" customHeight="1">
      <c r="A6507" s="2" t="s">
        <v>16373</v>
      </c>
      <c r="B6507" s="2" t="s">
        <v>16373</v>
      </c>
      <c r="C6507" s="2" t="s">
        <v>26</v>
      </c>
      <c r="D6507" s="2" t="s">
        <v>27</v>
      </c>
      <c r="E6507" s="4">
        <v>-32045</v>
      </c>
      <c r="F6507" s="3" t="s">
        <v>129</v>
      </c>
      <c r="G6507" s="3" t="s">
        <v>130</v>
      </c>
      <c r="H6507" s="2" t="s">
        <v>21</v>
      </c>
      <c r="I6507" s="2" t="s">
        <v>16380</v>
      </c>
      <c r="J6507" s="3" t="str">
        <f>HYPERLINK("https://www.boe.es/gazeta/dias/1812/04/05/pdfs/GMD-1812-96.pdf#page=4","Abrir facsímil")</f>
        <v>Abrir facsímil</v>
      </c>
      <c r="K6507" s="3" t="s">
        <v>23</v>
      </c>
    </row>
    <row r="6508" spans="1:11" ht="42" customHeight="1">
      <c r="A6508" s="2" t="s">
        <v>16373</v>
      </c>
      <c r="B6508" s="2" t="s">
        <v>16373</v>
      </c>
      <c r="C6508" s="2" t="s">
        <v>26</v>
      </c>
      <c r="D6508" s="2" t="s">
        <v>27</v>
      </c>
      <c r="E6508" s="4">
        <v>-32034</v>
      </c>
      <c r="F6508" s="3" t="s">
        <v>28</v>
      </c>
      <c r="G6508" s="3" t="s">
        <v>45</v>
      </c>
      <c r="H6508" s="2" t="s">
        <v>21</v>
      </c>
      <c r="I6508" s="2" t="s">
        <v>16381</v>
      </c>
      <c r="J6508" s="3" t="str">
        <f>HYPERLINK("https://www.boe.es/gazeta/dias/1812/04/16/pdfs/GMD-1812-107.pdf#page=5","Abrir facsímil")</f>
        <v>Abrir facsímil</v>
      </c>
      <c r="K6508" s="3" t="s">
        <v>23</v>
      </c>
    </row>
    <row r="6509" spans="1:11" ht="42" customHeight="1">
      <c r="A6509" s="2" t="s">
        <v>16373</v>
      </c>
      <c r="B6509" s="2" t="s">
        <v>16373</v>
      </c>
      <c r="C6509" s="2" t="s">
        <v>26</v>
      </c>
      <c r="D6509" s="2" t="s">
        <v>275</v>
      </c>
      <c r="E6509" s="4">
        <v>-32034</v>
      </c>
      <c r="F6509" s="3" t="s">
        <v>28</v>
      </c>
      <c r="G6509" s="3" t="s">
        <v>794</v>
      </c>
      <c r="H6509" s="2" t="s">
        <v>21</v>
      </c>
      <c r="I6509" s="2" t="s">
        <v>16382</v>
      </c>
      <c r="J6509" s="3" t="str">
        <f>HYPERLINK("https://www.boe.es/gazeta/dias/1812/04/16/pdfs/GMD-1812-107.pdf#page=7","Abrir facsímil")</f>
        <v>Abrir facsímil</v>
      </c>
      <c r="K6509" s="3" t="s">
        <v>23</v>
      </c>
    </row>
    <row r="6510" spans="1:11" ht="42" customHeight="1">
      <c r="A6510" s="2" t="s">
        <v>16373</v>
      </c>
      <c r="B6510" s="2" t="s">
        <v>16373</v>
      </c>
      <c r="C6510" s="2" t="s">
        <v>105</v>
      </c>
      <c r="D6510" s="2" t="s">
        <v>27</v>
      </c>
      <c r="E6510" s="4">
        <v>-32029</v>
      </c>
      <c r="F6510" s="3" t="s">
        <v>176</v>
      </c>
      <c r="G6510" s="3" t="s">
        <v>1766</v>
      </c>
      <c r="H6510" s="2" t="s">
        <v>21</v>
      </c>
      <c r="I6510" s="2" t="s">
        <v>16383</v>
      </c>
      <c r="J6510" s="3" t="str">
        <f>HYPERLINK("https://www.boe.es/gazeta/dias/1812/04/21/pdfs/GRE-1812-50.pdf#page=4","Abrir facsímil")</f>
        <v>Abrir facsímil</v>
      </c>
      <c r="K6510" s="3" t="s">
        <v>23</v>
      </c>
    </row>
    <row r="6511" spans="1:11" ht="42" customHeight="1">
      <c r="A6511" s="2" t="s">
        <v>16373</v>
      </c>
      <c r="B6511" s="2" t="s">
        <v>16373</v>
      </c>
      <c r="C6511" s="2" t="s">
        <v>17</v>
      </c>
      <c r="D6511" s="2" t="s">
        <v>27</v>
      </c>
      <c r="E6511" s="4">
        <v>-32022</v>
      </c>
      <c r="F6511" s="3" t="s">
        <v>1186</v>
      </c>
      <c r="G6511" s="3" t="s">
        <v>336</v>
      </c>
      <c r="H6511" s="2" t="s">
        <v>21</v>
      </c>
      <c r="I6511" s="2" t="s">
        <v>16384</v>
      </c>
      <c r="J6511" s="3" t="str">
        <f>HYPERLINK("https://www.boe.es/gazeta/dias/1812/04/28/pdfs/GRE-1812-53.pdf#page=8","Abrir facsímil")</f>
        <v>Abrir facsímil</v>
      </c>
      <c r="K6511" s="3" t="s">
        <v>23</v>
      </c>
    </row>
    <row r="6512" spans="1:11" ht="42" customHeight="1">
      <c r="A6512" s="2" t="s">
        <v>16373</v>
      </c>
      <c r="B6512" s="2" t="s">
        <v>16373</v>
      </c>
      <c r="C6512" s="2" t="s">
        <v>26</v>
      </c>
      <c r="D6512" s="2" t="s">
        <v>27</v>
      </c>
      <c r="E6512" s="4">
        <v>-32011</v>
      </c>
      <c r="F6512" s="3" t="s">
        <v>1656</v>
      </c>
      <c r="G6512" s="3" t="s">
        <v>777</v>
      </c>
      <c r="H6512" s="2" t="s">
        <v>21</v>
      </c>
      <c r="I6512" s="2" t="s">
        <v>16385</v>
      </c>
      <c r="J6512" s="3" t="str">
        <f>HYPERLINK("https://www.boe.es/gazeta/dias/1812/05/09/pdfs/GMD-1812-130.pdf#page=2","Abrir facsímil")</f>
        <v>Abrir facsímil</v>
      </c>
      <c r="K6512" s="3" t="s">
        <v>23</v>
      </c>
    </row>
    <row r="6513" spans="1:11" ht="42" customHeight="1">
      <c r="A6513" s="2" t="s">
        <v>16373</v>
      </c>
      <c r="B6513" s="2" t="s">
        <v>16373</v>
      </c>
      <c r="C6513" s="2" t="s">
        <v>115</v>
      </c>
      <c r="D6513" s="2" t="s">
        <v>27</v>
      </c>
      <c r="E6513" s="4">
        <v>-32006</v>
      </c>
      <c r="F6513" s="3" t="s">
        <v>1153</v>
      </c>
      <c r="G6513" s="3" t="s">
        <v>1154</v>
      </c>
      <c r="H6513" s="2" t="s">
        <v>21</v>
      </c>
      <c r="I6513" s="2" t="s">
        <v>16386</v>
      </c>
      <c r="J6513" s="3" t="str">
        <f>HYPERLINK("https://www.boe.es/gazeta/dias/1812/05/14/pdfs/GMD-1812-135.pdf#page=3","Abrir facsímil")</f>
        <v>Abrir facsímil</v>
      </c>
      <c r="K6513" s="3" t="s">
        <v>23</v>
      </c>
    </row>
    <row r="6514" spans="1:11" ht="42" customHeight="1">
      <c r="A6514" s="2" t="s">
        <v>16373</v>
      </c>
      <c r="B6514" s="2" t="s">
        <v>16373</v>
      </c>
      <c r="C6514" s="2" t="s">
        <v>26</v>
      </c>
      <c r="D6514" s="2" t="s">
        <v>27</v>
      </c>
      <c r="E6514" s="4">
        <v>-31941</v>
      </c>
      <c r="F6514" s="3" t="s">
        <v>57</v>
      </c>
      <c r="G6514" s="3" t="s">
        <v>58</v>
      </c>
      <c r="H6514" s="2" t="s">
        <v>21</v>
      </c>
      <c r="I6514" s="2" t="s">
        <v>16387</v>
      </c>
      <c r="J6514" s="3" t="str">
        <f>HYPERLINK("https://www.boe.es/gazeta/dias/1812/07/18/pdfs/GMD-1812-200.pdf#page=4","Abrir facsímil")</f>
        <v>Abrir facsímil</v>
      </c>
      <c r="K6514" s="3" t="s">
        <v>23</v>
      </c>
    </row>
    <row r="6515" spans="1:11" ht="42" customHeight="1">
      <c r="A6515" s="2" t="s">
        <v>16373</v>
      </c>
      <c r="B6515" s="2" t="s">
        <v>16373</v>
      </c>
      <c r="C6515" s="2" t="s">
        <v>26</v>
      </c>
      <c r="D6515" s="2" t="s">
        <v>27</v>
      </c>
      <c r="E6515" s="4">
        <v>-31937</v>
      </c>
      <c r="F6515" s="3" t="s">
        <v>1198</v>
      </c>
      <c r="G6515" s="3" t="s">
        <v>140</v>
      </c>
      <c r="H6515" s="2" t="s">
        <v>21</v>
      </c>
      <c r="I6515" s="2" t="s">
        <v>16388</v>
      </c>
      <c r="J6515" s="3" t="str">
        <f>HYPERLINK("https://www.boe.es/gazeta/dias/1812/07/22/pdfs/GMD-1812-204.pdf#page=2","Abrir facsímil")</f>
        <v>Abrir facsímil</v>
      </c>
      <c r="K6515" s="3" t="s">
        <v>23</v>
      </c>
    </row>
    <row r="6516" spans="1:11" ht="42" customHeight="1">
      <c r="A6516" s="2" t="s">
        <v>16373</v>
      </c>
      <c r="B6516" s="2" t="s">
        <v>16373</v>
      </c>
      <c r="C6516" s="2" t="s">
        <v>26</v>
      </c>
      <c r="D6516" s="2" t="s">
        <v>27</v>
      </c>
      <c r="E6516" s="4">
        <v>-31937</v>
      </c>
      <c r="F6516" s="3" t="s">
        <v>1198</v>
      </c>
      <c r="G6516" s="3" t="s">
        <v>2433</v>
      </c>
      <c r="H6516" s="2" t="s">
        <v>21</v>
      </c>
      <c r="I6516" s="2" t="s">
        <v>16389</v>
      </c>
      <c r="J6516" s="3" t="str">
        <f>HYPERLINK("https://www.boe.es/gazeta/dias/1812/07/22/pdfs/GMD-1812-204.pdf#page=3","Abrir facsímil")</f>
        <v>Abrir facsímil</v>
      </c>
      <c r="K6516" s="3" t="s">
        <v>23</v>
      </c>
    </row>
    <row r="6517" spans="1:11" ht="42" customHeight="1">
      <c r="A6517" s="2" t="s">
        <v>16373</v>
      </c>
      <c r="B6517" s="2" t="s">
        <v>16373</v>
      </c>
      <c r="C6517" s="2" t="s">
        <v>17</v>
      </c>
      <c r="D6517" s="2" t="s">
        <v>18</v>
      </c>
      <c r="E6517" s="4">
        <v>-31937</v>
      </c>
      <c r="F6517" s="3" t="s">
        <v>1198</v>
      </c>
      <c r="G6517" s="3" t="s">
        <v>237</v>
      </c>
      <c r="H6517" s="2" t="s">
        <v>21</v>
      </c>
      <c r="I6517" s="2" t="s">
        <v>16390</v>
      </c>
      <c r="J6517" s="3" t="str">
        <f>HYPERLINK("https://www.boe.es/gazeta/dias/1812/07/22/pdfs/GMD-1812-204.pdf#page=4","Abrir facsímil")</f>
        <v>Abrir facsímil</v>
      </c>
      <c r="K6517" s="3" t="s">
        <v>23</v>
      </c>
    </row>
    <row r="6518" spans="1:11" ht="42" customHeight="1">
      <c r="A6518" s="2" t="s">
        <v>16373</v>
      </c>
      <c r="B6518" s="2" t="s">
        <v>16373</v>
      </c>
      <c r="C6518" s="2" t="s">
        <v>26</v>
      </c>
      <c r="D6518" s="2" t="s">
        <v>27</v>
      </c>
      <c r="E6518" s="4">
        <v>-31920</v>
      </c>
      <c r="F6518" s="3" t="s">
        <v>3204</v>
      </c>
      <c r="G6518" s="3" t="s">
        <v>8575</v>
      </c>
      <c r="H6518" s="2" t="s">
        <v>21</v>
      </c>
      <c r="I6518" s="2" t="s">
        <v>16391</v>
      </c>
      <c r="J6518" s="3" t="str">
        <f>HYPERLINK("https://www.boe.es/gazeta/dias/1812/08/08/pdfs/GMD-1812-221.pdf#page=1","Abrir facsímil")</f>
        <v>Abrir facsímil</v>
      </c>
      <c r="K6518" s="3" t="s">
        <v>23</v>
      </c>
    </row>
    <row r="6519" spans="1:11" ht="42" customHeight="1">
      <c r="A6519" s="2" t="s">
        <v>16373</v>
      </c>
      <c r="B6519" s="2" t="s">
        <v>16373</v>
      </c>
      <c r="C6519" s="2" t="s">
        <v>17</v>
      </c>
      <c r="D6519" s="2" t="s">
        <v>275</v>
      </c>
      <c r="E6519" s="4">
        <v>-31854</v>
      </c>
      <c r="F6519" s="3" t="s">
        <v>1574</v>
      </c>
      <c r="G6519" s="3" t="s">
        <v>58</v>
      </c>
      <c r="H6519" s="2" t="s">
        <v>21</v>
      </c>
      <c r="I6519" s="2" t="s">
        <v>16392</v>
      </c>
      <c r="J6519" s="3" t="str">
        <f>HYPERLINK("https://www.boe.es/gazeta/dias/1812/10/13/pdfs/GMR-1812-26.pdf#page=5","Abrir facsímil")</f>
        <v>Abrir facsímil</v>
      </c>
      <c r="K6519" s="3" t="s">
        <v>23</v>
      </c>
    </row>
    <row r="6520" spans="1:11" ht="42" customHeight="1">
      <c r="A6520" s="2" t="s">
        <v>16373</v>
      </c>
      <c r="B6520" s="2" t="s">
        <v>16373</v>
      </c>
      <c r="C6520" s="2" t="s">
        <v>26</v>
      </c>
      <c r="D6520" s="2" t="s">
        <v>27</v>
      </c>
      <c r="E6520" s="4">
        <v>-31821</v>
      </c>
      <c r="F6520" s="3" t="s">
        <v>1979</v>
      </c>
      <c r="G6520" s="3" t="s">
        <v>317</v>
      </c>
      <c r="H6520" s="2" t="s">
        <v>21</v>
      </c>
      <c r="I6520" s="2" t="s">
        <v>16393</v>
      </c>
      <c r="J6520" s="3" t="str">
        <f>HYPERLINK("https://www.boe.es/gazeta/dias/1812/11/15/pdfs/GMR-1812-34.pdf#page=6","Abrir facsímil")</f>
        <v>Abrir facsímil</v>
      </c>
      <c r="K6520" s="3" t="s">
        <v>23</v>
      </c>
    </row>
    <row r="6521" spans="1:11" ht="42" customHeight="1">
      <c r="A6521" s="2" t="s">
        <v>16373</v>
      </c>
      <c r="B6521" s="2" t="s">
        <v>16373</v>
      </c>
      <c r="C6521" s="2" t="s">
        <v>26</v>
      </c>
      <c r="D6521" s="2" t="s">
        <v>275</v>
      </c>
      <c r="E6521" s="4">
        <v>-31805</v>
      </c>
      <c r="F6521" s="3" t="s">
        <v>895</v>
      </c>
      <c r="G6521" s="3" t="s">
        <v>11809</v>
      </c>
      <c r="H6521" s="2" t="s">
        <v>21</v>
      </c>
      <c r="I6521" s="2" t="s">
        <v>16394</v>
      </c>
      <c r="J6521" s="3" t="str">
        <f>HYPERLINK("https://www.boe.es/gazeta/dias/1812/12/01/pdfs/GMR-1812-39.pdf#page=9","Abrir facsímil")</f>
        <v>Abrir facsímil</v>
      </c>
      <c r="K6521" s="3" t="s">
        <v>23</v>
      </c>
    </row>
    <row r="6522" spans="1:11" ht="42" customHeight="1">
      <c r="A6522" s="2" t="s">
        <v>16373</v>
      </c>
      <c r="B6522" s="2" t="s">
        <v>16373</v>
      </c>
      <c r="C6522" s="2" t="s">
        <v>17</v>
      </c>
      <c r="D6522" s="2" t="s">
        <v>18</v>
      </c>
      <c r="E6522" s="4">
        <v>-31794</v>
      </c>
      <c r="F6522" s="3" t="s">
        <v>254</v>
      </c>
      <c r="G6522" s="3" t="s">
        <v>801</v>
      </c>
      <c r="H6522" s="2" t="s">
        <v>21</v>
      </c>
      <c r="I6522" s="2" t="s">
        <v>16395</v>
      </c>
      <c r="J6522" s="3" t="str">
        <f>HYPERLINK("https://www.boe.es/gazeta/dias/1812/12/12/pdfs/GMD-1812-235.pdf#page=4","Abrir facsímil")</f>
        <v>Abrir facsímil</v>
      </c>
      <c r="K6522" s="3" t="s">
        <v>23</v>
      </c>
    </row>
    <row r="6523" spans="1:11" ht="42" customHeight="1">
      <c r="A6523" s="2" t="s">
        <v>16396</v>
      </c>
      <c r="B6523" s="2" t="s">
        <v>16397</v>
      </c>
      <c r="C6523" s="2" t="s">
        <v>26</v>
      </c>
      <c r="D6523" s="2" t="s">
        <v>27</v>
      </c>
      <c r="E6523" s="4">
        <v>-31850</v>
      </c>
      <c r="F6523" s="3" t="s">
        <v>719</v>
      </c>
      <c r="G6523" s="3" t="s">
        <v>237</v>
      </c>
      <c r="H6523" s="2" t="s">
        <v>21</v>
      </c>
      <c r="I6523" s="2" t="s">
        <v>16398</v>
      </c>
      <c r="J6523" s="3" t="str">
        <f>HYPERLINK("https://www.boe.es/gazeta/dias/1812/10/17/pdfs/GMR-1812-28.pdf#page=8","Abrir facsímil")</f>
        <v>Abrir facsímil</v>
      </c>
      <c r="K6523" s="3" t="s">
        <v>23</v>
      </c>
    </row>
    <row r="6524" spans="1:11" ht="42" customHeight="1">
      <c r="A6524" s="2" t="s">
        <v>16396</v>
      </c>
      <c r="B6524" s="2" t="s">
        <v>16397</v>
      </c>
      <c r="C6524" s="2" t="s">
        <v>26</v>
      </c>
      <c r="D6524" s="2" t="s">
        <v>27</v>
      </c>
      <c r="E6524" s="4">
        <v>-31843</v>
      </c>
      <c r="F6524" s="3" t="s">
        <v>6436</v>
      </c>
      <c r="G6524" s="3" t="s">
        <v>7883</v>
      </c>
      <c r="H6524" s="2" t="s">
        <v>21</v>
      </c>
      <c r="I6524" s="2" t="s">
        <v>16399</v>
      </c>
      <c r="J6524" s="3" t="str">
        <f>HYPERLINK("https://www.boe.es/gazeta/dias/1812/10/24/pdfs/GRE-1812-143.pdf#page=3","Abrir facsímil")</f>
        <v>Abrir facsímil</v>
      </c>
      <c r="K6524" s="3" t="s">
        <v>23</v>
      </c>
    </row>
    <row r="6525" spans="1:11" ht="42" customHeight="1">
      <c r="A6525" s="2" t="s">
        <v>16400</v>
      </c>
      <c r="B6525" s="2" t="s">
        <v>16401</v>
      </c>
      <c r="C6525" s="2" t="s">
        <v>26</v>
      </c>
      <c r="D6525" s="2" t="s">
        <v>27</v>
      </c>
      <c r="E6525" s="4">
        <v>-31913</v>
      </c>
      <c r="F6525" s="3" t="s">
        <v>450</v>
      </c>
      <c r="G6525" s="3" t="s">
        <v>451</v>
      </c>
      <c r="H6525" s="2" t="s">
        <v>21</v>
      </c>
      <c r="I6525" s="2" t="s">
        <v>16402</v>
      </c>
      <c r="J6525" s="3" t="str">
        <f>HYPERLINK("https://www.boe.es/gazeta/dias/1812/08/15/pdfs/GRE-1812-105.pdf#page=8","Abrir facsímil")</f>
        <v>Abrir facsímil</v>
      </c>
      <c r="K6525" s="3" t="s">
        <v>23</v>
      </c>
    </row>
    <row r="6526" spans="1:11" ht="42" customHeight="1">
      <c r="A6526" s="2" t="s">
        <v>16403</v>
      </c>
      <c r="B6526" s="2" t="s">
        <v>16404</v>
      </c>
      <c r="C6526" s="2" t="s">
        <v>17</v>
      </c>
      <c r="D6526" s="2" t="s">
        <v>27</v>
      </c>
      <c r="E6526" s="4">
        <v>-31917</v>
      </c>
      <c r="F6526" s="3" t="s">
        <v>946</v>
      </c>
      <c r="G6526" s="3" t="s">
        <v>947</v>
      </c>
      <c r="H6526" s="2" t="s">
        <v>21</v>
      </c>
      <c r="I6526" s="2" t="s">
        <v>16405</v>
      </c>
      <c r="J6526" s="3" t="str">
        <f>HYPERLINK("https://www.boe.es/gazeta/dias/1812/08/11/pdfs/GRE-1812-103.pdf#page=8","Abrir facsímil")</f>
        <v>Abrir facsímil</v>
      </c>
      <c r="K6526" s="3" t="s">
        <v>23</v>
      </c>
    </row>
    <row r="6527" spans="1:11" ht="42" customHeight="1">
      <c r="A6527" s="2" t="s">
        <v>16406</v>
      </c>
      <c r="B6527" s="2" t="s">
        <v>16407</v>
      </c>
      <c r="C6527" s="2" t="s">
        <v>26</v>
      </c>
      <c r="D6527" s="2" t="s">
        <v>27</v>
      </c>
      <c r="E6527" s="4">
        <v>-31857</v>
      </c>
      <c r="F6527" s="3" t="s">
        <v>1000</v>
      </c>
      <c r="G6527" s="3" t="s">
        <v>1001</v>
      </c>
      <c r="H6527" s="2" t="s">
        <v>21</v>
      </c>
      <c r="I6527" s="2" t="s">
        <v>16408</v>
      </c>
      <c r="J6527" s="3" t="str">
        <f>HYPERLINK("https://www.boe.es/gazeta/dias/1812/10/10/pdfs/GRE-1812-137.pdf#page=7","Abrir facsímil")</f>
        <v>Abrir facsímil</v>
      </c>
      <c r="K6527" s="3" t="s">
        <v>23</v>
      </c>
    </row>
    <row r="6528" spans="1:11" ht="42" customHeight="1">
      <c r="A6528" s="2" t="s">
        <v>16409</v>
      </c>
      <c r="B6528" s="2" t="s">
        <v>16410</v>
      </c>
      <c r="C6528" s="2" t="s">
        <v>115</v>
      </c>
      <c r="D6528" s="2" t="s">
        <v>194</v>
      </c>
      <c r="E6528" s="4">
        <v>-31964</v>
      </c>
      <c r="F6528" s="3" t="s">
        <v>305</v>
      </c>
      <c r="G6528" s="3" t="s">
        <v>306</v>
      </c>
      <c r="H6528" s="2" t="s">
        <v>21</v>
      </c>
      <c r="I6528" s="2" t="s">
        <v>16411</v>
      </c>
      <c r="J6528" s="3" t="str">
        <f>HYPERLINK("https://www.boe.es/gazeta/dias/1812/06/25/pdfs/GMD-1812-177.pdf#page=3","Abrir facsímil")</f>
        <v>Abrir facsímil</v>
      </c>
      <c r="K6528" s="3" t="s">
        <v>23</v>
      </c>
    </row>
    <row r="6529" spans="1:11" ht="42" customHeight="1">
      <c r="A6529" s="2" t="s">
        <v>16412</v>
      </c>
      <c r="B6529" s="2" t="s">
        <v>16413</v>
      </c>
      <c r="C6529" s="2" t="s">
        <v>49</v>
      </c>
      <c r="D6529" s="2" t="s">
        <v>27</v>
      </c>
      <c r="E6529" s="4">
        <v>-32011</v>
      </c>
      <c r="F6529" s="3" t="s">
        <v>1233</v>
      </c>
      <c r="G6529" s="3" t="s">
        <v>20</v>
      </c>
      <c r="H6529" s="2" t="s">
        <v>21</v>
      </c>
      <c r="I6529" s="2" t="s">
        <v>16414</v>
      </c>
      <c r="J6529" s="3" t="str">
        <f>HYPERLINK("https://www.boe.es/gazeta/dias/1812/05/09/pdfs/GRE-1812-58.pdf#page=6","Abrir facsímil")</f>
        <v>Abrir facsímil</v>
      </c>
      <c r="K6529" s="3" t="s">
        <v>23</v>
      </c>
    </row>
    <row r="6530" spans="1:11" ht="42" customHeight="1">
      <c r="A6530" s="2" t="s">
        <v>16415</v>
      </c>
      <c r="B6530" s="2" t="s">
        <v>16416</v>
      </c>
      <c r="C6530" s="2" t="s">
        <v>17</v>
      </c>
      <c r="D6530" s="2" t="s">
        <v>18</v>
      </c>
      <c r="E6530" s="4">
        <v>-31822</v>
      </c>
      <c r="F6530" s="3" t="s">
        <v>541</v>
      </c>
      <c r="G6530" s="3" t="s">
        <v>214</v>
      </c>
      <c r="H6530" s="2" t="s">
        <v>21</v>
      </c>
      <c r="I6530" s="2" t="s">
        <v>16417</v>
      </c>
      <c r="J6530" s="3" t="str">
        <f>HYPERLINK("https://www.boe.es/gazeta/dias/1812/11/14/pdfs/GRE-1812-152.pdf#page=3","Abrir facsímil")</f>
        <v>Abrir facsímil</v>
      </c>
      <c r="K6530" s="3" t="s">
        <v>23</v>
      </c>
    </row>
    <row r="6531" spans="1:11" ht="42" customHeight="1">
      <c r="A6531" s="2" t="s">
        <v>16418</v>
      </c>
      <c r="B6531" s="2" t="s">
        <v>16419</v>
      </c>
      <c r="C6531" s="2" t="s">
        <v>17</v>
      </c>
      <c r="D6531" s="2" t="s">
        <v>27</v>
      </c>
      <c r="E6531" s="4">
        <v>-32055</v>
      </c>
      <c r="F6531" s="3" t="s">
        <v>459</v>
      </c>
      <c r="G6531" s="3" t="s">
        <v>20</v>
      </c>
      <c r="H6531" s="2" t="s">
        <v>21</v>
      </c>
      <c r="I6531" s="2" t="s">
        <v>16420</v>
      </c>
      <c r="J6531" s="3" t="str">
        <f>HYPERLINK("https://www.boe.es/gazeta/dias/1812/03/26/pdfs/GRE-1812-38.pdf#page=8","Abrir facsímil")</f>
        <v>Abrir facsímil</v>
      </c>
      <c r="K6531" s="3" t="s">
        <v>23</v>
      </c>
    </row>
    <row r="6532" spans="1:11" ht="42" customHeight="1">
      <c r="A6532" s="2" t="s">
        <v>16421</v>
      </c>
      <c r="B6532" s="2" t="s">
        <v>16422</v>
      </c>
      <c r="C6532" s="2" t="s">
        <v>67</v>
      </c>
      <c r="D6532" s="2" t="s">
        <v>27</v>
      </c>
      <c r="E6532" s="4">
        <v>-31978</v>
      </c>
      <c r="F6532" s="3" t="s">
        <v>1790</v>
      </c>
      <c r="G6532" s="3" t="s">
        <v>1791</v>
      </c>
      <c r="H6532" s="2" t="s">
        <v>21</v>
      </c>
      <c r="I6532" s="2" t="s">
        <v>16423</v>
      </c>
      <c r="J6532" s="3" t="str">
        <f>HYPERLINK("https://www.boe.es/gazeta/dias/1812/06/11/pdfs/GRE-1812-72.pdf#page=8","Abrir facsímil")</f>
        <v>Abrir facsímil</v>
      </c>
      <c r="K6532" s="3" t="s">
        <v>23</v>
      </c>
    </row>
    <row r="6533" spans="1:11" ht="42" customHeight="1">
      <c r="A6533" s="2" t="s">
        <v>16424</v>
      </c>
      <c r="B6533" s="2" t="s">
        <v>16425</v>
      </c>
      <c r="C6533" s="2" t="s">
        <v>26</v>
      </c>
      <c r="D6533" s="2" t="s">
        <v>27</v>
      </c>
      <c r="E6533" s="4">
        <v>-31901</v>
      </c>
      <c r="F6533" s="3" t="s">
        <v>2199</v>
      </c>
      <c r="G6533" s="3" t="s">
        <v>2200</v>
      </c>
      <c r="H6533" s="2" t="s">
        <v>21</v>
      </c>
      <c r="I6533" s="2" t="s">
        <v>16426</v>
      </c>
      <c r="J6533" s="3" t="str">
        <f>HYPERLINK("https://www.boe.es/gazeta/dias/1812/08/27/pdfs/GRE-1812-111.pdf#page=8","Abrir facsímil")</f>
        <v>Abrir facsímil</v>
      </c>
      <c r="K6533" s="3" t="s">
        <v>23</v>
      </c>
    </row>
    <row r="6534" spans="1:11" ht="42" customHeight="1">
      <c r="A6534" s="2" t="s">
        <v>16427</v>
      </c>
      <c r="B6534" s="2" t="s">
        <v>16427</v>
      </c>
      <c r="C6534" s="2" t="s">
        <v>17</v>
      </c>
      <c r="D6534" s="2" t="s">
        <v>18</v>
      </c>
      <c r="E6534" s="4">
        <v>-31808</v>
      </c>
      <c r="F6534" s="3" t="s">
        <v>416</v>
      </c>
      <c r="G6534" s="3" t="s">
        <v>130</v>
      </c>
      <c r="H6534" s="2" t="s">
        <v>21</v>
      </c>
      <c r="I6534" s="2" t="s">
        <v>16428</v>
      </c>
      <c r="J6534" s="3" t="str">
        <f>HYPERLINK("https://www.boe.es/gazeta/dias/1812/11/28/pdfs/GRE-1812-158.pdf#page=4","Abrir facsímil")</f>
        <v>Abrir facsímil</v>
      </c>
      <c r="K6534" s="3" t="s">
        <v>23</v>
      </c>
    </row>
    <row r="6535" spans="1:11" ht="42" customHeight="1">
      <c r="A6535" s="2" t="s">
        <v>16429</v>
      </c>
      <c r="B6535" s="2" t="s">
        <v>16430</v>
      </c>
      <c r="C6535" s="2" t="s">
        <v>26</v>
      </c>
      <c r="D6535" s="2" t="s">
        <v>27</v>
      </c>
      <c r="E6535" s="4">
        <v>-32126</v>
      </c>
      <c r="F6535" s="3" t="s">
        <v>5107</v>
      </c>
      <c r="G6535" s="3" t="s">
        <v>58</v>
      </c>
      <c r="H6535" s="2" t="s">
        <v>21</v>
      </c>
      <c r="I6535" s="2" t="s">
        <v>16431</v>
      </c>
      <c r="J6535" s="3" t="str">
        <f>HYPERLINK("https://www.boe.es/gazeta/dias/1812/01/15/pdfs/GMD-1812-15.pdf#page=4","Abrir facsímil")</f>
        <v>Abrir facsímil</v>
      </c>
      <c r="K6535" s="3" t="s">
        <v>23</v>
      </c>
    </row>
    <row r="6536" spans="1:11" ht="42" customHeight="1">
      <c r="A6536" s="2" t="s">
        <v>16432</v>
      </c>
      <c r="B6536" s="2" t="s">
        <v>16433</v>
      </c>
      <c r="C6536" s="2" t="s">
        <v>26</v>
      </c>
      <c r="D6536" s="2" t="s">
        <v>27</v>
      </c>
      <c r="E6536" s="4">
        <v>-31939</v>
      </c>
      <c r="F6536" s="3" t="s">
        <v>408</v>
      </c>
      <c r="G6536" s="3" t="s">
        <v>404</v>
      </c>
      <c r="H6536" s="2" t="s">
        <v>21</v>
      </c>
      <c r="I6536" s="2" t="s">
        <v>16434</v>
      </c>
      <c r="J6536" s="3" t="str">
        <f>HYPERLINK("https://www.boe.es/gazeta/dias/1812/07/20/pdfs/GMD-1812-202.pdf#page=2","Abrir facsímil")</f>
        <v>Abrir facsímil</v>
      </c>
      <c r="K6536" s="3" t="s">
        <v>23</v>
      </c>
    </row>
    <row r="6537" spans="1:11" ht="42" customHeight="1">
      <c r="A6537" s="2" t="s">
        <v>16435</v>
      </c>
      <c r="B6537" s="2" t="s">
        <v>16436</v>
      </c>
      <c r="C6537" s="2" t="s">
        <v>26</v>
      </c>
      <c r="D6537" s="2" t="s">
        <v>27</v>
      </c>
      <c r="E6537" s="4">
        <v>-31941</v>
      </c>
      <c r="F6537" s="3" t="s">
        <v>57</v>
      </c>
      <c r="G6537" s="3" t="s">
        <v>58</v>
      </c>
      <c r="H6537" s="2" t="s">
        <v>21</v>
      </c>
      <c r="I6537" s="2" t="s">
        <v>16437</v>
      </c>
      <c r="J6537" s="3" t="str">
        <f>HYPERLINK("https://www.boe.es/gazeta/dias/1812/07/18/pdfs/GMD-1812-200.pdf#page=4","Abrir facsímil")</f>
        <v>Abrir facsímil</v>
      </c>
      <c r="K6537" s="3" t="s">
        <v>23</v>
      </c>
    </row>
    <row r="6538" spans="1:11" ht="42" customHeight="1">
      <c r="A6538" s="2" t="s">
        <v>16438</v>
      </c>
      <c r="B6538" s="2" t="s">
        <v>16438</v>
      </c>
      <c r="C6538" s="2" t="s">
        <v>17</v>
      </c>
      <c r="D6538" s="2" t="s">
        <v>18</v>
      </c>
      <c r="E6538" s="4">
        <v>-31784</v>
      </c>
      <c r="F6538" s="3" t="s">
        <v>1648</v>
      </c>
      <c r="G6538" s="3" t="s">
        <v>1650</v>
      </c>
      <c r="H6538" s="2" t="s">
        <v>21</v>
      </c>
      <c r="I6538" s="2" t="s">
        <v>16439</v>
      </c>
      <c r="J6538" s="3" t="str">
        <f>HYPERLINK("https://www.boe.es/gazeta/dias/1812/12/22/pdfs/GMD-1812-245.pdf#page=4","Abrir facsímil")</f>
        <v>Abrir facsímil</v>
      </c>
      <c r="K6538" s="3" t="s">
        <v>23</v>
      </c>
    </row>
    <row r="6539" spans="1:11" ht="42" customHeight="1">
      <c r="A6539" s="2" t="s">
        <v>16440</v>
      </c>
      <c r="B6539" s="2" t="s">
        <v>16441</v>
      </c>
      <c r="C6539" s="2" t="s">
        <v>26</v>
      </c>
      <c r="D6539" s="2" t="s">
        <v>27</v>
      </c>
      <c r="E6539" s="4">
        <v>-32034</v>
      </c>
      <c r="F6539" s="3" t="s">
        <v>1008</v>
      </c>
      <c r="G6539" s="3" t="s">
        <v>1009</v>
      </c>
      <c r="H6539" s="2" t="s">
        <v>21</v>
      </c>
      <c r="I6539" s="2" t="s">
        <v>16442</v>
      </c>
      <c r="J6539" s="3" t="str">
        <f>HYPERLINK("https://www.boe.es/gazeta/dias/1812/04/16/pdfs/GRE-1812-48.pdf#page=8","Abrir facsímil")</f>
        <v>Abrir facsímil</v>
      </c>
      <c r="K6539" s="3" t="s">
        <v>23</v>
      </c>
    </row>
    <row r="6540" spans="1:11" ht="42" customHeight="1">
      <c r="A6540" s="2" t="s">
        <v>16443</v>
      </c>
      <c r="B6540" s="2" t="s">
        <v>16444</v>
      </c>
      <c r="C6540" s="2" t="s">
        <v>26</v>
      </c>
      <c r="D6540" s="2" t="s">
        <v>27</v>
      </c>
      <c r="E6540" s="4">
        <v>-32100</v>
      </c>
      <c r="F6540" s="3" t="s">
        <v>492</v>
      </c>
      <c r="G6540" s="3" t="s">
        <v>493</v>
      </c>
      <c r="H6540" s="2" t="s">
        <v>21</v>
      </c>
      <c r="I6540" s="2" t="s">
        <v>16445</v>
      </c>
      <c r="J6540" s="3" t="str">
        <f>HYPERLINK("https://www.boe.es/gazeta/dias/1812/02/10/pdfs/GRE-1812-31.pdf#page=8","Abrir facsímil")</f>
        <v>Abrir facsímil</v>
      </c>
      <c r="K6540" s="3" t="s">
        <v>23</v>
      </c>
    </row>
    <row r="6541" spans="1:11" ht="42" customHeight="1">
      <c r="A6541" s="2" t="s">
        <v>16443</v>
      </c>
      <c r="B6541" s="2" t="s">
        <v>16444</v>
      </c>
      <c r="C6541" s="2" t="s">
        <v>26</v>
      </c>
      <c r="D6541" s="2" t="s">
        <v>27</v>
      </c>
      <c r="E6541" s="4">
        <v>-32071</v>
      </c>
      <c r="F6541" s="3" t="s">
        <v>492</v>
      </c>
      <c r="G6541" s="3" t="s">
        <v>493</v>
      </c>
      <c r="H6541" s="2" t="s">
        <v>21</v>
      </c>
      <c r="I6541" s="2" t="s">
        <v>16445</v>
      </c>
      <c r="J6541" s="3" t="str">
        <f>HYPERLINK("https://www.boe.es/gazeta/dias/1812/03/10/pdfs/GRE-1812-31.pdf#page=8","Abrir facsímil")</f>
        <v>Abrir facsímil</v>
      </c>
      <c r="K6541" s="3" t="s">
        <v>23</v>
      </c>
    </row>
    <row r="6542" spans="1:11" ht="42" customHeight="1">
      <c r="A6542" s="2" t="s">
        <v>16446</v>
      </c>
      <c r="B6542" s="2" t="s">
        <v>16447</v>
      </c>
      <c r="C6542" s="2" t="s">
        <v>26</v>
      </c>
      <c r="D6542" s="2" t="s">
        <v>27</v>
      </c>
      <c r="E6542" s="4">
        <v>-32100</v>
      </c>
      <c r="F6542" s="3" t="s">
        <v>492</v>
      </c>
      <c r="G6542" s="3" t="s">
        <v>493</v>
      </c>
      <c r="H6542" s="2" t="s">
        <v>21</v>
      </c>
      <c r="I6542" s="2" t="s">
        <v>16448</v>
      </c>
      <c r="J6542" s="3" t="str">
        <f>HYPERLINK("https://www.boe.es/gazeta/dias/1812/02/10/pdfs/GRE-1812-31.pdf#page=8","Abrir facsímil")</f>
        <v>Abrir facsímil</v>
      </c>
      <c r="K6542" s="3" t="s">
        <v>23</v>
      </c>
    </row>
    <row r="6543" spans="1:11" ht="42" customHeight="1">
      <c r="A6543" s="2" t="s">
        <v>16446</v>
      </c>
      <c r="B6543" s="2" t="s">
        <v>16447</v>
      </c>
      <c r="C6543" s="2" t="s">
        <v>26</v>
      </c>
      <c r="D6543" s="2" t="s">
        <v>27</v>
      </c>
      <c r="E6543" s="4">
        <v>-32071</v>
      </c>
      <c r="F6543" s="3" t="s">
        <v>492</v>
      </c>
      <c r="G6543" s="3" t="s">
        <v>493</v>
      </c>
      <c r="H6543" s="2" t="s">
        <v>21</v>
      </c>
      <c r="I6543" s="2" t="s">
        <v>16448</v>
      </c>
      <c r="J6543" s="3" t="str">
        <f>HYPERLINK("https://www.boe.es/gazeta/dias/1812/03/10/pdfs/GRE-1812-31.pdf#page=8","Abrir facsímil")</f>
        <v>Abrir facsímil</v>
      </c>
      <c r="K6543" s="3" t="s">
        <v>23</v>
      </c>
    </row>
    <row r="6544" spans="1:11" ht="42" customHeight="1">
      <c r="A6544" s="2" t="s">
        <v>16449</v>
      </c>
      <c r="B6544" s="2" t="s">
        <v>16450</v>
      </c>
      <c r="C6544" s="2" t="s">
        <v>26</v>
      </c>
      <c r="D6544" s="2" t="s">
        <v>27</v>
      </c>
      <c r="E6544" s="4">
        <v>-31864</v>
      </c>
      <c r="F6544" s="3" t="s">
        <v>3014</v>
      </c>
      <c r="G6544" s="3" t="s">
        <v>5929</v>
      </c>
      <c r="H6544" s="2" t="s">
        <v>21</v>
      </c>
      <c r="I6544" s="2" t="s">
        <v>16451</v>
      </c>
      <c r="J6544" s="3" t="str">
        <f>HYPERLINK("https://www.boe.es/gazeta/dias/1812/10/03/pdfs/GRE-1812-134.pdf#page=8","Abrir facsímil")</f>
        <v>Abrir facsímil</v>
      </c>
      <c r="K6544" s="3" t="s">
        <v>23</v>
      </c>
    </row>
    <row r="6545" spans="1:11" ht="42" customHeight="1">
      <c r="A6545" s="2" t="s">
        <v>16452</v>
      </c>
      <c r="B6545" s="2" t="s">
        <v>16453</v>
      </c>
      <c r="C6545" s="2" t="s">
        <v>26</v>
      </c>
      <c r="D6545" s="2" t="s">
        <v>27</v>
      </c>
      <c r="E6545" s="4">
        <v>-31838</v>
      </c>
      <c r="F6545" s="3" t="s">
        <v>1452</v>
      </c>
      <c r="G6545" s="3" t="s">
        <v>29</v>
      </c>
      <c r="H6545" s="2" t="s">
        <v>21</v>
      </c>
      <c r="I6545" s="2" t="s">
        <v>16454</v>
      </c>
      <c r="J6545" s="3" t="str">
        <f>HYPERLINK("https://www.boe.es/gazeta/dias/1812/10/29/pdfs/GMR-1812-33.pdf#page=8","Abrir facsímil")</f>
        <v>Abrir facsímil</v>
      </c>
      <c r="K6545" s="3" t="s">
        <v>23</v>
      </c>
    </row>
    <row r="6546" spans="1:11" ht="42" customHeight="1">
      <c r="A6546" s="2" t="s">
        <v>16455</v>
      </c>
      <c r="B6546" s="2" t="s">
        <v>16456</v>
      </c>
      <c r="C6546" s="2" t="s">
        <v>26</v>
      </c>
      <c r="D6546" s="2" t="s">
        <v>27</v>
      </c>
      <c r="E6546" s="4">
        <v>-32034</v>
      </c>
      <c r="F6546" s="3" t="s">
        <v>28</v>
      </c>
      <c r="G6546" s="3" t="s">
        <v>130</v>
      </c>
      <c r="H6546" s="2" t="s">
        <v>21</v>
      </c>
      <c r="I6546" s="2" t="s">
        <v>16457</v>
      </c>
      <c r="J6546" s="3" t="str">
        <f>HYPERLINK("https://www.boe.es/gazeta/dias/1812/04/16/pdfs/GMD-1812-107.pdf#page=4","Abrir facsímil")</f>
        <v>Abrir facsímil</v>
      </c>
      <c r="K6546" s="3" t="s">
        <v>23</v>
      </c>
    </row>
    <row r="6547" spans="1:11" ht="42" customHeight="1">
      <c r="A6547" s="2" t="s">
        <v>16458</v>
      </c>
      <c r="B6547" s="2" t="s">
        <v>16459</v>
      </c>
      <c r="C6547" s="2" t="s">
        <v>105</v>
      </c>
      <c r="D6547" s="2" t="s">
        <v>27</v>
      </c>
      <c r="E6547" s="4">
        <v>-32139</v>
      </c>
      <c r="F6547" s="3" t="s">
        <v>518</v>
      </c>
      <c r="G6547" s="3" t="s">
        <v>125</v>
      </c>
      <c r="H6547" s="2" t="s">
        <v>21</v>
      </c>
      <c r="I6547" s="2" t="s">
        <v>16460</v>
      </c>
      <c r="J6547" s="3" t="str">
        <f>HYPERLINK("https://www.boe.es/gazeta/dias/1812/01/02/pdfs/GEI-1812-1.pdf#page=8","Abrir facsímil")</f>
        <v>Abrir facsímil</v>
      </c>
      <c r="K6547" s="3" t="s">
        <v>23</v>
      </c>
    </row>
    <row r="6548" spans="1:11" ht="42" customHeight="1">
      <c r="A6548" s="2" t="s">
        <v>16461</v>
      </c>
      <c r="B6548" s="2" t="s">
        <v>16462</v>
      </c>
      <c r="C6548" s="2" t="s">
        <v>67</v>
      </c>
      <c r="D6548" s="2" t="s">
        <v>27</v>
      </c>
      <c r="E6548" s="4">
        <v>-32000</v>
      </c>
      <c r="F6548" s="3" t="s">
        <v>878</v>
      </c>
      <c r="G6548" s="3" t="s">
        <v>214</v>
      </c>
      <c r="H6548" s="2" t="s">
        <v>21</v>
      </c>
      <c r="I6548" s="2" t="s">
        <v>16463</v>
      </c>
      <c r="J6548" s="3" t="str">
        <f>HYPERLINK("https://www.boe.es/gazeta/dias/1812/05/20/pdfs/GMD-1812-141.pdf#page=2","Abrir facsímil")</f>
        <v>Abrir facsímil</v>
      </c>
      <c r="K6548" s="3" t="s">
        <v>23</v>
      </c>
    </row>
    <row r="6549" spans="1:11" ht="42" customHeight="1">
      <c r="A6549" s="2" t="s">
        <v>16464</v>
      </c>
      <c r="B6549" s="2" t="s">
        <v>16465</v>
      </c>
      <c r="C6549" s="2" t="s">
        <v>26</v>
      </c>
      <c r="D6549" s="2" t="s">
        <v>27</v>
      </c>
      <c r="E6549" s="4">
        <v>-32129</v>
      </c>
      <c r="F6549" s="3" t="s">
        <v>3162</v>
      </c>
      <c r="G6549" s="3" t="s">
        <v>2313</v>
      </c>
      <c r="H6549" s="2" t="s">
        <v>21</v>
      </c>
      <c r="I6549" s="2" t="s">
        <v>16466</v>
      </c>
      <c r="J6549" s="3" t="str">
        <f>HYPERLINK("https://www.boe.es/gazeta/dias/1812/01/12/pdfs/GMD-1812-12.pdf#page=4","Abrir facsímil")</f>
        <v>Abrir facsímil</v>
      </c>
      <c r="K6549" s="3" t="s">
        <v>23</v>
      </c>
    </row>
    <row r="6550" spans="1:11" ht="42" customHeight="1">
      <c r="A6550" s="2" t="s">
        <v>16467</v>
      </c>
      <c r="B6550" s="2" t="s">
        <v>16467</v>
      </c>
      <c r="C6550" s="2" t="s">
        <v>17</v>
      </c>
      <c r="D6550" s="2" t="s">
        <v>18</v>
      </c>
      <c r="E6550" s="4">
        <v>-32063</v>
      </c>
      <c r="F6550" s="3" t="s">
        <v>384</v>
      </c>
      <c r="G6550" s="3" t="s">
        <v>20</v>
      </c>
      <c r="H6550" s="2" t="s">
        <v>21</v>
      </c>
      <c r="I6550" s="2" t="s">
        <v>16468</v>
      </c>
      <c r="J6550" s="3" t="str">
        <f>HYPERLINK("https://www.boe.es/gazeta/dias/1812/03/18/pdfs/GMD-1812-78.pdf#page=4","Abrir facsímil")</f>
        <v>Abrir facsímil</v>
      </c>
      <c r="K6550" s="3" t="s">
        <v>23</v>
      </c>
    </row>
    <row r="6551" spans="1:11" ht="42" customHeight="1">
      <c r="A6551" s="2" t="s">
        <v>16469</v>
      </c>
      <c r="B6551" s="2" t="s">
        <v>16469</v>
      </c>
      <c r="C6551" s="2" t="s">
        <v>49</v>
      </c>
      <c r="D6551" s="2" t="s">
        <v>27</v>
      </c>
      <c r="E6551" s="4">
        <v>-32013</v>
      </c>
      <c r="F6551" s="3" t="s">
        <v>849</v>
      </c>
      <c r="G6551" s="3" t="s">
        <v>6818</v>
      </c>
      <c r="H6551" s="2" t="s">
        <v>21</v>
      </c>
      <c r="I6551" s="2" t="s">
        <v>16470</v>
      </c>
      <c r="J6551" s="3" t="str">
        <f>HYPERLINK("https://www.boe.es/gazeta/dias/1812/05/07/pdfs/GRE-1812-57.pdf#page=8","Abrir facsímil")</f>
        <v>Abrir facsímil</v>
      </c>
      <c r="K6551" s="3" t="s">
        <v>23</v>
      </c>
    </row>
    <row r="6552" spans="1:11" ht="42" customHeight="1">
      <c r="A6552" s="2" t="s">
        <v>16471</v>
      </c>
      <c r="B6552" s="2" t="s">
        <v>16472</v>
      </c>
      <c r="C6552" s="2" t="s">
        <v>26</v>
      </c>
      <c r="D6552" s="2" t="s">
        <v>27</v>
      </c>
      <c r="E6552" s="4">
        <v>-32125</v>
      </c>
      <c r="F6552" s="3" t="s">
        <v>335</v>
      </c>
      <c r="G6552" s="3" t="s">
        <v>336</v>
      </c>
      <c r="H6552" s="2" t="s">
        <v>21</v>
      </c>
      <c r="I6552" s="2" t="s">
        <v>16473</v>
      </c>
      <c r="J6552" s="3" t="str">
        <f>HYPERLINK("https://www.boe.es/gazeta/dias/1812/01/16/pdfs/GEI-1812-7.pdf#page=8","Abrir facsímil")</f>
        <v>Abrir facsímil</v>
      </c>
      <c r="K6552" s="3" t="s">
        <v>23</v>
      </c>
    </row>
    <row r="6553" spans="1:11" ht="42" customHeight="1">
      <c r="A6553" s="2" t="s">
        <v>16474</v>
      </c>
      <c r="B6553" s="2" t="s">
        <v>16475</v>
      </c>
      <c r="C6553" s="2" t="s">
        <v>26</v>
      </c>
      <c r="D6553" s="2" t="s">
        <v>194</v>
      </c>
      <c r="E6553" s="4">
        <v>-31964</v>
      </c>
      <c r="F6553" s="3" t="s">
        <v>305</v>
      </c>
      <c r="G6553" s="3" t="s">
        <v>306</v>
      </c>
      <c r="H6553" s="2" t="s">
        <v>21</v>
      </c>
      <c r="I6553" s="2" t="s">
        <v>16476</v>
      </c>
      <c r="J6553" s="3" t="str">
        <f>HYPERLINK("https://www.boe.es/gazeta/dias/1812/06/25/pdfs/GMD-1812-177.pdf#page=3","Abrir facsímil")</f>
        <v>Abrir facsímil</v>
      </c>
      <c r="K6553" s="3" t="s">
        <v>23</v>
      </c>
    </row>
    <row r="6554" spans="1:11" ht="42" customHeight="1">
      <c r="A6554" s="2" t="s">
        <v>16477</v>
      </c>
      <c r="B6554" s="2" t="s">
        <v>16478</v>
      </c>
      <c r="C6554" s="2" t="s">
        <v>26</v>
      </c>
      <c r="D6554" s="2" t="s">
        <v>27</v>
      </c>
      <c r="E6554" s="4">
        <v>-31939</v>
      </c>
      <c r="F6554" s="3" t="s">
        <v>408</v>
      </c>
      <c r="G6554" s="3" t="s">
        <v>20</v>
      </c>
      <c r="H6554" s="2" t="s">
        <v>21</v>
      </c>
      <c r="I6554" s="2" t="s">
        <v>16479</v>
      </c>
      <c r="J6554" s="3" t="str">
        <f>HYPERLINK("https://www.boe.es/gazeta/dias/1812/07/20/pdfs/GMD-1812-202.pdf#page=4","Abrir facsímil")</f>
        <v>Abrir facsímil</v>
      </c>
      <c r="K6554" s="3" t="s">
        <v>23</v>
      </c>
    </row>
    <row r="6555" spans="1:11" ht="42" customHeight="1">
      <c r="A6555" s="2" t="s">
        <v>16480</v>
      </c>
      <c r="B6555" s="2" t="s">
        <v>16481</v>
      </c>
      <c r="C6555" s="2" t="s">
        <v>49</v>
      </c>
      <c r="D6555" s="2" t="s">
        <v>27</v>
      </c>
      <c r="E6555" s="4">
        <v>-32075</v>
      </c>
      <c r="F6555" s="3" t="s">
        <v>301</v>
      </c>
      <c r="G6555" s="3" t="s">
        <v>20</v>
      </c>
      <c r="H6555" s="2" t="s">
        <v>21</v>
      </c>
      <c r="I6555" s="2" t="s">
        <v>16482</v>
      </c>
      <c r="J6555" s="3" t="str">
        <f>HYPERLINK("https://www.boe.es/gazeta/dias/1812/03/06/pdfs/GMD-1812-66.pdf#page=4","Abrir facsímil")</f>
        <v>Abrir facsímil</v>
      </c>
      <c r="K6555" s="3" t="s">
        <v>23</v>
      </c>
    </row>
    <row r="6556" spans="1:11" ht="42" customHeight="1">
      <c r="A6556" s="2" t="s">
        <v>16483</v>
      </c>
      <c r="B6556" s="2" t="s">
        <v>16484</v>
      </c>
      <c r="C6556" s="2" t="s">
        <v>26</v>
      </c>
      <c r="D6556" s="2" t="s">
        <v>27</v>
      </c>
      <c r="E6556" s="4">
        <v>-31892</v>
      </c>
      <c r="F6556" s="3" t="s">
        <v>2760</v>
      </c>
      <c r="G6556" s="3" t="s">
        <v>3758</v>
      </c>
      <c r="H6556" s="2" t="s">
        <v>21</v>
      </c>
      <c r="I6556" s="2" t="s">
        <v>16485</v>
      </c>
      <c r="J6556" s="3" t="str">
        <f>HYPERLINK("https://www.boe.es/gazeta/dias/1812/09/05/pdfs/GRE-1812-120.pdf#page=5","Abrir facsímil")</f>
        <v>Abrir facsímil</v>
      </c>
      <c r="K6556" s="3" t="s">
        <v>23</v>
      </c>
    </row>
    <row r="6557" spans="1:11" ht="42" customHeight="1">
      <c r="A6557" s="2" t="s">
        <v>16486</v>
      </c>
      <c r="B6557" s="2" t="s">
        <v>16487</v>
      </c>
      <c r="C6557" s="2" t="s">
        <v>17</v>
      </c>
      <c r="D6557" s="2" t="s">
        <v>18</v>
      </c>
      <c r="E6557" s="4">
        <v>-31992</v>
      </c>
      <c r="F6557" s="3" t="s">
        <v>1292</v>
      </c>
      <c r="G6557" s="3" t="s">
        <v>1424</v>
      </c>
      <c r="H6557" s="2" t="s">
        <v>21</v>
      </c>
      <c r="I6557" s="2" t="s">
        <v>16488</v>
      </c>
      <c r="J6557" s="3" t="str">
        <f>HYPERLINK("https://www.boe.es/gazeta/dias/1812/05/28/pdfs/GRE-1812-66.pdf#page=5","Abrir facsímil")</f>
        <v>Abrir facsímil</v>
      </c>
      <c r="K6557" s="3" t="s">
        <v>23</v>
      </c>
    </row>
    <row r="6558" spans="1:11" ht="42" customHeight="1">
      <c r="A6558" s="2" t="s">
        <v>16489</v>
      </c>
      <c r="B6558" s="2" t="s">
        <v>16489</v>
      </c>
      <c r="C6558" s="2" t="s">
        <v>549</v>
      </c>
      <c r="D6558" s="2" t="s">
        <v>27</v>
      </c>
      <c r="E6558" s="4">
        <v>-31969</v>
      </c>
      <c r="F6558" s="3" t="s">
        <v>83</v>
      </c>
      <c r="G6558" s="3" t="s">
        <v>84</v>
      </c>
      <c r="H6558" s="2" t="s">
        <v>21</v>
      </c>
      <c r="I6558" s="2" t="s">
        <v>16490</v>
      </c>
      <c r="J6558" s="3" t="str">
        <f>HYPERLINK("https://www.boe.es/gazeta/dias/1812/06/20/pdfs/GRE-1812-76.pdf#page=8","Abrir facsímil")</f>
        <v>Abrir facsímil</v>
      </c>
      <c r="K6558" s="3" t="s">
        <v>23</v>
      </c>
    </row>
    <row r="6559" spans="1:11" ht="42" customHeight="1">
      <c r="A6559" s="2" t="s">
        <v>16491</v>
      </c>
      <c r="B6559" s="2" t="s">
        <v>16492</v>
      </c>
      <c r="C6559" s="2" t="s">
        <v>26</v>
      </c>
      <c r="D6559" s="2" t="s">
        <v>27</v>
      </c>
      <c r="E6559" s="4">
        <v>-32081</v>
      </c>
      <c r="F6559" s="3" t="s">
        <v>232</v>
      </c>
      <c r="G6559" s="3" t="s">
        <v>233</v>
      </c>
      <c r="H6559" s="2" t="s">
        <v>21</v>
      </c>
      <c r="I6559" s="2" t="s">
        <v>16493</v>
      </c>
      <c r="J6559" s="3" t="str">
        <f>HYPERLINK("https://www.boe.es/gazeta/dias/1812/02/29/pdfs/GRE-1812-27.pdf#page=8","Abrir facsímil")</f>
        <v>Abrir facsímil</v>
      </c>
      <c r="K6559" s="3" t="s">
        <v>23</v>
      </c>
    </row>
    <row r="6560" spans="1:11" ht="42" customHeight="1">
      <c r="A6560" s="2" t="s">
        <v>16494</v>
      </c>
      <c r="B6560" s="2" t="s">
        <v>16495</v>
      </c>
      <c r="C6560" s="2" t="s">
        <v>26</v>
      </c>
      <c r="D6560" s="2" t="s">
        <v>27</v>
      </c>
      <c r="E6560" s="4">
        <v>-32053</v>
      </c>
      <c r="F6560" s="3" t="s">
        <v>2877</v>
      </c>
      <c r="G6560" s="3" t="s">
        <v>965</v>
      </c>
      <c r="H6560" s="2" t="s">
        <v>21</v>
      </c>
      <c r="I6560" s="2" t="s">
        <v>16496</v>
      </c>
      <c r="J6560" s="3" t="str">
        <f>HYPERLINK("https://www.boe.es/gazeta/dias/1812/03/28/pdfs/GMD-1812-88.pdf#page=4","Abrir facsímil")</f>
        <v>Abrir facsímil</v>
      </c>
      <c r="K6560" s="3" t="s">
        <v>23</v>
      </c>
    </row>
    <row r="6561" spans="1:11" ht="42" customHeight="1">
      <c r="A6561" s="2" t="s">
        <v>16497</v>
      </c>
      <c r="B6561" s="2" t="s">
        <v>16498</v>
      </c>
      <c r="C6561" s="2" t="s">
        <v>26</v>
      </c>
      <c r="D6561" s="2" t="s">
        <v>27</v>
      </c>
      <c r="E6561" s="4">
        <v>-32060</v>
      </c>
      <c r="F6561" s="3" t="s">
        <v>399</v>
      </c>
      <c r="G6561" s="3" t="s">
        <v>136</v>
      </c>
      <c r="H6561" s="2" t="s">
        <v>21</v>
      </c>
      <c r="I6561" s="2" t="s">
        <v>16499</v>
      </c>
      <c r="J6561" s="3" t="str">
        <f>HYPERLINK("https://www.boe.es/gazeta/dias/1812/03/21/pdfs/GMD-1812-81.pdf#page=4","Abrir facsímil")</f>
        <v>Abrir facsímil</v>
      </c>
      <c r="K6561" s="3" t="s">
        <v>23</v>
      </c>
    </row>
    <row r="6562" spans="1:11" ht="42" customHeight="1">
      <c r="A6562" s="2" t="s">
        <v>16500</v>
      </c>
      <c r="B6562" s="2" t="s">
        <v>16501</v>
      </c>
      <c r="C6562" s="2" t="s">
        <v>17</v>
      </c>
      <c r="D6562" s="2" t="s">
        <v>18</v>
      </c>
      <c r="E6562" s="4">
        <v>-32095</v>
      </c>
      <c r="F6562" s="3" t="s">
        <v>181</v>
      </c>
      <c r="G6562" s="3" t="s">
        <v>777</v>
      </c>
      <c r="H6562" s="2" t="s">
        <v>21</v>
      </c>
      <c r="I6562" s="2" t="s">
        <v>16502</v>
      </c>
      <c r="J6562" s="3" t="str">
        <f>HYPERLINK("https://www.boe.es/gazeta/dias/1812/02/15/pdfs/GMD-1812-47.pdf#page=3","Abrir facsímil")</f>
        <v>Abrir facsímil</v>
      </c>
      <c r="K6562" s="3" t="s">
        <v>23</v>
      </c>
    </row>
    <row r="6563" spans="1:11" ht="42" customHeight="1">
      <c r="A6563" s="2" t="s">
        <v>16500</v>
      </c>
      <c r="B6563" s="2" t="s">
        <v>16501</v>
      </c>
      <c r="C6563" s="2" t="s">
        <v>17</v>
      </c>
      <c r="D6563" s="2" t="s">
        <v>18</v>
      </c>
      <c r="E6563" s="4">
        <v>-32094</v>
      </c>
      <c r="F6563" s="3" t="s">
        <v>181</v>
      </c>
      <c r="G6563" s="3" t="s">
        <v>777</v>
      </c>
      <c r="H6563" s="2" t="s">
        <v>21</v>
      </c>
      <c r="I6563" s="2" t="s">
        <v>16502</v>
      </c>
      <c r="J6563" s="3" t="str">
        <f>HYPERLINK("https://www.boe.es/gazeta/dias/1812/02/16/pdfs/GMD-1812-47.pdf#page=3","Abrir facsímil")</f>
        <v>Abrir facsímil</v>
      </c>
      <c r="K6563" s="3" t="s">
        <v>23</v>
      </c>
    </row>
    <row r="6564" spans="1:11" ht="42" customHeight="1">
      <c r="A6564" s="2" t="s">
        <v>16503</v>
      </c>
      <c r="B6564" s="2" t="s">
        <v>16504</v>
      </c>
      <c r="C6564" s="2" t="s">
        <v>17</v>
      </c>
      <c r="D6564" s="2" t="s">
        <v>18</v>
      </c>
      <c r="E6564" s="4">
        <v>-31992</v>
      </c>
      <c r="F6564" s="3" t="s">
        <v>1292</v>
      </c>
      <c r="G6564" s="3" t="s">
        <v>1424</v>
      </c>
      <c r="H6564" s="2" t="s">
        <v>21</v>
      </c>
      <c r="I6564" s="2" t="s">
        <v>16505</v>
      </c>
      <c r="J6564" s="3" t="str">
        <f>HYPERLINK("https://www.boe.es/gazeta/dias/1812/05/28/pdfs/GRE-1812-66.pdf#page=5","Abrir facsímil")</f>
        <v>Abrir facsímil</v>
      </c>
      <c r="K6564" s="3" t="s">
        <v>23</v>
      </c>
    </row>
    <row r="6565" spans="1:11" ht="42" customHeight="1">
      <c r="A6565" s="2" t="s">
        <v>16506</v>
      </c>
      <c r="B6565" s="2" t="s">
        <v>16507</v>
      </c>
      <c r="C6565" s="2" t="s">
        <v>17</v>
      </c>
      <c r="D6565" s="2" t="s">
        <v>27</v>
      </c>
      <c r="E6565" s="4">
        <v>-32015</v>
      </c>
      <c r="F6565" s="3" t="s">
        <v>77</v>
      </c>
      <c r="G6565" s="3" t="s">
        <v>78</v>
      </c>
      <c r="H6565" s="2" t="s">
        <v>21</v>
      </c>
      <c r="I6565" s="2" t="s">
        <v>16508</v>
      </c>
      <c r="J6565" s="3" t="str">
        <f>HYPERLINK("https://www.boe.es/gazeta/dias/1812/05/05/pdfs/GRE-1812-56.pdf#page=8","Abrir facsímil")</f>
        <v>Abrir facsímil</v>
      </c>
      <c r="K6565" s="3" t="s">
        <v>23</v>
      </c>
    </row>
    <row r="6566" spans="1:11" ht="42" customHeight="1">
      <c r="A6566" s="2" t="s">
        <v>16506</v>
      </c>
      <c r="B6566" s="2" t="s">
        <v>16507</v>
      </c>
      <c r="C6566" s="2" t="s">
        <v>26</v>
      </c>
      <c r="D6566" s="2" t="s">
        <v>573</v>
      </c>
      <c r="E6566" s="4">
        <v>-31900</v>
      </c>
      <c r="F6566" s="3" t="s">
        <v>276</v>
      </c>
      <c r="G6566" s="3" t="s">
        <v>277</v>
      </c>
      <c r="H6566" s="2" t="s">
        <v>21</v>
      </c>
      <c r="I6566" s="2" t="s">
        <v>16509</v>
      </c>
      <c r="J6566" s="3" t="str">
        <f>HYPERLINK("https://www.boe.es/gazeta/dias/1812/08/28/pdfs/GRE-1812-113E.pdf#page=8","Abrir facsímil")</f>
        <v>Abrir facsímil</v>
      </c>
      <c r="K6566" s="3" t="s">
        <v>23</v>
      </c>
    </row>
    <row r="6567" spans="1:11" ht="42" customHeight="1">
      <c r="A6567" s="2" t="s">
        <v>16510</v>
      </c>
      <c r="B6567" s="2" t="s">
        <v>16511</v>
      </c>
      <c r="C6567" s="2" t="s">
        <v>49</v>
      </c>
      <c r="D6567" s="2" t="s">
        <v>27</v>
      </c>
      <c r="E6567" s="4">
        <v>-31866</v>
      </c>
      <c r="F6567" s="3" t="s">
        <v>845</v>
      </c>
      <c r="G6567" s="3" t="s">
        <v>1210</v>
      </c>
      <c r="H6567" s="2" t="s">
        <v>21</v>
      </c>
      <c r="I6567" s="2" t="s">
        <v>16512</v>
      </c>
      <c r="J6567" s="3" t="str">
        <f>HYPERLINK("https://www.boe.es/gazeta/dias/1812/10/01/pdfs/GRE-1812-133.pdf#page=5","Abrir facsímil")</f>
        <v>Abrir facsímil</v>
      </c>
      <c r="K6567" s="3" t="s">
        <v>23</v>
      </c>
    </row>
    <row r="6568" spans="1:11" ht="42" customHeight="1">
      <c r="A6568" s="2" t="s">
        <v>16513</v>
      </c>
      <c r="B6568" s="2" t="s">
        <v>16514</v>
      </c>
      <c r="C6568" s="2" t="s">
        <v>17</v>
      </c>
      <c r="D6568" s="2" t="s">
        <v>18</v>
      </c>
      <c r="E6568" s="4">
        <v>-31812</v>
      </c>
      <c r="F6568" s="3" t="s">
        <v>1533</v>
      </c>
      <c r="G6568" s="3" t="s">
        <v>644</v>
      </c>
      <c r="H6568" s="2" t="s">
        <v>21</v>
      </c>
      <c r="I6568" s="2" t="s">
        <v>16515</v>
      </c>
      <c r="J6568" s="3" t="str">
        <f>HYPERLINK("https://www.boe.es/gazeta/dias/1812/11/24/pdfs/GMR-1812-37.pdf#page=4","Abrir facsímil")</f>
        <v>Abrir facsímil</v>
      </c>
      <c r="K6568" s="3" t="s">
        <v>23</v>
      </c>
    </row>
    <row r="6569" spans="1:11" ht="42" customHeight="1">
      <c r="A6569" s="2" t="s">
        <v>16516</v>
      </c>
      <c r="B6569" s="2" t="s">
        <v>16517</v>
      </c>
      <c r="C6569" s="2" t="s">
        <v>17</v>
      </c>
      <c r="D6569" s="2" t="s">
        <v>27</v>
      </c>
      <c r="E6569" s="4">
        <v>-31978</v>
      </c>
      <c r="F6569" s="3" t="s">
        <v>1790</v>
      </c>
      <c r="G6569" s="3" t="s">
        <v>130</v>
      </c>
      <c r="H6569" s="2" t="s">
        <v>21</v>
      </c>
      <c r="I6569" s="2" t="s">
        <v>16518</v>
      </c>
      <c r="J6569" s="3" t="str">
        <f>HYPERLINK("https://www.boe.es/gazeta/dias/1812/06/11/pdfs/GRE-1812-72.pdf#page=4","Abrir facsímil")</f>
        <v>Abrir facsímil</v>
      </c>
      <c r="K6569" s="3" t="s">
        <v>23</v>
      </c>
    </row>
    <row r="6570" spans="1:11" ht="42" customHeight="1">
      <c r="A6570" s="2" t="s">
        <v>16519</v>
      </c>
      <c r="B6570" s="2" t="s">
        <v>16519</v>
      </c>
      <c r="C6570" s="2" t="s">
        <v>17</v>
      </c>
      <c r="D6570" s="2" t="s">
        <v>27</v>
      </c>
      <c r="E6570" s="4">
        <v>-31864</v>
      </c>
      <c r="F6570" s="3" t="s">
        <v>4258</v>
      </c>
      <c r="G6570" s="3" t="s">
        <v>4259</v>
      </c>
      <c r="H6570" s="2" t="s">
        <v>21</v>
      </c>
      <c r="I6570" s="2" t="s">
        <v>16520</v>
      </c>
      <c r="J6570" s="3" t="str">
        <f>HYPERLINK("https://www.boe.es/gazeta/dias/1812/10/03/pdfs/GMR-1812-22.pdf#page=4","Abrir facsímil")</f>
        <v>Abrir facsímil</v>
      </c>
      <c r="K6570" s="3" t="s">
        <v>23</v>
      </c>
    </row>
    <row r="6571" spans="1:11" ht="42" customHeight="1">
      <c r="A6571" s="2" t="s">
        <v>16521</v>
      </c>
      <c r="B6571" s="2" t="s">
        <v>16522</v>
      </c>
      <c r="C6571" s="2" t="s">
        <v>26</v>
      </c>
      <c r="D6571" s="2" t="s">
        <v>27</v>
      </c>
      <c r="E6571" s="4">
        <v>-32034</v>
      </c>
      <c r="F6571" s="3" t="s">
        <v>28</v>
      </c>
      <c r="G6571" s="3" t="s">
        <v>29</v>
      </c>
      <c r="H6571" s="2" t="s">
        <v>21</v>
      </c>
      <c r="I6571" s="2" t="s">
        <v>16523</v>
      </c>
      <c r="J6571" s="3" t="str">
        <f>HYPERLINK("https://www.boe.es/gazeta/dias/1812/04/16/pdfs/GMD-1812-107.pdf#page=8","Abrir facsímil")</f>
        <v>Abrir facsímil</v>
      </c>
      <c r="K6571" s="3" t="s">
        <v>23</v>
      </c>
    </row>
    <row r="6572" spans="1:11" ht="42" customHeight="1">
      <c r="A6572" s="2" t="s">
        <v>16521</v>
      </c>
      <c r="B6572" s="2" t="s">
        <v>16522</v>
      </c>
      <c r="C6572" s="2" t="s">
        <v>26</v>
      </c>
      <c r="D6572" s="2" t="s">
        <v>27</v>
      </c>
      <c r="E6572" s="4">
        <v>-31840</v>
      </c>
      <c r="F6572" s="3" t="s">
        <v>2181</v>
      </c>
      <c r="G6572" s="3" t="s">
        <v>1799</v>
      </c>
      <c r="H6572" s="2" t="s">
        <v>21</v>
      </c>
      <c r="I6572" s="2" t="s">
        <v>16524</v>
      </c>
      <c r="J6572" s="3" t="str">
        <f>HYPERLINK("https://www.boe.es/gazeta/dias/1812/10/27/pdfs/GMR-1812-32.pdf#page=12","Abrir facsímil")</f>
        <v>Abrir facsímil</v>
      </c>
      <c r="K6572" s="3" t="s">
        <v>23</v>
      </c>
    </row>
    <row r="6573" spans="1:11" ht="42" customHeight="1">
      <c r="A6573" s="2" t="s">
        <v>16525</v>
      </c>
      <c r="B6573" s="2" t="s">
        <v>16526</v>
      </c>
      <c r="C6573" s="2" t="s">
        <v>26</v>
      </c>
      <c r="D6573" s="2" t="s">
        <v>27</v>
      </c>
      <c r="E6573" s="4">
        <v>-32137</v>
      </c>
      <c r="F6573" s="3" t="s">
        <v>4353</v>
      </c>
      <c r="G6573" s="3" t="s">
        <v>58</v>
      </c>
      <c r="H6573" s="2" t="s">
        <v>21</v>
      </c>
      <c r="I6573" s="2" t="s">
        <v>16527</v>
      </c>
      <c r="J6573" s="3" t="str">
        <f>HYPERLINK("https://www.boe.es/gazeta/dias/1812/01/04/pdfs/GMD-1812-4.pdf#page=4","Abrir facsímil")</f>
        <v>Abrir facsímil</v>
      </c>
      <c r="K6573" s="3" t="s">
        <v>23</v>
      </c>
    </row>
    <row r="6574" spans="1:11" ht="42" customHeight="1">
      <c r="A6574" s="2" t="s">
        <v>16525</v>
      </c>
      <c r="B6574" s="2" t="s">
        <v>16526</v>
      </c>
      <c r="C6574" s="2" t="s">
        <v>26</v>
      </c>
      <c r="D6574" s="2" t="s">
        <v>27</v>
      </c>
      <c r="E6574" s="4">
        <v>-32137</v>
      </c>
      <c r="F6574" s="3" t="s">
        <v>355</v>
      </c>
      <c r="G6574" s="3" t="s">
        <v>117</v>
      </c>
      <c r="H6574" s="2" t="s">
        <v>21</v>
      </c>
      <c r="I6574" s="2" t="s">
        <v>16528</v>
      </c>
      <c r="J6574" s="3" t="str">
        <f>HYPERLINK("https://www.boe.es/gazeta/dias/1812/01/04/pdfs/GEI-1812-2.pdf#page=8","Abrir facsímil")</f>
        <v>Abrir facsímil</v>
      </c>
      <c r="K6574" s="3" t="s">
        <v>23</v>
      </c>
    </row>
    <row r="6575" spans="1:11" ht="42" customHeight="1">
      <c r="A6575" s="2" t="s">
        <v>16529</v>
      </c>
      <c r="B6575" s="2" t="s">
        <v>16530</v>
      </c>
      <c r="C6575" s="2" t="s">
        <v>17</v>
      </c>
      <c r="D6575" s="2" t="s">
        <v>18</v>
      </c>
      <c r="E6575" s="4">
        <v>-32135</v>
      </c>
      <c r="F6575" s="3" t="s">
        <v>4558</v>
      </c>
      <c r="G6575" s="3" t="s">
        <v>1907</v>
      </c>
      <c r="H6575" s="2" t="s">
        <v>21</v>
      </c>
      <c r="I6575" s="2" t="s">
        <v>16531</v>
      </c>
      <c r="J6575" s="3" t="str">
        <f>HYPERLINK("https://www.boe.es/gazeta/dias/1812/01/06/pdfs/GMD-1812-7.pdf#page=4","Abrir facsímil")</f>
        <v>Abrir facsímil</v>
      </c>
      <c r="K6575" s="3" t="s">
        <v>23</v>
      </c>
    </row>
    <row r="6576" spans="1:11" ht="42" customHeight="1">
      <c r="A6576" s="2" t="s">
        <v>16529</v>
      </c>
      <c r="B6576" s="2" t="s">
        <v>16530</v>
      </c>
      <c r="C6576" s="2" t="s">
        <v>17</v>
      </c>
      <c r="D6576" s="2" t="s">
        <v>18</v>
      </c>
      <c r="E6576" s="4">
        <v>-32134</v>
      </c>
      <c r="F6576" s="3" t="s">
        <v>4558</v>
      </c>
      <c r="G6576" s="3" t="s">
        <v>1907</v>
      </c>
      <c r="H6576" s="2" t="s">
        <v>21</v>
      </c>
      <c r="I6576" s="2" t="s">
        <v>16531</v>
      </c>
      <c r="J6576" s="3" t="str">
        <f>HYPERLINK("https://www.boe.es/gazeta/dias/1812/01/07/pdfs/GMD-1812-7.pdf#page=4","Abrir facsímil")</f>
        <v>Abrir facsímil</v>
      </c>
      <c r="K6576" s="3" t="s">
        <v>23</v>
      </c>
    </row>
    <row r="6577" spans="1:11" ht="42" customHeight="1">
      <c r="A6577" s="2" t="s">
        <v>16525</v>
      </c>
      <c r="B6577" s="2" t="s">
        <v>16526</v>
      </c>
      <c r="C6577" s="2" t="s">
        <v>26</v>
      </c>
      <c r="D6577" s="2" t="s">
        <v>275</v>
      </c>
      <c r="E6577" s="4">
        <v>-31965</v>
      </c>
      <c r="F6577" s="3" t="s">
        <v>1180</v>
      </c>
      <c r="G6577" s="3" t="s">
        <v>777</v>
      </c>
      <c r="H6577" s="2" t="s">
        <v>21</v>
      </c>
      <c r="I6577" s="2" t="s">
        <v>16532</v>
      </c>
      <c r="J6577" s="3" t="str">
        <f>HYPERLINK("https://www.boe.es/gazeta/dias/1812/06/24/pdfs/GMD-1812-176.pdf#page=2","Abrir facsímil")</f>
        <v>Abrir facsímil</v>
      </c>
      <c r="K6577" s="3" t="s">
        <v>23</v>
      </c>
    </row>
    <row r="6578" spans="1:11" ht="42" customHeight="1">
      <c r="A6578" s="2" t="s">
        <v>16533</v>
      </c>
      <c r="B6578" s="2" t="s">
        <v>16534</v>
      </c>
      <c r="C6578" s="2" t="s">
        <v>67</v>
      </c>
      <c r="D6578" s="2" t="s">
        <v>275</v>
      </c>
      <c r="E6578" s="4">
        <v>-31991</v>
      </c>
      <c r="F6578" s="3" t="s">
        <v>663</v>
      </c>
      <c r="G6578" s="3" t="s">
        <v>404</v>
      </c>
      <c r="H6578" s="2" t="s">
        <v>21</v>
      </c>
      <c r="I6578" s="2" t="s">
        <v>16535</v>
      </c>
      <c r="J6578" s="3" t="str">
        <f>HYPERLINK("https://www.boe.es/gazeta/dias/1812/05/29/pdfs/GMD-1812-150.pdf#page=4","Abrir facsímil")</f>
        <v>Abrir facsímil</v>
      </c>
      <c r="K6578" s="3" t="s">
        <v>23</v>
      </c>
    </row>
    <row r="6579" spans="1:11" ht="42" customHeight="1">
      <c r="A6579" s="2" t="s">
        <v>16536</v>
      </c>
      <c r="B6579" s="2" t="s">
        <v>16537</v>
      </c>
      <c r="C6579" s="2" t="s">
        <v>26</v>
      </c>
      <c r="D6579" s="2" t="s">
        <v>27</v>
      </c>
      <c r="E6579" s="4">
        <v>-31956</v>
      </c>
      <c r="F6579" s="3" t="s">
        <v>19</v>
      </c>
      <c r="G6579" s="3" t="s">
        <v>11081</v>
      </c>
      <c r="H6579" s="2" t="s">
        <v>21</v>
      </c>
      <c r="I6579" s="2" t="s">
        <v>16538</v>
      </c>
      <c r="J6579" s="3" t="str">
        <f>HYPERLINK("https://www.boe.es/gazeta/dias/1812/07/03/pdfs/GMD-1812-185.pdf#page=4","Abrir facsímil")</f>
        <v>Abrir facsímil</v>
      </c>
      <c r="K6579" s="3" t="s">
        <v>23</v>
      </c>
    </row>
    <row r="6580" spans="1:11" ht="42" customHeight="1">
      <c r="A6580" s="2" t="s">
        <v>16539</v>
      </c>
      <c r="B6580" s="2" t="s">
        <v>16540</v>
      </c>
      <c r="C6580" s="2" t="s">
        <v>105</v>
      </c>
      <c r="D6580" s="2" t="s">
        <v>27</v>
      </c>
      <c r="E6580" s="4">
        <v>-31950</v>
      </c>
      <c r="F6580" s="3" t="s">
        <v>1024</v>
      </c>
      <c r="G6580" s="3" t="s">
        <v>4600</v>
      </c>
      <c r="H6580" s="2" t="s">
        <v>21</v>
      </c>
      <c r="I6580" s="2" t="s">
        <v>16541</v>
      </c>
      <c r="J6580" s="3" t="str">
        <f>HYPERLINK("https://www.boe.es/gazeta/dias/1812/07/09/pdfs/GRE-1812-84.pdf#page=1","Abrir facsímil")</f>
        <v>Abrir facsímil</v>
      </c>
      <c r="K6580" s="3" t="s">
        <v>23</v>
      </c>
    </row>
    <row r="6581" spans="1:11" ht="42" customHeight="1">
      <c r="A6581" s="2" t="s">
        <v>16542</v>
      </c>
      <c r="B6581" s="2" t="s">
        <v>16543</v>
      </c>
      <c r="C6581" s="2" t="s">
        <v>26</v>
      </c>
      <c r="D6581" s="2" t="s">
        <v>27</v>
      </c>
      <c r="E6581" s="4">
        <v>-32034</v>
      </c>
      <c r="F6581" s="3" t="s">
        <v>28</v>
      </c>
      <c r="G6581" s="3" t="s">
        <v>45</v>
      </c>
      <c r="H6581" s="2" t="s">
        <v>21</v>
      </c>
      <c r="I6581" s="2" t="s">
        <v>16544</v>
      </c>
      <c r="J6581" s="3" t="str">
        <f>HYPERLINK("https://www.boe.es/gazeta/dias/1812/04/16/pdfs/GMD-1812-107.pdf#page=5","Abrir facsímil")</f>
        <v>Abrir facsímil</v>
      </c>
      <c r="K6581" s="3" t="s">
        <v>23</v>
      </c>
    </row>
    <row r="6582" spans="1:11" ht="42" customHeight="1">
      <c r="A6582" s="2" t="s">
        <v>16545</v>
      </c>
      <c r="B6582" s="2" t="s">
        <v>16546</v>
      </c>
      <c r="C6582" s="2" t="s">
        <v>17</v>
      </c>
      <c r="D6582" s="2" t="s">
        <v>18</v>
      </c>
      <c r="E6582" s="4">
        <v>-31833</v>
      </c>
      <c r="F6582" s="3" t="s">
        <v>267</v>
      </c>
      <c r="G6582" s="3" t="s">
        <v>268</v>
      </c>
      <c r="H6582" s="2" t="s">
        <v>21</v>
      </c>
      <c r="I6582" s="2" t="s">
        <v>16547</v>
      </c>
      <c r="J6582" s="3" t="str">
        <f>HYPERLINK("https://www.boe.es/gazeta/dias/1812/11/03/pdfs/GRE-1812-147.pdf#page=8","Abrir facsímil")</f>
        <v>Abrir facsímil</v>
      </c>
      <c r="K6582" s="3" t="s">
        <v>23</v>
      </c>
    </row>
    <row r="6583" spans="1:11" ht="42" customHeight="1">
      <c r="A6583" s="2" t="s">
        <v>16545</v>
      </c>
      <c r="B6583" s="2" t="s">
        <v>16546</v>
      </c>
      <c r="C6583" s="2" t="s">
        <v>17</v>
      </c>
      <c r="D6583" s="2" t="s">
        <v>18</v>
      </c>
      <c r="E6583" s="4">
        <v>-31816</v>
      </c>
      <c r="F6583" s="3" t="s">
        <v>270</v>
      </c>
      <c r="G6583" s="3" t="s">
        <v>271</v>
      </c>
      <c r="H6583" s="2" t="s">
        <v>21</v>
      </c>
      <c r="I6583" s="2" t="s">
        <v>16548</v>
      </c>
      <c r="J6583" s="3" t="str">
        <f>HYPERLINK("https://www.boe.es/gazeta/dias/1812/11/20/pdfs/GMR-1812-36.pdf#page=6","Abrir facsímil")</f>
        <v>Abrir facsímil</v>
      </c>
      <c r="K6583" s="3" t="s">
        <v>23</v>
      </c>
    </row>
    <row r="6584" spans="1:11" ht="42" customHeight="1">
      <c r="A6584" s="2" t="s">
        <v>16549</v>
      </c>
      <c r="B6584" s="2" t="s">
        <v>16550</v>
      </c>
      <c r="C6584" s="2" t="s">
        <v>186</v>
      </c>
      <c r="D6584" s="2" t="s">
        <v>27</v>
      </c>
      <c r="E6584" s="4">
        <v>-31882</v>
      </c>
      <c r="F6584" s="3" t="s">
        <v>1798</v>
      </c>
      <c r="G6584" s="3" t="s">
        <v>11266</v>
      </c>
      <c r="H6584" s="2" t="s">
        <v>21</v>
      </c>
      <c r="I6584" s="2" t="s">
        <v>16551</v>
      </c>
      <c r="J6584" s="3" t="str">
        <f>HYPERLINK("https://www.boe.es/gazeta/dias/1812/09/15/pdfs/GMR-1812-14.pdf#page=11","Abrir facsímil")</f>
        <v>Abrir facsímil</v>
      </c>
      <c r="K6584" s="3" t="s">
        <v>23</v>
      </c>
    </row>
    <row r="6585" spans="1:11" ht="42" customHeight="1">
      <c r="A6585" s="2" t="s">
        <v>16552</v>
      </c>
      <c r="B6585" s="2" t="s">
        <v>16553</v>
      </c>
      <c r="C6585" s="2" t="s">
        <v>26</v>
      </c>
      <c r="D6585" s="2" t="s">
        <v>27</v>
      </c>
      <c r="E6585" s="4">
        <v>-31938</v>
      </c>
      <c r="F6585" s="3" t="s">
        <v>324</v>
      </c>
      <c r="G6585" s="3" t="s">
        <v>237</v>
      </c>
      <c r="H6585" s="2" t="s">
        <v>21</v>
      </c>
      <c r="I6585" s="2" t="s">
        <v>16554</v>
      </c>
      <c r="J6585" s="3" t="str">
        <f>HYPERLINK("https://www.boe.es/gazeta/dias/1812/07/21/pdfs/GMD-1812-203.pdf#page=2","Abrir facsímil")</f>
        <v>Abrir facsímil</v>
      </c>
      <c r="K6585" s="3" t="s">
        <v>23</v>
      </c>
    </row>
    <row r="6586" spans="1:11" ht="42" customHeight="1">
      <c r="A6586" s="2" t="s">
        <v>16555</v>
      </c>
      <c r="B6586" s="2" t="s">
        <v>16556</v>
      </c>
      <c r="C6586" s="2" t="s">
        <v>26</v>
      </c>
      <c r="D6586" s="2" t="s">
        <v>27</v>
      </c>
      <c r="E6586" s="4">
        <v>-32067</v>
      </c>
      <c r="F6586" s="3" t="s">
        <v>199</v>
      </c>
      <c r="G6586" s="3" t="s">
        <v>237</v>
      </c>
      <c r="H6586" s="2" t="s">
        <v>21</v>
      </c>
      <c r="I6586" s="2" t="s">
        <v>16557</v>
      </c>
      <c r="J6586" s="3" t="str">
        <f>HYPERLINK("https://www.boe.es/gazeta/dias/1812/03/14/pdfs/GRE-1812-33.pdf#page=8","Abrir facsímil")</f>
        <v>Abrir facsímil</v>
      </c>
      <c r="K6586" s="3" t="s">
        <v>23</v>
      </c>
    </row>
    <row r="6587" spans="1:11" ht="42" customHeight="1">
      <c r="A6587" s="2" t="s">
        <v>16555</v>
      </c>
      <c r="B6587" s="2" t="s">
        <v>16556</v>
      </c>
      <c r="C6587" s="2" t="s">
        <v>26</v>
      </c>
      <c r="D6587" s="2" t="s">
        <v>275</v>
      </c>
      <c r="E6587" s="4">
        <v>-32034</v>
      </c>
      <c r="F6587" s="3" t="s">
        <v>28</v>
      </c>
      <c r="G6587" s="3" t="s">
        <v>317</v>
      </c>
      <c r="H6587" s="2" t="s">
        <v>21</v>
      </c>
      <c r="I6587" s="2" t="s">
        <v>16558</v>
      </c>
      <c r="J6587" s="3" t="str">
        <f>HYPERLINK("https://www.boe.es/gazeta/dias/1812/04/16/pdfs/GMD-1812-107.pdf#page=6","Abrir facsímil")</f>
        <v>Abrir facsímil</v>
      </c>
      <c r="K6587" s="3" t="s">
        <v>23</v>
      </c>
    </row>
    <row r="6588" spans="1:11" ht="42" customHeight="1">
      <c r="A6588" s="2" t="s">
        <v>16555</v>
      </c>
      <c r="B6588" s="2" t="s">
        <v>16556</v>
      </c>
      <c r="C6588" s="2" t="s">
        <v>105</v>
      </c>
      <c r="D6588" s="2" t="s">
        <v>27</v>
      </c>
      <c r="E6588" s="4">
        <v>-31938</v>
      </c>
      <c r="F6588" s="3" t="s">
        <v>324</v>
      </c>
      <c r="G6588" s="3" t="s">
        <v>237</v>
      </c>
      <c r="H6588" s="2" t="s">
        <v>21</v>
      </c>
      <c r="I6588" s="2" t="s">
        <v>16559</v>
      </c>
      <c r="J6588" s="3" t="str">
        <f>HYPERLINK("https://www.boe.es/gazeta/dias/1812/07/21/pdfs/GMD-1812-203.pdf#page=2","Abrir facsímil")</f>
        <v>Abrir facsímil</v>
      </c>
      <c r="K6588" s="3" t="s">
        <v>23</v>
      </c>
    </row>
    <row r="6589" spans="1:11" ht="42" customHeight="1">
      <c r="A6589" s="2" t="s">
        <v>16560</v>
      </c>
      <c r="B6589" s="2" t="s">
        <v>16561</v>
      </c>
      <c r="C6589" s="2" t="s">
        <v>17</v>
      </c>
      <c r="D6589" s="2" t="s">
        <v>18</v>
      </c>
      <c r="E6589" s="4">
        <v>-32018</v>
      </c>
      <c r="F6589" s="3" t="s">
        <v>365</v>
      </c>
      <c r="G6589" s="3" t="s">
        <v>392</v>
      </c>
      <c r="H6589" s="2" t="s">
        <v>21</v>
      </c>
      <c r="I6589" s="2" t="s">
        <v>16562</v>
      </c>
      <c r="J6589" s="3" t="str">
        <f>HYPERLINK("https://www.boe.es/gazeta/dias/1812/05/02/pdfs/GRE-1812-55.pdf#page=2","Abrir facsímil")</f>
        <v>Abrir facsímil</v>
      </c>
      <c r="K6589" s="3" t="s">
        <v>23</v>
      </c>
    </row>
    <row r="6590" spans="1:11" ht="42" customHeight="1">
      <c r="A6590" s="2" t="s">
        <v>16563</v>
      </c>
      <c r="B6590" s="2" t="s">
        <v>16564</v>
      </c>
      <c r="C6590" s="2" t="s">
        <v>17</v>
      </c>
      <c r="D6590" s="2" t="s">
        <v>27</v>
      </c>
      <c r="E6590" s="4">
        <v>-31875</v>
      </c>
      <c r="F6590" s="3" t="s">
        <v>110</v>
      </c>
      <c r="G6590" s="3" t="s">
        <v>2373</v>
      </c>
      <c r="H6590" s="2" t="s">
        <v>21</v>
      </c>
      <c r="I6590" s="2" t="s">
        <v>16565</v>
      </c>
      <c r="J6590" s="3" t="str">
        <f>HYPERLINK("https://www.boe.es/gazeta/dias/1812/09/22/pdfs/GRE-1812-128.pdf#page=5","Abrir facsímil")</f>
        <v>Abrir facsímil</v>
      </c>
      <c r="K6590" s="3" t="s">
        <v>23</v>
      </c>
    </row>
    <row r="6591" spans="1:11" ht="42" customHeight="1">
      <c r="A6591" s="2" t="s">
        <v>16566</v>
      </c>
      <c r="B6591" s="2" t="s">
        <v>16567</v>
      </c>
      <c r="C6591" s="2" t="s">
        <v>67</v>
      </c>
      <c r="D6591" s="2" t="s">
        <v>27</v>
      </c>
      <c r="E6591" s="4">
        <v>-31847</v>
      </c>
      <c r="F6591" s="3" t="s">
        <v>219</v>
      </c>
      <c r="G6591" s="3" t="s">
        <v>1631</v>
      </c>
      <c r="H6591" s="2" t="s">
        <v>21</v>
      </c>
      <c r="I6591" s="2" t="s">
        <v>16568</v>
      </c>
      <c r="J6591" s="3" t="str">
        <f>HYPERLINK("https://www.boe.es/gazeta/dias/1812/10/20/pdfs/GRE-1812-141.pdf#page=8","Abrir facsímil")</f>
        <v>Abrir facsímil</v>
      </c>
      <c r="K6591" s="3" t="s">
        <v>23</v>
      </c>
    </row>
    <row r="6592" spans="1:11" ht="42" customHeight="1">
      <c r="A6592" s="2" t="s">
        <v>16569</v>
      </c>
      <c r="B6592" s="2" t="s">
        <v>16570</v>
      </c>
      <c r="C6592" s="2" t="s">
        <v>17</v>
      </c>
      <c r="D6592" s="2" t="s">
        <v>18</v>
      </c>
      <c r="E6592" s="4">
        <v>-32127</v>
      </c>
      <c r="F6592" s="3" t="s">
        <v>88</v>
      </c>
      <c r="G6592" s="3" t="s">
        <v>89</v>
      </c>
      <c r="H6592" s="2" t="s">
        <v>21</v>
      </c>
      <c r="I6592" s="2" t="s">
        <v>16571</v>
      </c>
      <c r="J6592" s="3" t="str">
        <f>HYPERLINK("https://www.boe.es/gazeta/dias/1812/01/14/pdfs/GEI-1812-6.pdf#page=8","Abrir facsímil")</f>
        <v>Abrir facsímil</v>
      </c>
      <c r="K6592" s="3" t="s">
        <v>23</v>
      </c>
    </row>
    <row r="6593" spans="1:11" ht="42" customHeight="1">
      <c r="A6593" s="2" t="s">
        <v>16569</v>
      </c>
      <c r="B6593" s="2" t="s">
        <v>16570</v>
      </c>
      <c r="C6593" s="2" t="s">
        <v>26</v>
      </c>
      <c r="D6593" s="2" t="s">
        <v>27</v>
      </c>
      <c r="E6593" s="4">
        <v>-32069</v>
      </c>
      <c r="F6593" s="3" t="s">
        <v>445</v>
      </c>
      <c r="G6593" s="3" t="s">
        <v>446</v>
      </c>
      <c r="H6593" s="2" t="s">
        <v>21</v>
      </c>
      <c r="I6593" s="2" t="s">
        <v>16572</v>
      </c>
      <c r="J6593" s="3" t="str">
        <f>HYPERLINK("https://www.boe.es/gazeta/dias/1812/03/12/pdfs/GRE-1812-32.pdf#page=8","Abrir facsímil")</f>
        <v>Abrir facsímil</v>
      </c>
      <c r="K6593" s="3" t="s">
        <v>23</v>
      </c>
    </row>
    <row r="6594" spans="1:11" ht="42" customHeight="1">
      <c r="A6594" s="2" t="s">
        <v>16569</v>
      </c>
      <c r="B6594" s="2" t="s">
        <v>16570</v>
      </c>
      <c r="C6594" s="2" t="s">
        <v>186</v>
      </c>
      <c r="D6594" s="2" t="s">
        <v>27</v>
      </c>
      <c r="E6594" s="4">
        <v>-31787</v>
      </c>
      <c r="F6594" s="3" t="s">
        <v>1560</v>
      </c>
      <c r="G6594" s="3" t="s">
        <v>404</v>
      </c>
      <c r="H6594" s="2" t="s">
        <v>21</v>
      </c>
      <c r="I6594" s="2" t="s">
        <v>16573</v>
      </c>
      <c r="J6594" s="3" t="str">
        <f>HYPERLINK("https://www.boe.es/gazeta/dias/1812/12/19/pdfs/GRE-1812-167.pdf#page=8","Abrir facsímil")</f>
        <v>Abrir facsímil</v>
      </c>
      <c r="K6594" s="3" t="s">
        <v>23</v>
      </c>
    </row>
    <row r="6595" spans="1:11" ht="42" customHeight="1">
      <c r="A6595" s="2" t="s">
        <v>16574</v>
      </c>
      <c r="B6595" s="2" t="s">
        <v>16575</v>
      </c>
      <c r="C6595" s="2" t="s">
        <v>26</v>
      </c>
      <c r="D6595" s="2" t="s">
        <v>27</v>
      </c>
      <c r="E6595" s="4">
        <v>-31983</v>
      </c>
      <c r="F6595" s="3" t="s">
        <v>809</v>
      </c>
      <c r="G6595" s="3" t="s">
        <v>6646</v>
      </c>
      <c r="H6595" s="2" t="s">
        <v>21</v>
      </c>
      <c r="I6595" s="2" t="s">
        <v>16576</v>
      </c>
      <c r="J6595" s="3" t="str">
        <f>HYPERLINK("https://www.boe.es/gazeta/dias/1812/06/06/pdfs/GRE-1812-70.pdf#page=2","Abrir facsímil")</f>
        <v>Abrir facsímil</v>
      </c>
      <c r="K6595" s="3" t="s">
        <v>23</v>
      </c>
    </row>
    <row r="6596" spans="1:11" ht="42" customHeight="1">
      <c r="A6596" s="2" t="s">
        <v>16577</v>
      </c>
      <c r="B6596" s="2" t="s">
        <v>16578</v>
      </c>
      <c r="C6596" s="2" t="s">
        <v>105</v>
      </c>
      <c r="D6596" s="2" t="s">
        <v>27</v>
      </c>
      <c r="E6596" s="4">
        <v>-31940</v>
      </c>
      <c r="F6596" s="3" t="s">
        <v>187</v>
      </c>
      <c r="G6596" s="3" t="s">
        <v>404</v>
      </c>
      <c r="H6596" s="2" t="s">
        <v>21</v>
      </c>
      <c r="I6596" s="2" t="s">
        <v>16579</v>
      </c>
      <c r="J6596" s="3" t="str">
        <f>HYPERLINK("https://www.boe.es/gazeta/dias/1812/07/19/pdfs/GMD-1812-201.pdf#page=4","Abrir facsímil")</f>
        <v>Abrir facsímil</v>
      </c>
      <c r="K6596" s="3" t="s">
        <v>23</v>
      </c>
    </row>
    <row r="6597" spans="1:11" ht="42" customHeight="1">
      <c r="A6597" s="2" t="s">
        <v>16580</v>
      </c>
      <c r="B6597" s="2" t="s">
        <v>16581</v>
      </c>
      <c r="C6597" s="2" t="s">
        <v>186</v>
      </c>
      <c r="D6597" s="2" t="s">
        <v>27</v>
      </c>
      <c r="E6597" s="4">
        <v>-32011</v>
      </c>
      <c r="F6597" s="3" t="s">
        <v>1656</v>
      </c>
      <c r="G6597" s="3" t="s">
        <v>777</v>
      </c>
      <c r="H6597" s="2" t="s">
        <v>21</v>
      </c>
      <c r="I6597" s="2" t="s">
        <v>16582</v>
      </c>
      <c r="J6597" s="3" t="str">
        <f>HYPERLINK("https://www.boe.es/gazeta/dias/1812/05/09/pdfs/GMD-1812-130.pdf#page=2","Abrir facsímil")</f>
        <v>Abrir facsímil</v>
      </c>
      <c r="K6597" s="3" t="s">
        <v>23</v>
      </c>
    </row>
    <row r="6598" spans="1:11" ht="42" customHeight="1">
      <c r="A6598" s="2" t="s">
        <v>16583</v>
      </c>
      <c r="B6598" s="2" t="s">
        <v>16584</v>
      </c>
      <c r="C6598" s="2" t="s">
        <v>26</v>
      </c>
      <c r="D6598" s="2" t="s">
        <v>275</v>
      </c>
      <c r="E6598" s="4">
        <v>-31964</v>
      </c>
      <c r="F6598" s="3" t="s">
        <v>305</v>
      </c>
      <c r="G6598" s="3" t="s">
        <v>58</v>
      </c>
      <c r="H6598" s="2" t="s">
        <v>21</v>
      </c>
      <c r="I6598" s="2" t="s">
        <v>16585</v>
      </c>
      <c r="J6598" s="3" t="str">
        <f>HYPERLINK("https://www.boe.es/gazeta/dias/1812/06/25/pdfs/GMD-1812-177.pdf#page=2","Abrir facsímil")</f>
        <v>Abrir facsímil</v>
      </c>
      <c r="K6598" s="3" t="s">
        <v>23</v>
      </c>
    </row>
    <row r="6599" spans="1:11" ht="42" customHeight="1">
      <c r="A6599" s="2" t="s">
        <v>16583</v>
      </c>
      <c r="B6599" s="2" t="s">
        <v>16584</v>
      </c>
      <c r="C6599" s="2" t="s">
        <v>26</v>
      </c>
      <c r="D6599" s="2" t="s">
        <v>27</v>
      </c>
      <c r="E6599" s="4">
        <v>-31938</v>
      </c>
      <c r="F6599" s="3" t="s">
        <v>324</v>
      </c>
      <c r="G6599" s="3" t="s">
        <v>497</v>
      </c>
      <c r="H6599" s="2" t="s">
        <v>21</v>
      </c>
      <c r="I6599" s="2" t="s">
        <v>16586</v>
      </c>
      <c r="J6599" s="3" t="str">
        <f>HYPERLINK("https://www.boe.es/gazeta/dias/1812/07/21/pdfs/GMD-1812-203.pdf#page=3","Abrir facsímil")</f>
        <v>Abrir facsímil</v>
      </c>
      <c r="K6599" s="3" t="s">
        <v>23</v>
      </c>
    </row>
    <row r="6600" spans="1:11" ht="42" customHeight="1">
      <c r="A6600" s="2" t="s">
        <v>16583</v>
      </c>
      <c r="B6600" s="2" t="s">
        <v>16584</v>
      </c>
      <c r="C6600" s="2" t="s">
        <v>26</v>
      </c>
      <c r="D6600" s="2" t="s">
        <v>27</v>
      </c>
      <c r="E6600" s="4">
        <v>-31938</v>
      </c>
      <c r="F6600" s="3" t="s">
        <v>324</v>
      </c>
      <c r="G6600" s="3" t="s">
        <v>404</v>
      </c>
      <c r="H6600" s="2" t="s">
        <v>21</v>
      </c>
      <c r="I6600" s="2" t="s">
        <v>16587</v>
      </c>
      <c r="J6600" s="3" t="str">
        <f>HYPERLINK("https://www.boe.es/gazeta/dias/1812/07/21/pdfs/GMD-1812-203.pdf#page=4","Abrir facsímil")</f>
        <v>Abrir facsímil</v>
      </c>
      <c r="K6600" s="3" t="s">
        <v>23</v>
      </c>
    </row>
    <row r="6601" spans="1:11" ht="42" customHeight="1">
      <c r="A6601" s="2" t="s">
        <v>16588</v>
      </c>
      <c r="B6601" s="2" t="s">
        <v>16589</v>
      </c>
      <c r="C6601" s="2" t="s">
        <v>26</v>
      </c>
      <c r="D6601" s="2" t="s">
        <v>27</v>
      </c>
      <c r="E6601" s="4">
        <v>-32034</v>
      </c>
      <c r="F6601" s="3" t="s">
        <v>28</v>
      </c>
      <c r="G6601" s="3" t="s">
        <v>45</v>
      </c>
      <c r="H6601" s="2" t="s">
        <v>21</v>
      </c>
      <c r="I6601" s="2" t="s">
        <v>16590</v>
      </c>
      <c r="J6601" s="3" t="str">
        <f>HYPERLINK("https://www.boe.es/gazeta/dias/1812/04/16/pdfs/GMD-1812-107.pdf#page=5","Abrir facsímil")</f>
        <v>Abrir facsímil</v>
      </c>
      <c r="K6601" s="3" t="s">
        <v>23</v>
      </c>
    </row>
    <row r="6602" spans="1:11" ht="42" customHeight="1">
      <c r="A6602" s="2" t="s">
        <v>16591</v>
      </c>
      <c r="B6602" s="2" t="s">
        <v>16592</v>
      </c>
      <c r="C6602" s="2" t="s">
        <v>26</v>
      </c>
      <c r="D6602" s="2" t="s">
        <v>27</v>
      </c>
      <c r="E6602" s="4">
        <v>-31976</v>
      </c>
      <c r="F6602" s="3" t="s">
        <v>54</v>
      </c>
      <c r="G6602" s="3" t="s">
        <v>55</v>
      </c>
      <c r="H6602" s="2" t="s">
        <v>21</v>
      </c>
      <c r="I6602" s="2" t="s">
        <v>16593</v>
      </c>
      <c r="J6602" s="3" t="str">
        <f>HYPERLINK("https://www.boe.es/gazeta/dias/1812/06/13/pdfs/GRE-1812-73.pdf#page=6","Abrir facsímil")</f>
        <v>Abrir facsímil</v>
      </c>
      <c r="K6602" s="3" t="s">
        <v>23</v>
      </c>
    </row>
    <row r="6603" spans="1:11" ht="42" customHeight="1">
      <c r="A6603" s="2" t="s">
        <v>16594</v>
      </c>
      <c r="B6603" s="2" t="s">
        <v>16595</v>
      </c>
      <c r="C6603" s="2" t="s">
        <v>26</v>
      </c>
      <c r="D6603" s="2" t="s">
        <v>27</v>
      </c>
      <c r="E6603" s="4">
        <v>-32034</v>
      </c>
      <c r="F6603" s="3" t="s">
        <v>28</v>
      </c>
      <c r="G6603" s="3" t="s">
        <v>29</v>
      </c>
      <c r="H6603" s="2" t="s">
        <v>21</v>
      </c>
      <c r="I6603" s="2" t="s">
        <v>16596</v>
      </c>
      <c r="J6603" s="3" t="str">
        <f>HYPERLINK("https://www.boe.es/gazeta/dias/1812/04/16/pdfs/GMD-1812-107.pdf#page=8","Abrir facsímil")</f>
        <v>Abrir facsímil</v>
      </c>
      <c r="K6603" s="3" t="s">
        <v>23</v>
      </c>
    </row>
    <row r="6604" spans="1:11" ht="42" customHeight="1">
      <c r="A6604" s="2" t="s">
        <v>16597</v>
      </c>
      <c r="B6604" s="2" t="s">
        <v>16598</v>
      </c>
      <c r="C6604" s="2" t="s">
        <v>105</v>
      </c>
      <c r="D6604" s="2" t="s">
        <v>134</v>
      </c>
      <c r="E6604" s="4">
        <v>-32099</v>
      </c>
      <c r="F6604" s="3" t="s">
        <v>7479</v>
      </c>
      <c r="G6604" s="3" t="s">
        <v>196</v>
      </c>
      <c r="H6604" s="2" t="s">
        <v>21</v>
      </c>
      <c r="I6604" s="2" t="s">
        <v>16599</v>
      </c>
      <c r="J6604" s="3" t="str">
        <f>HYPERLINK("https://www.boe.es/gazeta/dias/1812/02/11/pdfs/F00165-00168.pdf#page=1","Abrir facsímil")</f>
        <v>Abrir facsímil</v>
      </c>
      <c r="K6604" s="3" t="s">
        <v>23</v>
      </c>
    </row>
    <row r="6605" spans="1:11" ht="42" customHeight="1">
      <c r="A6605" s="2" t="s">
        <v>16600</v>
      </c>
      <c r="B6605" s="2" t="s">
        <v>16601</v>
      </c>
      <c r="C6605" s="2" t="s">
        <v>26</v>
      </c>
      <c r="D6605" s="2" t="s">
        <v>27</v>
      </c>
      <c r="E6605" s="4">
        <v>-32039</v>
      </c>
      <c r="F6605" s="3" t="s">
        <v>1910</v>
      </c>
      <c r="G6605" s="3" t="s">
        <v>706</v>
      </c>
      <c r="H6605" s="2" t="s">
        <v>21</v>
      </c>
      <c r="I6605" s="2" t="s">
        <v>16602</v>
      </c>
      <c r="J6605" s="3" t="str">
        <f>HYPERLINK("https://www.boe.es/gazeta/dias/1812/04/11/pdfs/GRE-1812-46.pdf#page=1","Abrir facsímil")</f>
        <v>Abrir facsímil</v>
      </c>
      <c r="K6605" s="3" t="s">
        <v>23</v>
      </c>
    </row>
    <row r="6606" spans="1:11" ht="42" customHeight="1">
      <c r="A6606" s="2" t="s">
        <v>16603</v>
      </c>
      <c r="B6606" s="2" t="s">
        <v>16604</v>
      </c>
      <c r="C6606" s="2" t="s">
        <v>26</v>
      </c>
      <c r="D6606" s="2" t="s">
        <v>27</v>
      </c>
      <c r="E6606" s="4">
        <v>-32125</v>
      </c>
      <c r="F6606" s="3" t="s">
        <v>964</v>
      </c>
      <c r="G6606" s="3" t="s">
        <v>1842</v>
      </c>
      <c r="H6606" s="2" t="s">
        <v>21</v>
      </c>
      <c r="I6606" s="2" t="s">
        <v>16605</v>
      </c>
      <c r="J6606" s="3" t="str">
        <f>HYPERLINK("https://www.boe.es/gazeta/dias/1812/01/16/pdfs/GEI-H-1812-7.pdf#page=4","Abrir facsímil")</f>
        <v>Abrir facsímil</v>
      </c>
      <c r="K6606" s="3" t="s">
        <v>23</v>
      </c>
    </row>
    <row r="6607" spans="1:11" ht="42" customHeight="1">
      <c r="A6607" s="2" t="s">
        <v>16606</v>
      </c>
      <c r="B6607" s="2" t="s">
        <v>16607</v>
      </c>
      <c r="C6607" s="2" t="s">
        <v>26</v>
      </c>
      <c r="D6607" s="2" t="s">
        <v>27</v>
      </c>
      <c r="E6607" s="4">
        <v>-32125</v>
      </c>
      <c r="F6607" s="3" t="s">
        <v>335</v>
      </c>
      <c r="G6607" s="3" t="s">
        <v>336</v>
      </c>
      <c r="H6607" s="2" t="s">
        <v>21</v>
      </c>
      <c r="I6607" s="2" t="s">
        <v>16608</v>
      </c>
      <c r="J6607" s="3" t="str">
        <f>HYPERLINK("https://www.boe.es/gazeta/dias/1812/01/16/pdfs/GEI-1812-7.pdf#page=8","Abrir facsímil")</f>
        <v>Abrir facsímil</v>
      </c>
      <c r="K6607" s="3" t="s">
        <v>23</v>
      </c>
    </row>
    <row r="6608" spans="1:11" ht="42" customHeight="1">
      <c r="A6608" s="2" t="s">
        <v>16609</v>
      </c>
      <c r="B6608" s="2" t="s">
        <v>16610</v>
      </c>
      <c r="C6608" s="2" t="s">
        <v>17</v>
      </c>
      <c r="D6608" s="2" t="s">
        <v>27</v>
      </c>
      <c r="E6608" s="4">
        <v>-32139</v>
      </c>
      <c r="F6608" s="3" t="s">
        <v>518</v>
      </c>
      <c r="G6608" s="3" t="s">
        <v>125</v>
      </c>
      <c r="H6608" s="2" t="s">
        <v>21</v>
      </c>
      <c r="I6608" s="2" t="s">
        <v>16611</v>
      </c>
      <c r="J6608" s="3" t="str">
        <f>HYPERLINK("https://www.boe.es/gazeta/dias/1812/01/02/pdfs/GEI-1812-1.pdf#page=8","Abrir facsímil")</f>
        <v>Abrir facsímil</v>
      </c>
      <c r="K6608" s="3" t="s">
        <v>23</v>
      </c>
    </row>
    <row r="6609" spans="1:11" ht="42" customHeight="1">
      <c r="A6609" s="2" t="s">
        <v>16612</v>
      </c>
      <c r="B6609" s="2" t="s">
        <v>16613</v>
      </c>
      <c r="C6609" s="2" t="s">
        <v>26</v>
      </c>
      <c r="D6609" s="2" t="s">
        <v>27</v>
      </c>
      <c r="E6609" s="4">
        <v>-32034</v>
      </c>
      <c r="F6609" s="3" t="s">
        <v>28</v>
      </c>
      <c r="G6609" s="3" t="s">
        <v>794</v>
      </c>
      <c r="H6609" s="2" t="s">
        <v>21</v>
      </c>
      <c r="I6609" s="2" t="s">
        <v>16614</v>
      </c>
      <c r="J6609" s="3" t="str">
        <f>HYPERLINK("https://www.boe.es/gazeta/dias/1812/04/16/pdfs/GMD-1812-107.pdf#page=7","Abrir facsímil")</f>
        <v>Abrir facsímil</v>
      </c>
      <c r="K6609" s="3" t="s">
        <v>23</v>
      </c>
    </row>
    <row r="6610" spans="1:11" ht="42" customHeight="1">
      <c r="A6610" s="2" t="s">
        <v>16615</v>
      </c>
      <c r="B6610" s="2" t="s">
        <v>16616</v>
      </c>
      <c r="C6610" s="2" t="s">
        <v>26</v>
      </c>
      <c r="D6610" s="2" t="s">
        <v>27</v>
      </c>
      <c r="E6610" s="4">
        <v>-31940</v>
      </c>
      <c r="F6610" s="3" t="s">
        <v>187</v>
      </c>
      <c r="G6610" s="3" t="s">
        <v>404</v>
      </c>
      <c r="H6610" s="2" t="s">
        <v>21</v>
      </c>
      <c r="I6610" s="2" t="s">
        <v>16617</v>
      </c>
      <c r="J6610" s="3" t="str">
        <f>HYPERLINK("https://www.boe.es/gazeta/dias/1812/07/19/pdfs/GMD-1812-201.pdf#page=3","Abrir facsímil")</f>
        <v>Abrir facsímil</v>
      </c>
      <c r="K6610" s="3" t="s">
        <v>23</v>
      </c>
    </row>
    <row r="6611" spans="1:11" ht="42" customHeight="1">
      <c r="A6611" s="2" t="s">
        <v>16618</v>
      </c>
      <c r="B6611" s="2" t="s">
        <v>16619</v>
      </c>
      <c r="C6611" s="2" t="s">
        <v>26</v>
      </c>
      <c r="D6611" s="2" t="s">
        <v>27</v>
      </c>
      <c r="E6611" s="4">
        <v>-32114</v>
      </c>
      <c r="F6611" s="3" t="s">
        <v>480</v>
      </c>
      <c r="G6611" s="3" t="s">
        <v>481</v>
      </c>
      <c r="H6611" s="2" t="s">
        <v>21</v>
      </c>
      <c r="I6611" s="2" t="s">
        <v>16620</v>
      </c>
      <c r="J6611" s="3" t="str">
        <f>HYPERLINK("https://www.boe.es/gazeta/dias/1812/01/27/pdfs/GMD-1812-27.pdf#page=4","Abrir facsímil")</f>
        <v>Abrir facsímil</v>
      </c>
      <c r="K6611" s="3" t="s">
        <v>23</v>
      </c>
    </row>
    <row r="6612" spans="1:11" ht="42" customHeight="1">
      <c r="A6612" s="2" t="s">
        <v>16618</v>
      </c>
      <c r="B6612" s="2" t="s">
        <v>16619</v>
      </c>
      <c r="C6612" s="2" t="s">
        <v>26</v>
      </c>
      <c r="D6612" s="2" t="s">
        <v>27</v>
      </c>
      <c r="E6612" s="4">
        <v>-31938</v>
      </c>
      <c r="F6612" s="3" t="s">
        <v>324</v>
      </c>
      <c r="G6612" s="3" t="s">
        <v>237</v>
      </c>
      <c r="H6612" s="2" t="s">
        <v>21</v>
      </c>
      <c r="I6612" s="2" t="s">
        <v>16621</v>
      </c>
      <c r="J6612" s="3" t="str">
        <f>HYPERLINK("https://www.boe.es/gazeta/dias/1812/07/21/pdfs/GMD-1812-203.pdf#page=2","Abrir facsímil")</f>
        <v>Abrir facsímil</v>
      </c>
      <c r="K6612" s="3" t="s">
        <v>23</v>
      </c>
    </row>
    <row r="6613" spans="1:11" ht="42" customHeight="1">
      <c r="A6613" s="2" t="s">
        <v>16622</v>
      </c>
      <c r="B6613" s="2" t="s">
        <v>16623</v>
      </c>
      <c r="C6613" s="2" t="s">
        <v>26</v>
      </c>
      <c r="D6613" s="2" t="s">
        <v>27</v>
      </c>
      <c r="E6613" s="4">
        <v>-32034</v>
      </c>
      <c r="F6613" s="3" t="s">
        <v>28</v>
      </c>
      <c r="G6613" s="3" t="s">
        <v>45</v>
      </c>
      <c r="H6613" s="2" t="s">
        <v>21</v>
      </c>
      <c r="I6613" s="2" t="s">
        <v>16624</v>
      </c>
      <c r="J6613" s="3" t="str">
        <f>HYPERLINK("https://www.boe.es/gazeta/dias/1812/04/16/pdfs/GMD-1812-107.pdf#page=5","Abrir facsímil")</f>
        <v>Abrir facsímil</v>
      </c>
      <c r="K6613" s="3" t="s">
        <v>23</v>
      </c>
    </row>
    <row r="6614" spans="1:11" ht="42" customHeight="1">
      <c r="A6614" s="2" t="s">
        <v>16625</v>
      </c>
      <c r="B6614" s="2" t="s">
        <v>16625</v>
      </c>
      <c r="C6614" s="2" t="s">
        <v>17</v>
      </c>
      <c r="D6614" s="2" t="s">
        <v>18</v>
      </c>
      <c r="E6614" s="4">
        <v>-31783</v>
      </c>
      <c r="F6614" s="3" t="s">
        <v>2074</v>
      </c>
      <c r="G6614" s="3" t="s">
        <v>125</v>
      </c>
      <c r="H6614" s="2" t="s">
        <v>21</v>
      </c>
      <c r="I6614" s="2" t="s">
        <v>16626</v>
      </c>
      <c r="J6614" s="3" t="str">
        <f>HYPERLINK("https://www.boe.es/gazeta/dias/1812/12/23/pdfs/GMD-1812-246.pdf#page=1","Abrir facsímil")</f>
        <v>Abrir facsímil</v>
      </c>
      <c r="K6614" s="3" t="s">
        <v>23</v>
      </c>
    </row>
    <row r="6615" spans="1:11" ht="42" customHeight="1">
      <c r="A6615" s="2" t="s">
        <v>16627</v>
      </c>
      <c r="B6615" s="2" t="s">
        <v>16627</v>
      </c>
      <c r="C6615" s="2" t="s">
        <v>17</v>
      </c>
      <c r="D6615" s="2" t="s">
        <v>27</v>
      </c>
      <c r="E6615" s="4">
        <v>-31791</v>
      </c>
      <c r="F6615" s="3" t="s">
        <v>1668</v>
      </c>
      <c r="G6615" s="3" t="s">
        <v>4511</v>
      </c>
      <c r="H6615" s="2" t="s">
        <v>21</v>
      </c>
      <c r="I6615" s="2" t="s">
        <v>16628</v>
      </c>
      <c r="J6615" s="3" t="str">
        <f>HYPERLINK("https://www.boe.es/gazeta/dias/1812/12/15/pdfs/GMD-1812-238.pdf#page=1","Abrir facsímil")</f>
        <v>Abrir facsímil</v>
      </c>
      <c r="K6615" s="3" t="s">
        <v>23</v>
      </c>
    </row>
    <row r="6616" spans="1:11" ht="42" customHeight="1">
      <c r="A6616" s="2" t="s">
        <v>16629</v>
      </c>
      <c r="B6616" s="2" t="s">
        <v>16629</v>
      </c>
      <c r="C6616" s="2" t="s">
        <v>17</v>
      </c>
      <c r="D6616" s="2" t="s">
        <v>27</v>
      </c>
      <c r="E6616" s="4">
        <v>-31777</v>
      </c>
      <c r="F6616" s="3" t="s">
        <v>960</v>
      </c>
      <c r="G6616" s="3" t="s">
        <v>172</v>
      </c>
      <c r="H6616" s="2" t="s">
        <v>21</v>
      </c>
      <c r="I6616" s="2" t="s">
        <v>16630</v>
      </c>
      <c r="J6616" s="3" t="str">
        <f>HYPERLINK("https://www.boe.es/gazeta/dias/1812/12/29/pdfs/GMD-1812-252.pdf#page=4","Abrir facsímil")</f>
        <v>Abrir facsímil</v>
      </c>
      <c r="K6616" s="3" t="s">
        <v>23</v>
      </c>
    </row>
    <row r="6617" spans="1:11" ht="42" customHeight="1">
      <c r="A6617" s="2" t="s">
        <v>16631</v>
      </c>
      <c r="B6617" s="2" t="s">
        <v>16632</v>
      </c>
      <c r="C6617" s="2" t="s">
        <v>17</v>
      </c>
      <c r="D6617" s="2" t="s">
        <v>18</v>
      </c>
      <c r="E6617" s="4">
        <v>-31929</v>
      </c>
      <c r="F6617" s="3" t="s">
        <v>2786</v>
      </c>
      <c r="G6617" s="3" t="s">
        <v>36</v>
      </c>
      <c r="H6617" s="2" t="s">
        <v>30</v>
      </c>
      <c r="I6617" s="2" t="s">
        <v>16633</v>
      </c>
      <c r="J6617" s="3" t="str">
        <f>HYPERLINK("https://www.boe.es/gazeta/dias/1812/07/30/pdfs/GMD-1812-212.pdf#page=3","Abrir facsímil")</f>
        <v>Abrir facsímil</v>
      </c>
      <c r="K6617" s="3" t="s">
        <v>32</v>
      </c>
    </row>
    <row r="6618" spans="1:11" ht="42" customHeight="1">
      <c r="A6618" s="2" t="s">
        <v>16634</v>
      </c>
      <c r="B6618" s="2" t="s">
        <v>16634</v>
      </c>
      <c r="C6618" s="2" t="s">
        <v>17</v>
      </c>
      <c r="D6618" s="2" t="s">
        <v>27</v>
      </c>
      <c r="E6618" s="4">
        <v>-32055</v>
      </c>
      <c r="F6618" s="3" t="s">
        <v>459</v>
      </c>
      <c r="G6618" s="3" t="s">
        <v>1497</v>
      </c>
      <c r="H6618" s="2" t="s">
        <v>21</v>
      </c>
      <c r="I6618" s="2" t="s">
        <v>16635</v>
      </c>
      <c r="J6618" s="3" t="str">
        <f>HYPERLINK("https://www.boe.es/gazeta/dias/1812/03/26/pdfs/GRE-1812-38.pdf#page=5","Abrir facsímil")</f>
        <v>Abrir facsímil</v>
      </c>
      <c r="K6618" s="3" t="s">
        <v>23</v>
      </c>
    </row>
    <row r="6619" spans="1:11" ht="42" customHeight="1">
      <c r="A6619" s="2" t="s">
        <v>16636</v>
      </c>
      <c r="B6619" s="2" t="s">
        <v>16637</v>
      </c>
      <c r="C6619" s="2" t="s">
        <v>26</v>
      </c>
      <c r="D6619" s="2" t="s">
        <v>27</v>
      </c>
      <c r="E6619" s="4">
        <v>-32034</v>
      </c>
      <c r="F6619" s="3" t="s">
        <v>28</v>
      </c>
      <c r="G6619" s="3" t="s">
        <v>45</v>
      </c>
      <c r="H6619" s="2" t="s">
        <v>21</v>
      </c>
      <c r="I6619" s="2" t="s">
        <v>16638</v>
      </c>
      <c r="J6619" s="3" t="str">
        <f>HYPERLINK("https://www.boe.es/gazeta/dias/1812/04/16/pdfs/GMD-1812-107.pdf#page=5","Abrir facsímil")</f>
        <v>Abrir facsímil</v>
      </c>
      <c r="K6619" s="3" t="s">
        <v>23</v>
      </c>
    </row>
    <row r="6620" spans="1:11" ht="42" customHeight="1">
      <c r="A6620" s="2" t="s">
        <v>16639</v>
      </c>
      <c r="B6620" s="2" t="s">
        <v>16639</v>
      </c>
      <c r="C6620" s="2" t="s">
        <v>49</v>
      </c>
      <c r="D6620" s="2" t="s">
        <v>27</v>
      </c>
      <c r="E6620" s="4">
        <v>-31826</v>
      </c>
      <c r="F6620" s="3" t="s">
        <v>7488</v>
      </c>
      <c r="G6620" s="3" t="s">
        <v>125</v>
      </c>
      <c r="H6620" s="2" t="s">
        <v>21</v>
      </c>
      <c r="I6620" s="2" t="s">
        <v>16640</v>
      </c>
      <c r="J6620" s="3" t="str">
        <f>HYPERLINK("https://www.boe.es/gazeta/dias/1812/11/10/pdfs/GRE-1812-150.pdf#page=6","Abrir facsímil")</f>
        <v>Abrir facsímil</v>
      </c>
      <c r="K6620" s="3" t="s">
        <v>23</v>
      </c>
    </row>
    <row r="6621" spans="1:11" ht="42" customHeight="1">
      <c r="A6621" s="2" t="s">
        <v>16641</v>
      </c>
      <c r="B6621" s="2" t="s">
        <v>16642</v>
      </c>
      <c r="C6621" s="2" t="s">
        <v>26</v>
      </c>
      <c r="D6621" s="2" t="s">
        <v>27</v>
      </c>
      <c r="E6621" s="4">
        <v>-31965</v>
      </c>
      <c r="F6621" s="3" t="s">
        <v>1180</v>
      </c>
      <c r="G6621" s="3" t="s">
        <v>777</v>
      </c>
      <c r="H6621" s="2" t="s">
        <v>21</v>
      </c>
      <c r="I6621" s="2" t="s">
        <v>16643</v>
      </c>
      <c r="J6621" s="3" t="str">
        <f>HYPERLINK("https://www.boe.es/gazeta/dias/1812/06/24/pdfs/GMD-1812-176.pdf#page=2","Abrir facsímil")</f>
        <v>Abrir facsímil</v>
      </c>
      <c r="K6621" s="3" t="s">
        <v>23</v>
      </c>
    </row>
    <row r="6622" spans="1:11" ht="42" customHeight="1">
      <c r="A6622" s="2" t="s">
        <v>16644</v>
      </c>
      <c r="B6622" s="2" t="s">
        <v>16644</v>
      </c>
      <c r="C6622" s="2" t="s">
        <v>17</v>
      </c>
      <c r="D6622" s="2" t="s">
        <v>27</v>
      </c>
      <c r="E6622" s="4">
        <v>-31789</v>
      </c>
      <c r="F6622" s="3" t="s">
        <v>873</v>
      </c>
      <c r="G6622" s="3" t="s">
        <v>1883</v>
      </c>
      <c r="H6622" s="2" t="s">
        <v>21</v>
      </c>
      <c r="I6622" s="2" t="s">
        <v>16645</v>
      </c>
      <c r="J6622" s="3" t="str">
        <f>HYPERLINK("https://www.boe.es/gazeta/dias/1812/12/17/pdfs/GMD-1812-240.pdf#page=2","Abrir facsímil")</f>
        <v>Abrir facsímil</v>
      </c>
      <c r="K6622" s="3" t="s">
        <v>23</v>
      </c>
    </row>
    <row r="6623" spans="1:11" ht="42" customHeight="1">
      <c r="A6623" s="2" t="s">
        <v>16646</v>
      </c>
      <c r="B6623" s="2" t="s">
        <v>16647</v>
      </c>
      <c r="C6623" s="2" t="s">
        <v>26</v>
      </c>
      <c r="D6623" s="2" t="s">
        <v>27</v>
      </c>
      <c r="E6623" s="4">
        <v>-31940</v>
      </c>
      <c r="F6623" s="3" t="s">
        <v>187</v>
      </c>
      <c r="G6623" s="3" t="s">
        <v>404</v>
      </c>
      <c r="H6623" s="2" t="s">
        <v>21</v>
      </c>
      <c r="I6623" s="2" t="s">
        <v>16648</v>
      </c>
      <c r="J6623" s="3" t="str">
        <f>HYPERLINK("https://www.boe.es/gazeta/dias/1812/07/19/pdfs/GMD-1812-201.pdf#page=3","Abrir facsímil")</f>
        <v>Abrir facsímil</v>
      </c>
      <c r="K6623" s="3" t="s">
        <v>23</v>
      </c>
    </row>
    <row r="6624" spans="1:11" ht="42" customHeight="1">
      <c r="A6624" s="2" t="s">
        <v>16649</v>
      </c>
      <c r="B6624" s="2" t="s">
        <v>16649</v>
      </c>
      <c r="C6624" s="2" t="s">
        <v>17</v>
      </c>
      <c r="D6624" s="2" t="s">
        <v>18</v>
      </c>
      <c r="E6624" s="4">
        <v>-31847</v>
      </c>
      <c r="F6624" s="3" t="s">
        <v>219</v>
      </c>
      <c r="G6624" s="3" t="s">
        <v>2260</v>
      </c>
      <c r="H6624" s="2" t="s">
        <v>21</v>
      </c>
      <c r="I6624" s="2" t="s">
        <v>16650</v>
      </c>
      <c r="J6624" s="3" t="str">
        <f>HYPERLINK("https://www.boe.es/gazeta/dias/1812/10/20/pdfs/GRE-1812-141.pdf#page=4","Abrir facsímil")</f>
        <v>Abrir facsímil</v>
      </c>
      <c r="K6624" s="3" t="s">
        <v>23</v>
      </c>
    </row>
    <row r="6625" spans="1:11" ht="42" customHeight="1">
      <c r="A6625" s="2" t="s">
        <v>16651</v>
      </c>
      <c r="B6625" s="2" t="s">
        <v>16651</v>
      </c>
      <c r="C6625" s="2" t="s">
        <v>17</v>
      </c>
      <c r="D6625" s="2" t="s">
        <v>18</v>
      </c>
      <c r="E6625" s="4">
        <v>-32034</v>
      </c>
      <c r="F6625" s="3" t="s">
        <v>1008</v>
      </c>
      <c r="G6625" s="3" t="s">
        <v>6450</v>
      </c>
      <c r="H6625" s="2" t="s">
        <v>21</v>
      </c>
      <c r="I6625" s="2" t="s">
        <v>16652</v>
      </c>
      <c r="J6625" s="3" t="str">
        <f>HYPERLINK("https://www.boe.es/gazeta/dias/1812/04/16/pdfs/GRE-1812-48.pdf#page=1","Abrir facsímil")</f>
        <v>Abrir facsímil</v>
      </c>
      <c r="K6625" s="3" t="s">
        <v>23</v>
      </c>
    </row>
    <row r="6626" spans="1:11" ht="42" customHeight="1">
      <c r="A6626" s="2" t="s">
        <v>16653</v>
      </c>
      <c r="B6626" s="2" t="s">
        <v>16653</v>
      </c>
      <c r="C6626" s="2" t="s">
        <v>49</v>
      </c>
      <c r="D6626" s="2" t="s">
        <v>27</v>
      </c>
      <c r="E6626" s="4">
        <v>-31944</v>
      </c>
      <c r="F6626" s="3" t="s">
        <v>5796</v>
      </c>
      <c r="G6626" s="3" t="s">
        <v>2858</v>
      </c>
      <c r="H6626" s="2" t="s">
        <v>21</v>
      </c>
      <c r="I6626" s="2" t="s">
        <v>16654</v>
      </c>
      <c r="J6626" s="3" t="str">
        <f>HYPERLINK("https://www.boe.es/gazeta/dias/1812/07/15/pdfs/GMD-1812-197.pdf#page=3","Abrir facsímil")</f>
        <v>Abrir facsímil</v>
      </c>
      <c r="K6626" s="3" t="s">
        <v>23</v>
      </c>
    </row>
    <row r="6627" spans="1:11" ht="42" customHeight="1">
      <c r="A6627" s="2" t="s">
        <v>16655</v>
      </c>
      <c r="B6627" s="2" t="s">
        <v>16655</v>
      </c>
      <c r="C6627" s="2" t="s">
        <v>17</v>
      </c>
      <c r="D6627" s="2" t="s">
        <v>18</v>
      </c>
      <c r="E6627" s="4">
        <v>-31800</v>
      </c>
      <c r="F6627" s="3" t="s">
        <v>593</v>
      </c>
      <c r="G6627" s="3" t="s">
        <v>140</v>
      </c>
      <c r="H6627" s="2" t="s">
        <v>21</v>
      </c>
      <c r="I6627" s="2" t="s">
        <v>16656</v>
      </c>
      <c r="J6627" s="3" t="str">
        <f>HYPERLINK("https://www.boe.es/gazeta/dias/1812/12/06/pdfs/GMD-1812-229.pdf#page=2","Abrir facsímil")</f>
        <v>Abrir facsímil</v>
      </c>
      <c r="K6627" s="3" t="s">
        <v>23</v>
      </c>
    </row>
    <row r="6628" spans="1:11" ht="42" customHeight="1">
      <c r="A6628" s="2" t="s">
        <v>16657</v>
      </c>
      <c r="B6628" s="2" t="s">
        <v>16657</v>
      </c>
      <c r="C6628" s="2" t="s">
        <v>17</v>
      </c>
      <c r="D6628" s="2" t="s">
        <v>27</v>
      </c>
      <c r="E6628" s="4">
        <v>-32025</v>
      </c>
      <c r="F6628" s="3" t="s">
        <v>2323</v>
      </c>
      <c r="G6628" s="3" t="s">
        <v>2445</v>
      </c>
      <c r="H6628" s="2" t="s">
        <v>21</v>
      </c>
      <c r="I6628" s="2" t="s">
        <v>16658</v>
      </c>
      <c r="J6628" s="3" t="str">
        <f>HYPERLINK("https://www.boe.es/gazeta/dias/1812/04/25/pdfs/GRE-1812-52.pdf#page=5","Abrir facsímil")</f>
        <v>Abrir facsímil</v>
      </c>
      <c r="K6628" s="3" t="s">
        <v>23</v>
      </c>
    </row>
    <row r="6629" spans="1:11" ht="42" customHeight="1">
      <c r="A6629" s="2" t="s">
        <v>16659</v>
      </c>
      <c r="B6629" s="2" t="s">
        <v>16659</v>
      </c>
      <c r="C6629" s="2" t="s">
        <v>17</v>
      </c>
      <c r="D6629" s="2" t="s">
        <v>27</v>
      </c>
      <c r="E6629" s="4">
        <v>-31798</v>
      </c>
      <c r="F6629" s="3" t="s">
        <v>2194</v>
      </c>
      <c r="G6629" s="3" t="s">
        <v>125</v>
      </c>
      <c r="H6629" s="2" t="s">
        <v>21</v>
      </c>
      <c r="I6629" s="2" t="s">
        <v>16660</v>
      </c>
      <c r="J6629" s="3" t="str">
        <f>HYPERLINK("https://www.boe.es/gazeta/dias/1812/12/08/pdfs/GRE-1812-162.pdf#page=1","Abrir facsímil")</f>
        <v>Abrir facsímil</v>
      </c>
      <c r="K6629" s="3" t="s">
        <v>23</v>
      </c>
    </row>
    <row r="6630" spans="1:11" ht="42" customHeight="1">
      <c r="A6630" s="2" t="s">
        <v>16661</v>
      </c>
      <c r="B6630" s="2" t="s">
        <v>16662</v>
      </c>
      <c r="C6630" s="2" t="s">
        <v>26</v>
      </c>
      <c r="D6630" s="2" t="s">
        <v>27</v>
      </c>
      <c r="E6630" s="4">
        <v>-32100</v>
      </c>
      <c r="F6630" s="3" t="s">
        <v>492</v>
      </c>
      <c r="G6630" s="3" t="s">
        <v>493</v>
      </c>
      <c r="H6630" s="2" t="s">
        <v>21</v>
      </c>
      <c r="I6630" s="2" t="s">
        <v>16663</v>
      </c>
      <c r="J6630" s="3" t="str">
        <f>HYPERLINK("https://www.boe.es/gazeta/dias/1812/02/10/pdfs/GRE-1812-31.pdf#page=8","Abrir facsímil")</f>
        <v>Abrir facsímil</v>
      </c>
      <c r="K6630" s="3" t="s">
        <v>23</v>
      </c>
    </row>
    <row r="6631" spans="1:11" ht="42" customHeight="1">
      <c r="A6631" s="2" t="s">
        <v>16661</v>
      </c>
      <c r="B6631" s="2" t="s">
        <v>16662</v>
      </c>
      <c r="C6631" s="2" t="s">
        <v>26</v>
      </c>
      <c r="D6631" s="2" t="s">
        <v>27</v>
      </c>
      <c r="E6631" s="4">
        <v>-32071</v>
      </c>
      <c r="F6631" s="3" t="s">
        <v>492</v>
      </c>
      <c r="G6631" s="3" t="s">
        <v>493</v>
      </c>
      <c r="H6631" s="2" t="s">
        <v>21</v>
      </c>
      <c r="I6631" s="2" t="s">
        <v>16663</v>
      </c>
      <c r="J6631" s="3" t="str">
        <f>HYPERLINK("https://www.boe.es/gazeta/dias/1812/03/10/pdfs/GRE-1812-31.pdf#page=8","Abrir facsímil")</f>
        <v>Abrir facsímil</v>
      </c>
      <c r="K6631" s="3" t="s">
        <v>23</v>
      </c>
    </row>
    <row r="6632" spans="1:11" ht="42" customHeight="1">
      <c r="A6632" s="2" t="s">
        <v>16664</v>
      </c>
      <c r="B6632" s="2" t="s">
        <v>16665</v>
      </c>
      <c r="C6632" s="2" t="s">
        <v>26</v>
      </c>
      <c r="D6632" s="2" t="s">
        <v>27</v>
      </c>
      <c r="E6632" s="4">
        <v>-32020</v>
      </c>
      <c r="F6632" s="3" t="s">
        <v>2818</v>
      </c>
      <c r="G6632" s="3" t="s">
        <v>16666</v>
      </c>
      <c r="H6632" s="2" t="s">
        <v>30</v>
      </c>
      <c r="I6632" s="2" t="s">
        <v>16667</v>
      </c>
      <c r="J6632" s="3" t="str">
        <f>HYPERLINK("https://www.boe.es/gazeta/dias/1812/04/30/pdfs/GRE-1812-54.pdf#page=4","Abrir facsímil")</f>
        <v>Abrir facsímil</v>
      </c>
      <c r="K6632" s="3" t="s">
        <v>32</v>
      </c>
    </row>
    <row r="6633" spans="1:11" ht="42" customHeight="1">
      <c r="A6633" s="2" t="s">
        <v>16668</v>
      </c>
      <c r="B6633" s="2" t="s">
        <v>16668</v>
      </c>
      <c r="C6633" s="2" t="s">
        <v>26</v>
      </c>
      <c r="D6633" s="2" t="s">
        <v>27</v>
      </c>
      <c r="E6633" s="4">
        <v>-32086</v>
      </c>
      <c r="F6633" s="3" t="s">
        <v>2067</v>
      </c>
      <c r="G6633" s="3" t="s">
        <v>196</v>
      </c>
      <c r="H6633" s="2" t="s">
        <v>21</v>
      </c>
      <c r="I6633" s="2" t="s">
        <v>16669</v>
      </c>
      <c r="J6633" s="3" t="str">
        <f>HYPERLINK("https://www.boe.es/gazeta/dias/1812/02/24/pdfs/GMD-1812-55.pdf#page=1","Abrir facsímil")</f>
        <v>Abrir facsímil</v>
      </c>
      <c r="K6633" s="3" t="s">
        <v>23</v>
      </c>
    </row>
    <row r="6634" spans="1:11" ht="42" customHeight="1">
      <c r="A6634" s="2" t="s">
        <v>16670</v>
      </c>
      <c r="B6634" s="2" t="s">
        <v>16671</v>
      </c>
      <c r="C6634" s="2" t="s">
        <v>26</v>
      </c>
      <c r="D6634" s="2" t="s">
        <v>27</v>
      </c>
      <c r="E6634" s="4">
        <v>-31857</v>
      </c>
      <c r="F6634" s="3" t="s">
        <v>1000</v>
      </c>
      <c r="G6634" s="3" t="s">
        <v>136</v>
      </c>
      <c r="H6634" s="2" t="s">
        <v>21</v>
      </c>
      <c r="I6634" s="2" t="s">
        <v>16672</v>
      </c>
      <c r="J6634" s="3" t="str">
        <f>HYPERLINK("https://www.boe.es/gazeta/dias/1812/10/10/pdfs/GRE-1812-137.pdf#page=8","Abrir facsímil")</f>
        <v>Abrir facsímil</v>
      </c>
      <c r="K6634" s="3" t="s">
        <v>23</v>
      </c>
    </row>
    <row r="6635" spans="1:11" ht="42" customHeight="1">
      <c r="A6635" s="2" t="s">
        <v>16673</v>
      </c>
      <c r="B6635" s="2" t="s">
        <v>16673</v>
      </c>
      <c r="C6635" s="2" t="s">
        <v>17</v>
      </c>
      <c r="D6635" s="2" t="s">
        <v>18</v>
      </c>
      <c r="E6635" s="4">
        <v>-31868</v>
      </c>
      <c r="F6635" s="3" t="s">
        <v>1833</v>
      </c>
      <c r="G6635" s="3" t="s">
        <v>45</v>
      </c>
      <c r="H6635" s="2" t="s">
        <v>21</v>
      </c>
      <c r="I6635" s="2" t="s">
        <v>16674</v>
      </c>
      <c r="J6635" s="3" t="str">
        <f>HYPERLINK("https://www.boe.es/gazeta/dias/1812/09/29/pdfs/GMR-1812-20.pdf#page=2","Abrir facsímil")</f>
        <v>Abrir facsímil</v>
      </c>
      <c r="K6635" s="3" t="s">
        <v>23</v>
      </c>
    </row>
    <row r="6636" spans="1:11" ht="42" customHeight="1">
      <c r="A6636" s="2" t="s">
        <v>16675</v>
      </c>
      <c r="B6636" s="2" t="s">
        <v>16675</v>
      </c>
      <c r="C6636" s="2" t="s">
        <v>17</v>
      </c>
      <c r="D6636" s="2" t="s">
        <v>27</v>
      </c>
      <c r="E6636" s="4">
        <v>-32025</v>
      </c>
      <c r="F6636" s="3" t="s">
        <v>2323</v>
      </c>
      <c r="G6636" s="3" t="s">
        <v>125</v>
      </c>
      <c r="H6636" s="2" t="s">
        <v>21</v>
      </c>
      <c r="I6636" s="2" t="s">
        <v>16676</v>
      </c>
      <c r="J6636" s="3" t="str">
        <f>HYPERLINK("https://www.boe.es/gazeta/dias/1812/04/25/pdfs/GRE-1812-52.pdf#page=7","Abrir facsímil")</f>
        <v>Abrir facsímil</v>
      </c>
      <c r="K6636" s="3" t="s">
        <v>23</v>
      </c>
    </row>
    <row r="6637" spans="1:11" ht="42" customHeight="1">
      <c r="A6637" s="2" t="s">
        <v>16677</v>
      </c>
      <c r="B6637" s="2" t="s">
        <v>16678</v>
      </c>
      <c r="C6637" s="2" t="s">
        <v>67</v>
      </c>
      <c r="D6637" s="2" t="s">
        <v>275</v>
      </c>
      <c r="E6637" s="4">
        <v>-31941</v>
      </c>
      <c r="F6637" s="3" t="s">
        <v>2048</v>
      </c>
      <c r="G6637" s="3" t="s">
        <v>20</v>
      </c>
      <c r="H6637" s="2" t="s">
        <v>21</v>
      </c>
      <c r="I6637" s="2" t="s">
        <v>16679</v>
      </c>
      <c r="J6637" s="3" t="str">
        <f>HYPERLINK("https://www.boe.es/gazeta/dias/1812/07/18/pdfs/GRE-1812-90.pdf#page=8","Abrir facsímil")</f>
        <v>Abrir facsímil</v>
      </c>
      <c r="K6637" s="3" t="s">
        <v>23</v>
      </c>
    </row>
    <row r="6638" spans="1:11" ht="42" customHeight="1">
      <c r="A6638" s="2" t="s">
        <v>16680</v>
      </c>
      <c r="B6638" s="2" t="s">
        <v>16681</v>
      </c>
      <c r="C6638" s="2" t="s">
        <v>17</v>
      </c>
      <c r="D6638" s="2" t="s">
        <v>27</v>
      </c>
      <c r="E6638" s="4">
        <v>-31951</v>
      </c>
      <c r="F6638" s="3" t="s">
        <v>1603</v>
      </c>
      <c r="G6638" s="3" t="s">
        <v>214</v>
      </c>
      <c r="H6638" s="2" t="s">
        <v>21</v>
      </c>
      <c r="I6638" s="2" t="s">
        <v>16682</v>
      </c>
      <c r="J6638" s="3" t="str">
        <f>HYPERLINK("https://www.boe.es/gazeta/dias/1812/07/08/pdfs/GMD-1812-190.pdf#page=4","Abrir facsímil")</f>
        <v>Abrir facsímil</v>
      </c>
      <c r="K6638" s="3" t="s">
        <v>23</v>
      </c>
    </row>
    <row r="6639" spans="1:11" ht="42" customHeight="1">
      <c r="A6639" s="2" t="s">
        <v>16683</v>
      </c>
      <c r="B6639" s="2" t="s">
        <v>16684</v>
      </c>
      <c r="C6639" s="2" t="s">
        <v>26</v>
      </c>
      <c r="D6639" s="2" t="s">
        <v>27</v>
      </c>
      <c r="E6639" s="4">
        <v>-32034</v>
      </c>
      <c r="F6639" s="3" t="s">
        <v>28</v>
      </c>
      <c r="G6639" s="3" t="s">
        <v>317</v>
      </c>
      <c r="H6639" s="2" t="s">
        <v>21</v>
      </c>
      <c r="I6639" s="2" t="s">
        <v>16685</v>
      </c>
      <c r="J6639" s="3" t="str">
        <f>HYPERLINK("https://www.boe.es/gazeta/dias/1812/04/16/pdfs/GMD-1812-107.pdf#page=6","Abrir facsímil")</f>
        <v>Abrir facsímil</v>
      </c>
      <c r="K6639" s="3" t="s">
        <v>23</v>
      </c>
    </row>
    <row r="6640" spans="1:11" ht="42" customHeight="1">
      <c r="A6640" s="2" t="s">
        <v>16686</v>
      </c>
      <c r="B6640" s="2" t="s">
        <v>16687</v>
      </c>
      <c r="C6640" s="2" t="s">
        <v>26</v>
      </c>
      <c r="D6640" s="2" t="s">
        <v>27</v>
      </c>
      <c r="E6640" s="4">
        <v>-31821</v>
      </c>
      <c r="F6640" s="3" t="s">
        <v>1979</v>
      </c>
      <c r="G6640" s="3" t="s">
        <v>317</v>
      </c>
      <c r="H6640" s="2" t="s">
        <v>21</v>
      </c>
      <c r="I6640" s="2" t="s">
        <v>16688</v>
      </c>
      <c r="J6640" s="3" t="str">
        <f>HYPERLINK("https://www.boe.es/gazeta/dias/1812/11/15/pdfs/GMR-1812-34.pdf#page=6","Abrir facsímil")</f>
        <v>Abrir facsímil</v>
      </c>
      <c r="K6640" s="3" t="s">
        <v>23</v>
      </c>
    </row>
    <row r="6641" spans="1:11" ht="42" customHeight="1">
      <c r="A6641" s="2" t="s">
        <v>16689</v>
      </c>
      <c r="B6641" s="2" t="s">
        <v>16689</v>
      </c>
      <c r="C6641" s="2" t="s">
        <v>17</v>
      </c>
      <c r="D6641" s="2" t="s">
        <v>27</v>
      </c>
      <c r="E6641" s="4">
        <v>-32134</v>
      </c>
      <c r="F6641" s="3" t="s">
        <v>50</v>
      </c>
      <c r="G6641" s="3" t="s">
        <v>20</v>
      </c>
      <c r="H6641" s="2" t="s">
        <v>21</v>
      </c>
      <c r="I6641" s="2" t="s">
        <v>16690</v>
      </c>
      <c r="J6641" s="3" t="str">
        <f>HYPERLINK("https://www.boe.es/gazeta/dias/1812/01/07/pdfs/GEI-1812-3.pdf#page=2","Abrir facsímil")</f>
        <v>Abrir facsímil</v>
      </c>
      <c r="K6641" s="3" t="s">
        <v>23</v>
      </c>
    </row>
    <row r="6642" spans="1:11" ht="42" customHeight="1">
      <c r="A6642" s="2" t="s">
        <v>16689</v>
      </c>
      <c r="B6642" s="2" t="s">
        <v>16689</v>
      </c>
      <c r="C6642" s="2" t="s">
        <v>17</v>
      </c>
      <c r="D6642" s="2" t="s">
        <v>27</v>
      </c>
      <c r="E6642" s="4">
        <v>-32134</v>
      </c>
      <c r="F6642" s="3" t="s">
        <v>50</v>
      </c>
      <c r="G6642" s="3" t="s">
        <v>45</v>
      </c>
      <c r="H6642" s="2" t="s">
        <v>21</v>
      </c>
      <c r="I6642" s="2" t="s">
        <v>16691</v>
      </c>
      <c r="J6642" s="3" t="str">
        <f>HYPERLINK("https://www.boe.es/gazeta/dias/1812/01/07/pdfs/GEI-1812-3.pdf#page=4","Abrir facsímil")</f>
        <v>Abrir facsímil</v>
      </c>
      <c r="K6642" s="3" t="s">
        <v>23</v>
      </c>
    </row>
    <row r="6643" spans="1:11" ht="42" customHeight="1">
      <c r="A6643" s="2" t="s">
        <v>16692</v>
      </c>
      <c r="B6643" s="2" t="s">
        <v>16692</v>
      </c>
      <c r="C6643" s="2" t="s">
        <v>17</v>
      </c>
      <c r="D6643" s="2" t="s">
        <v>18</v>
      </c>
      <c r="E6643" s="4">
        <v>-32109</v>
      </c>
      <c r="F6643" s="3" t="s">
        <v>62</v>
      </c>
      <c r="G6643" s="3" t="s">
        <v>1650</v>
      </c>
      <c r="H6643" s="2" t="s">
        <v>21</v>
      </c>
      <c r="I6643" s="2" t="s">
        <v>16693</v>
      </c>
      <c r="J6643" s="3" t="str">
        <f>HYPERLINK("https://www.boe.es/gazeta/dias/1812/02/01/pdfs/GRE-1812-14.pdf#page=4","Abrir facsímil")</f>
        <v>Abrir facsímil</v>
      </c>
      <c r="K6643" s="3" t="s">
        <v>23</v>
      </c>
    </row>
    <row r="6644" spans="1:11" ht="42" customHeight="1">
      <c r="A6644" s="2" t="s">
        <v>16692</v>
      </c>
      <c r="B6644" s="2" t="s">
        <v>16692</v>
      </c>
      <c r="C6644" s="2" t="s">
        <v>17</v>
      </c>
      <c r="D6644" s="2" t="s">
        <v>27</v>
      </c>
      <c r="E6644" s="4">
        <v>-32109</v>
      </c>
      <c r="F6644" s="3" t="s">
        <v>62</v>
      </c>
      <c r="G6644" s="3" t="s">
        <v>317</v>
      </c>
      <c r="H6644" s="2" t="s">
        <v>21</v>
      </c>
      <c r="I6644" s="2" t="s">
        <v>16694</v>
      </c>
      <c r="J6644" s="3" t="str">
        <f>HYPERLINK("https://www.boe.es/gazeta/dias/1812/02/01/pdfs/GRE-1812-14.pdf#page=6","Abrir facsímil")</f>
        <v>Abrir facsímil</v>
      </c>
      <c r="K6644" s="3" t="s">
        <v>23</v>
      </c>
    </row>
    <row r="6645" spans="1:11" ht="42" customHeight="1">
      <c r="A6645" s="2" t="s">
        <v>16692</v>
      </c>
      <c r="B6645" s="2" t="s">
        <v>16692</v>
      </c>
      <c r="C6645" s="2" t="s">
        <v>17</v>
      </c>
      <c r="D6645" s="2" t="s">
        <v>18</v>
      </c>
      <c r="E6645" s="4">
        <v>-32036</v>
      </c>
      <c r="F6645" s="3" t="s">
        <v>781</v>
      </c>
      <c r="G6645" s="3" t="s">
        <v>2895</v>
      </c>
      <c r="H6645" s="2" t="s">
        <v>21</v>
      </c>
      <c r="I6645" s="2" t="s">
        <v>16695</v>
      </c>
      <c r="J6645" s="3" t="str">
        <f>HYPERLINK("https://www.boe.es/gazeta/dias/1812/04/14/pdfs/GRE-1812-47.pdf#page=4","Abrir facsímil")</f>
        <v>Abrir facsímil</v>
      </c>
      <c r="K6645" s="3" t="s">
        <v>23</v>
      </c>
    </row>
    <row r="6646" spans="1:11" ht="42" customHeight="1">
      <c r="A6646" s="2" t="s">
        <v>16692</v>
      </c>
      <c r="B6646" s="2" t="s">
        <v>16692</v>
      </c>
      <c r="C6646" s="2" t="s">
        <v>17</v>
      </c>
      <c r="D6646" s="2" t="s">
        <v>18</v>
      </c>
      <c r="E6646" s="4">
        <v>-32025</v>
      </c>
      <c r="F6646" s="3" t="s">
        <v>2323</v>
      </c>
      <c r="G6646" s="3" t="s">
        <v>130</v>
      </c>
      <c r="H6646" s="2" t="s">
        <v>21</v>
      </c>
      <c r="I6646" s="2" t="s">
        <v>16696</v>
      </c>
      <c r="J6646" s="3" t="str">
        <f>HYPERLINK("https://www.boe.es/gazeta/dias/1812/04/25/pdfs/GRE-1812-52.pdf#page=4","Abrir facsímil")</f>
        <v>Abrir facsímil</v>
      </c>
      <c r="K6646" s="3" t="s">
        <v>23</v>
      </c>
    </row>
    <row r="6647" spans="1:11" ht="42" customHeight="1">
      <c r="A6647" s="2" t="s">
        <v>16692</v>
      </c>
      <c r="B6647" s="2" t="s">
        <v>16692</v>
      </c>
      <c r="C6647" s="2" t="s">
        <v>17</v>
      </c>
      <c r="D6647" s="2" t="s">
        <v>18</v>
      </c>
      <c r="E6647" s="4">
        <v>-32025</v>
      </c>
      <c r="F6647" s="3" t="s">
        <v>2323</v>
      </c>
      <c r="G6647" s="3" t="s">
        <v>45</v>
      </c>
      <c r="H6647" s="2" t="s">
        <v>21</v>
      </c>
      <c r="I6647" s="2" t="s">
        <v>16697</v>
      </c>
      <c r="J6647" s="3" t="str">
        <f>HYPERLINK("https://www.boe.es/gazeta/dias/1812/04/25/pdfs/GRE-1812-52.pdf#page=6","Abrir facsímil")</f>
        <v>Abrir facsímil</v>
      </c>
      <c r="K6647" s="3" t="s">
        <v>23</v>
      </c>
    </row>
    <row r="6648" spans="1:11" ht="42" customHeight="1">
      <c r="A6648" s="2" t="s">
        <v>16692</v>
      </c>
      <c r="B6648" s="2" t="s">
        <v>16692</v>
      </c>
      <c r="C6648" s="2" t="s">
        <v>17</v>
      </c>
      <c r="D6648" s="2" t="s">
        <v>134</v>
      </c>
      <c r="E6648" s="4">
        <v>-31947</v>
      </c>
      <c r="F6648" s="3" t="s">
        <v>10381</v>
      </c>
      <c r="G6648" s="3" t="s">
        <v>10382</v>
      </c>
      <c r="H6648" s="2" t="s">
        <v>21</v>
      </c>
      <c r="I6648" s="2" t="s">
        <v>16698</v>
      </c>
      <c r="J6648" s="3" t="str">
        <f>HYPERLINK("https://www.boe.es/gazeta/dias/1812/07/12/pdfs/GRE-F-1812-87E.pdf#page=1","Abrir facsímil")</f>
        <v>Abrir facsímil</v>
      </c>
      <c r="K6648" s="3" t="s">
        <v>23</v>
      </c>
    </row>
    <row r="6649" spans="1:11" ht="42" customHeight="1">
      <c r="A6649" s="2" t="s">
        <v>16692</v>
      </c>
      <c r="B6649" s="2" t="s">
        <v>16692</v>
      </c>
      <c r="C6649" s="2" t="s">
        <v>17</v>
      </c>
      <c r="D6649" s="2" t="s">
        <v>573</v>
      </c>
      <c r="E6649" s="4">
        <v>-31921</v>
      </c>
      <c r="F6649" s="3" t="s">
        <v>785</v>
      </c>
      <c r="G6649" s="3" t="s">
        <v>130</v>
      </c>
      <c r="H6649" s="2" t="s">
        <v>21</v>
      </c>
      <c r="I6649" s="2" t="s">
        <v>16699</v>
      </c>
      <c r="J6649" s="3" t="str">
        <f>HYPERLINK("https://www.boe.es/gazeta/dias/1812/08/07/pdfs/GRE-1812-101E.pdf#page=4","Abrir facsímil")</f>
        <v>Abrir facsímil</v>
      </c>
      <c r="K6649" s="3" t="s">
        <v>23</v>
      </c>
    </row>
    <row r="6650" spans="1:11" ht="42" customHeight="1">
      <c r="A6650" s="2" t="s">
        <v>16700</v>
      </c>
      <c r="B6650" s="2" t="s">
        <v>16701</v>
      </c>
      <c r="C6650" s="2" t="s">
        <v>67</v>
      </c>
      <c r="D6650" s="2" t="s">
        <v>27</v>
      </c>
      <c r="E6650" s="4">
        <v>-32066</v>
      </c>
      <c r="F6650" s="3" t="s">
        <v>291</v>
      </c>
      <c r="G6650" s="3" t="s">
        <v>125</v>
      </c>
      <c r="H6650" s="2" t="s">
        <v>21</v>
      </c>
      <c r="I6650" s="2" t="s">
        <v>16702</v>
      </c>
      <c r="J6650" s="3" t="str">
        <f>HYPERLINK("https://www.boe.es/gazeta/dias/1812/03/15/pdfs/GMD-1812-75.pdf#page=4","Abrir facsímil")</f>
        <v>Abrir facsímil</v>
      </c>
      <c r="K6650" s="3" t="s">
        <v>23</v>
      </c>
    </row>
    <row r="6651" spans="1:11" ht="42" customHeight="1">
      <c r="A6651" s="2" t="s">
        <v>16703</v>
      </c>
      <c r="B6651" s="2" t="s">
        <v>16704</v>
      </c>
      <c r="C6651" s="2" t="s">
        <v>17</v>
      </c>
      <c r="D6651" s="2" t="s">
        <v>27</v>
      </c>
      <c r="E6651" s="4">
        <v>-31951</v>
      </c>
      <c r="F6651" s="3" t="s">
        <v>1603</v>
      </c>
      <c r="G6651" s="3" t="s">
        <v>214</v>
      </c>
      <c r="H6651" s="2" t="s">
        <v>21</v>
      </c>
      <c r="I6651" s="2" t="s">
        <v>16705</v>
      </c>
      <c r="J6651" s="3" t="str">
        <f>HYPERLINK("https://www.boe.es/gazeta/dias/1812/07/08/pdfs/GMD-1812-190.pdf#page=4","Abrir facsímil")</f>
        <v>Abrir facsímil</v>
      </c>
      <c r="K6651" s="3" t="s">
        <v>23</v>
      </c>
    </row>
    <row r="6652" spans="1:11" ht="42" customHeight="1">
      <c r="A6652" s="2" t="s">
        <v>16706</v>
      </c>
      <c r="B6652" s="2" t="s">
        <v>16706</v>
      </c>
      <c r="C6652" s="2" t="s">
        <v>17</v>
      </c>
      <c r="D6652" s="2" t="s">
        <v>27</v>
      </c>
      <c r="E6652" s="4">
        <v>-32134</v>
      </c>
      <c r="F6652" s="3" t="s">
        <v>50</v>
      </c>
      <c r="G6652" s="3" t="s">
        <v>20</v>
      </c>
      <c r="H6652" s="2" t="s">
        <v>21</v>
      </c>
      <c r="I6652" s="2" t="s">
        <v>16707</v>
      </c>
      <c r="J6652" s="3" t="str">
        <f>HYPERLINK("https://www.boe.es/gazeta/dias/1812/01/07/pdfs/GEI-1812-3.pdf#page=2","Abrir facsímil")</f>
        <v>Abrir facsímil</v>
      </c>
      <c r="K6652" s="3" t="s">
        <v>23</v>
      </c>
    </row>
    <row r="6653" spans="1:11" ht="42" customHeight="1">
      <c r="A6653" s="2" t="s">
        <v>16706</v>
      </c>
      <c r="B6653" s="2" t="s">
        <v>16706</v>
      </c>
      <c r="C6653" s="2" t="s">
        <v>17</v>
      </c>
      <c r="D6653" s="2" t="s">
        <v>27</v>
      </c>
      <c r="E6653" s="4">
        <v>-32134</v>
      </c>
      <c r="F6653" s="3" t="s">
        <v>50</v>
      </c>
      <c r="G6653" s="3" t="s">
        <v>45</v>
      </c>
      <c r="H6653" s="2" t="s">
        <v>21</v>
      </c>
      <c r="I6653" s="2" t="s">
        <v>16708</v>
      </c>
      <c r="J6653" s="3" t="str">
        <f>HYPERLINK("https://www.boe.es/gazeta/dias/1812/01/07/pdfs/GEI-1812-3.pdf#page=4","Abrir facsímil")</f>
        <v>Abrir facsímil</v>
      </c>
      <c r="K6653" s="3" t="s">
        <v>23</v>
      </c>
    </row>
    <row r="6654" spans="1:11" ht="42" customHeight="1">
      <c r="A6654" s="2" t="s">
        <v>16709</v>
      </c>
      <c r="B6654" s="2" t="s">
        <v>16710</v>
      </c>
      <c r="C6654" s="2" t="s">
        <v>17</v>
      </c>
      <c r="D6654" s="2" t="s">
        <v>27</v>
      </c>
      <c r="E6654" s="4">
        <v>-32032</v>
      </c>
      <c r="F6654" s="3" t="s">
        <v>421</v>
      </c>
      <c r="G6654" s="3" t="s">
        <v>16711</v>
      </c>
      <c r="H6654" s="2" t="s">
        <v>21</v>
      </c>
      <c r="I6654" s="2" t="s">
        <v>16712</v>
      </c>
      <c r="J6654" s="3" t="str">
        <f>HYPERLINK("https://www.boe.es/gazeta/dias/1812/04/18/pdfs/GRE-1812-49.pdf#page=8","Abrir facsímil")</f>
        <v>Abrir facsímil</v>
      </c>
      <c r="K6654" s="3" t="s">
        <v>23</v>
      </c>
    </row>
    <row r="6655" spans="1:11" ht="42" customHeight="1">
      <c r="A6655" s="2" t="s">
        <v>16713</v>
      </c>
      <c r="B6655" s="2" t="s">
        <v>16713</v>
      </c>
      <c r="C6655" s="2" t="s">
        <v>17</v>
      </c>
      <c r="D6655" s="2" t="s">
        <v>27</v>
      </c>
      <c r="E6655" s="4">
        <v>-32039</v>
      </c>
      <c r="F6655" s="3" t="s">
        <v>1910</v>
      </c>
      <c r="G6655" s="3" t="s">
        <v>237</v>
      </c>
      <c r="H6655" s="2" t="s">
        <v>21</v>
      </c>
      <c r="I6655" s="2" t="s">
        <v>16714</v>
      </c>
      <c r="J6655" s="3" t="str">
        <f>HYPERLINK("https://www.boe.es/gazeta/dias/1812/04/11/pdfs/GRE-1812-46.pdf#page=8","Abrir facsímil")</f>
        <v>Abrir facsímil</v>
      </c>
      <c r="K6655" s="3" t="s">
        <v>23</v>
      </c>
    </row>
    <row r="6656" spans="1:11" ht="42" customHeight="1">
      <c r="A6656" s="2" t="s">
        <v>16715</v>
      </c>
      <c r="B6656" s="2" t="s">
        <v>16715</v>
      </c>
      <c r="C6656" s="2" t="s">
        <v>17</v>
      </c>
      <c r="D6656" s="2" t="s">
        <v>27</v>
      </c>
      <c r="E6656" s="4">
        <v>-31782</v>
      </c>
      <c r="F6656" s="3" t="s">
        <v>860</v>
      </c>
      <c r="G6656" s="3" t="s">
        <v>2379</v>
      </c>
      <c r="H6656" s="2" t="s">
        <v>21</v>
      </c>
      <c r="I6656" s="2" t="s">
        <v>16716</v>
      </c>
      <c r="J6656" s="3" t="str">
        <f>HYPERLINK("https://www.boe.es/gazeta/dias/1812/12/24/pdfs/GRE-1812-169.pdf#page=1","Abrir facsímil")</f>
        <v>Abrir facsímil</v>
      </c>
      <c r="K6656" s="3" t="s">
        <v>23</v>
      </c>
    </row>
    <row r="6657" spans="1:11" ht="42" customHeight="1">
      <c r="A6657" s="2" t="s">
        <v>16717</v>
      </c>
      <c r="B6657" s="2" t="s">
        <v>16718</v>
      </c>
      <c r="C6657" s="2" t="s">
        <v>26</v>
      </c>
      <c r="D6657" s="2" t="s">
        <v>275</v>
      </c>
      <c r="E6657" s="4">
        <v>-31815</v>
      </c>
      <c r="F6657" s="3" t="s">
        <v>1167</v>
      </c>
      <c r="G6657" s="3" t="s">
        <v>1168</v>
      </c>
      <c r="H6657" s="2" t="s">
        <v>21</v>
      </c>
      <c r="I6657" s="2" t="s">
        <v>16719</v>
      </c>
      <c r="J6657" s="3" t="str">
        <f>HYPERLINK("https://www.boe.es/gazeta/dias/1812/11/21/pdfs/GRE-1812-155.pdf#page=1","Abrir facsímil")</f>
        <v>Abrir facsímil</v>
      </c>
      <c r="K6657" s="3" t="s">
        <v>23</v>
      </c>
    </row>
    <row r="6658" spans="1:11" ht="42" customHeight="1">
      <c r="A6658" s="2" t="s">
        <v>16720</v>
      </c>
      <c r="B6658" s="2" t="s">
        <v>16721</v>
      </c>
      <c r="C6658" s="2" t="s">
        <v>17</v>
      </c>
      <c r="D6658" s="2" t="s">
        <v>27</v>
      </c>
      <c r="E6658" s="4">
        <v>-32067</v>
      </c>
      <c r="F6658" s="3" t="s">
        <v>199</v>
      </c>
      <c r="G6658" s="3" t="s">
        <v>237</v>
      </c>
      <c r="H6658" s="2" t="s">
        <v>21</v>
      </c>
      <c r="I6658" s="2" t="s">
        <v>16722</v>
      </c>
      <c r="J6658" s="3" t="str">
        <f>HYPERLINK("https://www.boe.es/gazeta/dias/1812/03/14/pdfs/GRE-1812-33.pdf#page=8","Abrir facsímil")</f>
        <v>Abrir facsímil</v>
      </c>
      <c r="K6658" s="3" t="s">
        <v>23</v>
      </c>
    </row>
    <row r="6659" spans="1:11" ht="42" customHeight="1">
      <c r="A6659" s="2" t="s">
        <v>16723</v>
      </c>
      <c r="B6659" s="2" t="s">
        <v>16724</v>
      </c>
      <c r="C6659" s="2" t="s">
        <v>49</v>
      </c>
      <c r="D6659" s="2" t="s">
        <v>27</v>
      </c>
      <c r="E6659" s="4">
        <v>-32075</v>
      </c>
      <c r="F6659" s="3" t="s">
        <v>301</v>
      </c>
      <c r="G6659" s="3" t="s">
        <v>20</v>
      </c>
      <c r="H6659" s="2" t="s">
        <v>21</v>
      </c>
      <c r="I6659" s="2" t="s">
        <v>16725</v>
      </c>
      <c r="J6659" s="3" t="str">
        <f>HYPERLINK("https://www.boe.es/gazeta/dias/1812/03/06/pdfs/GMD-1812-66.pdf#page=4","Abrir facsímil")</f>
        <v>Abrir facsímil</v>
      </c>
      <c r="K6659" s="3" t="s">
        <v>23</v>
      </c>
    </row>
    <row r="6660" spans="1:11" ht="42" customHeight="1">
      <c r="A6660" s="2" t="s">
        <v>16726</v>
      </c>
      <c r="B6660" s="2" t="s">
        <v>16727</v>
      </c>
      <c r="C6660" s="2" t="s">
        <v>26</v>
      </c>
      <c r="D6660" s="2" t="s">
        <v>27</v>
      </c>
      <c r="E6660" s="4">
        <v>-32034</v>
      </c>
      <c r="F6660" s="3" t="s">
        <v>28</v>
      </c>
      <c r="G6660" s="3" t="s">
        <v>130</v>
      </c>
      <c r="H6660" s="2" t="s">
        <v>21</v>
      </c>
      <c r="I6660" s="2" t="s">
        <v>16728</v>
      </c>
      <c r="J6660" s="3" t="str">
        <f>HYPERLINK("https://www.boe.es/gazeta/dias/1812/04/16/pdfs/GMD-1812-107.pdf#page=4","Abrir facsímil")</f>
        <v>Abrir facsímil</v>
      </c>
      <c r="K6660" s="3" t="s">
        <v>23</v>
      </c>
    </row>
    <row r="6661" spans="1:11" ht="42" customHeight="1">
      <c r="A6661" s="2" t="s">
        <v>16729</v>
      </c>
      <c r="B6661" s="2" t="s">
        <v>16730</v>
      </c>
      <c r="C6661" s="2" t="s">
        <v>26</v>
      </c>
      <c r="D6661" s="2" t="s">
        <v>27</v>
      </c>
      <c r="E6661" s="4">
        <v>-32044</v>
      </c>
      <c r="F6661" s="3" t="s">
        <v>1031</v>
      </c>
      <c r="G6661" s="3" t="s">
        <v>20</v>
      </c>
      <c r="H6661" s="2" t="s">
        <v>21</v>
      </c>
      <c r="I6661" s="2" t="s">
        <v>16731</v>
      </c>
      <c r="J6661" s="3" t="str">
        <f>HYPERLINK("https://www.boe.es/gazeta/dias/1812/04/06/pdfs/GMD-1812-97.pdf#page=3","Abrir facsímil")</f>
        <v>Abrir facsímil</v>
      </c>
      <c r="K6661" s="3" t="s">
        <v>23</v>
      </c>
    </row>
    <row r="6662" spans="1:11" ht="42" customHeight="1">
      <c r="A6662" s="2" t="s">
        <v>16732</v>
      </c>
      <c r="B6662" s="2" t="s">
        <v>16733</v>
      </c>
      <c r="C6662" s="2" t="s">
        <v>17</v>
      </c>
      <c r="D6662" s="2" t="s">
        <v>27</v>
      </c>
      <c r="E6662" s="4">
        <v>-31934</v>
      </c>
      <c r="F6662" s="3" t="s">
        <v>509</v>
      </c>
      <c r="G6662" s="3" t="s">
        <v>4482</v>
      </c>
      <c r="H6662" s="2" t="s">
        <v>21</v>
      </c>
      <c r="I6662" s="2" t="s">
        <v>16734</v>
      </c>
      <c r="J6662" s="3" t="str">
        <f>HYPERLINK("https://www.boe.es/gazeta/dias/1812/07/25/pdfs/GRE-1812-93.pdf#page=8","Abrir facsímil")</f>
        <v>Abrir facsímil</v>
      </c>
      <c r="K6662" s="3" t="s">
        <v>23</v>
      </c>
    </row>
    <row r="6663" spans="1:11" ht="42" customHeight="1">
      <c r="A6663" s="2" t="s">
        <v>16735</v>
      </c>
      <c r="B6663" s="2" t="s">
        <v>16736</v>
      </c>
      <c r="C6663" s="2" t="s">
        <v>26</v>
      </c>
      <c r="D6663" s="2" t="s">
        <v>27</v>
      </c>
      <c r="E6663" s="4">
        <v>-31934</v>
      </c>
      <c r="F6663" s="3" t="s">
        <v>6490</v>
      </c>
      <c r="G6663" s="3" t="s">
        <v>233</v>
      </c>
      <c r="H6663" s="2" t="s">
        <v>21</v>
      </c>
      <c r="I6663" s="2" t="s">
        <v>16737</v>
      </c>
      <c r="J6663" s="3" t="str">
        <f>HYPERLINK("https://www.boe.es/gazeta/dias/1812/07/25/pdfs/GMD-1812-207.pdf#page=2","Abrir facsímil")</f>
        <v>Abrir facsímil</v>
      </c>
      <c r="K6663" s="3" t="s">
        <v>23</v>
      </c>
    </row>
    <row r="6664" spans="1:11" ht="42" customHeight="1">
      <c r="A6664" s="2" t="s">
        <v>16738</v>
      </c>
      <c r="B6664" s="2" t="s">
        <v>16739</v>
      </c>
      <c r="C6664" s="2" t="s">
        <v>17</v>
      </c>
      <c r="D6664" s="2" t="s">
        <v>18</v>
      </c>
      <c r="E6664" s="4">
        <v>-31833</v>
      </c>
      <c r="F6664" s="3" t="s">
        <v>267</v>
      </c>
      <c r="G6664" s="3" t="s">
        <v>268</v>
      </c>
      <c r="H6664" s="2" t="s">
        <v>21</v>
      </c>
      <c r="I6664" s="2" t="s">
        <v>16740</v>
      </c>
      <c r="J6664" s="3" t="str">
        <f>HYPERLINK("https://www.boe.es/gazeta/dias/1812/11/03/pdfs/GRE-1812-147.pdf#page=8","Abrir facsímil")</f>
        <v>Abrir facsímil</v>
      </c>
      <c r="K6664" s="3" t="s">
        <v>23</v>
      </c>
    </row>
    <row r="6665" spans="1:11" ht="42" customHeight="1">
      <c r="A6665" s="2" t="s">
        <v>16738</v>
      </c>
      <c r="B6665" s="2" t="s">
        <v>16739</v>
      </c>
      <c r="C6665" s="2" t="s">
        <v>17</v>
      </c>
      <c r="D6665" s="2" t="s">
        <v>18</v>
      </c>
      <c r="E6665" s="4">
        <v>-31816</v>
      </c>
      <c r="F6665" s="3" t="s">
        <v>270</v>
      </c>
      <c r="G6665" s="3" t="s">
        <v>271</v>
      </c>
      <c r="H6665" s="2" t="s">
        <v>21</v>
      </c>
      <c r="I6665" s="2" t="s">
        <v>16741</v>
      </c>
      <c r="J6665" s="3" t="str">
        <f>HYPERLINK("https://www.boe.es/gazeta/dias/1812/11/20/pdfs/GMR-1812-36.pdf#page=6","Abrir facsímil")</f>
        <v>Abrir facsímil</v>
      </c>
      <c r="K6665" s="3" t="s">
        <v>23</v>
      </c>
    </row>
    <row r="6666" spans="1:11" ht="42" customHeight="1">
      <c r="A6666" s="2" t="s">
        <v>16742</v>
      </c>
      <c r="B6666" s="2" t="s">
        <v>16743</v>
      </c>
      <c r="C6666" s="2" t="s">
        <v>26</v>
      </c>
      <c r="D6666" s="2" t="s">
        <v>27</v>
      </c>
      <c r="E6666" s="4">
        <v>-31920</v>
      </c>
      <c r="F6666" s="3" t="s">
        <v>3204</v>
      </c>
      <c r="G6666" s="3" t="s">
        <v>404</v>
      </c>
      <c r="H6666" s="2" t="s">
        <v>21</v>
      </c>
      <c r="I6666" s="2" t="s">
        <v>16744</v>
      </c>
      <c r="J6666" s="3" t="str">
        <f>HYPERLINK("https://www.boe.es/gazeta/dias/1812/08/08/pdfs/GMD-1812-221.pdf#page=2","Abrir facsímil")</f>
        <v>Abrir facsímil</v>
      </c>
      <c r="K6666" s="3" t="s">
        <v>23</v>
      </c>
    </row>
    <row r="6667" spans="1:11" ht="42" customHeight="1">
      <c r="A6667" s="2" t="s">
        <v>16745</v>
      </c>
      <c r="B6667" s="2" t="s">
        <v>16746</v>
      </c>
      <c r="C6667" s="2" t="s">
        <v>26</v>
      </c>
      <c r="D6667" s="2" t="s">
        <v>27</v>
      </c>
      <c r="E6667" s="4">
        <v>-31816</v>
      </c>
      <c r="F6667" s="3" t="s">
        <v>270</v>
      </c>
      <c r="G6667" s="3" t="s">
        <v>271</v>
      </c>
      <c r="H6667" s="2" t="s">
        <v>21</v>
      </c>
      <c r="I6667" s="2" t="s">
        <v>16747</v>
      </c>
      <c r="J6667" s="3" t="str">
        <f>HYPERLINK("https://www.boe.es/gazeta/dias/1812/11/20/pdfs/GMR-1812-36.pdf#page=6","Abrir facsímil")</f>
        <v>Abrir facsímil</v>
      </c>
      <c r="K6667" s="3" t="s">
        <v>23</v>
      </c>
    </row>
    <row r="6668" spans="1:11" ht="42" customHeight="1">
      <c r="A6668" s="2" t="s">
        <v>16748</v>
      </c>
      <c r="B6668" s="2" t="s">
        <v>16748</v>
      </c>
      <c r="C6668" s="2" t="s">
        <v>26</v>
      </c>
      <c r="D6668" s="2" t="s">
        <v>27</v>
      </c>
      <c r="E6668" s="4">
        <v>-32085</v>
      </c>
      <c r="F6668" s="3" t="s">
        <v>3321</v>
      </c>
      <c r="G6668" s="3" t="s">
        <v>336</v>
      </c>
      <c r="H6668" s="2" t="s">
        <v>21</v>
      </c>
      <c r="I6668" s="2" t="s">
        <v>16749</v>
      </c>
      <c r="J6668" s="3" t="str">
        <f>HYPERLINK("https://www.boe.es/gazeta/dias/1812/02/25/pdfs/GRE-1812-25.pdf#page=8","Abrir facsímil")</f>
        <v>Abrir facsímil</v>
      </c>
      <c r="K6668" s="3" t="s">
        <v>23</v>
      </c>
    </row>
    <row r="6669" spans="1:11" ht="42" customHeight="1">
      <c r="A6669" s="2" t="s">
        <v>16750</v>
      </c>
      <c r="B6669" s="2" t="s">
        <v>16751</v>
      </c>
      <c r="C6669" s="2" t="s">
        <v>26</v>
      </c>
      <c r="D6669" s="2" t="s">
        <v>27</v>
      </c>
      <c r="E6669" s="4">
        <v>-32075</v>
      </c>
      <c r="F6669" s="3" t="s">
        <v>301</v>
      </c>
      <c r="G6669" s="3" t="s">
        <v>20</v>
      </c>
      <c r="H6669" s="2" t="s">
        <v>21</v>
      </c>
      <c r="I6669" s="2" t="s">
        <v>16752</v>
      </c>
      <c r="J6669" s="3" t="str">
        <f>HYPERLINK("https://www.boe.es/gazeta/dias/1812/03/06/pdfs/GMD-1812-66.pdf#page=4","Abrir facsímil")</f>
        <v>Abrir facsímil</v>
      </c>
      <c r="K6669" s="3" t="s">
        <v>23</v>
      </c>
    </row>
    <row r="6670" spans="1:11" ht="42" customHeight="1">
      <c r="A6670" s="2" t="s">
        <v>16753</v>
      </c>
      <c r="B6670" s="2" t="s">
        <v>16754</v>
      </c>
      <c r="C6670" s="2" t="s">
        <v>49</v>
      </c>
      <c r="D6670" s="2" t="s">
        <v>27</v>
      </c>
      <c r="E6670" s="4">
        <v>-32095</v>
      </c>
      <c r="F6670" s="3" t="s">
        <v>181</v>
      </c>
      <c r="G6670" s="3" t="s">
        <v>777</v>
      </c>
      <c r="H6670" s="2" t="s">
        <v>21</v>
      </c>
      <c r="I6670" s="2" t="s">
        <v>16755</v>
      </c>
      <c r="J6670" s="3" t="str">
        <f>HYPERLINK("https://www.boe.es/gazeta/dias/1812/02/15/pdfs/GMD-1812-47.pdf#page=3","Abrir facsímil")</f>
        <v>Abrir facsímil</v>
      </c>
      <c r="K6670" s="3" t="s">
        <v>23</v>
      </c>
    </row>
    <row r="6671" spans="1:11" ht="42" customHeight="1">
      <c r="A6671" s="2" t="s">
        <v>16753</v>
      </c>
      <c r="B6671" s="2" t="s">
        <v>16754</v>
      </c>
      <c r="C6671" s="2" t="s">
        <v>49</v>
      </c>
      <c r="D6671" s="2" t="s">
        <v>27</v>
      </c>
      <c r="E6671" s="4">
        <v>-32094</v>
      </c>
      <c r="F6671" s="3" t="s">
        <v>181</v>
      </c>
      <c r="G6671" s="3" t="s">
        <v>777</v>
      </c>
      <c r="H6671" s="2" t="s">
        <v>21</v>
      </c>
      <c r="I6671" s="2" t="s">
        <v>16755</v>
      </c>
      <c r="J6671" s="3" t="str">
        <f>HYPERLINK("https://www.boe.es/gazeta/dias/1812/02/16/pdfs/GMD-1812-47.pdf#page=3","Abrir facsímil")</f>
        <v>Abrir facsímil</v>
      </c>
      <c r="K6671" s="3" t="s">
        <v>23</v>
      </c>
    </row>
    <row r="6672" spans="1:11" ht="42" customHeight="1">
      <c r="A6672" s="2" t="s">
        <v>16756</v>
      </c>
      <c r="B6672" s="2" t="s">
        <v>16756</v>
      </c>
      <c r="C6672" s="2" t="s">
        <v>17</v>
      </c>
      <c r="D6672" s="2" t="s">
        <v>27</v>
      </c>
      <c r="E6672" s="4">
        <v>-31795</v>
      </c>
      <c r="F6672" s="3" t="s">
        <v>2344</v>
      </c>
      <c r="G6672" s="3" t="s">
        <v>2280</v>
      </c>
      <c r="H6672" s="2" t="s">
        <v>21</v>
      </c>
      <c r="I6672" s="2" t="s">
        <v>16757</v>
      </c>
      <c r="J6672" s="3" t="str">
        <f>HYPERLINK("https://www.boe.es/gazeta/dias/1812/12/11/pdfs/GMD-1812-234.pdf#page=1","Abrir facsímil")</f>
        <v>Abrir facsímil</v>
      </c>
      <c r="K6672" s="3" t="s">
        <v>23</v>
      </c>
    </row>
    <row r="6673" spans="1:11" ht="42" customHeight="1">
      <c r="A6673" s="2" t="s">
        <v>16758</v>
      </c>
      <c r="B6673" s="2" t="s">
        <v>16759</v>
      </c>
      <c r="C6673" s="2" t="s">
        <v>17</v>
      </c>
      <c r="D6673" s="2" t="s">
        <v>18</v>
      </c>
      <c r="E6673" s="4">
        <v>-32109</v>
      </c>
      <c r="F6673" s="3" t="s">
        <v>62</v>
      </c>
      <c r="G6673" s="3" t="s">
        <v>63</v>
      </c>
      <c r="H6673" s="2" t="s">
        <v>21</v>
      </c>
      <c r="I6673" s="2" t="s">
        <v>16760</v>
      </c>
      <c r="J6673" s="3" t="str">
        <f>HYPERLINK("https://www.boe.es/gazeta/dias/1812/02/01/pdfs/GRE-1812-14.pdf#page=10","Abrir facsímil")</f>
        <v>Abrir facsímil</v>
      </c>
      <c r="K6673" s="3" t="s">
        <v>23</v>
      </c>
    </row>
    <row r="6674" spans="1:11" ht="42" customHeight="1">
      <c r="A6674" s="2" t="s">
        <v>16761</v>
      </c>
      <c r="B6674" s="2" t="s">
        <v>16762</v>
      </c>
      <c r="C6674" s="2" t="s">
        <v>26</v>
      </c>
      <c r="D6674" s="2" t="s">
        <v>27</v>
      </c>
      <c r="E6674" s="4">
        <v>-32030</v>
      </c>
      <c r="F6674" s="3" t="s">
        <v>2226</v>
      </c>
      <c r="G6674" s="3" t="s">
        <v>2650</v>
      </c>
      <c r="H6674" s="2" t="s">
        <v>21</v>
      </c>
      <c r="I6674" s="2" t="s">
        <v>16763</v>
      </c>
      <c r="J6674" s="3" t="str">
        <f>HYPERLINK("https://www.boe.es/gazeta/dias/1812/04/20/pdfs/GMD-1812-111.pdf#page=3","Abrir facsímil")</f>
        <v>Abrir facsímil</v>
      </c>
      <c r="K6674" s="3" t="s">
        <v>23</v>
      </c>
    </row>
    <row r="6675" spans="1:11" ht="42" customHeight="1">
      <c r="A6675" s="2" t="s">
        <v>16764</v>
      </c>
      <c r="B6675" s="2" t="s">
        <v>16765</v>
      </c>
      <c r="C6675" s="2" t="s">
        <v>17</v>
      </c>
      <c r="D6675" s="2" t="s">
        <v>18</v>
      </c>
      <c r="E6675" s="4">
        <v>-32018</v>
      </c>
      <c r="F6675" s="3" t="s">
        <v>365</v>
      </c>
      <c r="G6675" s="3" t="s">
        <v>392</v>
      </c>
      <c r="H6675" s="2" t="s">
        <v>21</v>
      </c>
      <c r="I6675" s="2" t="s">
        <v>16766</v>
      </c>
      <c r="J6675" s="3" t="str">
        <f>HYPERLINK("https://www.boe.es/gazeta/dias/1812/05/02/pdfs/GRE-1812-55.pdf#page=2","Abrir facsímil")</f>
        <v>Abrir facsímil</v>
      </c>
      <c r="K6675" s="3" t="s">
        <v>23</v>
      </c>
    </row>
    <row r="6676" spans="1:11" ht="42" customHeight="1">
      <c r="A6676" s="2" t="s">
        <v>16767</v>
      </c>
      <c r="B6676" s="2" t="s">
        <v>16768</v>
      </c>
      <c r="C6676" s="2" t="s">
        <v>26</v>
      </c>
      <c r="D6676" s="2" t="s">
        <v>27</v>
      </c>
      <c r="E6676" s="4">
        <v>-31857</v>
      </c>
      <c r="F6676" s="3" t="s">
        <v>1000</v>
      </c>
      <c r="G6676" s="3" t="s">
        <v>1001</v>
      </c>
      <c r="H6676" s="2" t="s">
        <v>21</v>
      </c>
      <c r="I6676" s="2" t="s">
        <v>16769</v>
      </c>
      <c r="J6676" s="3" t="str">
        <f>HYPERLINK("https://www.boe.es/gazeta/dias/1812/10/10/pdfs/GRE-1812-137.pdf#page=7","Abrir facsímil")</f>
        <v>Abrir facsímil</v>
      </c>
      <c r="K6676" s="3" t="s">
        <v>23</v>
      </c>
    </row>
    <row r="6677" spans="1:11" ht="42" customHeight="1">
      <c r="A6677" s="2" t="s">
        <v>16770</v>
      </c>
      <c r="B6677" s="2" t="s">
        <v>16771</v>
      </c>
      <c r="C6677" s="2" t="s">
        <v>26</v>
      </c>
      <c r="D6677" s="2" t="s">
        <v>27</v>
      </c>
      <c r="E6677" s="4">
        <v>-31857</v>
      </c>
      <c r="F6677" s="3" t="s">
        <v>1000</v>
      </c>
      <c r="G6677" s="3" t="s">
        <v>136</v>
      </c>
      <c r="H6677" s="2" t="s">
        <v>21</v>
      </c>
      <c r="I6677" s="2" t="s">
        <v>16772</v>
      </c>
      <c r="J6677" s="3" t="str">
        <f>HYPERLINK("https://www.boe.es/gazeta/dias/1812/10/10/pdfs/GRE-1812-137.pdf#page=8","Abrir facsímil")</f>
        <v>Abrir facsímil</v>
      </c>
      <c r="K6677" s="3" t="s">
        <v>23</v>
      </c>
    </row>
    <row r="6678" spans="1:11" ht="42" customHeight="1">
      <c r="A6678" s="2" t="s">
        <v>16773</v>
      </c>
      <c r="B6678" s="2" t="s">
        <v>16774</v>
      </c>
      <c r="C6678" s="2" t="s">
        <v>26</v>
      </c>
      <c r="D6678" s="2" t="s">
        <v>27</v>
      </c>
      <c r="E6678" s="4">
        <v>-31939</v>
      </c>
      <c r="F6678" s="3" t="s">
        <v>408</v>
      </c>
      <c r="G6678" s="3" t="s">
        <v>20</v>
      </c>
      <c r="H6678" s="2" t="s">
        <v>21</v>
      </c>
      <c r="I6678" s="2" t="s">
        <v>16775</v>
      </c>
      <c r="J6678" s="3" t="str">
        <f>HYPERLINK("https://www.boe.es/gazeta/dias/1812/07/20/pdfs/GMD-1812-202.pdf#page=4","Abrir facsímil")</f>
        <v>Abrir facsímil</v>
      </c>
      <c r="K6678" s="3" t="s">
        <v>23</v>
      </c>
    </row>
    <row r="6679" spans="1:11" ht="42" customHeight="1">
      <c r="A6679" s="2" t="s">
        <v>16776</v>
      </c>
      <c r="B6679" s="2" t="s">
        <v>16777</v>
      </c>
      <c r="C6679" s="2" t="s">
        <v>17</v>
      </c>
      <c r="D6679" s="2" t="s">
        <v>275</v>
      </c>
      <c r="E6679" s="4">
        <v>-31859</v>
      </c>
      <c r="F6679" s="3" t="s">
        <v>3024</v>
      </c>
      <c r="G6679" s="3" t="s">
        <v>317</v>
      </c>
      <c r="H6679" s="2" t="s">
        <v>21</v>
      </c>
      <c r="I6679" s="2" t="s">
        <v>16778</v>
      </c>
      <c r="J6679" s="3" t="str">
        <f>HYPERLINK("https://www.boe.es/gazeta/dias/1812/10/08/pdfs/GRE-1812-136.pdf#page=6","Abrir facsímil")</f>
        <v>Abrir facsímil</v>
      </c>
      <c r="K6679" s="3" t="s">
        <v>23</v>
      </c>
    </row>
    <row r="6680" spans="1:11" ht="42" customHeight="1">
      <c r="A6680" s="2" t="s">
        <v>16776</v>
      </c>
      <c r="B6680" s="2" t="s">
        <v>16777</v>
      </c>
      <c r="C6680" s="2" t="s">
        <v>17</v>
      </c>
      <c r="D6680" s="2" t="s">
        <v>275</v>
      </c>
      <c r="E6680" s="4">
        <v>-31826</v>
      </c>
      <c r="F6680" s="3" t="s">
        <v>7488</v>
      </c>
      <c r="G6680" s="3" t="s">
        <v>16779</v>
      </c>
      <c r="H6680" s="2" t="s">
        <v>21</v>
      </c>
      <c r="I6680" s="2" t="s">
        <v>16780</v>
      </c>
      <c r="J6680" s="3" t="str">
        <f>HYPERLINK("https://www.boe.es/gazeta/dias/1812/11/10/pdfs/GRE-1812-150.pdf#page=8","Abrir facsímil")</f>
        <v>Abrir facsímil</v>
      </c>
      <c r="K6680" s="3" t="s">
        <v>23</v>
      </c>
    </row>
    <row r="6681" spans="1:11" ht="42" customHeight="1">
      <c r="A6681" s="2" t="s">
        <v>16776</v>
      </c>
      <c r="B6681" s="2" t="s">
        <v>16777</v>
      </c>
      <c r="C6681" s="2" t="s">
        <v>17</v>
      </c>
      <c r="D6681" s="2" t="s">
        <v>18</v>
      </c>
      <c r="E6681" s="4">
        <v>-31775</v>
      </c>
      <c r="F6681" s="3" t="s">
        <v>660</v>
      </c>
      <c r="G6681" s="3" t="s">
        <v>8735</v>
      </c>
      <c r="H6681" s="2" t="s">
        <v>21</v>
      </c>
      <c r="I6681" s="2" t="s">
        <v>16781</v>
      </c>
      <c r="J6681" s="3" t="str">
        <f>HYPERLINK("https://www.boe.es/gazeta/dias/1812/12/31/pdfs/GRE-1812-172.pdf#page=7","Abrir facsímil")</f>
        <v>Abrir facsímil</v>
      </c>
      <c r="K6681" s="3" t="s">
        <v>23</v>
      </c>
    </row>
    <row r="6682" spans="1:11" ht="42" customHeight="1">
      <c r="A6682" s="2" t="s">
        <v>16782</v>
      </c>
      <c r="B6682" s="2" t="s">
        <v>16783</v>
      </c>
      <c r="C6682" s="2" t="s">
        <v>105</v>
      </c>
      <c r="D6682" s="2" t="s">
        <v>27</v>
      </c>
      <c r="E6682" s="4">
        <v>-31847</v>
      </c>
      <c r="F6682" s="3" t="s">
        <v>4133</v>
      </c>
      <c r="G6682" s="3" t="s">
        <v>58</v>
      </c>
      <c r="H6682" s="2" t="s">
        <v>21</v>
      </c>
      <c r="I6682" s="2" t="s">
        <v>16784</v>
      </c>
      <c r="J6682" s="3" t="str">
        <f>HYPERLINK("https://www.boe.es/gazeta/dias/1812/10/20/pdfs/GMR-1812-29.pdf#page=10","Abrir facsímil")</f>
        <v>Abrir facsímil</v>
      </c>
      <c r="K6682" s="3" t="s">
        <v>23</v>
      </c>
    </row>
    <row r="6683" spans="1:11" ht="42" customHeight="1">
      <c r="A6683" s="2" t="s">
        <v>16785</v>
      </c>
      <c r="B6683" s="2" t="s">
        <v>16786</v>
      </c>
      <c r="C6683" s="2" t="s">
        <v>17</v>
      </c>
      <c r="D6683" s="2" t="s">
        <v>18</v>
      </c>
      <c r="E6683" s="4">
        <v>-32032</v>
      </c>
      <c r="F6683" s="3" t="s">
        <v>421</v>
      </c>
      <c r="G6683" s="3" t="s">
        <v>16787</v>
      </c>
      <c r="H6683" s="2" t="s">
        <v>21</v>
      </c>
      <c r="I6683" s="2" t="s">
        <v>16788</v>
      </c>
      <c r="J6683" s="3" t="str">
        <f>HYPERLINK("https://www.boe.es/gazeta/dias/1812/04/18/pdfs/GRE-1812-49.pdf#page=6","Abrir facsímil")</f>
        <v>Abrir facsímil</v>
      </c>
      <c r="K6683" s="3" t="s">
        <v>23</v>
      </c>
    </row>
    <row r="6684" spans="1:11" ht="42" customHeight="1">
      <c r="A6684" s="2" t="s">
        <v>16789</v>
      </c>
      <c r="B6684" s="2" t="s">
        <v>16789</v>
      </c>
      <c r="C6684" s="2" t="s">
        <v>17</v>
      </c>
      <c r="D6684" s="2" t="s">
        <v>27</v>
      </c>
      <c r="E6684" s="4">
        <v>-31866</v>
      </c>
      <c r="F6684" s="3" t="s">
        <v>2438</v>
      </c>
      <c r="G6684" s="3" t="s">
        <v>125</v>
      </c>
      <c r="H6684" s="2" t="s">
        <v>21</v>
      </c>
      <c r="I6684" s="2" t="s">
        <v>16790</v>
      </c>
      <c r="J6684" s="3" t="str">
        <f>HYPERLINK("https://www.boe.es/gazeta/dias/1812/10/01/pdfs/GMR-1812-21.pdf#page=3","Abrir facsímil")</f>
        <v>Abrir facsímil</v>
      </c>
      <c r="K6684" s="3" t="s">
        <v>23</v>
      </c>
    </row>
    <row r="6685" spans="1:11" ht="42" customHeight="1">
      <c r="A6685" s="2" t="s">
        <v>16789</v>
      </c>
      <c r="B6685" s="2" t="s">
        <v>16789</v>
      </c>
      <c r="C6685" s="2" t="s">
        <v>17</v>
      </c>
      <c r="D6685" s="2" t="s">
        <v>27</v>
      </c>
      <c r="E6685" s="4">
        <v>-31859</v>
      </c>
      <c r="F6685" s="3" t="s">
        <v>158</v>
      </c>
      <c r="G6685" s="3" t="s">
        <v>58</v>
      </c>
      <c r="H6685" s="2" t="s">
        <v>21</v>
      </c>
      <c r="I6685" s="2" t="s">
        <v>16791</v>
      </c>
      <c r="J6685" s="3" t="str">
        <f>HYPERLINK("https://www.boe.es/gazeta/dias/1812/10/08/pdfs/GMR-1812-24.pdf#page=2","Abrir facsímil")</f>
        <v>Abrir facsímil</v>
      </c>
      <c r="K6685" s="3" t="s">
        <v>23</v>
      </c>
    </row>
    <row r="6686" spans="1:11" ht="42" customHeight="1">
      <c r="A6686" s="2" t="s">
        <v>16792</v>
      </c>
      <c r="B6686" s="2" t="s">
        <v>16792</v>
      </c>
      <c r="C6686" s="2" t="s">
        <v>17</v>
      </c>
      <c r="D6686" s="2" t="s">
        <v>18</v>
      </c>
      <c r="E6686" s="4">
        <v>-31899</v>
      </c>
      <c r="F6686" s="3" t="s">
        <v>1396</v>
      </c>
      <c r="G6686" s="3" t="s">
        <v>1805</v>
      </c>
      <c r="H6686" s="2" t="s">
        <v>21</v>
      </c>
      <c r="I6686" s="2" t="s">
        <v>16793</v>
      </c>
      <c r="J6686" s="3" t="str">
        <f>HYPERLINK("https://www.boe.es/gazeta/dias/1812/08/29/pdfs/GMR-1812-7.pdf#page=1","Abrir facsímil")</f>
        <v>Abrir facsímil</v>
      </c>
      <c r="K6686" s="3" t="s">
        <v>23</v>
      </c>
    </row>
    <row r="6687" spans="1:11" ht="42" customHeight="1">
      <c r="A6687" s="2" t="s">
        <v>16792</v>
      </c>
      <c r="B6687" s="2" t="s">
        <v>16792</v>
      </c>
      <c r="C6687" s="2" t="s">
        <v>17</v>
      </c>
      <c r="D6687" s="2" t="s">
        <v>27</v>
      </c>
      <c r="E6687" s="4">
        <v>-31896</v>
      </c>
      <c r="F6687" s="3" t="s">
        <v>1808</v>
      </c>
      <c r="G6687" s="3" t="s">
        <v>58</v>
      </c>
      <c r="H6687" s="2" t="s">
        <v>21</v>
      </c>
      <c r="I6687" s="2" t="s">
        <v>16794</v>
      </c>
      <c r="J6687" s="3" t="str">
        <f>HYPERLINK("https://www.boe.es/gazeta/dias/1812/09/01/pdfs/GMR-1812-8.pdf#page=3","Abrir facsímil")</f>
        <v>Abrir facsímil</v>
      </c>
      <c r="K6687" s="3" t="s">
        <v>23</v>
      </c>
    </row>
    <row r="6688" spans="1:11" ht="42" customHeight="1">
      <c r="A6688" s="2" t="s">
        <v>16792</v>
      </c>
      <c r="B6688" s="2" t="s">
        <v>16792</v>
      </c>
      <c r="C6688" s="2" t="s">
        <v>17</v>
      </c>
      <c r="D6688" s="2" t="s">
        <v>27</v>
      </c>
      <c r="E6688" s="4">
        <v>-31894</v>
      </c>
      <c r="F6688" s="3" t="s">
        <v>793</v>
      </c>
      <c r="G6688" s="3" t="s">
        <v>1820</v>
      </c>
      <c r="H6688" s="2" t="s">
        <v>21</v>
      </c>
      <c r="I6688" s="2" t="s">
        <v>16795</v>
      </c>
      <c r="J6688" s="3" t="str">
        <f>HYPERLINK("https://www.boe.es/gazeta/dias/1812/09/03/pdfs/GRE-1812-119.pdf#page=2","Abrir facsímil")</f>
        <v>Abrir facsímil</v>
      </c>
      <c r="K6688" s="3" t="s">
        <v>23</v>
      </c>
    </row>
    <row r="6689" spans="1:11" ht="42" customHeight="1">
      <c r="A6689" s="2" t="s">
        <v>16792</v>
      </c>
      <c r="B6689" s="2" t="s">
        <v>16792</v>
      </c>
      <c r="C6689" s="2" t="s">
        <v>17</v>
      </c>
      <c r="D6689" s="2" t="s">
        <v>18</v>
      </c>
      <c r="E6689" s="4">
        <v>-31894</v>
      </c>
      <c r="F6689" s="3" t="s">
        <v>793</v>
      </c>
      <c r="G6689" s="3" t="s">
        <v>1822</v>
      </c>
      <c r="H6689" s="2" t="s">
        <v>21</v>
      </c>
      <c r="I6689" s="2" t="s">
        <v>16796</v>
      </c>
      <c r="J6689" s="3" t="str">
        <f>HYPERLINK("https://www.boe.es/gazeta/dias/1812/09/03/pdfs/GRE-1812-119.pdf#page=3","Abrir facsímil")</f>
        <v>Abrir facsímil</v>
      </c>
      <c r="K6689" s="3" t="s">
        <v>23</v>
      </c>
    </row>
    <row r="6690" spans="1:11" ht="42" customHeight="1">
      <c r="A6690" s="2" t="s">
        <v>16792</v>
      </c>
      <c r="B6690" s="2" t="s">
        <v>16792</v>
      </c>
      <c r="C6690" s="2" t="s">
        <v>17</v>
      </c>
      <c r="D6690" s="2" t="s">
        <v>18</v>
      </c>
      <c r="E6690" s="4">
        <v>-31887</v>
      </c>
      <c r="F6690" s="3" t="s">
        <v>701</v>
      </c>
      <c r="G6690" s="3" t="s">
        <v>514</v>
      </c>
      <c r="H6690" s="2" t="s">
        <v>21</v>
      </c>
      <c r="I6690" s="2" t="s">
        <v>16797</v>
      </c>
      <c r="J6690" s="3" t="str">
        <f>HYPERLINK("https://www.boe.es/gazeta/dias/1812/09/10/pdfs/GMR-1812-12.pdf#page=4","Abrir facsímil")</f>
        <v>Abrir facsímil</v>
      </c>
      <c r="K6690" s="3" t="s">
        <v>23</v>
      </c>
    </row>
    <row r="6691" spans="1:11" ht="42" customHeight="1">
      <c r="A6691" s="2" t="s">
        <v>16792</v>
      </c>
      <c r="B6691" s="2" t="s">
        <v>16792</v>
      </c>
      <c r="C6691" s="2" t="s">
        <v>17</v>
      </c>
      <c r="D6691" s="2" t="s">
        <v>18</v>
      </c>
      <c r="E6691" s="4">
        <v>-31880</v>
      </c>
      <c r="F6691" s="3" t="s">
        <v>705</v>
      </c>
      <c r="G6691" s="3" t="s">
        <v>172</v>
      </c>
      <c r="H6691" s="2" t="s">
        <v>21</v>
      </c>
      <c r="I6691" s="2" t="s">
        <v>16798</v>
      </c>
      <c r="J6691" s="3" t="str">
        <f>HYPERLINK("https://www.boe.es/gazeta/dias/1812/09/17/pdfs/GMR-1812-15.pdf#page=4","Abrir facsímil")</f>
        <v>Abrir facsímil</v>
      </c>
      <c r="K6691" s="3" t="s">
        <v>23</v>
      </c>
    </row>
    <row r="6692" spans="1:11" ht="42" customHeight="1">
      <c r="A6692" s="2" t="s">
        <v>16792</v>
      </c>
      <c r="B6692" s="2" t="s">
        <v>16792</v>
      </c>
      <c r="C6692" s="2" t="s">
        <v>17</v>
      </c>
      <c r="D6692" s="2" t="s">
        <v>18</v>
      </c>
      <c r="E6692" s="4">
        <v>-31873</v>
      </c>
      <c r="F6692" s="3" t="s">
        <v>654</v>
      </c>
      <c r="G6692" s="3" t="s">
        <v>3846</v>
      </c>
      <c r="H6692" s="2" t="s">
        <v>21</v>
      </c>
      <c r="I6692" s="2" t="s">
        <v>16799</v>
      </c>
      <c r="J6692" s="3" t="str">
        <f>HYPERLINK("https://www.boe.es/gazeta/dias/1812/09/24/pdfs/GRE-1812-130.pdf#page=2","Abrir facsímil")</f>
        <v>Abrir facsímil</v>
      </c>
      <c r="K6692" s="3" t="s">
        <v>23</v>
      </c>
    </row>
    <row r="6693" spans="1:11" ht="42" customHeight="1">
      <c r="A6693" s="2" t="s">
        <v>16792</v>
      </c>
      <c r="B6693" s="2" t="s">
        <v>16792</v>
      </c>
      <c r="C6693" s="2" t="s">
        <v>17</v>
      </c>
      <c r="D6693" s="2" t="s">
        <v>18</v>
      </c>
      <c r="E6693" s="4">
        <v>-31775</v>
      </c>
      <c r="F6693" s="3" t="s">
        <v>660</v>
      </c>
      <c r="G6693" s="3" t="s">
        <v>4071</v>
      </c>
      <c r="H6693" s="2" t="s">
        <v>21</v>
      </c>
      <c r="I6693" s="2" t="s">
        <v>16800</v>
      </c>
      <c r="J6693" s="3" t="str">
        <f>HYPERLINK("https://www.boe.es/gazeta/dias/1812/12/31/pdfs/GRE-1812-172.pdf#page=4","Abrir facsímil")</f>
        <v>Abrir facsímil</v>
      </c>
      <c r="K6693" s="3" t="s">
        <v>23</v>
      </c>
    </row>
    <row r="6694" spans="1:11" ht="42" customHeight="1">
      <c r="A6694" s="2" t="s">
        <v>16792</v>
      </c>
      <c r="B6694" s="2" t="s">
        <v>16792</v>
      </c>
      <c r="C6694" s="2" t="s">
        <v>17</v>
      </c>
      <c r="D6694" s="2" t="s">
        <v>18</v>
      </c>
      <c r="E6694" s="4">
        <v>-31775</v>
      </c>
      <c r="F6694" s="3" t="s">
        <v>660</v>
      </c>
      <c r="G6694" s="3" t="s">
        <v>1626</v>
      </c>
      <c r="H6694" s="2" t="s">
        <v>21</v>
      </c>
      <c r="I6694" s="2" t="s">
        <v>16801</v>
      </c>
      <c r="J6694" s="3" t="str">
        <f>HYPERLINK("https://www.boe.es/gazeta/dias/1812/12/31/pdfs/GRE-1812-172.pdf#page=5","Abrir facsímil")</f>
        <v>Abrir facsímil</v>
      </c>
      <c r="K6694" s="3" t="s">
        <v>23</v>
      </c>
    </row>
    <row r="6695" spans="1:11" ht="42" customHeight="1">
      <c r="A6695" s="2" t="s">
        <v>16802</v>
      </c>
      <c r="B6695" s="2" t="s">
        <v>16802</v>
      </c>
      <c r="C6695" s="2" t="s">
        <v>17</v>
      </c>
      <c r="D6695" s="2" t="s">
        <v>18</v>
      </c>
      <c r="E6695" s="4">
        <v>-31782</v>
      </c>
      <c r="F6695" s="3" t="s">
        <v>4408</v>
      </c>
      <c r="G6695" s="3" t="s">
        <v>514</v>
      </c>
      <c r="H6695" s="2" t="s">
        <v>21</v>
      </c>
      <c r="I6695" s="2" t="s">
        <v>16803</v>
      </c>
      <c r="J6695" s="3" t="str">
        <f>HYPERLINK("https://www.boe.es/gazeta/dias/1812/12/24/pdfs/GMD-1812-247.pdf#page=3","Abrir facsímil")</f>
        <v>Abrir facsímil</v>
      </c>
      <c r="K6695" s="3" t="s">
        <v>23</v>
      </c>
    </row>
    <row r="6696" spans="1:11" ht="42" customHeight="1">
      <c r="A6696" s="2" t="s">
        <v>16802</v>
      </c>
      <c r="B6696" s="2" t="s">
        <v>16802</v>
      </c>
      <c r="C6696" s="2" t="s">
        <v>17</v>
      </c>
      <c r="D6696" s="2" t="s">
        <v>18</v>
      </c>
      <c r="E6696" s="4">
        <v>-31782</v>
      </c>
      <c r="F6696" s="3" t="s">
        <v>4408</v>
      </c>
      <c r="G6696" s="3" t="s">
        <v>4409</v>
      </c>
      <c r="H6696" s="2" t="s">
        <v>21</v>
      </c>
      <c r="I6696" s="2" t="s">
        <v>16804</v>
      </c>
      <c r="J6696" s="3" t="str">
        <f>HYPERLINK("https://www.boe.es/gazeta/dias/1812/12/24/pdfs/GMD-1812-247.pdf#page=4","Abrir facsímil")</f>
        <v>Abrir facsímil</v>
      </c>
      <c r="K6696" s="3" t="s">
        <v>23</v>
      </c>
    </row>
    <row r="6697" spans="1:11" ht="42" customHeight="1">
      <c r="A6697" s="2" t="s">
        <v>16805</v>
      </c>
      <c r="B6697" s="2" t="s">
        <v>16806</v>
      </c>
      <c r="C6697" s="2" t="s">
        <v>26</v>
      </c>
      <c r="D6697" s="2" t="s">
        <v>27</v>
      </c>
      <c r="E6697" s="4">
        <v>-31969</v>
      </c>
      <c r="F6697" s="3" t="s">
        <v>83</v>
      </c>
      <c r="G6697" s="3" t="s">
        <v>84</v>
      </c>
      <c r="H6697" s="2" t="s">
        <v>21</v>
      </c>
      <c r="I6697" s="2" t="s">
        <v>16807</v>
      </c>
      <c r="J6697" s="3" t="str">
        <f>HYPERLINK("https://www.boe.es/gazeta/dias/1812/06/20/pdfs/GRE-1812-76.pdf#page=8","Abrir facsímil")</f>
        <v>Abrir facsímil</v>
      </c>
      <c r="K6697" s="3" t="s">
        <v>23</v>
      </c>
    </row>
    <row r="6698" spans="1:11" ht="42" customHeight="1">
      <c r="A6698" s="2" t="s">
        <v>16808</v>
      </c>
      <c r="B6698" s="2" t="s">
        <v>16809</v>
      </c>
      <c r="C6698" s="2" t="s">
        <v>26</v>
      </c>
      <c r="D6698" s="2" t="s">
        <v>27</v>
      </c>
      <c r="E6698" s="4">
        <v>-32090</v>
      </c>
      <c r="F6698" s="3" t="s">
        <v>142</v>
      </c>
      <c r="G6698" s="3" t="s">
        <v>29</v>
      </c>
      <c r="H6698" s="2" t="s">
        <v>21</v>
      </c>
      <c r="I6698" s="2" t="s">
        <v>16810</v>
      </c>
      <c r="J6698" s="3" t="str">
        <f>HYPERLINK("https://www.boe.es/gazeta/dias/1812/02/20/pdfs/GRE-1812-22.pdf#page=8","Abrir facsímil")</f>
        <v>Abrir facsímil</v>
      </c>
      <c r="K6698" s="3" t="s">
        <v>23</v>
      </c>
    </row>
    <row r="6699" spans="1:11" ht="42" customHeight="1">
      <c r="A6699" s="2" t="s">
        <v>16811</v>
      </c>
      <c r="B6699" s="2" t="s">
        <v>16812</v>
      </c>
      <c r="C6699" s="2" t="s">
        <v>17</v>
      </c>
      <c r="D6699" s="2" t="s">
        <v>27</v>
      </c>
      <c r="E6699" s="4">
        <v>-32139</v>
      </c>
      <c r="F6699" s="3" t="s">
        <v>518</v>
      </c>
      <c r="G6699" s="3" t="s">
        <v>125</v>
      </c>
      <c r="H6699" s="2" t="s">
        <v>21</v>
      </c>
      <c r="I6699" s="2" t="s">
        <v>16813</v>
      </c>
      <c r="J6699" s="3" t="str">
        <f>HYPERLINK("https://www.boe.es/gazeta/dias/1812/01/02/pdfs/GEI-1812-1.pdf#page=8","Abrir facsímil")</f>
        <v>Abrir facsímil</v>
      </c>
      <c r="K6699" s="3" t="s">
        <v>23</v>
      </c>
    </row>
    <row r="6700" spans="1:11" ht="42" customHeight="1">
      <c r="A6700" s="2" t="s">
        <v>16814</v>
      </c>
      <c r="B6700" s="2" t="s">
        <v>16815</v>
      </c>
      <c r="C6700" s="2" t="s">
        <v>26</v>
      </c>
      <c r="D6700" s="2" t="s">
        <v>134</v>
      </c>
      <c r="E6700" s="4">
        <v>-31983</v>
      </c>
      <c r="F6700" s="3" t="s">
        <v>1437</v>
      </c>
      <c r="G6700" s="3" t="s">
        <v>1438</v>
      </c>
      <c r="H6700" s="2" t="s">
        <v>21</v>
      </c>
      <c r="I6700" s="2" t="s">
        <v>16816</v>
      </c>
      <c r="J6700" s="3" t="str">
        <f>HYPERLINK("https://www.boe.es/gazeta/dias/1812/06/06/pdfs/GRE-F-1812-70.pdf#page=4","Abrir facsímil")</f>
        <v>Abrir facsímil</v>
      </c>
      <c r="K6700" s="3" t="s">
        <v>23</v>
      </c>
    </row>
    <row r="6701" spans="1:11" ht="42" customHeight="1">
      <c r="A6701" s="2" t="s">
        <v>16817</v>
      </c>
      <c r="B6701" s="2" t="s">
        <v>16817</v>
      </c>
      <c r="C6701" s="2" t="s">
        <v>17</v>
      </c>
      <c r="D6701" s="2" t="s">
        <v>27</v>
      </c>
      <c r="E6701" s="4">
        <v>-31957</v>
      </c>
      <c r="F6701" s="3" t="s">
        <v>2173</v>
      </c>
      <c r="G6701" s="3" t="s">
        <v>2883</v>
      </c>
      <c r="H6701" s="2" t="s">
        <v>21</v>
      </c>
      <c r="I6701" s="2" t="s">
        <v>16818</v>
      </c>
      <c r="J6701" s="3" t="str">
        <f>HYPERLINK("https://www.boe.es/gazeta/dias/1812/07/02/pdfs/GRE-1812-81.pdf#page=2","Abrir facsímil")</f>
        <v>Abrir facsímil</v>
      </c>
      <c r="K6701" s="3" t="s">
        <v>23</v>
      </c>
    </row>
    <row r="6702" spans="1:11" ht="42" customHeight="1">
      <c r="A6702" s="2" t="s">
        <v>16819</v>
      </c>
      <c r="B6702" s="2" t="s">
        <v>16819</v>
      </c>
      <c r="C6702" s="2" t="s">
        <v>17</v>
      </c>
      <c r="D6702" s="2" t="s">
        <v>27</v>
      </c>
      <c r="E6702" s="4">
        <v>-32097</v>
      </c>
      <c r="F6702" s="3" t="s">
        <v>4288</v>
      </c>
      <c r="G6702" s="3" t="s">
        <v>130</v>
      </c>
      <c r="H6702" s="2" t="s">
        <v>21</v>
      </c>
      <c r="I6702" s="2" t="s">
        <v>16820</v>
      </c>
      <c r="J6702" s="3" t="str">
        <f>HYPERLINK("https://www.boe.es/gazeta/dias/1812/02/13/pdfs/GMD-1812-44.pdf#page=4","Abrir facsímil")</f>
        <v>Abrir facsímil</v>
      </c>
      <c r="K6702" s="3" t="s">
        <v>23</v>
      </c>
    </row>
    <row r="6703" spans="1:11" ht="42" customHeight="1">
      <c r="A6703" s="2" t="s">
        <v>16821</v>
      </c>
      <c r="B6703" s="2" t="s">
        <v>16822</v>
      </c>
      <c r="C6703" s="2" t="s">
        <v>26</v>
      </c>
      <c r="D6703" s="2" t="s">
        <v>27</v>
      </c>
      <c r="E6703" s="4">
        <v>-32010</v>
      </c>
      <c r="F6703" s="3" t="s">
        <v>243</v>
      </c>
      <c r="G6703" s="3" t="s">
        <v>45</v>
      </c>
      <c r="H6703" s="2" t="s">
        <v>21</v>
      </c>
      <c r="I6703" s="2" t="s">
        <v>16823</v>
      </c>
      <c r="J6703" s="3" t="str">
        <f>HYPERLINK("https://www.boe.es/gazeta/dias/1812/05/10/pdfs/GMD-1812-131.pdf#page=3","Abrir facsímil")</f>
        <v>Abrir facsímil</v>
      </c>
      <c r="K6703" s="3" t="s">
        <v>23</v>
      </c>
    </row>
    <row r="6704" spans="1:11" ht="42" customHeight="1">
      <c r="A6704" s="2" t="s">
        <v>16824</v>
      </c>
      <c r="B6704" s="2" t="s">
        <v>16825</v>
      </c>
      <c r="C6704" s="2" t="s">
        <v>26</v>
      </c>
      <c r="D6704" s="2" t="s">
        <v>27</v>
      </c>
      <c r="E6704" s="4">
        <v>-32097</v>
      </c>
      <c r="F6704" s="3" t="s">
        <v>4288</v>
      </c>
      <c r="G6704" s="3" t="s">
        <v>130</v>
      </c>
      <c r="H6704" s="2" t="s">
        <v>21</v>
      </c>
      <c r="I6704" s="2" t="s">
        <v>16826</v>
      </c>
      <c r="J6704" s="3" t="str">
        <f>HYPERLINK("https://www.boe.es/gazeta/dias/1812/02/13/pdfs/GMD-1812-44.pdf#page=4","Abrir facsímil")</f>
        <v>Abrir facsímil</v>
      </c>
      <c r="K6704" s="3" t="s">
        <v>23</v>
      </c>
    </row>
    <row r="6705" spans="1:11" ht="42" customHeight="1">
      <c r="A6705" s="2" t="s">
        <v>16827</v>
      </c>
      <c r="B6705" s="2" t="s">
        <v>16828</v>
      </c>
      <c r="C6705" s="2" t="s">
        <v>26</v>
      </c>
      <c r="D6705" s="2" t="s">
        <v>27</v>
      </c>
      <c r="E6705" s="4">
        <v>-31913</v>
      </c>
      <c r="F6705" s="3" t="s">
        <v>450</v>
      </c>
      <c r="G6705" s="3" t="s">
        <v>451</v>
      </c>
      <c r="H6705" s="2" t="s">
        <v>21</v>
      </c>
      <c r="I6705" s="2" t="s">
        <v>16829</v>
      </c>
      <c r="J6705" s="3" t="str">
        <f>HYPERLINK("https://www.boe.es/gazeta/dias/1812/08/15/pdfs/GRE-1812-105.pdf#page=8","Abrir facsímil")</f>
        <v>Abrir facsímil</v>
      </c>
      <c r="K6705" s="3" t="s">
        <v>23</v>
      </c>
    </row>
    <row r="6706" spans="1:11" ht="42" customHeight="1">
      <c r="A6706" s="2" t="s">
        <v>16830</v>
      </c>
      <c r="B6706" s="2" t="s">
        <v>16831</v>
      </c>
      <c r="C6706" s="2" t="s">
        <v>26</v>
      </c>
      <c r="D6706" s="2" t="s">
        <v>27</v>
      </c>
      <c r="E6706" s="4">
        <v>-32060</v>
      </c>
      <c r="F6706" s="3" t="s">
        <v>399</v>
      </c>
      <c r="G6706" s="3" t="s">
        <v>136</v>
      </c>
      <c r="H6706" s="2" t="s">
        <v>21</v>
      </c>
      <c r="I6706" s="2" t="s">
        <v>16832</v>
      </c>
      <c r="J6706" s="3" t="str">
        <f>HYPERLINK("https://www.boe.es/gazeta/dias/1812/03/21/pdfs/GMD-1812-81.pdf#page=4","Abrir facsímil")</f>
        <v>Abrir facsímil</v>
      </c>
      <c r="K6706" s="3" t="s">
        <v>23</v>
      </c>
    </row>
    <row r="6707" spans="1:11" ht="42" customHeight="1">
      <c r="A6707" s="2" t="s">
        <v>16833</v>
      </c>
      <c r="B6707" s="2" t="s">
        <v>16834</v>
      </c>
      <c r="C6707" s="2" t="s">
        <v>115</v>
      </c>
      <c r="D6707" s="2" t="s">
        <v>27</v>
      </c>
      <c r="E6707" s="4">
        <v>-32062</v>
      </c>
      <c r="F6707" s="3" t="s">
        <v>280</v>
      </c>
      <c r="G6707" s="3" t="s">
        <v>20</v>
      </c>
      <c r="H6707" s="2" t="s">
        <v>21</v>
      </c>
      <c r="I6707" s="2" t="s">
        <v>16835</v>
      </c>
      <c r="J6707" s="3" t="str">
        <f>HYPERLINK("https://www.boe.es/gazeta/dias/1812/03/19/pdfs/GMD-1812-79.pdf#page=4","Abrir facsímil")</f>
        <v>Abrir facsímil</v>
      </c>
      <c r="K6707" s="3" t="s">
        <v>23</v>
      </c>
    </row>
    <row r="6708" spans="1:11" ht="42" customHeight="1">
      <c r="A6708" s="2" t="s">
        <v>16836</v>
      </c>
      <c r="B6708" s="2" t="s">
        <v>16837</v>
      </c>
      <c r="C6708" s="2" t="s">
        <v>186</v>
      </c>
      <c r="D6708" s="2" t="s">
        <v>275</v>
      </c>
      <c r="E6708" s="4">
        <v>-32090</v>
      </c>
      <c r="F6708" s="3" t="s">
        <v>142</v>
      </c>
      <c r="G6708" s="3" t="s">
        <v>29</v>
      </c>
      <c r="H6708" s="2" t="s">
        <v>21</v>
      </c>
      <c r="I6708" s="2" t="s">
        <v>16838</v>
      </c>
      <c r="J6708" s="3" t="str">
        <f>HYPERLINK("https://www.boe.es/gazeta/dias/1812/02/20/pdfs/GRE-1812-22.pdf#page=8","Abrir facsímil")</f>
        <v>Abrir facsímil</v>
      </c>
      <c r="K6708" s="3" t="s">
        <v>23</v>
      </c>
    </row>
    <row r="6709" spans="1:11" ht="42" customHeight="1">
      <c r="A6709" s="2" t="s">
        <v>16839</v>
      </c>
      <c r="B6709" s="2" t="s">
        <v>16839</v>
      </c>
      <c r="C6709" s="2" t="s">
        <v>17</v>
      </c>
      <c r="D6709" s="2" t="s">
        <v>27</v>
      </c>
      <c r="E6709" s="4">
        <v>-32022</v>
      </c>
      <c r="F6709" s="3" t="s">
        <v>1186</v>
      </c>
      <c r="G6709" s="3" t="s">
        <v>336</v>
      </c>
      <c r="H6709" s="2" t="s">
        <v>21</v>
      </c>
      <c r="I6709" s="2" t="s">
        <v>16840</v>
      </c>
      <c r="J6709" s="3" t="str">
        <f>HYPERLINK("https://www.boe.es/gazeta/dias/1812/04/28/pdfs/GRE-1812-53.pdf#page=8","Abrir facsímil")</f>
        <v>Abrir facsímil</v>
      </c>
      <c r="K6709" s="3" t="s">
        <v>23</v>
      </c>
    </row>
    <row r="6710" spans="1:11" ht="42" customHeight="1">
      <c r="A6710" s="2" t="s">
        <v>16841</v>
      </c>
      <c r="B6710" s="2" t="s">
        <v>16841</v>
      </c>
      <c r="C6710" s="2" t="s">
        <v>17</v>
      </c>
      <c r="D6710" s="2" t="s">
        <v>27</v>
      </c>
      <c r="E6710" s="4">
        <v>-31920</v>
      </c>
      <c r="F6710" s="3" t="s">
        <v>8503</v>
      </c>
      <c r="G6710" s="3" t="s">
        <v>16842</v>
      </c>
      <c r="H6710" s="2" t="s">
        <v>21</v>
      </c>
      <c r="I6710" s="2" t="s">
        <v>16843</v>
      </c>
      <c r="J6710" s="3" t="str">
        <f>HYPERLINK("https://www.boe.es/gazeta/dias/1812/08/08/pdfs/GRE-1812-102.pdf#page=1","Abrir facsímil")</f>
        <v>Abrir facsímil</v>
      </c>
      <c r="K6710" s="3" t="s">
        <v>23</v>
      </c>
    </row>
    <row r="6711" spans="1:11" ht="42" customHeight="1">
      <c r="A6711" s="2" t="s">
        <v>16844</v>
      </c>
      <c r="B6711" s="2" t="s">
        <v>16845</v>
      </c>
      <c r="C6711" s="2" t="s">
        <v>17</v>
      </c>
      <c r="D6711" s="2" t="s">
        <v>27</v>
      </c>
      <c r="E6711" s="4">
        <v>-31796</v>
      </c>
      <c r="F6711" s="3" t="s">
        <v>649</v>
      </c>
      <c r="G6711" s="3" t="s">
        <v>45</v>
      </c>
      <c r="H6711" s="2" t="s">
        <v>21</v>
      </c>
      <c r="I6711" s="2" t="s">
        <v>16846</v>
      </c>
      <c r="J6711" s="3" t="str">
        <f>HYPERLINK("https://www.boe.es/gazeta/dias/1812/12/10/pdfs/GMD-1812-233.pdf#page=2","Abrir facsímil")</f>
        <v>Abrir facsímil</v>
      </c>
      <c r="K6711" s="3" t="s">
        <v>23</v>
      </c>
    </row>
    <row r="6712" spans="1:11" ht="42" customHeight="1">
      <c r="A6712" s="2" t="s">
        <v>16847</v>
      </c>
      <c r="B6712" s="2" t="s">
        <v>16847</v>
      </c>
      <c r="C6712" s="2" t="s">
        <v>17</v>
      </c>
      <c r="D6712" s="2" t="s">
        <v>18</v>
      </c>
      <c r="E6712" s="4">
        <v>-31894</v>
      </c>
      <c r="F6712" s="3" t="s">
        <v>793</v>
      </c>
      <c r="G6712" s="3" t="s">
        <v>1822</v>
      </c>
      <c r="H6712" s="2" t="s">
        <v>21</v>
      </c>
      <c r="I6712" s="2" t="s">
        <v>16848</v>
      </c>
      <c r="J6712" s="3" t="str">
        <f>HYPERLINK("https://www.boe.es/gazeta/dias/1812/09/03/pdfs/GRE-1812-119.pdf#page=3","Abrir facsímil")</f>
        <v>Abrir facsímil</v>
      </c>
      <c r="K6712" s="3" t="s">
        <v>23</v>
      </c>
    </row>
    <row r="6713" spans="1:11" ht="42" customHeight="1">
      <c r="A6713" s="2" t="s">
        <v>16849</v>
      </c>
      <c r="B6713" s="2" t="s">
        <v>16850</v>
      </c>
      <c r="C6713" s="2" t="s">
        <v>115</v>
      </c>
      <c r="D6713" s="2" t="s">
        <v>27</v>
      </c>
      <c r="E6713" s="4">
        <v>-32019</v>
      </c>
      <c r="F6713" s="3" t="s">
        <v>476</v>
      </c>
      <c r="G6713" s="3" t="s">
        <v>404</v>
      </c>
      <c r="H6713" s="2" t="s">
        <v>21</v>
      </c>
      <c r="I6713" s="2" t="s">
        <v>16851</v>
      </c>
      <c r="J6713" s="3" t="str">
        <f>HYPERLINK("https://www.boe.es/gazeta/dias/1812/05/01/pdfs/GMD-1812-122.pdf#page=3","Abrir facsímil")</f>
        <v>Abrir facsímil</v>
      </c>
      <c r="K6713" s="3" t="s">
        <v>23</v>
      </c>
    </row>
    <row r="6714" spans="1:11" ht="42" customHeight="1">
      <c r="A6714" s="2" t="s">
        <v>16852</v>
      </c>
      <c r="B6714" s="2" t="s">
        <v>16853</v>
      </c>
      <c r="C6714" s="2" t="s">
        <v>17</v>
      </c>
      <c r="D6714" s="2" t="s">
        <v>275</v>
      </c>
      <c r="E6714" s="4">
        <v>-31941</v>
      </c>
      <c r="F6714" s="3" t="s">
        <v>57</v>
      </c>
      <c r="G6714" s="3" t="s">
        <v>125</v>
      </c>
      <c r="H6714" s="2" t="s">
        <v>21</v>
      </c>
      <c r="I6714" s="2" t="s">
        <v>16854</v>
      </c>
      <c r="J6714" s="3" t="str">
        <f>HYPERLINK("https://www.boe.es/gazeta/dias/1812/07/18/pdfs/GMD-1812-200.pdf#page=3","Abrir facsímil")</f>
        <v>Abrir facsímil</v>
      </c>
      <c r="K6714" s="3" t="s">
        <v>23</v>
      </c>
    </row>
    <row r="6715" spans="1:11" ht="42" customHeight="1">
      <c r="A6715" s="2" t="s">
        <v>16855</v>
      </c>
      <c r="B6715" s="2" t="s">
        <v>16856</v>
      </c>
      <c r="C6715" s="2" t="s">
        <v>26</v>
      </c>
      <c r="D6715" s="2" t="s">
        <v>275</v>
      </c>
      <c r="E6715" s="4">
        <v>-31922</v>
      </c>
      <c r="F6715" s="3" t="s">
        <v>375</v>
      </c>
      <c r="G6715" s="3" t="s">
        <v>376</v>
      </c>
      <c r="H6715" s="2" t="s">
        <v>21</v>
      </c>
      <c r="I6715" s="2" t="s">
        <v>16857</v>
      </c>
      <c r="J6715" s="3" t="str">
        <f>HYPERLINK("https://www.boe.es/gazeta/dias/1812/08/06/pdfs/GRE-1812-100.pdf#page=7","Abrir facsímil")</f>
        <v>Abrir facsímil</v>
      </c>
      <c r="K6715" s="3" t="s">
        <v>23</v>
      </c>
    </row>
    <row r="6716" spans="1:11" ht="42" customHeight="1">
      <c r="A6716" s="2" t="s">
        <v>16858</v>
      </c>
      <c r="B6716" s="2" t="s">
        <v>16859</v>
      </c>
      <c r="C6716" s="2" t="s">
        <v>26</v>
      </c>
      <c r="D6716" s="2" t="s">
        <v>573</v>
      </c>
      <c r="E6716" s="4">
        <v>-31900</v>
      </c>
      <c r="F6716" s="3" t="s">
        <v>276</v>
      </c>
      <c r="G6716" s="3" t="s">
        <v>277</v>
      </c>
      <c r="H6716" s="2" t="s">
        <v>21</v>
      </c>
      <c r="I6716" s="2" t="s">
        <v>16860</v>
      </c>
      <c r="J6716" s="3" t="str">
        <f>HYPERLINK("https://www.boe.es/gazeta/dias/1812/08/28/pdfs/GRE-1812-113E.pdf#page=8","Abrir facsímil")</f>
        <v>Abrir facsímil</v>
      </c>
      <c r="K6716" s="3" t="s">
        <v>23</v>
      </c>
    </row>
    <row r="6717" spans="1:11" ht="42" customHeight="1">
      <c r="A6717" s="2" t="s">
        <v>16861</v>
      </c>
      <c r="B6717" s="2" t="s">
        <v>16862</v>
      </c>
      <c r="C6717" s="2" t="s">
        <v>26</v>
      </c>
      <c r="D6717" s="2" t="s">
        <v>27</v>
      </c>
      <c r="E6717" s="4">
        <v>-31822</v>
      </c>
      <c r="F6717" s="3" t="s">
        <v>541</v>
      </c>
      <c r="G6717" s="3" t="s">
        <v>3583</v>
      </c>
      <c r="H6717" s="2" t="s">
        <v>21</v>
      </c>
      <c r="I6717" s="2" t="s">
        <v>16863</v>
      </c>
      <c r="J6717" s="3" t="str">
        <f>HYPERLINK("https://www.boe.es/gazeta/dias/1812/11/14/pdfs/GRE-1812-152.pdf#page=6","Abrir facsímil")</f>
        <v>Abrir facsímil</v>
      </c>
      <c r="K6717" s="3" t="s">
        <v>23</v>
      </c>
    </row>
    <row r="6718" spans="1:11" ht="42" customHeight="1">
      <c r="A6718" s="2" t="s">
        <v>16864</v>
      </c>
      <c r="B6718" s="2" t="s">
        <v>16865</v>
      </c>
      <c r="C6718" s="2" t="s">
        <v>17</v>
      </c>
      <c r="D6718" s="2" t="s">
        <v>27</v>
      </c>
      <c r="E6718" s="4">
        <v>-32109</v>
      </c>
      <c r="F6718" s="3" t="s">
        <v>62</v>
      </c>
      <c r="G6718" s="3" t="s">
        <v>472</v>
      </c>
      <c r="H6718" s="2" t="s">
        <v>21</v>
      </c>
      <c r="I6718" s="2" t="s">
        <v>16866</v>
      </c>
      <c r="J6718" s="3" t="str">
        <f>HYPERLINK("https://www.boe.es/gazeta/dias/1812/02/01/pdfs/GRE-1812-14.pdf#page=12","Abrir facsímil")</f>
        <v>Abrir facsímil</v>
      </c>
      <c r="K6718" s="3" t="s">
        <v>23</v>
      </c>
    </row>
    <row r="6719" spans="1:11" ht="42" customHeight="1">
      <c r="A6719" s="2" t="s">
        <v>16867</v>
      </c>
      <c r="B6719" s="2" t="s">
        <v>16868</v>
      </c>
      <c r="C6719" s="2" t="s">
        <v>17</v>
      </c>
      <c r="D6719" s="2" t="s">
        <v>27</v>
      </c>
      <c r="E6719" s="4">
        <v>-32095</v>
      </c>
      <c r="F6719" s="3" t="s">
        <v>181</v>
      </c>
      <c r="G6719" s="3" t="s">
        <v>777</v>
      </c>
      <c r="H6719" s="2" t="s">
        <v>21</v>
      </c>
      <c r="I6719" s="2" t="s">
        <v>16869</v>
      </c>
      <c r="J6719" s="3" t="str">
        <f>HYPERLINK("https://www.boe.es/gazeta/dias/1812/02/15/pdfs/GMD-1812-47.pdf#page=3","Abrir facsímil")</f>
        <v>Abrir facsímil</v>
      </c>
      <c r="K6719" s="3" t="s">
        <v>23</v>
      </c>
    </row>
    <row r="6720" spans="1:11" ht="42" customHeight="1">
      <c r="A6720" s="2" t="s">
        <v>16867</v>
      </c>
      <c r="B6720" s="2" t="s">
        <v>16868</v>
      </c>
      <c r="C6720" s="2" t="s">
        <v>17</v>
      </c>
      <c r="D6720" s="2" t="s">
        <v>27</v>
      </c>
      <c r="E6720" s="4">
        <v>-32094</v>
      </c>
      <c r="F6720" s="3" t="s">
        <v>181</v>
      </c>
      <c r="G6720" s="3" t="s">
        <v>777</v>
      </c>
      <c r="H6720" s="2" t="s">
        <v>21</v>
      </c>
      <c r="I6720" s="2" t="s">
        <v>16869</v>
      </c>
      <c r="J6720" s="3" t="str">
        <f>HYPERLINK("https://www.boe.es/gazeta/dias/1812/02/16/pdfs/GMD-1812-47.pdf#page=3","Abrir facsímil")</f>
        <v>Abrir facsímil</v>
      </c>
      <c r="K6720" s="3" t="s">
        <v>23</v>
      </c>
    </row>
    <row r="6721" spans="1:11" ht="42" customHeight="1">
      <c r="A6721" s="2" t="s">
        <v>16870</v>
      </c>
      <c r="B6721" s="2" t="s">
        <v>16871</v>
      </c>
      <c r="C6721" s="2" t="s">
        <v>26</v>
      </c>
      <c r="D6721" s="2" t="s">
        <v>134</v>
      </c>
      <c r="E6721" s="4">
        <v>-31983</v>
      </c>
      <c r="F6721" s="3" t="s">
        <v>1437</v>
      </c>
      <c r="G6721" s="3" t="s">
        <v>1438</v>
      </c>
      <c r="H6721" s="2" t="s">
        <v>21</v>
      </c>
      <c r="I6721" s="2" t="s">
        <v>16872</v>
      </c>
      <c r="J6721" s="3" t="str">
        <f>HYPERLINK("https://www.boe.es/gazeta/dias/1812/06/06/pdfs/GRE-F-1812-70.pdf#page=4","Abrir facsímil")</f>
        <v>Abrir facsímil</v>
      </c>
      <c r="K6721" s="3" t="s">
        <v>23</v>
      </c>
    </row>
    <row r="6722" spans="1:11" ht="42" customHeight="1">
      <c r="A6722" s="2" t="s">
        <v>16873</v>
      </c>
      <c r="B6722" s="2" t="s">
        <v>16873</v>
      </c>
      <c r="C6722" s="2" t="s">
        <v>17</v>
      </c>
      <c r="D6722" s="2" t="s">
        <v>134</v>
      </c>
      <c r="E6722" s="4">
        <v>-32025</v>
      </c>
      <c r="F6722" s="3" t="s">
        <v>1122</v>
      </c>
      <c r="G6722" s="3" t="s">
        <v>1123</v>
      </c>
      <c r="H6722" s="2" t="s">
        <v>21</v>
      </c>
      <c r="I6722" s="2" t="s">
        <v>16874</v>
      </c>
      <c r="J6722" s="3" t="str">
        <f>HYPERLINK("https://www.boe.es/gazeta/dias/1812/04/25/pdfs/GRE-F-1812-52.pdf#page=3","Abrir facsímil")</f>
        <v>Abrir facsímil</v>
      </c>
      <c r="K6722" s="3" t="s">
        <v>23</v>
      </c>
    </row>
    <row r="6723" spans="1:11" ht="42" customHeight="1">
      <c r="A6723" s="2" t="s">
        <v>16875</v>
      </c>
      <c r="B6723" s="2" t="s">
        <v>16876</v>
      </c>
      <c r="C6723" s="2" t="s">
        <v>26</v>
      </c>
      <c r="D6723" s="2" t="s">
        <v>27</v>
      </c>
      <c r="E6723" s="4">
        <v>-32034</v>
      </c>
      <c r="F6723" s="3" t="s">
        <v>1008</v>
      </c>
      <c r="G6723" s="3" t="s">
        <v>1009</v>
      </c>
      <c r="H6723" s="2" t="s">
        <v>21</v>
      </c>
      <c r="I6723" s="2" t="s">
        <v>16877</v>
      </c>
      <c r="J6723" s="3" t="str">
        <f>HYPERLINK("https://www.boe.es/gazeta/dias/1812/04/16/pdfs/GRE-1812-48.pdf#page=8","Abrir facsímil")</f>
        <v>Abrir facsímil</v>
      </c>
      <c r="K6723" s="3" t="s">
        <v>23</v>
      </c>
    </row>
    <row r="6724" spans="1:11" ht="42" customHeight="1">
      <c r="A6724" s="2" t="s">
        <v>16878</v>
      </c>
      <c r="B6724" s="2" t="s">
        <v>16879</v>
      </c>
      <c r="C6724" s="2" t="s">
        <v>17</v>
      </c>
      <c r="D6724" s="2" t="s">
        <v>134</v>
      </c>
      <c r="E6724" s="4">
        <v>-31955</v>
      </c>
      <c r="F6724" s="3" t="s">
        <v>135</v>
      </c>
      <c r="G6724" s="3" t="s">
        <v>58</v>
      </c>
      <c r="H6724" s="2" t="s">
        <v>21</v>
      </c>
      <c r="I6724" s="2" t="s">
        <v>16880</v>
      </c>
      <c r="J6724" s="3" t="str">
        <f>HYPERLINK("https://www.boe.es/gazeta/dias/1812/07/04/pdfs/GRE-F-1812-82.pdf#page=6","Abrir facsímil")</f>
        <v>Abrir facsímil</v>
      </c>
      <c r="K6724" s="3" t="s">
        <v>23</v>
      </c>
    </row>
    <row r="6725" spans="1:11" ht="42" customHeight="1">
      <c r="A6725" s="2" t="s">
        <v>16881</v>
      </c>
      <c r="B6725" s="2" t="s">
        <v>16882</v>
      </c>
      <c r="C6725" s="2" t="s">
        <v>26</v>
      </c>
      <c r="D6725" s="2" t="s">
        <v>134</v>
      </c>
      <c r="E6725" s="4">
        <v>-31983</v>
      </c>
      <c r="F6725" s="3" t="s">
        <v>1437</v>
      </c>
      <c r="G6725" s="3" t="s">
        <v>1438</v>
      </c>
      <c r="H6725" s="2" t="s">
        <v>21</v>
      </c>
      <c r="I6725" s="2" t="s">
        <v>16883</v>
      </c>
      <c r="J6725" s="3" t="str">
        <f>HYPERLINK("https://www.boe.es/gazeta/dias/1812/06/06/pdfs/GRE-F-1812-70.pdf#page=4","Abrir facsímil")</f>
        <v>Abrir facsímil</v>
      </c>
      <c r="K6725" s="3" t="s">
        <v>23</v>
      </c>
    </row>
    <row r="6726" spans="1:11" ht="42" customHeight="1">
      <c r="A6726" s="2" t="s">
        <v>16884</v>
      </c>
      <c r="B6726" s="2" t="s">
        <v>16885</v>
      </c>
      <c r="C6726" s="2" t="s">
        <v>17</v>
      </c>
      <c r="D6726" s="2" t="s">
        <v>18</v>
      </c>
      <c r="E6726" s="4">
        <v>-31992</v>
      </c>
      <c r="F6726" s="3" t="s">
        <v>1292</v>
      </c>
      <c r="G6726" s="3" t="s">
        <v>1424</v>
      </c>
      <c r="H6726" s="2" t="s">
        <v>21</v>
      </c>
      <c r="I6726" s="2" t="s">
        <v>16886</v>
      </c>
      <c r="J6726" s="3" t="str">
        <f>HYPERLINK("https://www.boe.es/gazeta/dias/1812/05/28/pdfs/GRE-1812-66.pdf#page=5","Abrir facsímil")</f>
        <v>Abrir facsímil</v>
      </c>
      <c r="K6726" s="3" t="s">
        <v>23</v>
      </c>
    </row>
    <row r="6727" spans="1:11" ht="42" customHeight="1">
      <c r="A6727" s="2" t="s">
        <v>16887</v>
      </c>
      <c r="B6727" s="2" t="s">
        <v>16888</v>
      </c>
      <c r="C6727" s="2" t="s">
        <v>49</v>
      </c>
      <c r="D6727" s="2" t="s">
        <v>27</v>
      </c>
      <c r="E6727" s="4">
        <v>-32088</v>
      </c>
      <c r="F6727" s="3" t="s">
        <v>250</v>
      </c>
      <c r="G6727" s="3" t="s">
        <v>1919</v>
      </c>
      <c r="H6727" s="2" t="s">
        <v>21</v>
      </c>
      <c r="I6727" s="2" t="s">
        <v>16889</v>
      </c>
      <c r="J6727" s="3" t="str">
        <f>HYPERLINK("https://www.boe.es/gazeta/dias/1812/02/22/pdfs/GRE-1812-23.pdf#page=7","Abrir facsímil")</f>
        <v>Abrir facsímil</v>
      </c>
      <c r="K6727" s="3" t="s">
        <v>23</v>
      </c>
    </row>
    <row r="6728" spans="1:11" ht="42" customHeight="1">
      <c r="A6728" s="2" t="s">
        <v>16890</v>
      </c>
      <c r="B6728" s="2" t="s">
        <v>16891</v>
      </c>
      <c r="C6728" s="2" t="s">
        <v>26</v>
      </c>
      <c r="D6728" s="2" t="s">
        <v>27</v>
      </c>
      <c r="E6728" s="4">
        <v>-32079</v>
      </c>
      <c r="F6728" s="3" t="s">
        <v>11654</v>
      </c>
      <c r="G6728" s="3" t="s">
        <v>715</v>
      </c>
      <c r="H6728" s="2" t="s">
        <v>21</v>
      </c>
      <c r="I6728" s="2" t="s">
        <v>16892</v>
      </c>
      <c r="J6728" s="3" t="str">
        <f>HYPERLINK("https://www.boe.es/gazeta/dias/1812/03/02/pdfs/GMD-1812-62.pdf#page=4","Abrir facsímil")</f>
        <v>Abrir facsímil</v>
      </c>
      <c r="K6728" s="3" t="s">
        <v>23</v>
      </c>
    </row>
    <row r="6729" spans="1:11" ht="42" customHeight="1">
      <c r="A6729" s="2" t="s">
        <v>16893</v>
      </c>
      <c r="B6729" s="2" t="s">
        <v>16894</v>
      </c>
      <c r="C6729" s="2" t="s">
        <v>17</v>
      </c>
      <c r="D6729" s="2" t="s">
        <v>573</v>
      </c>
      <c r="E6729" s="4">
        <v>-31900</v>
      </c>
      <c r="F6729" s="3" t="s">
        <v>276</v>
      </c>
      <c r="G6729" s="3" t="s">
        <v>277</v>
      </c>
      <c r="H6729" s="2" t="s">
        <v>21</v>
      </c>
      <c r="I6729" s="2" t="s">
        <v>16895</v>
      </c>
      <c r="J6729" s="3" t="str">
        <f>HYPERLINK("https://www.boe.es/gazeta/dias/1812/08/28/pdfs/GRE-1812-113E.pdf#page=8","Abrir facsímil")</f>
        <v>Abrir facsímil</v>
      </c>
      <c r="K6729" s="3" t="s">
        <v>23</v>
      </c>
    </row>
    <row r="6730" spans="1:11" ht="42" customHeight="1">
      <c r="A6730" s="2" t="s">
        <v>16896</v>
      </c>
      <c r="B6730" s="2" t="s">
        <v>16897</v>
      </c>
      <c r="C6730" s="2" t="s">
        <v>17</v>
      </c>
      <c r="D6730" s="2" t="s">
        <v>27</v>
      </c>
      <c r="E6730" s="4">
        <v>-32134</v>
      </c>
      <c r="F6730" s="3" t="s">
        <v>50</v>
      </c>
      <c r="G6730" s="3" t="s">
        <v>1650</v>
      </c>
      <c r="H6730" s="2" t="s">
        <v>21</v>
      </c>
      <c r="I6730" s="2" t="s">
        <v>16898</v>
      </c>
      <c r="J6730" s="3" t="str">
        <f>HYPERLINK("https://www.boe.es/gazeta/dias/1812/01/07/pdfs/GEI-1812-3.pdf#page=6","Abrir facsímil")</f>
        <v>Abrir facsímil</v>
      </c>
      <c r="K6730" s="3" t="s">
        <v>23</v>
      </c>
    </row>
    <row r="6731" spans="1:11" ht="42" customHeight="1">
      <c r="A6731" s="2" t="s">
        <v>16899</v>
      </c>
      <c r="B6731" s="2" t="s">
        <v>16899</v>
      </c>
      <c r="C6731" s="2" t="s">
        <v>17</v>
      </c>
      <c r="D6731" s="2" t="s">
        <v>27</v>
      </c>
      <c r="E6731" s="4">
        <v>-31917</v>
      </c>
      <c r="F6731" s="3" t="s">
        <v>946</v>
      </c>
      <c r="G6731" s="3" t="s">
        <v>404</v>
      </c>
      <c r="H6731" s="2" t="s">
        <v>21</v>
      </c>
      <c r="I6731" s="2" t="s">
        <v>16900</v>
      </c>
      <c r="J6731" s="3" t="str">
        <f>HYPERLINK("https://www.boe.es/gazeta/dias/1812/08/11/pdfs/GRE-1812-103.pdf#page=2","Abrir facsímil")</f>
        <v>Abrir facsímil</v>
      </c>
      <c r="K6731" s="3" t="s">
        <v>23</v>
      </c>
    </row>
    <row r="6732" spans="1:11" ht="42" customHeight="1">
      <c r="A6732" s="2" t="s">
        <v>16901</v>
      </c>
      <c r="B6732" s="2" t="s">
        <v>16901</v>
      </c>
      <c r="C6732" s="2" t="s">
        <v>17</v>
      </c>
      <c r="D6732" s="2" t="s">
        <v>18</v>
      </c>
      <c r="E6732" s="4">
        <v>-31798</v>
      </c>
      <c r="F6732" s="3" t="s">
        <v>1849</v>
      </c>
      <c r="G6732" s="3" t="s">
        <v>237</v>
      </c>
      <c r="H6732" s="2" t="s">
        <v>21</v>
      </c>
      <c r="I6732" s="2" t="s">
        <v>16902</v>
      </c>
      <c r="J6732" s="3" t="str">
        <f>HYPERLINK("https://www.boe.es/gazeta/dias/1812/12/08/pdfs/GMD-1812-231.pdf#page=2","Abrir facsímil")</f>
        <v>Abrir facsímil</v>
      </c>
      <c r="K6732" s="3" t="s">
        <v>23</v>
      </c>
    </row>
    <row r="6733" spans="1:11" ht="42" customHeight="1">
      <c r="A6733" s="2" t="s">
        <v>16903</v>
      </c>
      <c r="B6733" s="2" t="s">
        <v>16903</v>
      </c>
      <c r="C6733" s="2" t="s">
        <v>26</v>
      </c>
      <c r="D6733" s="2" t="s">
        <v>27</v>
      </c>
      <c r="E6733" s="4">
        <v>-31791</v>
      </c>
      <c r="F6733" s="3" t="s">
        <v>1668</v>
      </c>
      <c r="G6733" s="3" t="s">
        <v>4511</v>
      </c>
      <c r="H6733" s="2" t="s">
        <v>21</v>
      </c>
      <c r="I6733" s="2" t="s">
        <v>16904</v>
      </c>
      <c r="J6733" s="3" t="str">
        <f>HYPERLINK("https://www.boe.es/gazeta/dias/1812/12/15/pdfs/GMD-1812-238.pdf#page=1","Abrir facsímil")</f>
        <v>Abrir facsímil</v>
      </c>
      <c r="K6733" s="3" t="s">
        <v>23</v>
      </c>
    </row>
    <row r="6734" spans="1:11" ht="42" customHeight="1">
      <c r="A6734" s="2" t="s">
        <v>16905</v>
      </c>
      <c r="B6734" s="2" t="s">
        <v>16905</v>
      </c>
      <c r="C6734" s="2" t="s">
        <v>17</v>
      </c>
      <c r="D6734" s="2" t="s">
        <v>18</v>
      </c>
      <c r="E6734" s="4">
        <v>-31791</v>
      </c>
      <c r="F6734" s="3" t="s">
        <v>1668</v>
      </c>
      <c r="G6734" s="3" t="s">
        <v>1852</v>
      </c>
      <c r="H6734" s="2" t="s">
        <v>21</v>
      </c>
      <c r="I6734" s="2" t="s">
        <v>16906</v>
      </c>
      <c r="J6734" s="3" t="str">
        <f>HYPERLINK("https://www.boe.es/gazeta/dias/1812/12/15/pdfs/GMD-1812-238.pdf#page=2","Abrir facsímil")</f>
        <v>Abrir facsímil</v>
      </c>
      <c r="K6734" s="3" t="s">
        <v>23</v>
      </c>
    </row>
    <row r="6735" spans="1:11" ht="42" customHeight="1">
      <c r="A6735" s="2" t="s">
        <v>16907</v>
      </c>
      <c r="B6735" s="2" t="s">
        <v>16907</v>
      </c>
      <c r="C6735" s="2" t="s">
        <v>17</v>
      </c>
      <c r="D6735" s="2" t="s">
        <v>27</v>
      </c>
      <c r="E6735" s="4">
        <v>-31819</v>
      </c>
      <c r="F6735" s="3" t="s">
        <v>1856</v>
      </c>
      <c r="G6735" s="3" t="s">
        <v>2329</v>
      </c>
      <c r="H6735" s="2" t="s">
        <v>21</v>
      </c>
      <c r="I6735" s="2" t="s">
        <v>16908</v>
      </c>
      <c r="J6735" s="3" t="str">
        <f>HYPERLINK("https://www.boe.es/gazeta/dias/1812/11/17/pdfs/GMR-1812-35.pdf#page=5","Abrir facsímil")</f>
        <v>Abrir facsímil</v>
      </c>
      <c r="K6735" s="3" t="s">
        <v>23</v>
      </c>
    </row>
    <row r="6736" spans="1:11" ht="42" customHeight="1">
      <c r="A6736" s="2" t="s">
        <v>16909</v>
      </c>
      <c r="B6736" s="2" t="s">
        <v>16909</v>
      </c>
      <c r="C6736" s="2" t="s">
        <v>17</v>
      </c>
      <c r="D6736" s="2" t="s">
        <v>27</v>
      </c>
      <c r="E6736" s="4">
        <v>-31906</v>
      </c>
      <c r="F6736" s="3" t="s">
        <v>1815</v>
      </c>
      <c r="G6736" s="3" t="s">
        <v>136</v>
      </c>
      <c r="H6736" s="2" t="s">
        <v>21</v>
      </c>
      <c r="I6736" s="2" t="s">
        <v>16910</v>
      </c>
      <c r="J6736" s="3" t="str">
        <f>HYPERLINK("https://www.boe.es/gazeta/dias/1812/08/22/pdfs/GMR-1812-3.pdf#page=4","Abrir facsímil")</f>
        <v>Abrir facsímil</v>
      </c>
      <c r="K6736" s="3" t="s">
        <v>23</v>
      </c>
    </row>
    <row r="6737" spans="1:11" ht="42" customHeight="1">
      <c r="A6737" s="2" t="s">
        <v>16909</v>
      </c>
      <c r="B6737" s="2" t="s">
        <v>16909</v>
      </c>
      <c r="C6737" s="2" t="s">
        <v>17</v>
      </c>
      <c r="D6737" s="2" t="s">
        <v>27</v>
      </c>
      <c r="E6737" s="4">
        <v>-31889</v>
      </c>
      <c r="F6737" s="3" t="s">
        <v>699</v>
      </c>
      <c r="G6737" s="3" t="s">
        <v>7835</v>
      </c>
      <c r="H6737" s="2" t="s">
        <v>21</v>
      </c>
      <c r="I6737" s="2" t="s">
        <v>16911</v>
      </c>
      <c r="J6737" s="3" t="str">
        <f>HYPERLINK("https://www.boe.es/gazeta/dias/1812/09/08/pdfs/GMR-1812-11.pdf#page=4","Abrir facsímil")</f>
        <v>Abrir facsímil</v>
      </c>
      <c r="K6737" s="3" t="s">
        <v>23</v>
      </c>
    </row>
    <row r="6738" spans="1:11" ht="42" customHeight="1">
      <c r="A6738" s="2" t="s">
        <v>16909</v>
      </c>
      <c r="B6738" s="2" t="s">
        <v>16909</v>
      </c>
      <c r="C6738" s="2" t="s">
        <v>17</v>
      </c>
      <c r="D6738" s="2" t="s">
        <v>27</v>
      </c>
      <c r="E6738" s="4">
        <v>-31861</v>
      </c>
      <c r="F6738" s="3" t="s">
        <v>1080</v>
      </c>
      <c r="G6738" s="3" t="s">
        <v>2313</v>
      </c>
      <c r="H6738" s="2" t="s">
        <v>21</v>
      </c>
      <c r="I6738" s="2" t="s">
        <v>16912</v>
      </c>
      <c r="J6738" s="3" t="str">
        <f>HYPERLINK("https://www.boe.es/gazeta/dias/1812/10/06/pdfs/GMR-1812-23.pdf#page=5","Abrir facsímil")</f>
        <v>Abrir facsímil</v>
      </c>
      <c r="K6738" s="3" t="s">
        <v>23</v>
      </c>
    </row>
    <row r="6739" spans="1:11" ht="42" customHeight="1">
      <c r="A6739" s="2" t="s">
        <v>16909</v>
      </c>
      <c r="B6739" s="2" t="s">
        <v>16909</v>
      </c>
      <c r="C6739" s="2" t="s">
        <v>17</v>
      </c>
      <c r="D6739" s="2" t="s">
        <v>27</v>
      </c>
      <c r="E6739" s="4">
        <v>-31861</v>
      </c>
      <c r="F6739" s="3" t="s">
        <v>1080</v>
      </c>
      <c r="G6739" s="3" t="s">
        <v>3020</v>
      </c>
      <c r="H6739" s="2" t="s">
        <v>21</v>
      </c>
      <c r="I6739" s="2" t="s">
        <v>16913</v>
      </c>
      <c r="J6739" s="3" t="str">
        <f>HYPERLINK("https://www.boe.es/gazeta/dias/1812/10/06/pdfs/GMR-1812-23.pdf#page=6","Abrir facsímil")</f>
        <v>Abrir facsímil</v>
      </c>
      <c r="K6739" s="3" t="s">
        <v>23</v>
      </c>
    </row>
    <row r="6740" spans="1:11" ht="42" customHeight="1">
      <c r="A6740" s="2" t="s">
        <v>16909</v>
      </c>
      <c r="B6740" s="2" t="s">
        <v>16909</v>
      </c>
      <c r="C6740" s="2" t="s">
        <v>49</v>
      </c>
      <c r="D6740" s="2" t="s">
        <v>194</v>
      </c>
      <c r="E6740" s="4">
        <v>-31831</v>
      </c>
      <c r="F6740" s="3" t="s">
        <v>11847</v>
      </c>
      <c r="G6740" s="3" t="s">
        <v>20</v>
      </c>
      <c r="H6740" s="2" t="s">
        <v>21</v>
      </c>
      <c r="I6740" s="2" t="s">
        <v>16914</v>
      </c>
      <c r="J6740" s="3" t="str">
        <f>HYPERLINK("https://www.boe.es/gazeta/dias/1812/11/05/pdfs/GMD-1812-225.pdf#page=2","Abrir facsímil")</f>
        <v>Abrir facsímil</v>
      </c>
      <c r="K6740" s="3" t="s">
        <v>23</v>
      </c>
    </row>
    <row r="6741" spans="1:11" ht="42" customHeight="1">
      <c r="A6741" s="2" t="s">
        <v>16915</v>
      </c>
      <c r="B6741" s="2" t="s">
        <v>16915</v>
      </c>
      <c r="C6741" s="2" t="s">
        <v>26</v>
      </c>
      <c r="D6741" s="2" t="s">
        <v>27</v>
      </c>
      <c r="E6741" s="4">
        <v>-31829</v>
      </c>
      <c r="F6741" s="3" t="s">
        <v>328</v>
      </c>
      <c r="G6741" s="3" t="s">
        <v>1842</v>
      </c>
      <c r="H6741" s="2" t="s">
        <v>21</v>
      </c>
      <c r="I6741" s="2" t="s">
        <v>16916</v>
      </c>
      <c r="J6741" s="3" t="str">
        <f>HYPERLINK("https://www.boe.es/gazeta/dias/1812/11/07/pdfs/GMD-1812-227.pdf#page=3","Abrir facsímil")</f>
        <v>Abrir facsímil</v>
      </c>
      <c r="K6741" s="3" t="s">
        <v>23</v>
      </c>
    </row>
    <row r="6742" spans="1:11" ht="42" customHeight="1">
      <c r="A6742" s="2" t="s">
        <v>16917</v>
      </c>
      <c r="B6742" s="2" t="s">
        <v>16917</v>
      </c>
      <c r="C6742" s="2" t="s">
        <v>17</v>
      </c>
      <c r="D6742" s="2" t="s">
        <v>27</v>
      </c>
      <c r="E6742" s="4">
        <v>-31800</v>
      </c>
      <c r="F6742" s="3" t="s">
        <v>593</v>
      </c>
      <c r="G6742" s="3" t="s">
        <v>140</v>
      </c>
      <c r="H6742" s="2" t="s">
        <v>21</v>
      </c>
      <c r="I6742" s="2" t="s">
        <v>16918</v>
      </c>
      <c r="J6742" s="3" t="str">
        <f>HYPERLINK("https://www.boe.es/gazeta/dias/1812/12/06/pdfs/GMD-1812-229.pdf#page=2","Abrir facsímil")</f>
        <v>Abrir facsímil</v>
      </c>
      <c r="K6742" s="3" t="s">
        <v>23</v>
      </c>
    </row>
    <row r="6743" spans="1:11" ht="42" customHeight="1">
      <c r="A6743" s="2" t="s">
        <v>16919</v>
      </c>
      <c r="B6743" s="2" t="s">
        <v>16919</v>
      </c>
      <c r="C6743" s="2" t="s">
        <v>26</v>
      </c>
      <c r="D6743" s="2" t="s">
        <v>27</v>
      </c>
      <c r="E6743" s="4">
        <v>-31798</v>
      </c>
      <c r="F6743" s="3" t="s">
        <v>1849</v>
      </c>
      <c r="G6743" s="3" t="s">
        <v>1850</v>
      </c>
      <c r="H6743" s="2" t="s">
        <v>21</v>
      </c>
      <c r="I6743" s="2" t="s">
        <v>16920</v>
      </c>
      <c r="J6743" s="3" t="str">
        <f>HYPERLINK("https://www.boe.es/gazeta/dias/1812/12/08/pdfs/GMD-1812-231.pdf#page=3","Abrir facsímil")</f>
        <v>Abrir facsímil</v>
      </c>
      <c r="K6743" s="3" t="s">
        <v>23</v>
      </c>
    </row>
    <row r="6744" spans="1:11" ht="42" customHeight="1">
      <c r="A6744" s="2" t="s">
        <v>16919</v>
      </c>
      <c r="B6744" s="2" t="s">
        <v>16919</v>
      </c>
      <c r="C6744" s="2" t="s">
        <v>105</v>
      </c>
      <c r="D6744" s="2" t="s">
        <v>27</v>
      </c>
      <c r="E6744" s="4">
        <v>-31798</v>
      </c>
      <c r="F6744" s="3" t="s">
        <v>1849</v>
      </c>
      <c r="G6744" s="3" t="s">
        <v>2280</v>
      </c>
      <c r="H6744" s="2" t="s">
        <v>21</v>
      </c>
      <c r="I6744" s="2" t="s">
        <v>16921</v>
      </c>
      <c r="J6744" s="3" t="str">
        <f>HYPERLINK("https://www.boe.es/gazeta/dias/1812/12/08/pdfs/GMD-1812-231.pdf#page=4","Abrir facsímil")</f>
        <v>Abrir facsímil</v>
      </c>
      <c r="K6744" s="3" t="s">
        <v>23</v>
      </c>
    </row>
    <row r="6745" spans="1:11" ht="42" customHeight="1">
      <c r="A6745" s="2" t="s">
        <v>16919</v>
      </c>
      <c r="B6745" s="2" t="s">
        <v>16919</v>
      </c>
      <c r="C6745" s="2" t="s">
        <v>26</v>
      </c>
      <c r="D6745" s="2" t="s">
        <v>27</v>
      </c>
      <c r="E6745" s="4">
        <v>-31793</v>
      </c>
      <c r="F6745" s="3" t="s">
        <v>2570</v>
      </c>
      <c r="G6745" s="3" t="s">
        <v>217</v>
      </c>
      <c r="H6745" s="2" t="s">
        <v>21</v>
      </c>
      <c r="I6745" s="2" t="s">
        <v>16922</v>
      </c>
      <c r="J6745" s="3" t="str">
        <f>HYPERLINK("https://www.boe.es/gazeta/dias/1812/12/13/pdfs/GMD-1812-236.pdf#page=4","Abrir facsímil")</f>
        <v>Abrir facsímil</v>
      </c>
      <c r="K6745" s="3" t="s">
        <v>23</v>
      </c>
    </row>
    <row r="6746" spans="1:11" ht="42" customHeight="1">
      <c r="A6746" s="2" t="s">
        <v>16919</v>
      </c>
      <c r="B6746" s="2" t="s">
        <v>16919</v>
      </c>
      <c r="C6746" s="2" t="s">
        <v>115</v>
      </c>
      <c r="D6746" s="2" t="s">
        <v>27</v>
      </c>
      <c r="E6746" s="4">
        <v>-31789</v>
      </c>
      <c r="F6746" s="3" t="s">
        <v>873</v>
      </c>
      <c r="G6746" s="3" t="s">
        <v>1883</v>
      </c>
      <c r="H6746" s="2" t="s">
        <v>21</v>
      </c>
      <c r="I6746" s="2" t="s">
        <v>16923</v>
      </c>
      <c r="J6746" s="3" t="str">
        <f>HYPERLINK("https://www.boe.es/gazeta/dias/1812/12/17/pdfs/GMD-1812-240.pdf#page=2","Abrir facsímil")</f>
        <v>Abrir facsímil</v>
      </c>
      <c r="K6746" s="3" t="s">
        <v>23</v>
      </c>
    </row>
    <row r="6747" spans="1:11" ht="42" customHeight="1">
      <c r="A6747" s="2" t="s">
        <v>16919</v>
      </c>
      <c r="B6747" s="2" t="s">
        <v>16919</v>
      </c>
      <c r="C6747" s="2" t="s">
        <v>17</v>
      </c>
      <c r="D6747" s="2" t="s">
        <v>18</v>
      </c>
      <c r="E6747" s="4">
        <v>-31786</v>
      </c>
      <c r="F6747" s="3" t="s">
        <v>7690</v>
      </c>
      <c r="G6747" s="3" t="s">
        <v>11920</v>
      </c>
      <c r="H6747" s="2" t="s">
        <v>21</v>
      </c>
      <c r="I6747" s="2" t="s">
        <v>16924</v>
      </c>
      <c r="J6747" s="3" t="str">
        <f>HYPERLINK("https://www.boe.es/gazeta/dias/1812/12/20/pdfs/GMD-1812-243.pdf#page=3","Abrir facsímil")</f>
        <v>Abrir facsímil</v>
      </c>
      <c r="K6747" s="3" t="s">
        <v>23</v>
      </c>
    </row>
    <row r="6748" spans="1:11" ht="42" customHeight="1">
      <c r="A6748" s="2" t="s">
        <v>16919</v>
      </c>
      <c r="B6748" s="2" t="s">
        <v>16919</v>
      </c>
      <c r="C6748" s="2" t="s">
        <v>17</v>
      </c>
      <c r="D6748" s="2" t="s">
        <v>18</v>
      </c>
      <c r="E6748" s="4">
        <v>-31784</v>
      </c>
      <c r="F6748" s="3" t="s">
        <v>6524</v>
      </c>
      <c r="G6748" s="3" t="s">
        <v>801</v>
      </c>
      <c r="H6748" s="2" t="s">
        <v>21</v>
      </c>
      <c r="I6748" s="2" t="s">
        <v>16925</v>
      </c>
      <c r="J6748" s="3" t="str">
        <f>HYPERLINK("https://www.boe.es/gazeta/dias/1812/12/22/pdfs/GRE-1812-168.pdf#page=4","Abrir facsímil")</f>
        <v>Abrir facsímil</v>
      </c>
      <c r="K6748" s="3" t="s">
        <v>23</v>
      </c>
    </row>
    <row r="6749" spans="1:11" ht="42" customHeight="1">
      <c r="A6749" s="2" t="s">
        <v>16919</v>
      </c>
      <c r="B6749" s="2" t="s">
        <v>16919</v>
      </c>
      <c r="C6749" s="2" t="s">
        <v>17</v>
      </c>
      <c r="D6749" s="2" t="s">
        <v>27</v>
      </c>
      <c r="E6749" s="4">
        <v>-31781</v>
      </c>
      <c r="F6749" s="3" t="s">
        <v>2414</v>
      </c>
      <c r="G6749" s="3" t="s">
        <v>36</v>
      </c>
      <c r="H6749" s="2" t="s">
        <v>21</v>
      </c>
      <c r="I6749" s="2" t="s">
        <v>16926</v>
      </c>
      <c r="J6749" s="3" t="str">
        <f>HYPERLINK("https://www.boe.es/gazeta/dias/1812/12/25/pdfs/GMD-1812-248.pdf#page=3","Abrir facsímil")</f>
        <v>Abrir facsímil</v>
      </c>
      <c r="K6749" s="3" t="s">
        <v>23</v>
      </c>
    </row>
    <row r="6750" spans="1:11" ht="42" customHeight="1">
      <c r="A6750" s="2" t="s">
        <v>16927</v>
      </c>
      <c r="B6750" s="2" t="s">
        <v>16927</v>
      </c>
      <c r="C6750" s="2" t="s">
        <v>67</v>
      </c>
      <c r="D6750" s="2" t="s">
        <v>27</v>
      </c>
      <c r="E6750" s="4">
        <v>-31798</v>
      </c>
      <c r="F6750" s="3" t="s">
        <v>1849</v>
      </c>
      <c r="G6750" s="3" t="s">
        <v>1850</v>
      </c>
      <c r="H6750" s="2" t="s">
        <v>21</v>
      </c>
      <c r="I6750" s="2" t="s">
        <v>16928</v>
      </c>
      <c r="J6750" s="3" t="str">
        <f>HYPERLINK("https://www.boe.es/gazeta/dias/1812/12/08/pdfs/GMD-1812-231.pdf#page=3","Abrir facsímil")</f>
        <v>Abrir facsímil</v>
      </c>
      <c r="K6750" s="3" t="s">
        <v>23</v>
      </c>
    </row>
    <row r="6751" spans="1:11" ht="42" customHeight="1">
      <c r="A6751" s="2" t="s">
        <v>16929</v>
      </c>
      <c r="B6751" s="2" t="s">
        <v>16930</v>
      </c>
      <c r="C6751" s="2" t="s">
        <v>26</v>
      </c>
      <c r="D6751" s="2" t="s">
        <v>27</v>
      </c>
      <c r="E6751" s="4">
        <v>-32102</v>
      </c>
      <c r="F6751" s="3" t="s">
        <v>1783</v>
      </c>
      <c r="G6751" s="3" t="s">
        <v>1631</v>
      </c>
      <c r="H6751" s="2" t="s">
        <v>21</v>
      </c>
      <c r="I6751" s="2" t="s">
        <v>16931</v>
      </c>
      <c r="J6751" s="3" t="str">
        <f>HYPERLINK("https://www.boe.es/gazeta/dias/1812/02/08/pdfs/GRE-1812-17.pdf#page=2","Abrir facsímil")</f>
        <v>Abrir facsímil</v>
      </c>
      <c r="K6751" s="3" t="s">
        <v>23</v>
      </c>
    </row>
    <row r="6752" spans="1:11" ht="42" customHeight="1">
      <c r="A6752" s="2" t="s">
        <v>16932</v>
      </c>
      <c r="B6752" s="2" t="s">
        <v>16933</v>
      </c>
      <c r="C6752" s="2" t="s">
        <v>26</v>
      </c>
      <c r="D6752" s="2" t="s">
        <v>27</v>
      </c>
      <c r="E6752" s="4">
        <v>-32116</v>
      </c>
      <c r="F6752" s="3" t="s">
        <v>993</v>
      </c>
      <c r="G6752" s="3" t="s">
        <v>1958</v>
      </c>
      <c r="H6752" s="2" t="s">
        <v>21</v>
      </c>
      <c r="I6752" s="2" t="s">
        <v>16934</v>
      </c>
      <c r="J6752" s="3" t="str">
        <f>HYPERLINK("https://www.boe.es/gazeta/dias/1812/01/25/pdfs/GEI-1812-11.pdf#page=5","Abrir facsímil")</f>
        <v>Abrir facsímil</v>
      </c>
      <c r="K6752" s="3" t="s">
        <v>23</v>
      </c>
    </row>
    <row r="6753" spans="1:11" ht="42" customHeight="1">
      <c r="A6753" s="2" t="s">
        <v>16935</v>
      </c>
      <c r="B6753" s="2" t="s">
        <v>16935</v>
      </c>
      <c r="C6753" s="2" t="s">
        <v>17</v>
      </c>
      <c r="D6753" s="2" t="s">
        <v>18</v>
      </c>
      <c r="E6753" s="4">
        <v>-31898</v>
      </c>
      <c r="F6753" s="3" t="s">
        <v>1952</v>
      </c>
      <c r="G6753" s="3" t="s">
        <v>13203</v>
      </c>
      <c r="H6753" s="2" t="s">
        <v>21</v>
      </c>
      <c r="I6753" s="2" t="s">
        <v>16936</v>
      </c>
      <c r="J6753" s="3" t="str">
        <f>HYPERLINK("https://www.boe.es/gazeta/dias/1812/08/30/pdfs/GRE-1812-116E.pdf#page=4","Abrir facsímil")</f>
        <v>Abrir facsímil</v>
      </c>
      <c r="K6753" s="3" t="s">
        <v>23</v>
      </c>
    </row>
    <row r="6754" spans="1:11" ht="42" customHeight="1">
      <c r="A6754" s="2" t="s">
        <v>16937</v>
      </c>
      <c r="B6754" s="2" t="s">
        <v>16937</v>
      </c>
      <c r="C6754" s="2" t="s">
        <v>17</v>
      </c>
      <c r="D6754" s="2" t="s">
        <v>134</v>
      </c>
      <c r="E6754" s="4">
        <v>-32025</v>
      </c>
      <c r="F6754" s="3" t="s">
        <v>1122</v>
      </c>
      <c r="G6754" s="3" t="s">
        <v>1125</v>
      </c>
      <c r="H6754" s="2" t="s">
        <v>21</v>
      </c>
      <c r="I6754" s="2" t="s">
        <v>16938</v>
      </c>
      <c r="J6754" s="3" t="str">
        <f>HYPERLINK("https://www.boe.es/gazeta/dias/1812/04/25/pdfs/GRE-F-1812-52.pdf#page=4","Abrir facsímil")</f>
        <v>Abrir facsímil</v>
      </c>
      <c r="K6754" s="3" t="s">
        <v>23</v>
      </c>
    </row>
    <row r="6755" spans="1:11" ht="42" customHeight="1">
      <c r="A6755" s="2" t="s">
        <v>16937</v>
      </c>
      <c r="B6755" s="2" t="s">
        <v>16937</v>
      </c>
      <c r="C6755" s="2" t="s">
        <v>17</v>
      </c>
      <c r="D6755" s="2" t="s">
        <v>27</v>
      </c>
      <c r="E6755" s="4">
        <v>-32013</v>
      </c>
      <c r="F6755" s="3" t="s">
        <v>849</v>
      </c>
      <c r="G6755" s="3" t="s">
        <v>20</v>
      </c>
      <c r="H6755" s="2" t="s">
        <v>21</v>
      </c>
      <c r="I6755" s="2" t="s">
        <v>16939</v>
      </c>
      <c r="J6755" s="3" t="str">
        <f>HYPERLINK("https://www.boe.es/gazeta/dias/1812/05/07/pdfs/GRE-1812-57.pdf#page=1","Abrir facsímil")</f>
        <v>Abrir facsímil</v>
      </c>
      <c r="K6755" s="3" t="s">
        <v>23</v>
      </c>
    </row>
    <row r="6756" spans="1:11" ht="42" customHeight="1">
      <c r="A6756" s="2" t="s">
        <v>16937</v>
      </c>
      <c r="B6756" s="2" t="s">
        <v>16937</v>
      </c>
      <c r="C6756" s="2" t="s">
        <v>17</v>
      </c>
      <c r="D6756" s="2" t="s">
        <v>18</v>
      </c>
      <c r="E6756" s="4">
        <v>-31882</v>
      </c>
      <c r="F6756" s="3" t="s">
        <v>1798</v>
      </c>
      <c r="G6756" s="3" t="s">
        <v>237</v>
      </c>
      <c r="H6756" s="2" t="s">
        <v>21</v>
      </c>
      <c r="I6756" s="2" t="s">
        <v>16940</v>
      </c>
      <c r="J6756" s="3" t="str">
        <f>HYPERLINK("https://www.boe.es/gazeta/dias/1812/09/15/pdfs/GMR-1812-14.pdf#page=7","Abrir facsímil")</f>
        <v>Abrir facsímil</v>
      </c>
      <c r="K6756" s="3" t="s">
        <v>23</v>
      </c>
    </row>
    <row r="6757" spans="1:11" ht="42" customHeight="1">
      <c r="A6757" s="2" t="s">
        <v>16941</v>
      </c>
      <c r="B6757" s="2" t="s">
        <v>16942</v>
      </c>
      <c r="C6757" s="2" t="s">
        <v>17</v>
      </c>
      <c r="D6757" s="2" t="s">
        <v>573</v>
      </c>
      <c r="E6757" s="4">
        <v>-31921</v>
      </c>
      <c r="F6757" s="3" t="s">
        <v>785</v>
      </c>
      <c r="G6757" s="3" t="s">
        <v>1128</v>
      </c>
      <c r="H6757" s="2" t="s">
        <v>21</v>
      </c>
      <c r="I6757" s="2" t="s">
        <v>16943</v>
      </c>
      <c r="J6757" s="3" t="str">
        <f>HYPERLINK("https://www.boe.es/gazeta/dias/1812/08/07/pdfs/GRE-1812-101E.pdf#page=7","Abrir facsímil")</f>
        <v>Abrir facsímil</v>
      </c>
      <c r="K6757" s="3" t="s">
        <v>23</v>
      </c>
    </row>
    <row r="6758" spans="1:11" ht="42" customHeight="1">
      <c r="A6758" s="2" t="s">
        <v>16941</v>
      </c>
      <c r="B6758" s="2" t="s">
        <v>16942</v>
      </c>
      <c r="C6758" s="2" t="s">
        <v>17</v>
      </c>
      <c r="D6758" s="2" t="s">
        <v>27</v>
      </c>
      <c r="E6758" s="4">
        <v>-31878</v>
      </c>
      <c r="F6758" s="3" t="s">
        <v>2891</v>
      </c>
      <c r="G6758" s="3" t="s">
        <v>9241</v>
      </c>
      <c r="H6758" s="2" t="s">
        <v>21</v>
      </c>
      <c r="I6758" s="2" t="s">
        <v>16944</v>
      </c>
      <c r="J6758" s="3" t="str">
        <f>HYPERLINK("https://www.boe.es/gazeta/dias/1812/09/19/pdfs/GRE-1812-127.pdf#page=7","Abrir facsímil")</f>
        <v>Abrir facsímil</v>
      </c>
      <c r="K6758" s="3" t="s">
        <v>23</v>
      </c>
    </row>
    <row r="6759" spans="1:11" ht="42" customHeight="1">
      <c r="A6759" s="2" t="s">
        <v>16945</v>
      </c>
      <c r="B6759" s="2" t="s">
        <v>16946</v>
      </c>
      <c r="C6759" s="2" t="s">
        <v>17</v>
      </c>
      <c r="D6759" s="2" t="s">
        <v>573</v>
      </c>
      <c r="E6759" s="4">
        <v>-31921</v>
      </c>
      <c r="F6759" s="3" t="s">
        <v>785</v>
      </c>
      <c r="G6759" s="3" t="s">
        <v>1128</v>
      </c>
      <c r="H6759" s="2" t="s">
        <v>21</v>
      </c>
      <c r="I6759" s="2" t="s">
        <v>16947</v>
      </c>
      <c r="J6759" s="3" t="str">
        <f>HYPERLINK("https://www.boe.es/gazeta/dias/1812/08/07/pdfs/GRE-1812-101E.pdf#page=7","Abrir facsímil")</f>
        <v>Abrir facsímil</v>
      </c>
      <c r="K6759" s="3" t="s">
        <v>23</v>
      </c>
    </row>
    <row r="6760" spans="1:11" ht="42" customHeight="1">
      <c r="A6760" s="2" t="s">
        <v>16948</v>
      </c>
      <c r="B6760" s="2" t="s">
        <v>16949</v>
      </c>
      <c r="C6760" s="2" t="s">
        <v>26</v>
      </c>
      <c r="D6760" s="2" t="s">
        <v>27</v>
      </c>
      <c r="E6760" s="4">
        <v>-31857</v>
      </c>
      <c r="F6760" s="3" t="s">
        <v>1000</v>
      </c>
      <c r="G6760" s="3" t="s">
        <v>136</v>
      </c>
      <c r="H6760" s="2" t="s">
        <v>21</v>
      </c>
      <c r="I6760" s="2" t="s">
        <v>16950</v>
      </c>
      <c r="J6760" s="3" t="str">
        <f>HYPERLINK("https://www.boe.es/gazeta/dias/1812/10/10/pdfs/GRE-1812-137.pdf#page=8","Abrir facsímil")</f>
        <v>Abrir facsímil</v>
      </c>
      <c r="K6760" s="3" t="s">
        <v>23</v>
      </c>
    </row>
    <row r="6761" spans="1:11" ht="42" customHeight="1">
      <c r="A6761" s="2" t="s">
        <v>16951</v>
      </c>
      <c r="B6761" s="2" t="s">
        <v>16952</v>
      </c>
      <c r="C6761" s="2" t="s">
        <v>26</v>
      </c>
      <c r="D6761" s="2" t="s">
        <v>275</v>
      </c>
      <c r="E6761" s="4">
        <v>-31805</v>
      </c>
      <c r="F6761" s="3" t="s">
        <v>895</v>
      </c>
      <c r="G6761" s="3" t="s">
        <v>896</v>
      </c>
      <c r="H6761" s="2" t="s">
        <v>21</v>
      </c>
      <c r="I6761" s="2" t="s">
        <v>16953</v>
      </c>
      <c r="J6761" s="3" t="str">
        <f>HYPERLINK("https://www.boe.es/gazeta/dias/1812/12/01/pdfs/GMR-1812-39.pdf#page=15","Abrir facsímil")</f>
        <v>Abrir facsímil</v>
      </c>
      <c r="K6761" s="3" t="s">
        <v>23</v>
      </c>
    </row>
    <row r="6762" spans="1:11" ht="42" customHeight="1">
      <c r="A6762" s="2" t="s">
        <v>16954</v>
      </c>
      <c r="B6762" s="2" t="s">
        <v>16954</v>
      </c>
      <c r="C6762" s="2" t="s">
        <v>26</v>
      </c>
      <c r="D6762" s="2" t="s">
        <v>27</v>
      </c>
      <c r="E6762" s="4">
        <v>-32099</v>
      </c>
      <c r="F6762" s="3" t="s">
        <v>16955</v>
      </c>
      <c r="G6762" s="3" t="s">
        <v>3288</v>
      </c>
      <c r="H6762" s="2" t="s">
        <v>21</v>
      </c>
      <c r="I6762" s="2" t="s">
        <v>16956</v>
      </c>
      <c r="J6762" s="3" t="str">
        <f>HYPERLINK("https://www.boe.es/gazeta/dias/1812/02/11/pdfs/GMD-1812-42.pdf#page=1","Abrir facsímil")</f>
        <v>Abrir facsímil</v>
      </c>
      <c r="K6762" s="3" t="s">
        <v>23</v>
      </c>
    </row>
    <row r="6763" spans="1:11" ht="42" customHeight="1">
      <c r="A6763" s="2" t="s">
        <v>16954</v>
      </c>
      <c r="B6763" s="2" t="s">
        <v>16954</v>
      </c>
      <c r="C6763" s="2" t="s">
        <v>67</v>
      </c>
      <c r="D6763" s="2" t="s">
        <v>275</v>
      </c>
      <c r="E6763" s="4">
        <v>-32000</v>
      </c>
      <c r="F6763" s="3" t="s">
        <v>878</v>
      </c>
      <c r="G6763" s="3" t="s">
        <v>214</v>
      </c>
      <c r="H6763" s="2" t="s">
        <v>21</v>
      </c>
      <c r="I6763" s="2" t="s">
        <v>16957</v>
      </c>
      <c r="J6763" s="3" t="str">
        <f>HYPERLINK("https://www.boe.es/gazeta/dias/1812/05/20/pdfs/GMD-1812-141.pdf#page=2","Abrir facsímil")</f>
        <v>Abrir facsímil</v>
      </c>
      <c r="K6763" s="3" t="s">
        <v>23</v>
      </c>
    </row>
    <row r="6764" spans="1:11" ht="42" customHeight="1">
      <c r="A6764" s="2" t="s">
        <v>16954</v>
      </c>
      <c r="B6764" s="2" t="s">
        <v>16954</v>
      </c>
      <c r="C6764" s="2" t="s">
        <v>17</v>
      </c>
      <c r="D6764" s="2" t="s">
        <v>18</v>
      </c>
      <c r="E6764" s="4">
        <v>-31951</v>
      </c>
      <c r="F6764" s="3" t="s">
        <v>1603</v>
      </c>
      <c r="G6764" s="3" t="s">
        <v>214</v>
      </c>
      <c r="H6764" s="2" t="s">
        <v>21</v>
      </c>
      <c r="I6764" s="2" t="s">
        <v>16958</v>
      </c>
      <c r="J6764" s="3" t="str">
        <f>HYPERLINK("https://www.boe.es/gazeta/dias/1812/07/08/pdfs/GMD-1812-190.pdf#page=4","Abrir facsímil")</f>
        <v>Abrir facsímil</v>
      </c>
      <c r="K6764" s="3" t="s">
        <v>23</v>
      </c>
    </row>
    <row r="6765" spans="1:11" ht="42" customHeight="1">
      <c r="A6765" s="2" t="s">
        <v>16959</v>
      </c>
      <c r="B6765" s="2" t="s">
        <v>16960</v>
      </c>
      <c r="C6765" s="2" t="s">
        <v>49</v>
      </c>
      <c r="D6765" s="2" t="s">
        <v>27</v>
      </c>
      <c r="E6765" s="4">
        <v>-32061</v>
      </c>
      <c r="F6765" s="3" t="s">
        <v>798</v>
      </c>
      <c r="G6765" s="3" t="s">
        <v>36</v>
      </c>
      <c r="H6765" s="2" t="s">
        <v>21</v>
      </c>
      <c r="I6765" s="2" t="s">
        <v>16961</v>
      </c>
      <c r="J6765" s="3" t="str">
        <f>HYPERLINK("https://www.boe.es/gazeta/dias/1812/03/20/pdfs/GMD-1812-80.pdf#page=3","Abrir facsímil")</f>
        <v>Abrir facsímil</v>
      </c>
      <c r="K6765" s="3" t="s">
        <v>23</v>
      </c>
    </row>
    <row r="6766" spans="1:11" ht="42" customHeight="1">
      <c r="A6766" s="2" t="s">
        <v>16962</v>
      </c>
      <c r="B6766" s="2" t="s">
        <v>16963</v>
      </c>
      <c r="C6766" s="2" t="s">
        <v>26</v>
      </c>
      <c r="D6766" s="2" t="s">
        <v>275</v>
      </c>
      <c r="E6766" s="4">
        <v>-31941</v>
      </c>
      <c r="F6766" s="3" t="s">
        <v>2048</v>
      </c>
      <c r="G6766" s="3" t="s">
        <v>6343</v>
      </c>
      <c r="H6766" s="2" t="s">
        <v>21</v>
      </c>
      <c r="I6766" s="2" t="s">
        <v>16964</v>
      </c>
      <c r="J6766" s="3" t="str">
        <f>HYPERLINK("https://www.boe.es/gazeta/dias/1812/07/18/pdfs/GRE-1812-90.pdf#page=7","Abrir facsímil")</f>
        <v>Abrir facsímil</v>
      </c>
      <c r="K6766" s="3" t="s">
        <v>23</v>
      </c>
    </row>
    <row r="6767" spans="1:11" ht="42" customHeight="1">
      <c r="A6767" s="2" t="s">
        <v>16965</v>
      </c>
      <c r="B6767" s="2" t="s">
        <v>16966</v>
      </c>
      <c r="C6767" s="2" t="s">
        <v>82</v>
      </c>
      <c r="D6767" s="2" t="s">
        <v>27</v>
      </c>
      <c r="E6767" s="4">
        <v>-31936</v>
      </c>
      <c r="F6767" s="3" t="s">
        <v>603</v>
      </c>
      <c r="G6767" s="3" t="s">
        <v>2410</v>
      </c>
      <c r="H6767" s="2" t="s">
        <v>21</v>
      </c>
      <c r="I6767" s="2" t="s">
        <v>16967</v>
      </c>
      <c r="J6767" s="3" t="str">
        <f>HYPERLINK("https://www.boe.es/gazeta/dias/1812/07/23/pdfs/GMD-1812-205.pdf#page=4","Abrir facsímil")</f>
        <v>Abrir facsímil</v>
      </c>
      <c r="K6767" s="3" t="s">
        <v>23</v>
      </c>
    </row>
    <row r="6768" spans="1:11" ht="42" customHeight="1">
      <c r="A6768" s="2" t="s">
        <v>16968</v>
      </c>
      <c r="B6768" s="2" t="s">
        <v>16969</v>
      </c>
      <c r="C6768" s="2" t="s">
        <v>67</v>
      </c>
      <c r="D6768" s="2" t="s">
        <v>275</v>
      </c>
      <c r="E6768" s="4">
        <v>-31942</v>
      </c>
      <c r="F6768" s="3" t="s">
        <v>3065</v>
      </c>
      <c r="G6768" s="3" t="s">
        <v>3066</v>
      </c>
      <c r="H6768" s="2" t="s">
        <v>21</v>
      </c>
      <c r="I6768" s="2" t="s">
        <v>16970</v>
      </c>
      <c r="J6768" s="3" t="str">
        <f>HYPERLINK("https://www.boe.es/gazeta/dias/1812/07/17/pdfs/GMD-1812-199.pdf#page=3","Abrir facsímil")</f>
        <v>Abrir facsímil</v>
      </c>
      <c r="K6768" s="3" t="s">
        <v>23</v>
      </c>
    </row>
    <row r="6769" spans="1:11" ht="42" customHeight="1">
      <c r="A6769" s="2" t="s">
        <v>16971</v>
      </c>
      <c r="B6769" s="2" t="s">
        <v>16971</v>
      </c>
      <c r="C6769" s="2" t="s">
        <v>26</v>
      </c>
      <c r="D6769" s="2" t="s">
        <v>27</v>
      </c>
      <c r="E6769" s="4">
        <v>-32123</v>
      </c>
      <c r="F6769" s="3" t="s">
        <v>3501</v>
      </c>
      <c r="G6769" s="3" t="s">
        <v>14460</v>
      </c>
      <c r="H6769" s="2" t="s">
        <v>21</v>
      </c>
      <c r="I6769" s="2" t="s">
        <v>16972</v>
      </c>
      <c r="J6769" s="3" t="str">
        <f>HYPERLINK("https://www.boe.es/gazeta/dias/1812/01/18/pdfs/GEI-1812-8.pdf#page=4","Abrir facsímil")</f>
        <v>Abrir facsímil</v>
      </c>
      <c r="K6769" s="3" t="s">
        <v>23</v>
      </c>
    </row>
    <row r="6770" spans="1:11" ht="42" customHeight="1">
      <c r="A6770" s="2" t="s">
        <v>16971</v>
      </c>
      <c r="B6770" s="2" t="s">
        <v>16971</v>
      </c>
      <c r="C6770" s="2" t="s">
        <v>105</v>
      </c>
      <c r="D6770" s="2" t="s">
        <v>27</v>
      </c>
      <c r="E6770" s="4">
        <v>-32123</v>
      </c>
      <c r="F6770" s="3" t="s">
        <v>3501</v>
      </c>
      <c r="G6770" s="3" t="s">
        <v>2313</v>
      </c>
      <c r="H6770" s="2" t="s">
        <v>21</v>
      </c>
      <c r="I6770" s="2" t="s">
        <v>16973</v>
      </c>
      <c r="J6770" s="3" t="str">
        <f>HYPERLINK("https://www.boe.es/gazeta/dias/1812/01/18/pdfs/GEI-1812-8.pdf#page=5","Abrir facsímil")</f>
        <v>Abrir facsímil</v>
      </c>
      <c r="K6770" s="3" t="s">
        <v>23</v>
      </c>
    </row>
    <row r="6771" spans="1:11" ht="42" customHeight="1">
      <c r="A6771" s="2" t="s">
        <v>16971</v>
      </c>
      <c r="B6771" s="2" t="s">
        <v>16971</v>
      </c>
      <c r="C6771" s="2" t="s">
        <v>26</v>
      </c>
      <c r="D6771" s="2" t="s">
        <v>27</v>
      </c>
      <c r="E6771" s="4">
        <v>-32090</v>
      </c>
      <c r="F6771" s="3" t="s">
        <v>142</v>
      </c>
      <c r="G6771" s="3" t="s">
        <v>2070</v>
      </c>
      <c r="H6771" s="2" t="s">
        <v>21</v>
      </c>
      <c r="I6771" s="2" t="s">
        <v>16974</v>
      </c>
      <c r="J6771" s="3" t="str">
        <f>HYPERLINK("https://www.boe.es/gazeta/dias/1812/02/20/pdfs/GRE-1812-22.pdf#page=5","Abrir facsímil")</f>
        <v>Abrir facsímil</v>
      </c>
      <c r="K6771" s="3" t="s">
        <v>23</v>
      </c>
    </row>
    <row r="6772" spans="1:11" ht="42" customHeight="1">
      <c r="A6772" s="2" t="s">
        <v>16971</v>
      </c>
      <c r="B6772" s="2" t="s">
        <v>16971</v>
      </c>
      <c r="C6772" s="2" t="s">
        <v>26</v>
      </c>
      <c r="D6772" s="2" t="s">
        <v>27</v>
      </c>
      <c r="E6772" s="4">
        <v>-31809</v>
      </c>
      <c r="F6772" s="3" t="s">
        <v>116</v>
      </c>
      <c r="G6772" s="3" t="s">
        <v>16975</v>
      </c>
      <c r="H6772" s="2" t="s">
        <v>21</v>
      </c>
      <c r="I6772" s="2" t="s">
        <v>16976</v>
      </c>
      <c r="J6772" s="3" t="str">
        <f>HYPERLINK("https://www.boe.es/gazeta/dias/1812/11/27/pdfs/GMR-1812-38.pdf#page=1","Abrir facsímil")</f>
        <v>Abrir facsímil</v>
      </c>
      <c r="K6772" s="3" t="s">
        <v>23</v>
      </c>
    </row>
    <row r="6773" spans="1:11" ht="42" customHeight="1">
      <c r="A6773" s="2" t="s">
        <v>16977</v>
      </c>
      <c r="B6773" s="2" t="s">
        <v>16978</v>
      </c>
      <c r="C6773" s="2" t="s">
        <v>17</v>
      </c>
      <c r="D6773" s="2" t="s">
        <v>27</v>
      </c>
      <c r="E6773" s="4">
        <v>-32076</v>
      </c>
      <c r="F6773" s="3" t="s">
        <v>2486</v>
      </c>
      <c r="G6773" s="3" t="s">
        <v>45</v>
      </c>
      <c r="H6773" s="2" t="s">
        <v>21</v>
      </c>
      <c r="I6773" s="2" t="s">
        <v>16979</v>
      </c>
      <c r="J6773" s="3" t="str">
        <f>HYPERLINK("https://www.boe.es/gazeta/dias/1812/03/05/pdfs/GRE-1812-29.pdf#page=3","Abrir facsímil")</f>
        <v>Abrir facsímil</v>
      </c>
      <c r="K6773" s="3" t="s">
        <v>23</v>
      </c>
    </row>
    <row r="6774" spans="1:11" ht="42" customHeight="1">
      <c r="A6774" s="2" t="s">
        <v>16980</v>
      </c>
      <c r="B6774" s="2" t="s">
        <v>16981</v>
      </c>
      <c r="C6774" s="2" t="s">
        <v>26</v>
      </c>
      <c r="D6774" s="2" t="s">
        <v>27</v>
      </c>
      <c r="E6774" s="4">
        <v>-32075</v>
      </c>
      <c r="F6774" s="3" t="s">
        <v>301</v>
      </c>
      <c r="G6774" s="3" t="s">
        <v>20</v>
      </c>
      <c r="H6774" s="2" t="s">
        <v>21</v>
      </c>
      <c r="I6774" s="2" t="s">
        <v>16982</v>
      </c>
      <c r="J6774" s="3" t="str">
        <f>HYPERLINK("https://www.boe.es/gazeta/dias/1812/03/06/pdfs/GMD-1812-66.pdf#page=4","Abrir facsímil")</f>
        <v>Abrir facsímil</v>
      </c>
      <c r="K6774" s="3" t="s">
        <v>23</v>
      </c>
    </row>
    <row r="6775" spans="1:11" ht="42" customHeight="1">
      <c r="A6775" s="2" t="s">
        <v>16980</v>
      </c>
      <c r="B6775" s="2" t="s">
        <v>16981</v>
      </c>
      <c r="C6775" s="2" t="s">
        <v>17</v>
      </c>
      <c r="D6775" s="2" t="s">
        <v>18</v>
      </c>
      <c r="E6775" s="4">
        <v>-31829</v>
      </c>
      <c r="F6775" s="3" t="s">
        <v>328</v>
      </c>
      <c r="G6775" s="3" t="s">
        <v>20</v>
      </c>
      <c r="H6775" s="2" t="s">
        <v>21</v>
      </c>
      <c r="I6775" s="2" t="s">
        <v>16983</v>
      </c>
      <c r="J6775" s="3" t="str">
        <f>HYPERLINK("https://www.boe.es/gazeta/dias/1812/11/07/pdfs/GMD-1812-227.pdf#page=4","Abrir facsímil")</f>
        <v>Abrir facsímil</v>
      </c>
      <c r="K6775" s="3" t="s">
        <v>23</v>
      </c>
    </row>
    <row r="6776" spans="1:11" ht="42" customHeight="1">
      <c r="A6776" s="2" t="s">
        <v>16980</v>
      </c>
      <c r="B6776" s="2" t="s">
        <v>16981</v>
      </c>
      <c r="C6776" s="2" t="s">
        <v>17</v>
      </c>
      <c r="D6776" s="2" t="s">
        <v>18</v>
      </c>
      <c r="E6776" s="4">
        <v>-31798</v>
      </c>
      <c r="F6776" s="3" t="s">
        <v>1849</v>
      </c>
      <c r="G6776" s="3" t="s">
        <v>2280</v>
      </c>
      <c r="H6776" s="2" t="s">
        <v>21</v>
      </c>
      <c r="I6776" s="2" t="s">
        <v>16984</v>
      </c>
      <c r="J6776" s="3" t="str">
        <f>HYPERLINK("https://www.boe.es/gazeta/dias/1812/12/08/pdfs/GMD-1812-231.pdf#page=4","Abrir facsímil")</f>
        <v>Abrir facsímil</v>
      </c>
      <c r="K6776" s="3" t="s">
        <v>23</v>
      </c>
    </row>
    <row r="6777" spans="1:11" ht="42" customHeight="1">
      <c r="A6777" s="2" t="s">
        <v>16985</v>
      </c>
      <c r="B6777" s="2" t="s">
        <v>16986</v>
      </c>
      <c r="C6777" s="2" t="s">
        <v>26</v>
      </c>
      <c r="D6777" s="2" t="s">
        <v>27</v>
      </c>
      <c r="E6777" s="4">
        <v>-32118</v>
      </c>
      <c r="F6777" s="3" t="s">
        <v>1420</v>
      </c>
      <c r="G6777" s="3" t="s">
        <v>2539</v>
      </c>
      <c r="H6777" s="2" t="s">
        <v>21</v>
      </c>
      <c r="I6777" s="2" t="s">
        <v>16987</v>
      </c>
      <c r="J6777" s="3" t="str">
        <f>HYPERLINK("https://www.boe.es/gazeta/dias/1812/01/23/pdfs/GEI-1812-10.pdf#page=6","Abrir facsímil")</f>
        <v>Abrir facsímil</v>
      </c>
      <c r="K6777" s="3" t="s">
        <v>23</v>
      </c>
    </row>
    <row r="6778" spans="1:11" ht="42" customHeight="1">
      <c r="A6778" s="2" t="s">
        <v>16988</v>
      </c>
      <c r="B6778" s="2" t="s">
        <v>16988</v>
      </c>
      <c r="C6778" s="2" t="s">
        <v>17</v>
      </c>
      <c r="D6778" s="2" t="s">
        <v>18</v>
      </c>
      <c r="E6778" s="4">
        <v>-31994</v>
      </c>
      <c r="F6778" s="3" t="s">
        <v>207</v>
      </c>
      <c r="G6778" s="3" t="s">
        <v>208</v>
      </c>
      <c r="H6778" s="2" t="s">
        <v>21</v>
      </c>
      <c r="I6778" s="2" t="s">
        <v>16989</v>
      </c>
      <c r="J6778" s="3" t="str">
        <f>HYPERLINK("https://www.boe.es/gazeta/dias/1812/05/26/pdfs/GRE-1812-65.pdf#page=2","Abrir facsímil")</f>
        <v>Abrir facsímil</v>
      </c>
      <c r="K6778" s="3" t="s">
        <v>23</v>
      </c>
    </row>
    <row r="6779" spans="1:11" ht="42" customHeight="1">
      <c r="A6779" s="2" t="s">
        <v>16988</v>
      </c>
      <c r="B6779" s="2" t="s">
        <v>16988</v>
      </c>
      <c r="C6779" s="2" t="s">
        <v>26</v>
      </c>
      <c r="D6779" s="2" t="s">
        <v>27</v>
      </c>
      <c r="E6779" s="4">
        <v>-31931</v>
      </c>
      <c r="F6779" s="3" t="s">
        <v>4174</v>
      </c>
      <c r="G6779" s="3" t="s">
        <v>214</v>
      </c>
      <c r="H6779" s="2" t="s">
        <v>21</v>
      </c>
      <c r="I6779" s="2" t="s">
        <v>16990</v>
      </c>
      <c r="J6779" s="3" t="str">
        <f>HYPERLINK("https://www.boe.es/gazeta/dias/1812/07/28/pdfs/GRE-1812-94.pdf#page=3","Abrir facsímil")</f>
        <v>Abrir facsímil</v>
      </c>
      <c r="K6779" s="3" t="s">
        <v>23</v>
      </c>
    </row>
    <row r="6780" spans="1:11" ht="42" customHeight="1">
      <c r="A6780" s="2" t="s">
        <v>16988</v>
      </c>
      <c r="B6780" s="2" t="s">
        <v>16988</v>
      </c>
      <c r="C6780" s="2" t="s">
        <v>17</v>
      </c>
      <c r="D6780" s="2" t="s">
        <v>18</v>
      </c>
      <c r="E6780" s="4">
        <v>-31866</v>
      </c>
      <c r="F6780" s="3" t="s">
        <v>845</v>
      </c>
      <c r="G6780" s="3" t="s">
        <v>1210</v>
      </c>
      <c r="H6780" s="2" t="s">
        <v>21</v>
      </c>
      <c r="I6780" s="2" t="s">
        <v>16991</v>
      </c>
      <c r="J6780" s="3" t="str">
        <f>HYPERLINK("https://www.boe.es/gazeta/dias/1812/10/01/pdfs/GRE-1812-133.pdf#page=5","Abrir facsímil")</f>
        <v>Abrir facsímil</v>
      </c>
      <c r="K6780" s="3" t="s">
        <v>23</v>
      </c>
    </row>
    <row r="6781" spans="1:11" ht="42" customHeight="1">
      <c r="A6781" s="2" t="s">
        <v>16992</v>
      </c>
      <c r="B6781" s="2" t="s">
        <v>16993</v>
      </c>
      <c r="C6781" s="2" t="s">
        <v>26</v>
      </c>
      <c r="D6781" s="2" t="s">
        <v>275</v>
      </c>
      <c r="E6781" s="4">
        <v>-31938</v>
      </c>
      <c r="F6781" s="3" t="s">
        <v>324</v>
      </c>
      <c r="G6781" s="3" t="s">
        <v>237</v>
      </c>
      <c r="H6781" s="2" t="s">
        <v>21</v>
      </c>
      <c r="I6781" s="2" t="s">
        <v>16994</v>
      </c>
      <c r="J6781" s="3" t="str">
        <f>HYPERLINK("https://www.boe.es/gazeta/dias/1812/07/21/pdfs/GMD-1812-203.pdf#page=2","Abrir facsímil")</f>
        <v>Abrir facsímil</v>
      </c>
      <c r="K6781" s="3" t="s">
        <v>23</v>
      </c>
    </row>
    <row r="6782" spans="1:11" ht="42" customHeight="1">
      <c r="A6782" s="2" t="s">
        <v>16995</v>
      </c>
      <c r="B6782" s="2" t="s">
        <v>16996</v>
      </c>
      <c r="C6782" s="2" t="s">
        <v>26</v>
      </c>
      <c r="D6782" s="2" t="s">
        <v>27</v>
      </c>
      <c r="E6782" s="4">
        <v>-31833</v>
      </c>
      <c r="F6782" s="3" t="s">
        <v>267</v>
      </c>
      <c r="G6782" s="3" t="s">
        <v>268</v>
      </c>
      <c r="H6782" s="2" t="s">
        <v>21</v>
      </c>
      <c r="I6782" s="2" t="s">
        <v>16997</v>
      </c>
      <c r="J6782" s="3" t="str">
        <f>HYPERLINK("https://www.boe.es/gazeta/dias/1812/11/03/pdfs/GRE-1812-147.pdf#page=8","Abrir facsímil")</f>
        <v>Abrir facsímil</v>
      </c>
      <c r="K6782" s="3" t="s">
        <v>23</v>
      </c>
    </row>
    <row r="6783" spans="1:11" ht="42" customHeight="1">
      <c r="A6783" s="2" t="s">
        <v>16998</v>
      </c>
      <c r="B6783" s="2" t="s">
        <v>16998</v>
      </c>
      <c r="C6783" s="2" t="s">
        <v>17</v>
      </c>
      <c r="D6783" s="2" t="s">
        <v>18</v>
      </c>
      <c r="E6783" s="4">
        <v>-31857</v>
      </c>
      <c r="F6783" s="3" t="s">
        <v>1000</v>
      </c>
      <c r="G6783" s="3" t="s">
        <v>317</v>
      </c>
      <c r="H6783" s="2" t="s">
        <v>21</v>
      </c>
      <c r="I6783" s="2" t="s">
        <v>16999</v>
      </c>
      <c r="J6783" s="3" t="str">
        <f>HYPERLINK("https://www.boe.es/gazeta/dias/1812/10/10/pdfs/GRE-1812-137.pdf#page=6","Abrir facsímil")</f>
        <v>Abrir facsímil</v>
      </c>
      <c r="K6783" s="3" t="s">
        <v>23</v>
      </c>
    </row>
    <row r="6784" spans="1:11" ht="42" customHeight="1">
      <c r="A6784" s="2" t="s">
        <v>17000</v>
      </c>
      <c r="B6784" s="2" t="s">
        <v>17001</v>
      </c>
      <c r="C6784" s="2" t="s">
        <v>26</v>
      </c>
      <c r="D6784" s="2" t="s">
        <v>27</v>
      </c>
      <c r="E6784" s="4">
        <v>-32034</v>
      </c>
      <c r="F6784" s="3" t="s">
        <v>28</v>
      </c>
      <c r="G6784" s="3" t="s">
        <v>29</v>
      </c>
      <c r="H6784" s="2" t="s">
        <v>21</v>
      </c>
      <c r="I6784" s="2" t="s">
        <v>17002</v>
      </c>
      <c r="J6784" s="3" t="str">
        <f>HYPERLINK("https://www.boe.es/gazeta/dias/1812/04/16/pdfs/GMD-1812-107.pdf#page=8","Abrir facsímil")</f>
        <v>Abrir facsímil</v>
      </c>
      <c r="K6784" s="3" t="s">
        <v>23</v>
      </c>
    </row>
    <row r="6785" spans="1:11" ht="42" customHeight="1">
      <c r="A6785" s="2" t="s">
        <v>17003</v>
      </c>
      <c r="B6785" s="2" t="s">
        <v>17004</v>
      </c>
      <c r="C6785" s="2" t="s">
        <v>17</v>
      </c>
      <c r="D6785" s="2" t="s">
        <v>18</v>
      </c>
      <c r="E6785" s="4">
        <v>-32125</v>
      </c>
      <c r="F6785" s="3" t="s">
        <v>964</v>
      </c>
      <c r="G6785" s="3" t="s">
        <v>1842</v>
      </c>
      <c r="H6785" s="2" t="s">
        <v>21</v>
      </c>
      <c r="I6785" s="2" t="s">
        <v>17005</v>
      </c>
      <c r="J6785" s="3" t="str">
        <f>HYPERLINK("https://www.boe.es/gazeta/dias/1812/01/16/pdfs/GEI-H-1812-7.pdf#page=4","Abrir facsímil")</f>
        <v>Abrir facsímil</v>
      </c>
      <c r="K6785" s="3" t="s">
        <v>23</v>
      </c>
    </row>
    <row r="6786" spans="1:11" ht="42" customHeight="1">
      <c r="A6786" s="2" t="s">
        <v>17006</v>
      </c>
      <c r="B6786" s="2" t="s">
        <v>17007</v>
      </c>
      <c r="C6786" s="2" t="s">
        <v>17</v>
      </c>
      <c r="D6786" s="2" t="s">
        <v>275</v>
      </c>
      <c r="E6786" s="4">
        <v>-32125</v>
      </c>
      <c r="F6786" s="3" t="s">
        <v>964</v>
      </c>
      <c r="G6786" s="3" t="s">
        <v>1842</v>
      </c>
      <c r="H6786" s="2" t="s">
        <v>21</v>
      </c>
      <c r="I6786" s="2" t="s">
        <v>17008</v>
      </c>
      <c r="J6786" s="3" t="str">
        <f>HYPERLINK("https://www.boe.es/gazeta/dias/1812/01/16/pdfs/GEI-H-1812-7.pdf#page=4","Abrir facsímil")</f>
        <v>Abrir facsímil</v>
      </c>
      <c r="K6786" s="3" t="s">
        <v>23</v>
      </c>
    </row>
    <row r="6787" spans="1:11" ht="42" customHeight="1">
      <c r="A6787" s="2" t="s">
        <v>17009</v>
      </c>
      <c r="B6787" s="2" t="s">
        <v>17009</v>
      </c>
      <c r="C6787" s="2" t="s">
        <v>17</v>
      </c>
      <c r="D6787" s="2" t="s">
        <v>27</v>
      </c>
      <c r="E6787" s="4">
        <v>-31866</v>
      </c>
      <c r="F6787" s="3" t="s">
        <v>2438</v>
      </c>
      <c r="G6787" s="3" t="s">
        <v>13519</v>
      </c>
      <c r="H6787" s="2" t="s">
        <v>21</v>
      </c>
      <c r="I6787" s="2" t="s">
        <v>17010</v>
      </c>
      <c r="J6787" s="3" t="str">
        <f>HYPERLINK("https://www.boe.es/gazeta/dias/1812/10/01/pdfs/GMR-1812-21.pdf#page=1","Abrir facsímil")</f>
        <v>Abrir facsímil</v>
      </c>
      <c r="K6787" s="3" t="s">
        <v>23</v>
      </c>
    </row>
    <row r="6788" spans="1:11" ht="42" customHeight="1">
      <c r="A6788" s="2" t="s">
        <v>17011</v>
      </c>
      <c r="B6788" s="2" t="s">
        <v>17012</v>
      </c>
      <c r="C6788" s="2" t="s">
        <v>26</v>
      </c>
      <c r="D6788" s="2" t="s">
        <v>27</v>
      </c>
      <c r="E6788" s="4">
        <v>-32130</v>
      </c>
      <c r="F6788" s="3" t="s">
        <v>927</v>
      </c>
      <c r="G6788" s="3" t="s">
        <v>130</v>
      </c>
      <c r="H6788" s="2" t="s">
        <v>21</v>
      </c>
      <c r="I6788" s="2" t="s">
        <v>17013</v>
      </c>
      <c r="J6788" s="3" t="str">
        <f>HYPERLINK("https://www.boe.es/gazeta/dias/1812/01/11/pdfs/GMD-1812-11.pdf#page=4","Abrir facsímil")</f>
        <v>Abrir facsímil</v>
      </c>
      <c r="K6788" s="3" t="s">
        <v>23</v>
      </c>
    </row>
    <row r="6789" spans="1:11" ht="42" customHeight="1">
      <c r="A6789" s="2" t="s">
        <v>17014</v>
      </c>
      <c r="B6789" s="2" t="s">
        <v>17015</v>
      </c>
      <c r="C6789" s="2" t="s">
        <v>17</v>
      </c>
      <c r="D6789" s="2" t="s">
        <v>18</v>
      </c>
      <c r="E6789" s="4">
        <v>-31992</v>
      </c>
      <c r="F6789" s="3" t="s">
        <v>1292</v>
      </c>
      <c r="G6789" s="3" t="s">
        <v>1424</v>
      </c>
      <c r="H6789" s="2" t="s">
        <v>21</v>
      </c>
      <c r="I6789" s="2" t="s">
        <v>17016</v>
      </c>
      <c r="J6789" s="3" t="str">
        <f>HYPERLINK("https://www.boe.es/gazeta/dias/1812/05/28/pdfs/GRE-1812-66.pdf#page=5","Abrir facsímil")</f>
        <v>Abrir facsímil</v>
      </c>
      <c r="K6789" s="3" t="s">
        <v>23</v>
      </c>
    </row>
    <row r="6790" spans="1:11" ht="42" customHeight="1">
      <c r="A6790" s="2" t="s">
        <v>17017</v>
      </c>
      <c r="B6790" s="2" t="s">
        <v>17018</v>
      </c>
      <c r="C6790" s="2" t="s">
        <v>17</v>
      </c>
      <c r="D6790" s="2" t="s">
        <v>18</v>
      </c>
      <c r="E6790" s="4">
        <v>-31957</v>
      </c>
      <c r="F6790" s="3" t="s">
        <v>2173</v>
      </c>
      <c r="G6790" s="3" t="s">
        <v>14235</v>
      </c>
      <c r="H6790" s="2" t="s">
        <v>21</v>
      </c>
      <c r="I6790" s="2" t="s">
        <v>17019</v>
      </c>
      <c r="J6790" s="3" t="str">
        <f>HYPERLINK("https://www.boe.es/gazeta/dias/1812/07/02/pdfs/GRE-1812-81.pdf#page=7","Abrir facsímil")</f>
        <v>Abrir facsímil</v>
      </c>
      <c r="K6790" s="3" t="s">
        <v>23</v>
      </c>
    </row>
    <row r="6791" spans="1:11" ht="42" customHeight="1">
      <c r="A6791" s="2" t="s">
        <v>17020</v>
      </c>
      <c r="B6791" s="2" t="s">
        <v>17021</v>
      </c>
      <c r="C6791" s="2" t="s">
        <v>17</v>
      </c>
      <c r="D6791" s="2" t="s">
        <v>18</v>
      </c>
      <c r="E6791" s="4">
        <v>-32069</v>
      </c>
      <c r="F6791" s="3" t="s">
        <v>445</v>
      </c>
      <c r="G6791" s="3" t="s">
        <v>446</v>
      </c>
      <c r="H6791" s="2" t="s">
        <v>21</v>
      </c>
      <c r="I6791" s="2" t="s">
        <v>17022</v>
      </c>
      <c r="J6791" s="3" t="str">
        <f>HYPERLINK("https://www.boe.es/gazeta/dias/1812/03/12/pdfs/GRE-1812-32.pdf#page=8","Abrir facsímil")</f>
        <v>Abrir facsímil</v>
      </c>
      <c r="K6791" s="3" t="s">
        <v>23</v>
      </c>
    </row>
    <row r="6792" spans="1:11" ht="42" customHeight="1">
      <c r="A6792" s="2" t="s">
        <v>17023</v>
      </c>
      <c r="B6792" s="2" t="s">
        <v>17024</v>
      </c>
      <c r="C6792" s="2" t="s">
        <v>26</v>
      </c>
      <c r="D6792" s="2" t="s">
        <v>275</v>
      </c>
      <c r="E6792" s="4">
        <v>-32139</v>
      </c>
      <c r="F6792" s="3" t="s">
        <v>518</v>
      </c>
      <c r="G6792" s="3" t="s">
        <v>125</v>
      </c>
      <c r="H6792" s="2" t="s">
        <v>21</v>
      </c>
      <c r="I6792" s="2" t="s">
        <v>17025</v>
      </c>
      <c r="J6792" s="3" t="str">
        <f>HYPERLINK("https://www.boe.es/gazeta/dias/1812/01/02/pdfs/GEI-1812-1.pdf#page=8","Abrir facsímil")</f>
        <v>Abrir facsímil</v>
      </c>
      <c r="K6792" s="3" t="s">
        <v>23</v>
      </c>
    </row>
    <row r="6793" spans="1:11" ht="42" customHeight="1">
      <c r="A6793" s="2" t="s">
        <v>17026</v>
      </c>
      <c r="B6793" s="2" t="s">
        <v>17027</v>
      </c>
      <c r="C6793" s="2" t="s">
        <v>26</v>
      </c>
      <c r="D6793" s="2" t="s">
        <v>27</v>
      </c>
      <c r="E6793" s="4">
        <v>-32127</v>
      </c>
      <c r="F6793" s="3" t="s">
        <v>88</v>
      </c>
      <c r="G6793" s="3" t="s">
        <v>89</v>
      </c>
      <c r="H6793" s="2" t="s">
        <v>21</v>
      </c>
      <c r="I6793" s="2" t="s">
        <v>17028</v>
      </c>
      <c r="J6793" s="3" t="str">
        <f>HYPERLINK("https://www.boe.es/gazeta/dias/1812/01/14/pdfs/GEI-1812-6.pdf#page=8","Abrir facsímil")</f>
        <v>Abrir facsímil</v>
      </c>
      <c r="K6793" s="3" t="s">
        <v>23</v>
      </c>
    </row>
    <row r="6794" spans="1:11" ht="42" customHeight="1">
      <c r="A6794" s="2" t="s">
        <v>17029</v>
      </c>
      <c r="B6794" s="2" t="s">
        <v>17030</v>
      </c>
      <c r="C6794" s="2" t="s">
        <v>17</v>
      </c>
      <c r="D6794" s="2" t="s">
        <v>18</v>
      </c>
      <c r="E6794" s="4">
        <v>-31939</v>
      </c>
      <c r="F6794" s="3" t="s">
        <v>408</v>
      </c>
      <c r="G6794" s="3" t="s">
        <v>409</v>
      </c>
      <c r="H6794" s="2" t="s">
        <v>21</v>
      </c>
      <c r="I6794" s="2" t="s">
        <v>17031</v>
      </c>
      <c r="J6794" s="3" t="str">
        <f>HYPERLINK("https://www.boe.es/gazeta/dias/1812/07/20/pdfs/GMD-1812-202.pdf#page=3","Abrir facsímil")</f>
        <v>Abrir facsímil</v>
      </c>
      <c r="K6794" s="3" t="s">
        <v>23</v>
      </c>
    </row>
    <row r="6795" spans="1:11" ht="42" customHeight="1">
      <c r="A6795" s="2" t="s">
        <v>17032</v>
      </c>
      <c r="B6795" s="2" t="s">
        <v>17033</v>
      </c>
      <c r="C6795" s="2" t="s">
        <v>17</v>
      </c>
      <c r="D6795" s="2" t="s">
        <v>27</v>
      </c>
      <c r="E6795" s="4">
        <v>-32130</v>
      </c>
      <c r="F6795" s="3" t="s">
        <v>927</v>
      </c>
      <c r="G6795" s="3" t="s">
        <v>125</v>
      </c>
      <c r="H6795" s="2" t="s">
        <v>21</v>
      </c>
      <c r="I6795" s="2" t="s">
        <v>17034</v>
      </c>
      <c r="J6795" s="3" t="str">
        <f>HYPERLINK("https://www.boe.es/gazeta/dias/1812/01/11/pdfs/GMD-1812-11.pdf#page=2","Abrir facsímil")</f>
        <v>Abrir facsímil</v>
      </c>
      <c r="K6795" s="3" t="s">
        <v>23</v>
      </c>
    </row>
    <row r="6796" spans="1:11" ht="42" customHeight="1">
      <c r="A6796" s="2" t="s">
        <v>17035</v>
      </c>
      <c r="B6796" s="2" t="s">
        <v>17035</v>
      </c>
      <c r="C6796" s="2" t="s">
        <v>26</v>
      </c>
      <c r="D6796" s="2" t="s">
        <v>27</v>
      </c>
      <c r="E6796" s="4">
        <v>-32120</v>
      </c>
      <c r="F6796" s="3" t="s">
        <v>522</v>
      </c>
      <c r="G6796" s="3" t="s">
        <v>404</v>
      </c>
      <c r="H6796" s="2" t="s">
        <v>21</v>
      </c>
      <c r="I6796" s="2" t="s">
        <v>17036</v>
      </c>
      <c r="J6796" s="3" t="str">
        <f>HYPERLINK("https://www.boe.es/gazeta/dias/1812/01/21/pdfs/GMD-1812-21.pdf#page=3","Abrir facsímil")</f>
        <v>Abrir facsímil</v>
      </c>
      <c r="K6796" s="3" t="s">
        <v>23</v>
      </c>
    </row>
    <row r="6797" spans="1:11" ht="42" customHeight="1">
      <c r="A6797" s="2" t="s">
        <v>17037</v>
      </c>
      <c r="B6797" s="2" t="s">
        <v>17037</v>
      </c>
      <c r="C6797" s="2" t="s">
        <v>17</v>
      </c>
      <c r="D6797" s="2" t="s">
        <v>18</v>
      </c>
      <c r="E6797" s="4">
        <v>-32032</v>
      </c>
      <c r="F6797" s="3" t="s">
        <v>421</v>
      </c>
      <c r="G6797" s="3" t="s">
        <v>7302</v>
      </c>
      <c r="H6797" s="2" t="s">
        <v>21</v>
      </c>
      <c r="I6797" s="2" t="s">
        <v>17038</v>
      </c>
      <c r="J6797" s="3" t="str">
        <f>HYPERLINK("https://www.boe.es/gazeta/dias/1812/04/18/pdfs/GRE-1812-49.pdf#page=1","Abrir facsímil")</f>
        <v>Abrir facsímil</v>
      </c>
      <c r="K6797" s="3" t="s">
        <v>23</v>
      </c>
    </row>
    <row r="6798" spans="1:11" ht="42" customHeight="1">
      <c r="A6798" s="2" t="s">
        <v>17039</v>
      </c>
      <c r="B6798" s="2" t="s">
        <v>17040</v>
      </c>
      <c r="C6798" s="2" t="s">
        <v>17</v>
      </c>
      <c r="D6798" s="2" t="s">
        <v>275</v>
      </c>
      <c r="E6798" s="4">
        <v>-32050</v>
      </c>
      <c r="F6798" s="3" t="s">
        <v>864</v>
      </c>
      <c r="G6798" s="3" t="s">
        <v>29</v>
      </c>
      <c r="H6798" s="2" t="s">
        <v>21</v>
      </c>
      <c r="I6798" s="2" t="s">
        <v>17041</v>
      </c>
      <c r="J6798" s="3" t="str">
        <f>HYPERLINK("https://www.boe.es/gazeta/dias/1812/03/31/pdfs/GRE-1812-40.pdf#page=8","Abrir facsímil")</f>
        <v>Abrir facsímil</v>
      </c>
      <c r="K6798" s="3" t="s">
        <v>23</v>
      </c>
    </row>
    <row r="6799" spans="1:11" ht="42" customHeight="1">
      <c r="A6799" s="2" t="s">
        <v>17042</v>
      </c>
      <c r="B6799" s="2" t="s">
        <v>17043</v>
      </c>
      <c r="C6799" s="2" t="s">
        <v>26</v>
      </c>
      <c r="D6799" s="2" t="s">
        <v>27</v>
      </c>
      <c r="E6799" s="4">
        <v>-32069</v>
      </c>
      <c r="F6799" s="3" t="s">
        <v>445</v>
      </c>
      <c r="G6799" s="3" t="s">
        <v>446</v>
      </c>
      <c r="H6799" s="2" t="s">
        <v>21</v>
      </c>
      <c r="I6799" s="2" t="s">
        <v>17044</v>
      </c>
      <c r="J6799" s="3" t="str">
        <f>HYPERLINK("https://www.boe.es/gazeta/dias/1812/03/12/pdfs/GRE-1812-32.pdf#page=8","Abrir facsímil")</f>
        <v>Abrir facsímil</v>
      </c>
      <c r="K6799" s="3" t="s">
        <v>23</v>
      </c>
    </row>
    <row r="6800" spans="1:11" ht="42" customHeight="1">
      <c r="A6800" s="2" t="s">
        <v>17045</v>
      </c>
      <c r="B6800" s="2" t="s">
        <v>17046</v>
      </c>
      <c r="C6800" s="2" t="s">
        <v>26</v>
      </c>
      <c r="D6800" s="2" t="s">
        <v>27</v>
      </c>
      <c r="E6800" s="4">
        <v>-31994</v>
      </c>
      <c r="F6800" s="3" t="s">
        <v>207</v>
      </c>
      <c r="G6800" s="3" t="s">
        <v>1176</v>
      </c>
      <c r="H6800" s="2" t="s">
        <v>21</v>
      </c>
      <c r="I6800" s="2" t="s">
        <v>17047</v>
      </c>
      <c r="J6800" s="3" t="str">
        <f>HYPERLINK("https://www.boe.es/gazeta/dias/1812/05/26/pdfs/GRE-1812-65.pdf#page=8","Abrir facsímil")</f>
        <v>Abrir facsímil</v>
      </c>
      <c r="K6800" s="3" t="s">
        <v>23</v>
      </c>
    </row>
    <row r="6801" spans="1:11" ht="42" customHeight="1">
      <c r="A6801" s="2" t="s">
        <v>17048</v>
      </c>
      <c r="B6801" s="2" t="s">
        <v>17049</v>
      </c>
      <c r="C6801" s="2" t="s">
        <v>115</v>
      </c>
      <c r="D6801" s="2" t="s">
        <v>27</v>
      </c>
      <c r="E6801" s="4">
        <v>-31961</v>
      </c>
      <c r="F6801" s="3" t="s">
        <v>1193</v>
      </c>
      <c r="G6801" s="3" t="s">
        <v>644</v>
      </c>
      <c r="H6801" s="2" t="s">
        <v>21</v>
      </c>
      <c r="I6801" s="2" t="s">
        <v>17050</v>
      </c>
      <c r="J6801" s="3" t="str">
        <f>HYPERLINK("https://www.boe.es/gazeta/dias/1812/06/28/pdfs/GMD-1812-180.pdf#page=3","Abrir facsímil")</f>
        <v>Abrir facsímil</v>
      </c>
      <c r="K6801" s="3" t="s">
        <v>23</v>
      </c>
    </row>
    <row r="6802" spans="1:11" ht="42" customHeight="1">
      <c r="A6802" s="2" t="s">
        <v>17051</v>
      </c>
      <c r="B6802" s="2" t="s">
        <v>17052</v>
      </c>
      <c r="C6802" s="2" t="s">
        <v>17</v>
      </c>
      <c r="D6802" s="2" t="s">
        <v>27</v>
      </c>
      <c r="E6802" s="4">
        <v>-32069</v>
      </c>
      <c r="F6802" s="3" t="s">
        <v>445</v>
      </c>
      <c r="G6802" s="3" t="s">
        <v>446</v>
      </c>
      <c r="H6802" s="2" t="s">
        <v>21</v>
      </c>
      <c r="I6802" s="2" t="s">
        <v>17053</v>
      </c>
      <c r="J6802" s="3" t="str">
        <f>HYPERLINK("https://www.boe.es/gazeta/dias/1812/03/12/pdfs/GRE-1812-32.pdf#page=8","Abrir facsímil")</f>
        <v>Abrir facsímil</v>
      </c>
      <c r="K6802" s="3" t="s">
        <v>23</v>
      </c>
    </row>
    <row r="6803" spans="1:11" ht="42" customHeight="1">
      <c r="A6803" s="2" t="s">
        <v>17054</v>
      </c>
      <c r="B6803" s="2" t="s">
        <v>17055</v>
      </c>
      <c r="C6803" s="2" t="s">
        <v>26</v>
      </c>
      <c r="D6803" s="2" t="s">
        <v>27</v>
      </c>
      <c r="E6803" s="4">
        <v>-32034</v>
      </c>
      <c r="F6803" s="3" t="s">
        <v>28</v>
      </c>
      <c r="G6803" s="3" t="s">
        <v>317</v>
      </c>
      <c r="H6803" s="2" t="s">
        <v>21</v>
      </c>
      <c r="I6803" s="2" t="s">
        <v>17056</v>
      </c>
      <c r="J6803" s="3" t="str">
        <f>HYPERLINK("https://www.boe.es/gazeta/dias/1812/04/16/pdfs/GMD-1812-107.pdf#page=6","Abrir facsímil")</f>
        <v>Abrir facsímil</v>
      </c>
      <c r="K6803" s="3" t="s">
        <v>23</v>
      </c>
    </row>
    <row r="6804" spans="1:11" ht="42" customHeight="1">
      <c r="A6804" s="2" t="s">
        <v>17057</v>
      </c>
      <c r="B6804" s="2" t="s">
        <v>17057</v>
      </c>
      <c r="C6804" s="2" t="s">
        <v>17</v>
      </c>
      <c r="D6804" s="2" t="s">
        <v>27</v>
      </c>
      <c r="E6804" s="4">
        <v>-32080</v>
      </c>
      <c r="F6804" s="3" t="s">
        <v>4604</v>
      </c>
      <c r="G6804" s="3" t="s">
        <v>965</v>
      </c>
      <c r="H6804" s="2" t="s">
        <v>21</v>
      </c>
      <c r="I6804" s="2" t="s">
        <v>17058</v>
      </c>
      <c r="J6804" s="3" t="str">
        <f>HYPERLINK("https://www.boe.es/gazeta/dias/1812/03/01/pdfs/GMD-1812-61.pdf#page=4","Abrir facsímil")</f>
        <v>Abrir facsímil</v>
      </c>
      <c r="K6804" s="3" t="s">
        <v>23</v>
      </c>
    </row>
    <row r="6805" spans="1:11" ht="42" customHeight="1">
      <c r="A6805" s="2" t="s">
        <v>17059</v>
      </c>
      <c r="B6805" s="2" t="s">
        <v>17059</v>
      </c>
      <c r="C6805" s="2" t="s">
        <v>17</v>
      </c>
      <c r="D6805" s="2" t="s">
        <v>18</v>
      </c>
      <c r="E6805" s="4">
        <v>-32106</v>
      </c>
      <c r="F6805" s="3" t="s">
        <v>166</v>
      </c>
      <c r="G6805" s="3" t="s">
        <v>17060</v>
      </c>
      <c r="H6805" s="2" t="s">
        <v>21</v>
      </c>
      <c r="I6805" s="2" t="s">
        <v>17061</v>
      </c>
      <c r="J6805" s="3" t="str">
        <f>HYPERLINK("https://www.boe.es/gazeta/dias/1812/02/04/pdfs/GRE-1812-15.pdf#page=6","Abrir facsímil")</f>
        <v>Abrir facsímil</v>
      </c>
      <c r="K6805" s="3" t="s">
        <v>23</v>
      </c>
    </row>
    <row r="6806" spans="1:11" ht="42" customHeight="1">
      <c r="A6806" s="2" t="s">
        <v>17062</v>
      </c>
      <c r="B6806" s="2" t="s">
        <v>17062</v>
      </c>
      <c r="C6806" s="2" t="s">
        <v>17</v>
      </c>
      <c r="D6806" s="2" t="s">
        <v>275</v>
      </c>
      <c r="E6806" s="4">
        <v>-31901</v>
      </c>
      <c r="F6806" s="3" t="s">
        <v>17063</v>
      </c>
      <c r="G6806" s="3" t="s">
        <v>17064</v>
      </c>
      <c r="H6806" s="2" t="s">
        <v>21</v>
      </c>
      <c r="I6806" s="2" t="s">
        <v>17065</v>
      </c>
      <c r="J6806" s="3" t="str">
        <f>HYPERLINK("https://www.boe.es/gazeta/dias/1812/08/27/pdfs/GRE-1812-112E.pdf#page=3","Abrir facsímil")</f>
        <v>Abrir facsímil</v>
      </c>
      <c r="K6806" s="3" t="s">
        <v>23</v>
      </c>
    </row>
    <row r="6807" spans="1:11" ht="42" customHeight="1">
      <c r="A6807" s="2" t="s">
        <v>17066</v>
      </c>
      <c r="B6807" s="2" t="s">
        <v>17066</v>
      </c>
      <c r="C6807" s="2" t="s">
        <v>17</v>
      </c>
      <c r="D6807" s="2" t="s">
        <v>27</v>
      </c>
      <c r="E6807" s="4">
        <v>-31803</v>
      </c>
      <c r="F6807" s="3" t="s">
        <v>221</v>
      </c>
      <c r="G6807" s="3" t="s">
        <v>36</v>
      </c>
      <c r="H6807" s="2" t="s">
        <v>21</v>
      </c>
      <c r="I6807" s="2" t="s">
        <v>17067</v>
      </c>
      <c r="J6807" s="3" t="str">
        <f>HYPERLINK("https://www.boe.es/gazeta/dias/1812/12/03/pdfs/GRE-1812-160.pdf#page=3","Abrir facsímil")</f>
        <v>Abrir facsímil</v>
      </c>
      <c r="K6807" s="3" t="s">
        <v>23</v>
      </c>
    </row>
    <row r="6808" spans="1:11" ht="42" customHeight="1">
      <c r="A6808" s="2" t="s">
        <v>17068</v>
      </c>
      <c r="B6808" s="2" t="s">
        <v>17069</v>
      </c>
      <c r="C6808" s="2" t="s">
        <v>67</v>
      </c>
      <c r="D6808" s="2" t="s">
        <v>275</v>
      </c>
      <c r="E6808" s="4">
        <v>-31993</v>
      </c>
      <c r="F6808" s="3" t="s">
        <v>10410</v>
      </c>
      <c r="G6808" s="3" t="s">
        <v>58</v>
      </c>
      <c r="H6808" s="2" t="s">
        <v>21</v>
      </c>
      <c r="I6808" s="2" t="s">
        <v>17070</v>
      </c>
      <c r="J6808" s="3" t="str">
        <f>HYPERLINK("https://www.boe.es/gazeta/dias/1812/05/27/pdfs/GMD-1812-148.pdf#page=4","Abrir facsímil")</f>
        <v>Abrir facsímil</v>
      </c>
      <c r="K6808" s="3" t="s">
        <v>23</v>
      </c>
    </row>
    <row r="6809" spans="1:11" ht="42" customHeight="1">
      <c r="A6809" s="2" t="s">
        <v>17071</v>
      </c>
      <c r="B6809" s="2" t="s">
        <v>17072</v>
      </c>
      <c r="C6809" s="2" t="s">
        <v>17</v>
      </c>
      <c r="D6809" s="2" t="s">
        <v>27</v>
      </c>
      <c r="E6809" s="4">
        <v>-32095</v>
      </c>
      <c r="F6809" s="3" t="s">
        <v>1099</v>
      </c>
      <c r="G6809" s="3" t="s">
        <v>438</v>
      </c>
      <c r="H6809" s="2" t="s">
        <v>21</v>
      </c>
      <c r="I6809" s="2" t="s">
        <v>17073</v>
      </c>
      <c r="J6809" s="3" t="str">
        <f>HYPERLINK("https://www.boe.es/gazeta/dias/1812/02/15/pdfs/GMD-1812-46.pdf#page=4","Abrir facsímil")</f>
        <v>Abrir facsímil</v>
      </c>
      <c r="K6809" s="3" t="s">
        <v>23</v>
      </c>
    </row>
    <row r="6810" spans="1:11" ht="42" customHeight="1">
      <c r="A6810" s="2" t="s">
        <v>17074</v>
      </c>
      <c r="B6810" s="2" t="s">
        <v>17075</v>
      </c>
      <c r="C6810" s="2" t="s">
        <v>17</v>
      </c>
      <c r="D6810" s="2" t="s">
        <v>27</v>
      </c>
      <c r="E6810" s="4">
        <v>-31791</v>
      </c>
      <c r="F6810" s="3" t="s">
        <v>905</v>
      </c>
      <c r="G6810" s="3" t="s">
        <v>2989</v>
      </c>
      <c r="H6810" s="2" t="s">
        <v>21</v>
      </c>
      <c r="I6810" s="2" t="s">
        <v>17076</v>
      </c>
      <c r="J6810" s="3" t="str">
        <f>HYPERLINK("https://www.boe.es/gazeta/dias/1812/12/15/pdfs/GRE-1812-165.pdf#page=1","Abrir facsímil")</f>
        <v>Abrir facsímil</v>
      </c>
      <c r="K6810" s="3" t="s">
        <v>23</v>
      </c>
    </row>
    <row r="6811" spans="1:11" ht="42" customHeight="1">
      <c r="A6811" s="2" t="s">
        <v>17077</v>
      </c>
      <c r="B6811" s="2" t="s">
        <v>17078</v>
      </c>
      <c r="C6811" s="2" t="s">
        <v>17</v>
      </c>
      <c r="D6811" s="2" t="s">
        <v>27</v>
      </c>
      <c r="E6811" s="4">
        <v>-31805</v>
      </c>
      <c r="F6811" s="3" t="s">
        <v>4346</v>
      </c>
      <c r="G6811" s="3" t="s">
        <v>7389</v>
      </c>
      <c r="H6811" s="2" t="s">
        <v>21</v>
      </c>
      <c r="I6811" s="2" t="s">
        <v>17079</v>
      </c>
      <c r="J6811" s="3" t="str">
        <f>HYPERLINK("https://www.boe.es/gazeta/dias/1812/12/01/pdfs/GRE-1812-159.pdf#page=1","Abrir facsímil")</f>
        <v>Abrir facsímil</v>
      </c>
      <c r="K6811" s="3" t="s">
        <v>23</v>
      </c>
    </row>
    <row r="6812" spans="1:11" ht="42" customHeight="1">
      <c r="A6812" s="2" t="s">
        <v>17080</v>
      </c>
      <c r="B6812" s="2" t="s">
        <v>17080</v>
      </c>
      <c r="C6812" s="2" t="s">
        <v>17</v>
      </c>
      <c r="D6812" s="2" t="s">
        <v>27</v>
      </c>
      <c r="E6812" s="4">
        <v>-31783</v>
      </c>
      <c r="F6812" s="3" t="s">
        <v>2074</v>
      </c>
      <c r="G6812" s="3" t="s">
        <v>4078</v>
      </c>
      <c r="H6812" s="2" t="s">
        <v>21</v>
      </c>
      <c r="I6812" s="2" t="s">
        <v>17081</v>
      </c>
      <c r="J6812" s="3" t="str">
        <f>HYPERLINK("https://www.boe.es/gazeta/dias/1812/12/23/pdfs/GMD-1812-246.pdf#page=2","Abrir facsímil")</f>
        <v>Abrir facsímil</v>
      </c>
      <c r="K6812" s="3" t="s">
        <v>23</v>
      </c>
    </row>
    <row r="6813" spans="1:11" ht="42" customHeight="1">
      <c r="A6813" s="2" t="s">
        <v>17082</v>
      </c>
      <c r="B6813" s="2" t="s">
        <v>17082</v>
      </c>
      <c r="C6813" s="2" t="s">
        <v>26</v>
      </c>
      <c r="D6813" s="2" t="s">
        <v>27</v>
      </c>
      <c r="E6813" s="4">
        <v>-32139</v>
      </c>
      <c r="F6813" s="3" t="s">
        <v>288</v>
      </c>
      <c r="G6813" s="3" t="s">
        <v>130</v>
      </c>
      <c r="H6813" s="2" t="s">
        <v>21</v>
      </c>
      <c r="I6813" s="2" t="s">
        <v>17083</v>
      </c>
      <c r="J6813" s="3" t="str">
        <f>HYPERLINK("https://www.boe.es/gazeta/dias/1812/01/02/pdfs/GMD-1812-2.pdf#page=4","Abrir facsímil")</f>
        <v>Abrir facsímil</v>
      </c>
      <c r="K6813" s="3" t="s">
        <v>23</v>
      </c>
    </row>
    <row r="6814" spans="1:11" ht="42" customHeight="1">
      <c r="A6814" s="2" t="s">
        <v>17084</v>
      </c>
      <c r="B6814" s="2" t="s">
        <v>17084</v>
      </c>
      <c r="C6814" s="2" t="s">
        <v>17</v>
      </c>
      <c r="D6814" s="2" t="s">
        <v>18</v>
      </c>
      <c r="E6814" s="4">
        <v>-32032</v>
      </c>
      <c r="F6814" s="3" t="s">
        <v>531</v>
      </c>
      <c r="G6814" s="3" t="s">
        <v>3288</v>
      </c>
      <c r="H6814" s="2" t="s">
        <v>21</v>
      </c>
      <c r="I6814" s="2" t="s">
        <v>17085</v>
      </c>
      <c r="J6814" s="3" t="str">
        <f>HYPERLINK("https://www.boe.es/gazeta/dias/1812/04/18/pdfs/GMD-1812-109.pdf#page=1","Abrir facsímil")</f>
        <v>Abrir facsímil</v>
      </c>
      <c r="K6814" s="3" t="s">
        <v>23</v>
      </c>
    </row>
    <row r="6815" spans="1:11" ht="42" customHeight="1">
      <c r="A6815" s="2" t="s">
        <v>17086</v>
      </c>
      <c r="B6815" s="2" t="s">
        <v>17087</v>
      </c>
      <c r="C6815" s="2" t="s">
        <v>26</v>
      </c>
      <c r="D6815" s="2" t="s">
        <v>27</v>
      </c>
      <c r="E6815" s="4">
        <v>-31859</v>
      </c>
      <c r="F6815" s="3" t="s">
        <v>158</v>
      </c>
      <c r="G6815" s="3" t="s">
        <v>674</v>
      </c>
      <c r="H6815" s="2" t="s">
        <v>21</v>
      </c>
      <c r="I6815" s="2" t="s">
        <v>17088</v>
      </c>
      <c r="J6815" s="3" t="str">
        <f>HYPERLINK("https://www.boe.es/gazeta/dias/1812/10/08/pdfs/GMR-1812-24.pdf#page=10","Abrir facsímil")</f>
        <v>Abrir facsímil</v>
      </c>
      <c r="K6815" s="3" t="s">
        <v>23</v>
      </c>
    </row>
    <row r="6816" spans="1:11" ht="42" customHeight="1">
      <c r="A6816" s="2" t="s">
        <v>17089</v>
      </c>
      <c r="B6816" s="2" t="s">
        <v>17090</v>
      </c>
      <c r="C6816" s="2" t="s">
        <v>105</v>
      </c>
      <c r="D6816" s="2" t="s">
        <v>27</v>
      </c>
      <c r="E6816" s="4">
        <v>-32015</v>
      </c>
      <c r="F6816" s="3" t="s">
        <v>77</v>
      </c>
      <c r="G6816" s="3" t="s">
        <v>78</v>
      </c>
      <c r="H6816" s="2" t="s">
        <v>21</v>
      </c>
      <c r="I6816" s="2" t="s">
        <v>17091</v>
      </c>
      <c r="J6816" s="3" t="str">
        <f>HYPERLINK("https://www.boe.es/gazeta/dias/1812/05/05/pdfs/GRE-1812-56.pdf#page=8","Abrir facsímil")</f>
        <v>Abrir facsímil</v>
      </c>
      <c r="K6816" s="3" t="s">
        <v>23</v>
      </c>
    </row>
    <row r="6817" spans="1:11" ht="42" customHeight="1">
      <c r="A6817" s="2" t="s">
        <v>17092</v>
      </c>
      <c r="B6817" s="2" t="s">
        <v>17093</v>
      </c>
      <c r="C6817" s="2" t="s">
        <v>26</v>
      </c>
      <c r="D6817" s="2" t="s">
        <v>27</v>
      </c>
      <c r="E6817" s="4">
        <v>-32064</v>
      </c>
      <c r="F6817" s="3" t="s">
        <v>12333</v>
      </c>
      <c r="G6817" s="3" t="s">
        <v>994</v>
      </c>
      <c r="H6817" s="2" t="s">
        <v>21</v>
      </c>
      <c r="I6817" s="2" t="s">
        <v>17094</v>
      </c>
      <c r="J6817" s="3" t="str">
        <f>HYPERLINK("https://www.boe.es/gazeta/dias/1812/03/17/pdfs/GRE-1812-34.pdf#page=8","Abrir facsímil")</f>
        <v>Abrir facsímil</v>
      </c>
      <c r="K6817" s="3" t="s">
        <v>23</v>
      </c>
    </row>
    <row r="6818" spans="1:11" ht="42" customHeight="1">
      <c r="A6818" s="2" t="s">
        <v>17095</v>
      </c>
      <c r="B6818" s="2" t="s">
        <v>17096</v>
      </c>
      <c r="C6818" s="2" t="s">
        <v>186</v>
      </c>
      <c r="D6818" s="2" t="s">
        <v>27</v>
      </c>
      <c r="E6818" s="4">
        <v>-32019</v>
      </c>
      <c r="F6818" s="3" t="s">
        <v>476</v>
      </c>
      <c r="G6818" s="3" t="s">
        <v>404</v>
      </c>
      <c r="H6818" s="2" t="s">
        <v>21</v>
      </c>
      <c r="I6818" s="2" t="s">
        <v>17097</v>
      </c>
      <c r="J6818" s="3" t="str">
        <f>HYPERLINK("https://www.boe.es/gazeta/dias/1812/05/01/pdfs/GMD-1812-122.pdf#page=3","Abrir facsímil")</f>
        <v>Abrir facsímil</v>
      </c>
      <c r="K6818" s="3" t="s">
        <v>23</v>
      </c>
    </row>
    <row r="6819" spans="1:11" ht="42" customHeight="1">
      <c r="A6819" s="2" t="s">
        <v>17098</v>
      </c>
      <c r="B6819" s="2" t="s">
        <v>17099</v>
      </c>
      <c r="C6819" s="2" t="s">
        <v>26</v>
      </c>
      <c r="D6819" s="2" t="s">
        <v>27</v>
      </c>
      <c r="E6819" s="4">
        <v>-31938</v>
      </c>
      <c r="F6819" s="3" t="s">
        <v>324</v>
      </c>
      <c r="G6819" s="3" t="s">
        <v>497</v>
      </c>
      <c r="H6819" s="2" t="s">
        <v>21</v>
      </c>
      <c r="I6819" s="2" t="s">
        <v>17100</v>
      </c>
      <c r="J6819" s="3" t="str">
        <f>HYPERLINK("https://www.boe.es/gazeta/dias/1812/07/21/pdfs/GMD-1812-203.pdf#page=3","Abrir facsímil")</f>
        <v>Abrir facsímil</v>
      </c>
      <c r="K6819" s="3" t="s">
        <v>23</v>
      </c>
    </row>
    <row r="6820" spans="1:11" ht="42" customHeight="1">
      <c r="A6820" s="2" t="s">
        <v>17101</v>
      </c>
      <c r="B6820" s="2" t="s">
        <v>17102</v>
      </c>
      <c r="C6820" s="2" t="s">
        <v>17</v>
      </c>
      <c r="D6820" s="2" t="s">
        <v>27</v>
      </c>
      <c r="E6820" s="4">
        <v>-32030</v>
      </c>
      <c r="F6820" s="3" t="s">
        <v>2226</v>
      </c>
      <c r="G6820" s="3" t="s">
        <v>2650</v>
      </c>
      <c r="H6820" s="2" t="s">
        <v>21</v>
      </c>
      <c r="I6820" s="2" t="s">
        <v>17103</v>
      </c>
      <c r="J6820" s="3" t="str">
        <f>HYPERLINK("https://www.boe.es/gazeta/dias/1812/04/20/pdfs/GMD-1812-111.pdf#page=3","Abrir facsímil")</f>
        <v>Abrir facsímil</v>
      </c>
      <c r="K6820" s="3" t="s">
        <v>23</v>
      </c>
    </row>
    <row r="6821" spans="1:11" ht="42" customHeight="1">
      <c r="A6821" s="2" t="s">
        <v>17104</v>
      </c>
      <c r="B6821" s="2" t="s">
        <v>17104</v>
      </c>
      <c r="C6821" s="2" t="s">
        <v>26</v>
      </c>
      <c r="D6821" s="2" t="s">
        <v>27</v>
      </c>
      <c r="E6821" s="4">
        <v>-31969</v>
      </c>
      <c r="F6821" s="3" t="s">
        <v>5481</v>
      </c>
      <c r="G6821" s="3" t="s">
        <v>8899</v>
      </c>
      <c r="H6821" s="2" t="s">
        <v>21</v>
      </c>
      <c r="I6821" s="2" t="s">
        <v>17105</v>
      </c>
      <c r="J6821" s="3" t="str">
        <f>HYPERLINK("https://www.boe.es/gazeta/dias/1812/06/20/pdfs/GMD-1812-172.pdf#page=3","Abrir facsímil")</f>
        <v>Abrir facsímil</v>
      </c>
      <c r="K6821" s="3" t="s">
        <v>23</v>
      </c>
    </row>
    <row r="6822" spans="1:11" ht="42" customHeight="1">
      <c r="A6822" s="2" t="s">
        <v>17104</v>
      </c>
      <c r="B6822" s="2" t="s">
        <v>17104</v>
      </c>
      <c r="C6822" s="2" t="s">
        <v>67</v>
      </c>
      <c r="D6822" s="2" t="s">
        <v>27</v>
      </c>
      <c r="E6822" s="4">
        <v>-31927</v>
      </c>
      <c r="F6822" s="3" t="s">
        <v>16304</v>
      </c>
      <c r="G6822" s="3" t="s">
        <v>196</v>
      </c>
      <c r="H6822" s="2" t="s">
        <v>21</v>
      </c>
      <c r="I6822" s="2" t="s">
        <v>17106</v>
      </c>
      <c r="J6822" s="3" t="str">
        <f>HYPERLINK("https://www.boe.es/gazeta/dias/1812/08/01/pdfs/GMD-1812-214.pdf#page=1","Abrir facsímil")</f>
        <v>Abrir facsímil</v>
      </c>
      <c r="K6822" s="3" t="s">
        <v>23</v>
      </c>
    </row>
    <row r="6823" spans="1:11" ht="42" customHeight="1">
      <c r="A6823" s="2" t="s">
        <v>17107</v>
      </c>
      <c r="B6823" s="2" t="s">
        <v>17108</v>
      </c>
      <c r="C6823" s="2" t="s">
        <v>26</v>
      </c>
      <c r="D6823" s="2" t="s">
        <v>27</v>
      </c>
      <c r="E6823" s="4">
        <v>-31976</v>
      </c>
      <c r="F6823" s="3" t="s">
        <v>54</v>
      </c>
      <c r="G6823" s="3" t="s">
        <v>55</v>
      </c>
      <c r="H6823" s="2" t="s">
        <v>21</v>
      </c>
      <c r="I6823" s="2" t="s">
        <v>17109</v>
      </c>
      <c r="J6823" s="3" t="str">
        <f>HYPERLINK("https://www.boe.es/gazeta/dias/1812/06/13/pdfs/GRE-1812-73.pdf#page=6","Abrir facsímil")</f>
        <v>Abrir facsímil</v>
      </c>
      <c r="K6823" s="3" t="s">
        <v>23</v>
      </c>
    </row>
    <row r="6824" spans="1:11" ht="42" customHeight="1">
      <c r="A6824" s="2" t="s">
        <v>17110</v>
      </c>
      <c r="B6824" s="2" t="s">
        <v>17111</v>
      </c>
      <c r="C6824" s="2" t="s">
        <v>115</v>
      </c>
      <c r="D6824" s="2" t="s">
        <v>18</v>
      </c>
      <c r="E6824" s="4">
        <v>-31854</v>
      </c>
      <c r="F6824" s="3" t="s">
        <v>717</v>
      </c>
      <c r="G6824" s="3" t="s">
        <v>106</v>
      </c>
      <c r="H6824" s="2" t="s">
        <v>21</v>
      </c>
      <c r="I6824" s="2" t="s">
        <v>17112</v>
      </c>
      <c r="J6824" s="3" t="str">
        <f>HYPERLINK("https://www.boe.es/gazeta/dias/1812/10/13/pdfs/GRE-1812-138.pdf#page=7","Abrir facsímil")</f>
        <v>Abrir facsímil</v>
      </c>
      <c r="K6824" s="3" t="s">
        <v>23</v>
      </c>
    </row>
    <row r="6825" spans="1:11" ht="42" customHeight="1">
      <c r="A6825" s="2" t="s">
        <v>17113</v>
      </c>
      <c r="B6825" s="2" t="s">
        <v>17113</v>
      </c>
      <c r="C6825" s="2" t="s">
        <v>17</v>
      </c>
      <c r="D6825" s="2" t="s">
        <v>573</v>
      </c>
      <c r="E6825" s="4">
        <v>-31921</v>
      </c>
      <c r="F6825" s="3" t="s">
        <v>785</v>
      </c>
      <c r="G6825" s="3" t="s">
        <v>1128</v>
      </c>
      <c r="H6825" s="2" t="s">
        <v>21</v>
      </c>
      <c r="I6825" s="2" t="s">
        <v>17114</v>
      </c>
      <c r="J6825" s="3" t="str">
        <f>HYPERLINK("https://www.boe.es/gazeta/dias/1812/08/07/pdfs/GRE-1812-101E.pdf#page=7","Abrir facsímil")</f>
        <v>Abrir facsímil</v>
      </c>
      <c r="K6825" s="3" t="s">
        <v>23</v>
      </c>
    </row>
    <row r="6826" spans="1:11" ht="42" customHeight="1">
      <c r="A6826" s="2" t="s">
        <v>17113</v>
      </c>
      <c r="B6826" s="2" t="s">
        <v>17113</v>
      </c>
      <c r="C6826" s="2" t="s">
        <v>17</v>
      </c>
      <c r="D6826" s="2" t="s">
        <v>27</v>
      </c>
      <c r="E6826" s="4">
        <v>-31808</v>
      </c>
      <c r="F6826" s="3" t="s">
        <v>416</v>
      </c>
      <c r="G6826" s="3" t="s">
        <v>130</v>
      </c>
      <c r="H6826" s="2" t="s">
        <v>21</v>
      </c>
      <c r="I6826" s="2" t="s">
        <v>17115</v>
      </c>
      <c r="J6826" s="3" t="str">
        <f>HYPERLINK("https://www.boe.es/gazeta/dias/1812/11/28/pdfs/GRE-1812-158.pdf#page=4","Abrir facsímil")</f>
        <v>Abrir facsímil</v>
      </c>
      <c r="K6826" s="3" t="s">
        <v>23</v>
      </c>
    </row>
    <row r="6827" spans="1:11" ht="42" customHeight="1">
      <c r="A6827" s="2" t="s">
        <v>17116</v>
      </c>
      <c r="B6827" s="2" t="s">
        <v>17117</v>
      </c>
      <c r="C6827" s="2" t="s">
        <v>26</v>
      </c>
      <c r="D6827" s="2" t="s">
        <v>27</v>
      </c>
      <c r="E6827" s="4">
        <v>-31971</v>
      </c>
      <c r="F6827" s="3" t="s">
        <v>686</v>
      </c>
      <c r="G6827" s="3" t="s">
        <v>2262</v>
      </c>
      <c r="H6827" s="2" t="s">
        <v>21</v>
      </c>
      <c r="I6827" s="2" t="s">
        <v>17118</v>
      </c>
      <c r="J6827" s="3" t="str">
        <f>HYPERLINK("https://www.boe.es/gazeta/dias/1812/06/18/pdfs/GRE-1812-75.pdf#page=5","Abrir facsímil")</f>
        <v>Abrir facsímil</v>
      </c>
      <c r="K6827" s="3" t="s">
        <v>23</v>
      </c>
    </row>
    <row r="6828" spans="1:11" ht="42" customHeight="1">
      <c r="A6828" s="2" t="s">
        <v>17119</v>
      </c>
      <c r="B6828" s="2" t="s">
        <v>17119</v>
      </c>
      <c r="C6828" s="2" t="s">
        <v>17</v>
      </c>
      <c r="D6828" s="2" t="s">
        <v>18</v>
      </c>
      <c r="E6828" s="4">
        <v>-31791</v>
      </c>
      <c r="F6828" s="3" t="s">
        <v>905</v>
      </c>
      <c r="G6828" s="3" t="s">
        <v>2989</v>
      </c>
      <c r="H6828" s="2" t="s">
        <v>21</v>
      </c>
      <c r="I6828" s="2" t="s">
        <v>17120</v>
      </c>
      <c r="J6828" s="3" t="str">
        <f>HYPERLINK("https://www.boe.es/gazeta/dias/1812/12/15/pdfs/GRE-1812-165.pdf#page=1","Abrir facsímil")</f>
        <v>Abrir facsímil</v>
      </c>
      <c r="K6828" s="3" t="s">
        <v>23</v>
      </c>
    </row>
    <row r="6829" spans="1:11" ht="42" customHeight="1">
      <c r="A6829" s="2" t="s">
        <v>17121</v>
      </c>
      <c r="B6829" s="2" t="s">
        <v>17121</v>
      </c>
      <c r="C6829" s="2" t="s">
        <v>17</v>
      </c>
      <c r="D6829" s="2" t="s">
        <v>18</v>
      </c>
      <c r="E6829" s="4">
        <v>-31791</v>
      </c>
      <c r="F6829" s="3" t="s">
        <v>1668</v>
      </c>
      <c r="G6829" s="3" t="s">
        <v>1669</v>
      </c>
      <c r="H6829" s="2" t="s">
        <v>21</v>
      </c>
      <c r="I6829" s="2" t="s">
        <v>17122</v>
      </c>
      <c r="J6829" s="3" t="str">
        <f>HYPERLINK("https://www.boe.es/gazeta/dias/1812/12/15/pdfs/GMD-1812-238.pdf#page=3","Abrir facsímil")</f>
        <v>Abrir facsímil</v>
      </c>
      <c r="K6829" s="3" t="s">
        <v>23</v>
      </c>
    </row>
    <row r="6830" spans="1:11" ht="42" customHeight="1">
      <c r="A6830" s="2" t="s">
        <v>17123</v>
      </c>
      <c r="B6830" s="2" t="s">
        <v>17123</v>
      </c>
      <c r="C6830" s="2" t="s">
        <v>17</v>
      </c>
      <c r="D6830" s="2" t="s">
        <v>18</v>
      </c>
      <c r="E6830" s="4">
        <v>-32030</v>
      </c>
      <c r="F6830" s="3" t="s">
        <v>2226</v>
      </c>
      <c r="G6830" s="3" t="s">
        <v>20</v>
      </c>
      <c r="H6830" s="2" t="s">
        <v>21</v>
      </c>
      <c r="I6830" s="2" t="s">
        <v>17124</v>
      </c>
      <c r="J6830" s="3" t="str">
        <f>HYPERLINK("https://www.boe.es/gazeta/dias/1812/04/20/pdfs/GMD-1812-111.pdf#page=4","Abrir facsímil")</f>
        <v>Abrir facsímil</v>
      </c>
      <c r="K6830" s="3" t="s">
        <v>23</v>
      </c>
    </row>
    <row r="6831" spans="1:11" ht="42" customHeight="1">
      <c r="A6831" s="2" t="s">
        <v>17125</v>
      </c>
      <c r="B6831" s="2" t="s">
        <v>17125</v>
      </c>
      <c r="C6831" s="2" t="s">
        <v>26</v>
      </c>
      <c r="D6831" s="2" t="s">
        <v>27</v>
      </c>
      <c r="E6831" s="4">
        <v>-31987</v>
      </c>
      <c r="F6831" s="3" t="s">
        <v>2309</v>
      </c>
      <c r="G6831" s="3" t="s">
        <v>233</v>
      </c>
      <c r="H6831" s="2" t="s">
        <v>21</v>
      </c>
      <c r="I6831" s="2" t="s">
        <v>17126</v>
      </c>
      <c r="J6831" s="3" t="str">
        <f>HYPERLINK("https://www.boe.es/gazeta/dias/1812/06/02/pdfs/GMD-1812-154.pdf#page=4","Abrir facsímil")</f>
        <v>Abrir facsímil</v>
      </c>
      <c r="K6831" s="3" t="s">
        <v>23</v>
      </c>
    </row>
    <row r="6832" spans="1:11" ht="42" customHeight="1">
      <c r="A6832" s="2" t="s">
        <v>17127</v>
      </c>
      <c r="B6832" s="2" t="s">
        <v>17127</v>
      </c>
      <c r="C6832" s="2" t="s">
        <v>26</v>
      </c>
      <c r="D6832" s="2" t="s">
        <v>27</v>
      </c>
      <c r="E6832" s="4">
        <v>-31840</v>
      </c>
      <c r="F6832" s="3" t="s">
        <v>7112</v>
      </c>
      <c r="G6832" s="3" t="s">
        <v>17128</v>
      </c>
      <c r="H6832" s="2" t="s">
        <v>21</v>
      </c>
      <c r="I6832" s="2" t="s">
        <v>17129</v>
      </c>
      <c r="J6832" s="3" t="str">
        <f>HYPERLINK("https://www.boe.es/gazeta/dias/1812/10/27/pdfs/GRE-1812-144.pdf#page=8","Abrir facsímil")</f>
        <v>Abrir facsímil</v>
      </c>
      <c r="K6832" s="3" t="s">
        <v>23</v>
      </c>
    </row>
    <row r="6833" spans="1:11" ht="42" customHeight="1">
      <c r="A6833" s="2" t="s">
        <v>17130</v>
      </c>
      <c r="B6833" s="2" t="s">
        <v>17130</v>
      </c>
      <c r="C6833" s="2" t="s">
        <v>17</v>
      </c>
      <c r="D6833" s="2" t="s">
        <v>27</v>
      </c>
      <c r="E6833" s="4">
        <v>-31896</v>
      </c>
      <c r="F6833" s="3" t="s">
        <v>3158</v>
      </c>
      <c r="G6833" s="3" t="s">
        <v>674</v>
      </c>
      <c r="H6833" s="2" t="s">
        <v>21</v>
      </c>
      <c r="I6833" s="2" t="s">
        <v>17131</v>
      </c>
      <c r="J6833" s="3" t="str">
        <f>HYPERLINK("https://www.boe.es/gazeta/dias/1812/09/01/pdfs/GRE-1812-117.pdf#page=2","Abrir facsímil")</f>
        <v>Abrir facsímil</v>
      </c>
      <c r="K6833" s="3" t="s">
        <v>23</v>
      </c>
    </row>
    <row r="6834" spans="1:11" ht="42" customHeight="1">
      <c r="A6834" s="2" t="s">
        <v>17132</v>
      </c>
      <c r="B6834" s="2" t="s">
        <v>17133</v>
      </c>
      <c r="C6834" s="2" t="s">
        <v>105</v>
      </c>
      <c r="D6834" s="2" t="s">
        <v>27</v>
      </c>
      <c r="E6834" s="4">
        <v>-31941</v>
      </c>
      <c r="F6834" s="3" t="s">
        <v>2048</v>
      </c>
      <c r="G6834" s="3" t="s">
        <v>17134</v>
      </c>
      <c r="H6834" s="2" t="s">
        <v>21</v>
      </c>
      <c r="I6834" s="2" t="s">
        <v>17135</v>
      </c>
      <c r="J6834" s="3" t="str">
        <f>HYPERLINK("https://www.boe.es/gazeta/dias/1812/07/18/pdfs/GRE-1812-90.pdf#page=5","Abrir facsímil")</f>
        <v>Abrir facsímil</v>
      </c>
      <c r="K6834" s="3" t="s">
        <v>23</v>
      </c>
    </row>
    <row r="6835" spans="1:11" ht="42" customHeight="1">
      <c r="A6835" s="2" t="s">
        <v>17136</v>
      </c>
      <c r="B6835" s="2" t="s">
        <v>17137</v>
      </c>
      <c r="C6835" s="2" t="s">
        <v>26</v>
      </c>
      <c r="D6835" s="2" t="s">
        <v>27</v>
      </c>
      <c r="E6835" s="4">
        <v>-32125</v>
      </c>
      <c r="F6835" s="3" t="s">
        <v>335</v>
      </c>
      <c r="G6835" s="3" t="s">
        <v>336</v>
      </c>
      <c r="H6835" s="2" t="s">
        <v>21</v>
      </c>
      <c r="I6835" s="2" t="s">
        <v>17138</v>
      </c>
      <c r="J6835" s="3" t="str">
        <f>HYPERLINK("https://www.boe.es/gazeta/dias/1812/01/16/pdfs/GEI-1812-7.pdf#page=8","Abrir facsímil")</f>
        <v>Abrir facsímil</v>
      </c>
      <c r="K6835" s="3" t="s">
        <v>23</v>
      </c>
    </row>
    <row r="6836" spans="1:11" ht="42" customHeight="1">
      <c r="A6836" s="2" t="s">
        <v>17139</v>
      </c>
      <c r="B6836" s="2" t="s">
        <v>17140</v>
      </c>
      <c r="C6836" s="2" t="s">
        <v>105</v>
      </c>
      <c r="D6836" s="2" t="s">
        <v>27</v>
      </c>
      <c r="E6836" s="4">
        <v>-32121</v>
      </c>
      <c r="F6836" s="3" t="s">
        <v>1237</v>
      </c>
      <c r="G6836" s="3" t="s">
        <v>404</v>
      </c>
      <c r="H6836" s="2" t="s">
        <v>21</v>
      </c>
      <c r="I6836" s="2" t="s">
        <v>17141</v>
      </c>
      <c r="J6836" s="3" t="str">
        <f>HYPERLINK("https://www.boe.es/gazeta/dias/1812/01/20/pdfs/GMD-1812-20.pdf#page=4","Abrir facsímil")</f>
        <v>Abrir facsímil</v>
      </c>
      <c r="K6836" s="3" t="s">
        <v>23</v>
      </c>
    </row>
    <row r="6837" spans="1:11" ht="42" customHeight="1">
      <c r="A6837" s="2" t="s">
        <v>17142</v>
      </c>
      <c r="B6837" s="2" t="s">
        <v>17143</v>
      </c>
      <c r="C6837" s="2" t="s">
        <v>26</v>
      </c>
      <c r="D6837" s="2" t="s">
        <v>27</v>
      </c>
      <c r="E6837" s="4">
        <v>-32000</v>
      </c>
      <c r="F6837" s="3" t="s">
        <v>878</v>
      </c>
      <c r="G6837" s="3" t="s">
        <v>214</v>
      </c>
      <c r="H6837" s="2" t="s">
        <v>21</v>
      </c>
      <c r="I6837" s="2" t="s">
        <v>17144</v>
      </c>
      <c r="J6837" s="3" t="str">
        <f>HYPERLINK("https://www.boe.es/gazeta/dias/1812/05/20/pdfs/GMD-1812-141.pdf#page=2","Abrir facsímil")</f>
        <v>Abrir facsímil</v>
      </c>
      <c r="K6837" s="3" t="s">
        <v>23</v>
      </c>
    </row>
    <row r="6838" spans="1:11" ht="42" customHeight="1">
      <c r="A6838" s="2" t="s">
        <v>17145</v>
      </c>
      <c r="B6838" s="2" t="s">
        <v>17146</v>
      </c>
      <c r="C6838" s="2" t="s">
        <v>115</v>
      </c>
      <c r="D6838" s="2" t="s">
        <v>27</v>
      </c>
      <c r="E6838" s="4">
        <v>-32019</v>
      </c>
      <c r="F6838" s="3" t="s">
        <v>476</v>
      </c>
      <c r="G6838" s="3" t="s">
        <v>404</v>
      </c>
      <c r="H6838" s="2" t="s">
        <v>21</v>
      </c>
      <c r="I6838" s="2" t="s">
        <v>17147</v>
      </c>
      <c r="J6838" s="3" t="str">
        <f>HYPERLINK("https://www.boe.es/gazeta/dias/1812/05/01/pdfs/GMD-1812-122.pdf#page=3","Abrir facsímil")</f>
        <v>Abrir facsímil</v>
      </c>
      <c r="K6838" s="3" t="s">
        <v>23</v>
      </c>
    </row>
    <row r="6839" spans="1:11" ht="42" customHeight="1">
      <c r="A6839" s="2" t="s">
        <v>17148</v>
      </c>
      <c r="B6839" s="2" t="s">
        <v>17149</v>
      </c>
      <c r="C6839" s="2" t="s">
        <v>17</v>
      </c>
      <c r="D6839" s="2" t="s">
        <v>18</v>
      </c>
      <c r="E6839" s="4">
        <v>-31880</v>
      </c>
      <c r="F6839" s="3" t="s">
        <v>3148</v>
      </c>
      <c r="G6839" s="3" t="s">
        <v>3149</v>
      </c>
      <c r="H6839" s="2" t="s">
        <v>21</v>
      </c>
      <c r="I6839" s="2" t="s">
        <v>17150</v>
      </c>
      <c r="J6839" s="3" t="str">
        <f>HYPERLINK("https://www.boe.es/gazeta/dias/1812/09/17/pdfs/GRE-1812-126.pdf#page=8","Abrir facsímil")</f>
        <v>Abrir facsímil</v>
      </c>
      <c r="K6839" s="3" t="s">
        <v>23</v>
      </c>
    </row>
    <row r="6840" spans="1:11" ht="42" customHeight="1">
      <c r="A6840" s="2" t="s">
        <v>17151</v>
      </c>
      <c r="B6840" s="2" t="s">
        <v>17152</v>
      </c>
      <c r="C6840" s="2" t="s">
        <v>26</v>
      </c>
      <c r="D6840" s="2" t="s">
        <v>27</v>
      </c>
      <c r="E6840" s="4">
        <v>-31955</v>
      </c>
      <c r="F6840" s="3" t="s">
        <v>789</v>
      </c>
      <c r="G6840" s="3" t="s">
        <v>237</v>
      </c>
      <c r="H6840" s="2" t="s">
        <v>21</v>
      </c>
      <c r="I6840" s="2" t="s">
        <v>17153</v>
      </c>
      <c r="J6840" s="3" t="str">
        <f>HYPERLINK("https://www.boe.es/gazeta/dias/1812/07/04/pdfs/GRE-1812-82.pdf#page=8","Abrir facsímil")</f>
        <v>Abrir facsímil</v>
      </c>
      <c r="K6840" s="3" t="s">
        <v>23</v>
      </c>
    </row>
    <row r="6841" spans="1:11" ht="42" customHeight="1">
      <c r="A6841" s="2" t="s">
        <v>17154</v>
      </c>
      <c r="B6841" s="2" t="s">
        <v>17154</v>
      </c>
      <c r="C6841" s="2" t="s">
        <v>17</v>
      </c>
      <c r="D6841" s="2" t="s">
        <v>18</v>
      </c>
      <c r="E6841" s="4">
        <v>-31920</v>
      </c>
      <c r="F6841" s="3" t="s">
        <v>8503</v>
      </c>
      <c r="G6841" s="3" t="s">
        <v>6742</v>
      </c>
      <c r="H6841" s="2" t="s">
        <v>21</v>
      </c>
      <c r="I6841" s="2" t="s">
        <v>17155</v>
      </c>
      <c r="J6841" s="3" t="str">
        <f>HYPERLINK("https://www.boe.es/gazeta/dias/1812/08/08/pdfs/GRE-1812-102.pdf#page=2","Abrir facsímil")</f>
        <v>Abrir facsímil</v>
      </c>
      <c r="K6841" s="3" t="s">
        <v>23</v>
      </c>
    </row>
    <row r="6842" spans="1:11" ht="42" customHeight="1">
      <c r="A6842" s="2" t="s">
        <v>17156</v>
      </c>
      <c r="B6842" s="2" t="s">
        <v>17157</v>
      </c>
      <c r="C6842" s="2" t="s">
        <v>49</v>
      </c>
      <c r="D6842" s="2" t="s">
        <v>27</v>
      </c>
      <c r="E6842" s="4">
        <v>-31920</v>
      </c>
      <c r="F6842" s="3" t="s">
        <v>8503</v>
      </c>
      <c r="G6842" s="3" t="s">
        <v>16842</v>
      </c>
      <c r="H6842" s="2" t="s">
        <v>21</v>
      </c>
      <c r="I6842" s="2" t="s">
        <v>17158</v>
      </c>
      <c r="J6842" s="3" t="str">
        <f>HYPERLINK("https://www.boe.es/gazeta/dias/1812/08/08/pdfs/GRE-1812-102.pdf#page=1","Abrir facsímil")</f>
        <v>Abrir facsímil</v>
      </c>
      <c r="K6842" s="3" t="s">
        <v>23</v>
      </c>
    </row>
    <row r="6843" spans="1:11" ht="42" customHeight="1">
      <c r="A6843" s="2" t="s">
        <v>17159</v>
      </c>
      <c r="B6843" s="2" t="s">
        <v>17159</v>
      </c>
      <c r="C6843" s="2" t="s">
        <v>17</v>
      </c>
      <c r="D6843" s="2" t="s">
        <v>27</v>
      </c>
      <c r="E6843" s="4">
        <v>-32022</v>
      </c>
      <c r="F6843" s="3" t="s">
        <v>1554</v>
      </c>
      <c r="G6843" s="3" t="s">
        <v>20</v>
      </c>
      <c r="H6843" s="2" t="s">
        <v>21</v>
      </c>
      <c r="I6843" s="2" t="s">
        <v>17160</v>
      </c>
      <c r="J6843" s="3" t="str">
        <f>HYPERLINK("https://www.boe.es/gazeta/dias/1812/04/28/pdfs/GMD-1812-119.pdf#page=2","Abrir facsímil")</f>
        <v>Abrir facsímil</v>
      </c>
      <c r="K6843" s="3" t="s">
        <v>23</v>
      </c>
    </row>
    <row r="6844" spans="1:11" ht="42" customHeight="1">
      <c r="A6844" s="2" t="s">
        <v>17159</v>
      </c>
      <c r="B6844" s="2" t="s">
        <v>17159</v>
      </c>
      <c r="C6844" s="2" t="s">
        <v>17</v>
      </c>
      <c r="D6844" s="2" t="s">
        <v>18</v>
      </c>
      <c r="E6844" s="4">
        <v>-32022</v>
      </c>
      <c r="F6844" s="3" t="s">
        <v>1554</v>
      </c>
      <c r="G6844" s="3" t="s">
        <v>136</v>
      </c>
      <c r="H6844" s="2" t="s">
        <v>21</v>
      </c>
      <c r="I6844" s="2" t="s">
        <v>17161</v>
      </c>
      <c r="J6844" s="3" t="str">
        <f>HYPERLINK("https://www.boe.es/gazeta/dias/1812/04/28/pdfs/GMD-1812-119.pdf#page=3","Abrir facsímil")</f>
        <v>Abrir facsímil</v>
      </c>
      <c r="K6844" s="3" t="s">
        <v>23</v>
      </c>
    </row>
    <row r="6845" spans="1:11" ht="42" customHeight="1">
      <c r="A6845" s="2" t="s">
        <v>17162</v>
      </c>
      <c r="B6845" s="2" t="s">
        <v>17163</v>
      </c>
      <c r="C6845" s="2" t="s">
        <v>26</v>
      </c>
      <c r="D6845" s="2" t="s">
        <v>27</v>
      </c>
      <c r="E6845" s="4">
        <v>-31939</v>
      </c>
      <c r="F6845" s="3" t="s">
        <v>408</v>
      </c>
      <c r="G6845" s="3" t="s">
        <v>20</v>
      </c>
      <c r="H6845" s="2" t="s">
        <v>21</v>
      </c>
      <c r="I6845" s="2" t="s">
        <v>17164</v>
      </c>
      <c r="J6845" s="3" t="str">
        <f>HYPERLINK("https://www.boe.es/gazeta/dias/1812/07/20/pdfs/GMD-1812-202.pdf#page=4","Abrir facsímil")</f>
        <v>Abrir facsímil</v>
      </c>
      <c r="K6845" s="3" t="s">
        <v>23</v>
      </c>
    </row>
    <row r="6846" spans="1:11" ht="42" customHeight="1">
      <c r="A6846" s="2" t="s">
        <v>17165</v>
      </c>
      <c r="B6846" s="2" t="s">
        <v>17166</v>
      </c>
      <c r="C6846" s="2" t="s">
        <v>26</v>
      </c>
      <c r="D6846" s="2" t="s">
        <v>27</v>
      </c>
      <c r="E6846" s="4">
        <v>-32081</v>
      </c>
      <c r="F6846" s="3" t="s">
        <v>232</v>
      </c>
      <c r="G6846" s="3" t="s">
        <v>233</v>
      </c>
      <c r="H6846" s="2" t="s">
        <v>21</v>
      </c>
      <c r="I6846" s="2" t="s">
        <v>17167</v>
      </c>
      <c r="J6846" s="3" t="str">
        <f>HYPERLINK("https://www.boe.es/gazeta/dias/1812/02/29/pdfs/GRE-1812-27.pdf#page=8","Abrir facsímil")</f>
        <v>Abrir facsímil</v>
      </c>
      <c r="K6846" s="3" t="s">
        <v>23</v>
      </c>
    </row>
    <row r="6847" spans="1:11" ht="42" customHeight="1">
      <c r="A6847" s="2" t="s">
        <v>17168</v>
      </c>
      <c r="B6847" s="2" t="s">
        <v>17169</v>
      </c>
      <c r="C6847" s="2" t="s">
        <v>26</v>
      </c>
      <c r="D6847" s="2" t="s">
        <v>27</v>
      </c>
      <c r="E6847" s="4">
        <v>-32137</v>
      </c>
      <c r="F6847" s="3" t="s">
        <v>355</v>
      </c>
      <c r="G6847" s="3" t="s">
        <v>117</v>
      </c>
      <c r="H6847" s="2" t="s">
        <v>21</v>
      </c>
      <c r="I6847" s="2" t="s">
        <v>17170</v>
      </c>
      <c r="J6847" s="3" t="str">
        <f>HYPERLINK("https://www.boe.es/gazeta/dias/1812/01/04/pdfs/GEI-1812-2.pdf#page=8","Abrir facsímil")</f>
        <v>Abrir facsímil</v>
      </c>
      <c r="K6847" s="3" t="s">
        <v>23</v>
      </c>
    </row>
    <row r="6848" spans="1:11" ht="42" customHeight="1">
      <c r="A6848" s="2" t="s">
        <v>17171</v>
      </c>
      <c r="B6848" s="2" t="s">
        <v>17171</v>
      </c>
      <c r="C6848" s="2" t="s">
        <v>26</v>
      </c>
      <c r="D6848" s="2" t="s">
        <v>27</v>
      </c>
      <c r="E6848" s="4">
        <v>-31783</v>
      </c>
      <c r="F6848" s="3" t="s">
        <v>2074</v>
      </c>
      <c r="G6848" s="3" t="s">
        <v>125</v>
      </c>
      <c r="H6848" s="2" t="s">
        <v>21</v>
      </c>
      <c r="I6848" s="2" t="s">
        <v>17172</v>
      </c>
      <c r="J6848" s="3" t="str">
        <f>HYPERLINK("https://www.boe.es/gazeta/dias/1812/12/23/pdfs/GMD-1812-246.pdf#page=1","Abrir facsímil")</f>
        <v>Abrir facsímil</v>
      </c>
      <c r="K6848" s="3" t="s">
        <v>23</v>
      </c>
    </row>
    <row r="6849" spans="1:11" ht="42" customHeight="1">
      <c r="A6849" s="2" t="s">
        <v>17173</v>
      </c>
      <c r="B6849" s="2" t="s">
        <v>17174</v>
      </c>
      <c r="C6849" s="2" t="s">
        <v>26</v>
      </c>
      <c r="D6849" s="2" t="s">
        <v>27</v>
      </c>
      <c r="E6849" s="4">
        <v>-32044</v>
      </c>
      <c r="F6849" s="3" t="s">
        <v>1031</v>
      </c>
      <c r="G6849" s="3" t="s">
        <v>20</v>
      </c>
      <c r="H6849" s="2" t="s">
        <v>21</v>
      </c>
      <c r="I6849" s="2" t="s">
        <v>17175</v>
      </c>
      <c r="J6849" s="3" t="str">
        <f>HYPERLINK("https://www.boe.es/gazeta/dias/1812/04/06/pdfs/GMD-1812-97.pdf#page=3","Abrir facsímil")</f>
        <v>Abrir facsímil</v>
      </c>
      <c r="K6849" s="3" t="s">
        <v>23</v>
      </c>
    </row>
    <row r="6850" spans="1:11" ht="42" customHeight="1">
      <c r="A6850" s="2" t="s">
        <v>17176</v>
      </c>
      <c r="B6850" s="2" t="s">
        <v>17177</v>
      </c>
      <c r="C6850" s="2" t="s">
        <v>17</v>
      </c>
      <c r="D6850" s="2" t="s">
        <v>27</v>
      </c>
      <c r="E6850" s="4">
        <v>-32064</v>
      </c>
      <c r="F6850" s="3" t="s">
        <v>12333</v>
      </c>
      <c r="G6850" s="3" t="s">
        <v>794</v>
      </c>
      <c r="H6850" s="2" t="s">
        <v>21</v>
      </c>
      <c r="I6850" s="2" t="s">
        <v>17178</v>
      </c>
      <c r="J6850" s="3" t="str">
        <f>HYPERLINK("https://www.boe.es/gazeta/dias/1812/03/17/pdfs/GRE-1812-34.pdf#page=7","Abrir facsímil")</f>
        <v>Abrir facsímil</v>
      </c>
      <c r="K6850" s="3" t="s">
        <v>23</v>
      </c>
    </row>
    <row r="6851" spans="1:11" ht="42" customHeight="1">
      <c r="A6851" s="2" t="s">
        <v>17179</v>
      </c>
      <c r="B6851" s="2" t="s">
        <v>17180</v>
      </c>
      <c r="C6851" s="2" t="s">
        <v>26</v>
      </c>
      <c r="D6851" s="2" t="s">
        <v>27</v>
      </c>
      <c r="E6851" s="4">
        <v>-32125</v>
      </c>
      <c r="F6851" s="3" t="s">
        <v>335</v>
      </c>
      <c r="G6851" s="3" t="s">
        <v>336</v>
      </c>
      <c r="H6851" s="2" t="s">
        <v>30</v>
      </c>
      <c r="I6851" s="2" t="s">
        <v>17181</v>
      </c>
      <c r="J6851" s="3" t="str">
        <f>HYPERLINK("https://www.boe.es/gazeta/dias/1812/01/16/pdfs/GEI-1812-7.pdf#page=8","Abrir facsímil")</f>
        <v>Abrir facsímil</v>
      </c>
      <c r="K6851" s="3" t="s">
        <v>32</v>
      </c>
    </row>
    <row r="6852" spans="1:11" ht="42" customHeight="1">
      <c r="A6852" s="2" t="s">
        <v>17182</v>
      </c>
      <c r="B6852" s="2" t="s">
        <v>17183</v>
      </c>
      <c r="C6852" s="2" t="s">
        <v>26</v>
      </c>
      <c r="D6852" s="2" t="s">
        <v>27</v>
      </c>
      <c r="E6852" s="4">
        <v>-32109</v>
      </c>
      <c r="F6852" s="3" t="s">
        <v>62</v>
      </c>
      <c r="G6852" s="3" t="s">
        <v>472</v>
      </c>
      <c r="H6852" s="2" t="s">
        <v>21</v>
      </c>
      <c r="I6852" s="2" t="s">
        <v>17184</v>
      </c>
      <c r="J6852" s="3" t="str">
        <f>HYPERLINK("https://www.boe.es/gazeta/dias/1812/02/01/pdfs/GRE-1812-14.pdf#page=12","Abrir facsímil")</f>
        <v>Abrir facsímil</v>
      </c>
      <c r="K6852" s="3" t="s">
        <v>23</v>
      </c>
    </row>
    <row r="6853" spans="1:11" ht="42" customHeight="1">
      <c r="A6853" s="2" t="s">
        <v>17185</v>
      </c>
      <c r="B6853" s="2" t="s">
        <v>17186</v>
      </c>
      <c r="C6853" s="2" t="s">
        <v>26</v>
      </c>
      <c r="D6853" s="2" t="s">
        <v>27</v>
      </c>
      <c r="E6853" s="4">
        <v>-31940</v>
      </c>
      <c r="F6853" s="3" t="s">
        <v>187</v>
      </c>
      <c r="G6853" s="3" t="s">
        <v>404</v>
      </c>
      <c r="H6853" s="2" t="s">
        <v>21</v>
      </c>
      <c r="I6853" s="2" t="s">
        <v>17187</v>
      </c>
      <c r="J6853" s="3" t="str">
        <f>HYPERLINK("https://www.boe.es/gazeta/dias/1812/07/19/pdfs/GMD-1812-201.pdf#page=4","Abrir facsímil")</f>
        <v>Abrir facsímil</v>
      </c>
      <c r="K6853" s="3" t="s">
        <v>23</v>
      </c>
    </row>
    <row r="6854" spans="1:11" ht="42" customHeight="1">
      <c r="A6854" s="2" t="s">
        <v>17188</v>
      </c>
      <c r="B6854" s="2" t="s">
        <v>17189</v>
      </c>
      <c r="C6854" s="2" t="s">
        <v>549</v>
      </c>
      <c r="D6854" s="2" t="s">
        <v>27</v>
      </c>
      <c r="E6854" s="4">
        <v>-32060</v>
      </c>
      <c r="F6854" s="3" t="s">
        <v>1403</v>
      </c>
      <c r="G6854" s="3" t="s">
        <v>217</v>
      </c>
      <c r="H6854" s="2" t="s">
        <v>21</v>
      </c>
      <c r="I6854" s="2" t="s">
        <v>17190</v>
      </c>
      <c r="J6854" s="3" t="str">
        <f>HYPERLINK("https://www.boe.es/gazeta/dias/1812/03/21/pdfs/GRE-1812-36.pdf#page=8","Abrir facsímil")</f>
        <v>Abrir facsímil</v>
      </c>
      <c r="K6854" s="3" t="s">
        <v>23</v>
      </c>
    </row>
    <row r="6855" spans="1:11" ht="42" customHeight="1">
      <c r="A6855" s="2" t="s">
        <v>17191</v>
      </c>
      <c r="B6855" s="2" t="s">
        <v>17192</v>
      </c>
      <c r="C6855" s="2" t="s">
        <v>49</v>
      </c>
      <c r="D6855" s="2" t="s">
        <v>27</v>
      </c>
      <c r="E6855" s="4">
        <v>-32020</v>
      </c>
      <c r="F6855" s="3" t="s">
        <v>1860</v>
      </c>
      <c r="G6855" s="3" t="s">
        <v>36</v>
      </c>
      <c r="H6855" s="2" t="s">
        <v>21</v>
      </c>
      <c r="I6855" s="2" t="s">
        <v>17193</v>
      </c>
      <c r="J6855" s="3" t="str">
        <f>HYPERLINK("https://www.boe.es/gazeta/dias/1812/04/30/pdfs/GMD-1812-121.pdf#page=3","Abrir facsímil")</f>
        <v>Abrir facsímil</v>
      </c>
      <c r="K6855" s="3" t="s">
        <v>23</v>
      </c>
    </row>
    <row r="6856" spans="1:11" ht="42" customHeight="1">
      <c r="A6856" s="2" t="s">
        <v>17194</v>
      </c>
      <c r="B6856" s="2" t="s">
        <v>17195</v>
      </c>
      <c r="C6856" s="2" t="s">
        <v>26</v>
      </c>
      <c r="D6856" s="2" t="s">
        <v>27</v>
      </c>
      <c r="E6856" s="4">
        <v>-31938</v>
      </c>
      <c r="F6856" s="3" t="s">
        <v>324</v>
      </c>
      <c r="G6856" s="3" t="s">
        <v>497</v>
      </c>
      <c r="H6856" s="2" t="s">
        <v>21</v>
      </c>
      <c r="I6856" s="2" t="s">
        <v>17196</v>
      </c>
      <c r="J6856" s="3" t="str">
        <f>HYPERLINK("https://www.boe.es/gazeta/dias/1812/07/21/pdfs/GMD-1812-203.pdf#page=3","Abrir facsímil")</f>
        <v>Abrir facsímil</v>
      </c>
      <c r="K6856" s="3" t="s">
        <v>23</v>
      </c>
    </row>
    <row r="6857" spans="1:11" ht="42" customHeight="1">
      <c r="A6857" s="2" t="s">
        <v>17197</v>
      </c>
      <c r="B6857" s="2" t="s">
        <v>17198</v>
      </c>
      <c r="C6857" s="2" t="s">
        <v>26</v>
      </c>
      <c r="D6857" s="2" t="s">
        <v>27</v>
      </c>
      <c r="E6857" s="4">
        <v>-32034</v>
      </c>
      <c r="F6857" s="3" t="s">
        <v>28</v>
      </c>
      <c r="G6857" s="3" t="s">
        <v>794</v>
      </c>
      <c r="H6857" s="2" t="s">
        <v>21</v>
      </c>
      <c r="I6857" s="2" t="s">
        <v>17199</v>
      </c>
      <c r="J6857" s="3" t="str">
        <f>HYPERLINK("https://www.boe.es/gazeta/dias/1812/04/16/pdfs/GMD-1812-107.pdf#page=7","Abrir facsímil")</f>
        <v>Abrir facsímil</v>
      </c>
      <c r="K6857" s="3" t="s">
        <v>23</v>
      </c>
    </row>
    <row r="6858" spans="1:11" ht="42" customHeight="1">
      <c r="A6858" s="2" t="s">
        <v>17200</v>
      </c>
      <c r="B6858" s="2" t="s">
        <v>17200</v>
      </c>
      <c r="C6858" s="2" t="s">
        <v>186</v>
      </c>
      <c r="D6858" s="2" t="s">
        <v>27</v>
      </c>
      <c r="E6858" s="4">
        <v>-32113</v>
      </c>
      <c r="F6858" s="3" t="s">
        <v>4341</v>
      </c>
      <c r="G6858" s="3" t="s">
        <v>688</v>
      </c>
      <c r="H6858" s="2" t="s">
        <v>21</v>
      </c>
      <c r="I6858" s="2" t="s">
        <v>17201</v>
      </c>
      <c r="J6858" s="3" t="str">
        <f>HYPERLINK("https://www.boe.es/gazeta/dias/1812/01/28/pdfs/GMD-1812-28.pdf#page=2","Abrir facsímil")</f>
        <v>Abrir facsímil</v>
      </c>
      <c r="K6858" s="3" t="s">
        <v>23</v>
      </c>
    </row>
    <row r="6859" spans="1:11" ht="42" customHeight="1">
      <c r="A6859" s="2" t="s">
        <v>17202</v>
      </c>
      <c r="B6859" s="2" t="s">
        <v>17202</v>
      </c>
      <c r="C6859" s="2" t="s">
        <v>26</v>
      </c>
      <c r="D6859" s="2" t="s">
        <v>27</v>
      </c>
      <c r="E6859" s="4">
        <v>-31852</v>
      </c>
      <c r="F6859" s="3" t="s">
        <v>4370</v>
      </c>
      <c r="G6859" s="3" t="s">
        <v>214</v>
      </c>
      <c r="H6859" s="2" t="s">
        <v>21</v>
      </c>
      <c r="I6859" s="2" t="s">
        <v>17203</v>
      </c>
      <c r="J6859" s="3" t="str">
        <f>HYPERLINK("https://www.boe.es/gazeta/dias/1812/10/15/pdfs/GMR-1812-27.pdf#page=2","Abrir facsímil")</f>
        <v>Abrir facsímil</v>
      </c>
      <c r="K6859" s="3" t="s">
        <v>23</v>
      </c>
    </row>
    <row r="6860" spans="1:11" ht="42" customHeight="1">
      <c r="A6860" s="2" t="s">
        <v>17204</v>
      </c>
      <c r="B6860" s="2" t="s">
        <v>17205</v>
      </c>
      <c r="C6860" s="2" t="s">
        <v>105</v>
      </c>
      <c r="D6860" s="2" t="s">
        <v>27</v>
      </c>
      <c r="E6860" s="4">
        <v>-31785</v>
      </c>
      <c r="F6860" s="3" t="s">
        <v>6632</v>
      </c>
      <c r="G6860" s="3" t="s">
        <v>17206</v>
      </c>
      <c r="H6860" s="2" t="s">
        <v>21</v>
      </c>
      <c r="I6860" s="2" t="s">
        <v>17207</v>
      </c>
      <c r="J6860" s="3" t="str">
        <f>HYPERLINK("https://www.boe.es/gazeta/dias/1812/12/21/pdfs/GMD-1812-244.pdf#page=3","Abrir facsímil")</f>
        <v>Abrir facsímil</v>
      </c>
      <c r="K6860" s="3" t="s">
        <v>23</v>
      </c>
    </row>
    <row r="6861" spans="1:11" ht="42" customHeight="1">
      <c r="A6861" s="2" t="s">
        <v>17208</v>
      </c>
      <c r="B6861" s="2" t="s">
        <v>17209</v>
      </c>
      <c r="C6861" s="2" t="s">
        <v>26</v>
      </c>
      <c r="D6861" s="2" t="s">
        <v>573</v>
      </c>
      <c r="E6861" s="4">
        <v>-31874</v>
      </c>
      <c r="F6861" s="3" t="s">
        <v>1697</v>
      </c>
      <c r="G6861" s="3" t="s">
        <v>1698</v>
      </c>
      <c r="H6861" s="2" t="s">
        <v>21</v>
      </c>
      <c r="I6861" s="2" t="s">
        <v>17210</v>
      </c>
      <c r="J6861" s="3" t="str">
        <f>HYPERLINK("https://www.boe.es/gazeta/dias/1812/09/23/pdfs/GRE-1812-129E.pdf#page=3","Abrir facsímil")</f>
        <v>Abrir facsímil</v>
      </c>
      <c r="K6861" s="3" t="s">
        <v>23</v>
      </c>
    </row>
    <row r="6862" spans="1:11" ht="42" customHeight="1">
      <c r="A6862" s="2" t="s">
        <v>17211</v>
      </c>
      <c r="B6862" s="2" t="s">
        <v>17212</v>
      </c>
      <c r="C6862" s="2" t="s">
        <v>26</v>
      </c>
      <c r="D6862" s="2" t="s">
        <v>27</v>
      </c>
      <c r="E6862" s="4">
        <v>-32036</v>
      </c>
      <c r="F6862" s="3" t="s">
        <v>781</v>
      </c>
      <c r="G6862" s="3" t="s">
        <v>782</v>
      </c>
      <c r="H6862" s="2" t="s">
        <v>21</v>
      </c>
      <c r="I6862" s="2" t="s">
        <v>17213</v>
      </c>
      <c r="J6862" s="3" t="str">
        <f>HYPERLINK("https://www.boe.es/gazeta/dias/1812/04/14/pdfs/GRE-1812-47.pdf#page=8","Abrir facsímil")</f>
        <v>Abrir facsímil</v>
      </c>
      <c r="K6862" s="3" t="s">
        <v>23</v>
      </c>
    </row>
    <row r="6863" spans="1:11" ht="42" customHeight="1">
      <c r="A6863" s="2" t="s">
        <v>17214</v>
      </c>
      <c r="B6863" s="2" t="s">
        <v>17215</v>
      </c>
      <c r="C6863" s="2" t="s">
        <v>17</v>
      </c>
      <c r="D6863" s="2" t="s">
        <v>18</v>
      </c>
      <c r="E6863" s="4">
        <v>-32118</v>
      </c>
      <c r="F6863" s="3" t="s">
        <v>964</v>
      </c>
      <c r="G6863" s="3" t="s">
        <v>965</v>
      </c>
      <c r="H6863" s="2" t="s">
        <v>21</v>
      </c>
      <c r="I6863" s="2" t="s">
        <v>17216</v>
      </c>
      <c r="J6863" s="3" t="str">
        <f>HYPERLINK("https://www.boe.es/gazeta/dias/1812/01/23/pdfs/GEI-H-1812-10.pdf#page=4","Abrir facsímil")</f>
        <v>Abrir facsímil</v>
      </c>
      <c r="K6863" s="3" t="s">
        <v>23</v>
      </c>
    </row>
    <row r="6864" spans="1:11" ht="42" customHeight="1">
      <c r="A6864" s="2" t="s">
        <v>17217</v>
      </c>
      <c r="B6864" s="2" t="s">
        <v>17218</v>
      </c>
      <c r="C6864" s="2" t="s">
        <v>26</v>
      </c>
      <c r="D6864" s="2" t="s">
        <v>27</v>
      </c>
      <c r="E6864" s="4">
        <v>-31936</v>
      </c>
      <c r="F6864" s="3" t="s">
        <v>614</v>
      </c>
      <c r="G6864" s="3" t="s">
        <v>615</v>
      </c>
      <c r="H6864" s="2" t="s">
        <v>21</v>
      </c>
      <c r="I6864" s="2" t="s">
        <v>17219</v>
      </c>
      <c r="J6864" s="3" t="str">
        <f>HYPERLINK("https://www.boe.es/gazeta/dias/1812/07/23/pdfs/GRE-1812-92.pdf#page=8","Abrir facsímil")</f>
        <v>Abrir facsímil</v>
      </c>
      <c r="K6864" s="3" t="s">
        <v>23</v>
      </c>
    </row>
    <row r="6865" spans="1:11" ht="42" customHeight="1">
      <c r="A6865" s="2" t="s">
        <v>17220</v>
      </c>
      <c r="B6865" s="2" t="s">
        <v>17221</v>
      </c>
      <c r="C6865" s="2" t="s">
        <v>549</v>
      </c>
      <c r="D6865" s="2" t="s">
        <v>27</v>
      </c>
      <c r="E6865" s="4">
        <v>-31955</v>
      </c>
      <c r="F6865" s="3" t="s">
        <v>789</v>
      </c>
      <c r="G6865" s="3" t="s">
        <v>237</v>
      </c>
      <c r="H6865" s="2" t="s">
        <v>21</v>
      </c>
      <c r="I6865" s="2" t="s">
        <v>17222</v>
      </c>
      <c r="J6865" s="3" t="str">
        <f>HYPERLINK("https://www.boe.es/gazeta/dias/1812/07/04/pdfs/GRE-1812-82.pdf#page=8","Abrir facsímil")</f>
        <v>Abrir facsímil</v>
      </c>
      <c r="K6865" s="3" t="s">
        <v>23</v>
      </c>
    </row>
    <row r="6866" spans="1:11" ht="42" customHeight="1">
      <c r="A6866" s="2" t="s">
        <v>17223</v>
      </c>
      <c r="B6866" s="2" t="s">
        <v>17224</v>
      </c>
      <c r="C6866" s="2" t="s">
        <v>26</v>
      </c>
      <c r="D6866" s="2" t="s">
        <v>27</v>
      </c>
      <c r="E6866" s="4">
        <v>-31969</v>
      </c>
      <c r="F6866" s="3" t="s">
        <v>83</v>
      </c>
      <c r="G6866" s="3" t="s">
        <v>84</v>
      </c>
      <c r="H6866" s="2" t="s">
        <v>21</v>
      </c>
      <c r="I6866" s="2" t="s">
        <v>17225</v>
      </c>
      <c r="J6866" s="3" t="str">
        <f>HYPERLINK("https://www.boe.es/gazeta/dias/1812/06/20/pdfs/GRE-1812-76.pdf#page=8","Abrir facsímil")</f>
        <v>Abrir facsímil</v>
      </c>
      <c r="K6866" s="3" t="s">
        <v>23</v>
      </c>
    </row>
    <row r="6867" spans="1:11" ht="42" customHeight="1">
      <c r="A6867" s="2" t="s">
        <v>17226</v>
      </c>
      <c r="B6867" s="2" t="s">
        <v>17227</v>
      </c>
      <c r="C6867" s="2" t="s">
        <v>186</v>
      </c>
      <c r="D6867" s="2" t="s">
        <v>27</v>
      </c>
      <c r="E6867" s="4">
        <v>-32044</v>
      </c>
      <c r="F6867" s="3" t="s">
        <v>1031</v>
      </c>
      <c r="G6867" s="3" t="s">
        <v>1873</v>
      </c>
      <c r="H6867" s="2" t="s">
        <v>21</v>
      </c>
      <c r="I6867" s="2" t="s">
        <v>17228</v>
      </c>
      <c r="J6867" s="3" t="str">
        <f>HYPERLINK("https://www.boe.es/gazeta/dias/1812/04/06/pdfs/GMD-1812-97.pdf#page=4","Abrir facsímil")</f>
        <v>Abrir facsímil</v>
      </c>
      <c r="K6867" s="3" t="s">
        <v>23</v>
      </c>
    </row>
    <row r="6868" spans="1:11" ht="42" customHeight="1">
      <c r="A6868" s="2" t="s">
        <v>17229</v>
      </c>
      <c r="B6868" s="2" t="s">
        <v>17230</v>
      </c>
      <c r="C6868" s="2" t="s">
        <v>26</v>
      </c>
      <c r="D6868" s="2" t="s">
        <v>27</v>
      </c>
      <c r="E6868" s="4">
        <v>-31854</v>
      </c>
      <c r="F6868" s="3" t="s">
        <v>1574</v>
      </c>
      <c r="G6868" s="3" t="s">
        <v>1700</v>
      </c>
      <c r="H6868" s="2" t="s">
        <v>21</v>
      </c>
      <c r="I6868" s="2" t="s">
        <v>17231</v>
      </c>
      <c r="J6868" s="3" t="str">
        <f>HYPERLINK("https://www.boe.es/gazeta/dias/1812/10/13/pdfs/GMR-1812-26.pdf#page=4","Abrir facsímil")</f>
        <v>Abrir facsímil</v>
      </c>
      <c r="K6868" s="3" t="s">
        <v>23</v>
      </c>
    </row>
    <row r="6869" spans="1:11" ht="42" customHeight="1">
      <c r="A6869" s="2" t="s">
        <v>17232</v>
      </c>
      <c r="B6869" s="2" t="s">
        <v>17233</v>
      </c>
      <c r="C6869" s="2" t="s">
        <v>26</v>
      </c>
      <c r="D6869" s="2" t="s">
        <v>27</v>
      </c>
      <c r="E6869" s="4">
        <v>-32100</v>
      </c>
      <c r="F6869" s="3" t="s">
        <v>492</v>
      </c>
      <c r="G6869" s="3" t="s">
        <v>493</v>
      </c>
      <c r="H6869" s="2" t="s">
        <v>21</v>
      </c>
      <c r="I6869" s="2" t="s">
        <v>17234</v>
      </c>
      <c r="J6869" s="3" t="str">
        <f>HYPERLINK("https://www.boe.es/gazeta/dias/1812/02/10/pdfs/GRE-1812-31.pdf#page=8","Abrir facsímil")</f>
        <v>Abrir facsímil</v>
      </c>
      <c r="K6869" s="3" t="s">
        <v>23</v>
      </c>
    </row>
    <row r="6870" spans="1:11" ht="42" customHeight="1">
      <c r="A6870" s="2" t="s">
        <v>17232</v>
      </c>
      <c r="B6870" s="2" t="s">
        <v>17233</v>
      </c>
      <c r="C6870" s="2" t="s">
        <v>26</v>
      </c>
      <c r="D6870" s="2" t="s">
        <v>27</v>
      </c>
      <c r="E6870" s="4">
        <v>-32071</v>
      </c>
      <c r="F6870" s="3" t="s">
        <v>492</v>
      </c>
      <c r="G6870" s="3" t="s">
        <v>493</v>
      </c>
      <c r="H6870" s="2" t="s">
        <v>21</v>
      </c>
      <c r="I6870" s="2" t="s">
        <v>17234</v>
      </c>
      <c r="J6870" s="3" t="str">
        <f>HYPERLINK("https://www.boe.es/gazeta/dias/1812/03/10/pdfs/GRE-1812-31.pdf#page=8","Abrir facsímil")</f>
        <v>Abrir facsímil</v>
      </c>
      <c r="K6870" s="3" t="s">
        <v>23</v>
      </c>
    </row>
    <row r="6871" spans="1:11" ht="42" customHeight="1">
      <c r="A6871" s="2" t="s">
        <v>17235</v>
      </c>
      <c r="B6871" s="2" t="s">
        <v>17236</v>
      </c>
      <c r="C6871" s="2" t="s">
        <v>26</v>
      </c>
      <c r="D6871" s="2" t="s">
        <v>27</v>
      </c>
      <c r="E6871" s="4">
        <v>-32127</v>
      </c>
      <c r="F6871" s="3" t="s">
        <v>3698</v>
      </c>
      <c r="G6871" s="3" t="s">
        <v>36</v>
      </c>
      <c r="H6871" s="2" t="s">
        <v>21</v>
      </c>
      <c r="I6871" s="2" t="s">
        <v>17237</v>
      </c>
      <c r="J6871" s="3" t="str">
        <f>HYPERLINK("https://www.boe.es/gazeta/dias/1812/01/14/pdfs/GMD-1812-14.pdf#page=3","Abrir facsímil")</f>
        <v>Abrir facsímil</v>
      </c>
      <c r="K6871" s="3" t="s">
        <v>23</v>
      </c>
    </row>
    <row r="6872" spans="1:11" ht="42" customHeight="1">
      <c r="A6872" s="2" t="s">
        <v>17238</v>
      </c>
      <c r="B6872" s="2" t="s">
        <v>17239</v>
      </c>
      <c r="C6872" s="2" t="s">
        <v>17</v>
      </c>
      <c r="D6872" s="2" t="s">
        <v>134</v>
      </c>
      <c r="E6872" s="4">
        <v>-31896</v>
      </c>
      <c r="F6872" s="3" t="s">
        <v>2506</v>
      </c>
      <c r="G6872" s="3" t="s">
        <v>217</v>
      </c>
      <c r="H6872" s="2" t="s">
        <v>21</v>
      </c>
      <c r="I6872" s="2" t="s">
        <v>17240</v>
      </c>
      <c r="J6872" s="3" t="str">
        <f>HYPERLINK("https://www.boe.es/gazeta/dias/1812/09/01/pdfs/GRE-F-1812-117.pdf#page=4","Abrir facsímil")</f>
        <v>Abrir facsímil</v>
      </c>
      <c r="K6872" s="3" t="s">
        <v>23</v>
      </c>
    </row>
    <row r="6873" spans="1:11" ht="42" customHeight="1">
      <c r="A6873" s="2" t="s">
        <v>17241</v>
      </c>
      <c r="B6873" s="2" t="s">
        <v>17242</v>
      </c>
      <c r="C6873" s="2" t="s">
        <v>17</v>
      </c>
      <c r="D6873" s="2" t="s">
        <v>134</v>
      </c>
      <c r="E6873" s="4">
        <v>-31955</v>
      </c>
      <c r="F6873" s="3" t="s">
        <v>135</v>
      </c>
      <c r="G6873" s="3" t="s">
        <v>514</v>
      </c>
      <c r="H6873" s="2" t="s">
        <v>21</v>
      </c>
      <c r="I6873" s="2" t="s">
        <v>17243</v>
      </c>
      <c r="J6873" s="3" t="str">
        <f>HYPERLINK("https://www.boe.es/gazeta/dias/1812/07/04/pdfs/GRE-F-1812-82.pdf#page=7","Abrir facsímil")</f>
        <v>Abrir facsímil</v>
      </c>
      <c r="K6873" s="3" t="s">
        <v>23</v>
      </c>
    </row>
    <row r="6874" spans="1:11" ht="42" customHeight="1">
      <c r="A6874" s="2" t="s">
        <v>17244</v>
      </c>
      <c r="B6874" s="2" t="s">
        <v>17245</v>
      </c>
      <c r="C6874" s="2" t="s">
        <v>67</v>
      </c>
      <c r="D6874" s="2" t="s">
        <v>27</v>
      </c>
      <c r="E6874" s="4">
        <v>-32050</v>
      </c>
      <c r="F6874" s="3" t="s">
        <v>2028</v>
      </c>
      <c r="G6874" s="3" t="s">
        <v>2029</v>
      </c>
      <c r="H6874" s="2" t="s">
        <v>21</v>
      </c>
      <c r="I6874" s="2" t="s">
        <v>17246</v>
      </c>
      <c r="J6874" s="3" t="str">
        <f>HYPERLINK("https://www.boe.es/gazeta/dias/1812/03/31/pdfs/GMD-1812-91.pdf#page=1","Abrir facsímil")</f>
        <v>Abrir facsímil</v>
      </c>
      <c r="K6874" s="3" t="s">
        <v>23</v>
      </c>
    </row>
    <row r="6875" spans="1:11" ht="42" customHeight="1">
      <c r="A6875" s="2" t="s">
        <v>17247</v>
      </c>
      <c r="B6875" s="2" t="s">
        <v>17248</v>
      </c>
      <c r="C6875" s="2" t="s">
        <v>17</v>
      </c>
      <c r="D6875" s="2" t="s">
        <v>18</v>
      </c>
      <c r="E6875" s="4">
        <v>-31900</v>
      </c>
      <c r="F6875" s="3" t="s">
        <v>276</v>
      </c>
      <c r="G6875" s="3" t="s">
        <v>794</v>
      </c>
      <c r="H6875" s="2" t="s">
        <v>21</v>
      </c>
      <c r="I6875" s="2" t="s">
        <v>17249</v>
      </c>
      <c r="J6875" s="3" t="str">
        <f>HYPERLINK("https://www.boe.es/gazeta/dias/1812/08/28/pdfs/GRE-1812-113E.pdf#page=7","Abrir facsímil")</f>
        <v>Abrir facsímil</v>
      </c>
      <c r="K6875" s="3" t="s">
        <v>23</v>
      </c>
    </row>
    <row r="6876" spans="1:11" ht="42" customHeight="1">
      <c r="A6876" s="2" t="s">
        <v>17250</v>
      </c>
      <c r="B6876" s="2" t="s">
        <v>17251</v>
      </c>
      <c r="C6876" s="2" t="s">
        <v>17</v>
      </c>
      <c r="D6876" s="2" t="s">
        <v>275</v>
      </c>
      <c r="E6876" s="4">
        <v>-31936</v>
      </c>
      <c r="F6876" s="3" t="s">
        <v>614</v>
      </c>
      <c r="G6876" s="3" t="s">
        <v>615</v>
      </c>
      <c r="H6876" s="2" t="s">
        <v>21</v>
      </c>
      <c r="I6876" s="2" t="s">
        <v>17252</v>
      </c>
      <c r="J6876" s="3" t="str">
        <f>HYPERLINK("https://www.boe.es/gazeta/dias/1812/07/23/pdfs/GRE-1812-92.pdf#page=8","Abrir facsímil")</f>
        <v>Abrir facsímil</v>
      </c>
      <c r="K6876" s="3" t="s">
        <v>23</v>
      </c>
    </row>
    <row r="6877" spans="1:11" ht="42" customHeight="1">
      <c r="A6877" s="2" t="s">
        <v>17253</v>
      </c>
      <c r="B6877" s="2" t="s">
        <v>17254</v>
      </c>
      <c r="C6877" s="2" t="s">
        <v>105</v>
      </c>
      <c r="D6877" s="2" t="s">
        <v>27</v>
      </c>
      <c r="E6877" s="4">
        <v>-32139</v>
      </c>
      <c r="F6877" s="3" t="s">
        <v>518</v>
      </c>
      <c r="G6877" s="3" t="s">
        <v>125</v>
      </c>
      <c r="H6877" s="2" t="s">
        <v>21</v>
      </c>
      <c r="I6877" s="2" t="s">
        <v>17255</v>
      </c>
      <c r="J6877" s="3" t="str">
        <f>HYPERLINK("https://www.boe.es/gazeta/dias/1812/01/02/pdfs/GEI-1812-1.pdf#page=8","Abrir facsímil")</f>
        <v>Abrir facsímil</v>
      </c>
      <c r="K6877" s="3" t="s">
        <v>23</v>
      </c>
    </row>
    <row r="6878" spans="1:11" ht="42" customHeight="1">
      <c r="A6878" s="2" t="s">
        <v>17256</v>
      </c>
      <c r="B6878" s="2" t="s">
        <v>17257</v>
      </c>
      <c r="C6878" s="2" t="s">
        <v>105</v>
      </c>
      <c r="D6878" s="2" t="s">
        <v>27</v>
      </c>
      <c r="E6878" s="4">
        <v>-31978</v>
      </c>
      <c r="F6878" s="3" t="s">
        <v>1790</v>
      </c>
      <c r="G6878" s="3" t="s">
        <v>1791</v>
      </c>
      <c r="H6878" s="2" t="s">
        <v>21</v>
      </c>
      <c r="I6878" s="2" t="s">
        <v>17258</v>
      </c>
      <c r="J6878" s="3" t="str">
        <f>HYPERLINK("https://www.boe.es/gazeta/dias/1812/06/11/pdfs/GRE-1812-72.pdf#page=8","Abrir facsímil")</f>
        <v>Abrir facsímil</v>
      </c>
      <c r="K6878" s="3" t="s">
        <v>23</v>
      </c>
    </row>
    <row r="6879" spans="1:11" ht="42" customHeight="1">
      <c r="A6879" s="2" t="s">
        <v>17259</v>
      </c>
      <c r="B6879" s="2" t="s">
        <v>17260</v>
      </c>
      <c r="C6879" s="2" t="s">
        <v>26</v>
      </c>
      <c r="D6879" s="2" t="s">
        <v>27</v>
      </c>
      <c r="E6879" s="4">
        <v>-32018</v>
      </c>
      <c r="F6879" s="3" t="s">
        <v>365</v>
      </c>
      <c r="G6879" s="3" t="s">
        <v>392</v>
      </c>
      <c r="H6879" s="2" t="s">
        <v>21</v>
      </c>
      <c r="I6879" s="2" t="s">
        <v>17261</v>
      </c>
      <c r="J6879" s="3" t="str">
        <f>HYPERLINK("https://www.boe.es/gazeta/dias/1812/05/02/pdfs/GRE-1812-55.pdf#page=2","Abrir facsímil")</f>
        <v>Abrir facsímil</v>
      </c>
      <c r="K6879" s="3" t="s">
        <v>23</v>
      </c>
    </row>
    <row r="6880" spans="1:11" ht="42" customHeight="1">
      <c r="A6880" s="2" t="s">
        <v>17262</v>
      </c>
      <c r="B6880" s="2" t="s">
        <v>17263</v>
      </c>
      <c r="C6880" s="2" t="s">
        <v>67</v>
      </c>
      <c r="D6880" s="2" t="s">
        <v>27</v>
      </c>
      <c r="E6880" s="4">
        <v>-32032</v>
      </c>
      <c r="F6880" s="3" t="s">
        <v>531</v>
      </c>
      <c r="G6880" s="3" t="s">
        <v>532</v>
      </c>
      <c r="H6880" s="2" t="s">
        <v>21</v>
      </c>
      <c r="I6880" s="2" t="s">
        <v>17264</v>
      </c>
      <c r="J6880" s="3" t="str">
        <f>HYPERLINK("https://www.boe.es/gazeta/dias/1812/04/18/pdfs/GMD-1812-109.pdf#page=4","Abrir facsímil")</f>
        <v>Abrir facsímil</v>
      </c>
      <c r="K6880" s="3" t="s">
        <v>23</v>
      </c>
    </row>
    <row r="6881" spans="1:11" ht="42" customHeight="1">
      <c r="A6881" s="2" t="s">
        <v>17265</v>
      </c>
      <c r="B6881" s="2" t="s">
        <v>17266</v>
      </c>
      <c r="C6881" s="2" t="s">
        <v>105</v>
      </c>
      <c r="D6881" s="2" t="s">
        <v>27</v>
      </c>
      <c r="E6881" s="4">
        <v>-31980</v>
      </c>
      <c r="F6881" s="3" t="s">
        <v>40</v>
      </c>
      <c r="G6881" s="3" t="s">
        <v>41</v>
      </c>
      <c r="H6881" s="2" t="s">
        <v>21</v>
      </c>
      <c r="I6881" s="2" t="s">
        <v>17267</v>
      </c>
      <c r="J6881" s="3" t="str">
        <f>HYPERLINK("https://www.boe.es/gazeta/dias/1812/06/09/pdfs/GRE-1812-71.pdf#page=6","Abrir facsímil")</f>
        <v>Abrir facsímil</v>
      </c>
      <c r="K6881" s="3" t="s">
        <v>23</v>
      </c>
    </row>
    <row r="6882" spans="1:11" ht="42" customHeight="1">
      <c r="A6882" s="2" t="s">
        <v>17268</v>
      </c>
      <c r="B6882" s="2" t="s">
        <v>17269</v>
      </c>
      <c r="C6882" s="2" t="s">
        <v>26</v>
      </c>
      <c r="D6882" s="2" t="s">
        <v>275</v>
      </c>
      <c r="E6882" s="4">
        <v>-31936</v>
      </c>
      <c r="F6882" s="3" t="s">
        <v>603</v>
      </c>
      <c r="G6882" s="3" t="s">
        <v>2410</v>
      </c>
      <c r="H6882" s="2" t="s">
        <v>21</v>
      </c>
      <c r="I6882" s="2" t="s">
        <v>17270</v>
      </c>
      <c r="J6882" s="3" t="str">
        <f>HYPERLINK("https://www.boe.es/gazeta/dias/1812/07/23/pdfs/GMD-1812-205.pdf#page=4","Abrir facsímil")</f>
        <v>Abrir facsímil</v>
      </c>
      <c r="K6882" s="3" t="s">
        <v>23</v>
      </c>
    </row>
    <row r="6883" spans="1:11" ht="42" customHeight="1">
      <c r="A6883" s="2" t="s">
        <v>17271</v>
      </c>
      <c r="B6883" s="2" t="s">
        <v>17272</v>
      </c>
      <c r="C6883" s="2" t="s">
        <v>26</v>
      </c>
      <c r="D6883" s="2" t="s">
        <v>27</v>
      </c>
      <c r="E6883" s="4">
        <v>-31934</v>
      </c>
      <c r="F6883" s="3" t="s">
        <v>509</v>
      </c>
      <c r="G6883" s="3" t="s">
        <v>4482</v>
      </c>
      <c r="H6883" s="2" t="s">
        <v>21</v>
      </c>
      <c r="I6883" s="2" t="s">
        <v>17273</v>
      </c>
      <c r="J6883" s="3" t="str">
        <f>HYPERLINK("https://www.boe.es/gazeta/dias/1812/07/25/pdfs/GRE-1812-93.pdf#page=8","Abrir facsímil")</f>
        <v>Abrir facsímil</v>
      </c>
      <c r="K6883" s="3" t="s">
        <v>23</v>
      </c>
    </row>
    <row r="6884" spans="1:11" ht="42" customHeight="1">
      <c r="A6884" s="2" t="s">
        <v>17274</v>
      </c>
      <c r="B6884" s="2" t="s">
        <v>17275</v>
      </c>
      <c r="C6884" s="2" t="s">
        <v>17</v>
      </c>
      <c r="D6884" s="2" t="s">
        <v>18</v>
      </c>
      <c r="E6884" s="4">
        <v>-32050</v>
      </c>
      <c r="F6884" s="3" t="s">
        <v>2028</v>
      </c>
      <c r="G6884" s="3" t="s">
        <v>2029</v>
      </c>
      <c r="H6884" s="2" t="s">
        <v>21</v>
      </c>
      <c r="I6884" s="2" t="s">
        <v>17276</v>
      </c>
      <c r="J6884" s="3" t="str">
        <f>HYPERLINK("https://www.boe.es/gazeta/dias/1812/03/31/pdfs/GMD-1812-91.pdf#page=1","Abrir facsímil")</f>
        <v>Abrir facsímil</v>
      </c>
      <c r="K6884" s="3" t="s">
        <v>23</v>
      </c>
    </row>
    <row r="6885" spans="1:11" ht="42" customHeight="1">
      <c r="A6885" s="2" t="s">
        <v>17277</v>
      </c>
      <c r="B6885" s="2" t="s">
        <v>17278</v>
      </c>
      <c r="C6885" s="2" t="s">
        <v>26</v>
      </c>
      <c r="D6885" s="2" t="s">
        <v>27</v>
      </c>
      <c r="E6885" s="4">
        <v>-32083</v>
      </c>
      <c r="F6885" s="3" t="s">
        <v>1496</v>
      </c>
      <c r="G6885" s="3" t="s">
        <v>1845</v>
      </c>
      <c r="H6885" s="2" t="s">
        <v>21</v>
      </c>
      <c r="I6885" s="2" t="s">
        <v>17279</v>
      </c>
      <c r="J6885" s="3" t="str">
        <f>HYPERLINK("https://www.boe.es/gazeta/dias/1812/02/27/pdfs/GRE-1812-26.pdf#page=2","Abrir facsímil")</f>
        <v>Abrir facsímil</v>
      </c>
      <c r="K6885" s="3" t="s">
        <v>23</v>
      </c>
    </row>
    <row r="6886" spans="1:11" ht="42" customHeight="1">
      <c r="A6886" s="2" t="s">
        <v>17280</v>
      </c>
      <c r="B6886" s="2" t="s">
        <v>17281</v>
      </c>
      <c r="C6886" s="2" t="s">
        <v>17</v>
      </c>
      <c r="D6886" s="2" t="s">
        <v>27</v>
      </c>
      <c r="E6886" s="4">
        <v>-32015</v>
      </c>
      <c r="F6886" s="3" t="s">
        <v>77</v>
      </c>
      <c r="G6886" s="3" t="s">
        <v>3531</v>
      </c>
      <c r="H6886" s="2" t="s">
        <v>21</v>
      </c>
      <c r="I6886" s="2" t="s">
        <v>17282</v>
      </c>
      <c r="J6886" s="3" t="str">
        <f>HYPERLINK("https://www.boe.es/gazeta/dias/1812/05/05/pdfs/GRE-1812-56.pdf#page=6","Abrir facsímil")</f>
        <v>Abrir facsímil</v>
      </c>
      <c r="K6886" s="3" t="s">
        <v>23</v>
      </c>
    </row>
    <row r="6887" spans="1:11" ht="42" customHeight="1">
      <c r="A6887" s="2" t="s">
        <v>17283</v>
      </c>
      <c r="B6887" s="2" t="s">
        <v>17284</v>
      </c>
      <c r="C6887" s="2" t="s">
        <v>26</v>
      </c>
      <c r="D6887" s="2" t="s">
        <v>27</v>
      </c>
      <c r="E6887" s="4">
        <v>-31938</v>
      </c>
      <c r="F6887" s="3" t="s">
        <v>324</v>
      </c>
      <c r="G6887" s="3" t="s">
        <v>497</v>
      </c>
      <c r="H6887" s="2" t="s">
        <v>21</v>
      </c>
      <c r="I6887" s="2" t="s">
        <v>17285</v>
      </c>
      <c r="J6887" s="3" t="str">
        <f>HYPERLINK("https://www.boe.es/gazeta/dias/1812/07/21/pdfs/GMD-1812-203.pdf#page=3","Abrir facsímil")</f>
        <v>Abrir facsímil</v>
      </c>
      <c r="K6887" s="3" t="s">
        <v>23</v>
      </c>
    </row>
    <row r="6888" spans="1:11" ht="42" customHeight="1">
      <c r="A6888" s="2" t="s">
        <v>17286</v>
      </c>
      <c r="B6888" s="2" t="s">
        <v>17287</v>
      </c>
      <c r="C6888" s="2" t="s">
        <v>26</v>
      </c>
      <c r="D6888" s="2" t="s">
        <v>27</v>
      </c>
      <c r="E6888" s="4">
        <v>-31938</v>
      </c>
      <c r="F6888" s="3" t="s">
        <v>324</v>
      </c>
      <c r="G6888" s="3" t="s">
        <v>404</v>
      </c>
      <c r="H6888" s="2" t="s">
        <v>21</v>
      </c>
      <c r="I6888" s="2" t="s">
        <v>17288</v>
      </c>
      <c r="J6888" s="3" t="str">
        <f>HYPERLINK("https://www.boe.es/gazeta/dias/1812/07/21/pdfs/GMD-1812-203.pdf#page=4","Abrir facsímil")</f>
        <v>Abrir facsímil</v>
      </c>
      <c r="K6888" s="3" t="s">
        <v>23</v>
      </c>
    </row>
    <row r="6889" spans="1:11" ht="42" customHeight="1">
      <c r="A6889" s="2" t="s">
        <v>17289</v>
      </c>
      <c r="B6889" s="2" t="s">
        <v>17290</v>
      </c>
      <c r="C6889" s="2" t="s">
        <v>17</v>
      </c>
      <c r="D6889" s="2" t="s">
        <v>27</v>
      </c>
      <c r="E6889" s="4">
        <v>-32125</v>
      </c>
      <c r="F6889" s="3" t="s">
        <v>964</v>
      </c>
      <c r="G6889" s="3" t="s">
        <v>237</v>
      </c>
      <c r="H6889" s="2" t="s">
        <v>21</v>
      </c>
      <c r="I6889" s="2" t="s">
        <v>17291</v>
      </c>
      <c r="J6889" s="3" t="str">
        <f>HYPERLINK("https://www.boe.es/gazeta/dias/1812/01/16/pdfs/GEI-H-1812-7.pdf#page=2","Abrir facsímil")</f>
        <v>Abrir facsímil</v>
      </c>
      <c r="K6889" s="3" t="s">
        <v>23</v>
      </c>
    </row>
    <row r="6890" spans="1:11" ht="42" customHeight="1">
      <c r="A6890" s="2" t="s">
        <v>17292</v>
      </c>
      <c r="B6890" s="2" t="s">
        <v>17293</v>
      </c>
      <c r="C6890" s="2" t="s">
        <v>26</v>
      </c>
      <c r="D6890" s="2" t="s">
        <v>27</v>
      </c>
      <c r="E6890" s="4">
        <v>-32036</v>
      </c>
      <c r="F6890" s="3" t="s">
        <v>781</v>
      </c>
      <c r="G6890" s="3" t="s">
        <v>782</v>
      </c>
      <c r="H6890" s="2" t="s">
        <v>21</v>
      </c>
      <c r="I6890" s="2" t="s">
        <v>17294</v>
      </c>
      <c r="J6890" s="3" t="str">
        <f>HYPERLINK("https://www.boe.es/gazeta/dias/1812/04/14/pdfs/GRE-1812-47.pdf#page=8","Abrir facsímil")</f>
        <v>Abrir facsímil</v>
      </c>
      <c r="K6890" s="3" t="s">
        <v>23</v>
      </c>
    </row>
    <row r="6891" spans="1:11" ht="42" customHeight="1">
      <c r="A6891" s="2" t="s">
        <v>17295</v>
      </c>
      <c r="B6891" s="2" t="s">
        <v>17295</v>
      </c>
      <c r="C6891" s="2" t="s">
        <v>26</v>
      </c>
      <c r="D6891" s="2" t="s">
        <v>27</v>
      </c>
      <c r="E6891" s="4">
        <v>-32091</v>
      </c>
      <c r="F6891" s="3" t="s">
        <v>17296</v>
      </c>
      <c r="G6891" s="3" t="s">
        <v>36</v>
      </c>
      <c r="H6891" s="2" t="s">
        <v>21</v>
      </c>
      <c r="I6891" s="2" t="s">
        <v>17297</v>
      </c>
      <c r="J6891" s="3" t="str">
        <f>HYPERLINK("https://www.boe.es/gazeta/dias/1812/02/19/pdfs/GMD-1812-50.pdf#page=3","Abrir facsímil")</f>
        <v>Abrir facsímil</v>
      </c>
      <c r="K6891" s="3" t="s">
        <v>23</v>
      </c>
    </row>
    <row r="6892" spans="1:11" ht="42" customHeight="1">
      <c r="A6892" s="2" t="s">
        <v>17295</v>
      </c>
      <c r="B6892" s="2" t="s">
        <v>17295</v>
      </c>
      <c r="C6892" s="2" t="s">
        <v>26</v>
      </c>
      <c r="D6892" s="2" t="s">
        <v>27</v>
      </c>
      <c r="E6892" s="4">
        <v>-31958</v>
      </c>
      <c r="F6892" s="3" t="s">
        <v>12674</v>
      </c>
      <c r="G6892" s="3" t="s">
        <v>214</v>
      </c>
      <c r="H6892" s="2" t="s">
        <v>21</v>
      </c>
      <c r="I6892" s="2" t="s">
        <v>17298</v>
      </c>
      <c r="J6892" s="3" t="str">
        <f>HYPERLINK("https://www.boe.es/gazeta/dias/1812/07/01/pdfs/GMD-1812-183.pdf#page=4","Abrir facsímil")</f>
        <v>Abrir facsímil</v>
      </c>
      <c r="K6892" s="3" t="s">
        <v>23</v>
      </c>
    </row>
    <row r="6893" spans="1:11" ht="42" customHeight="1">
      <c r="A6893" s="2" t="s">
        <v>17299</v>
      </c>
      <c r="B6893" s="2" t="s">
        <v>17299</v>
      </c>
      <c r="C6893" s="2" t="s">
        <v>26</v>
      </c>
      <c r="D6893" s="2" t="s">
        <v>27</v>
      </c>
      <c r="E6893" s="4">
        <v>-31933</v>
      </c>
      <c r="F6893" s="3" t="s">
        <v>1946</v>
      </c>
      <c r="G6893" s="3" t="s">
        <v>237</v>
      </c>
      <c r="H6893" s="2" t="s">
        <v>21</v>
      </c>
      <c r="I6893" s="2" t="s">
        <v>17300</v>
      </c>
      <c r="J6893" s="3" t="str">
        <f>HYPERLINK("https://www.boe.es/gazeta/dias/1812/07/26/pdfs/GMD-1812-208.pdf#page=3","Abrir facsímil")</f>
        <v>Abrir facsímil</v>
      </c>
      <c r="K6893" s="3" t="s">
        <v>23</v>
      </c>
    </row>
    <row r="6894" spans="1:11" ht="42" customHeight="1">
      <c r="A6894" s="2" t="s">
        <v>17301</v>
      </c>
      <c r="B6894" s="2" t="s">
        <v>17302</v>
      </c>
      <c r="C6894" s="2" t="s">
        <v>17</v>
      </c>
      <c r="D6894" s="2" t="s">
        <v>18</v>
      </c>
      <c r="E6894" s="4">
        <v>-32067</v>
      </c>
      <c r="F6894" s="3" t="s">
        <v>199</v>
      </c>
      <c r="G6894" s="3" t="s">
        <v>237</v>
      </c>
      <c r="H6894" s="2" t="s">
        <v>21</v>
      </c>
      <c r="I6894" s="2" t="s">
        <v>17303</v>
      </c>
      <c r="J6894" s="3" t="str">
        <f>HYPERLINK("https://www.boe.es/gazeta/dias/1812/03/14/pdfs/GRE-1812-33.pdf#page=8","Abrir facsímil")</f>
        <v>Abrir facsímil</v>
      </c>
      <c r="K6894" s="3" t="s">
        <v>23</v>
      </c>
    </row>
    <row r="6895" spans="1:11" ht="42" customHeight="1">
      <c r="A6895" s="2" t="s">
        <v>17304</v>
      </c>
      <c r="B6895" s="2" t="s">
        <v>17305</v>
      </c>
      <c r="C6895" s="2" t="s">
        <v>17</v>
      </c>
      <c r="D6895" s="2" t="s">
        <v>18</v>
      </c>
      <c r="E6895" s="4">
        <v>-31885</v>
      </c>
      <c r="F6895" s="3" t="s">
        <v>609</v>
      </c>
      <c r="G6895" s="3" t="s">
        <v>13739</v>
      </c>
      <c r="H6895" s="2" t="s">
        <v>30</v>
      </c>
      <c r="I6895" s="2" t="s">
        <v>17306</v>
      </c>
      <c r="J6895" s="3" t="str">
        <f>HYPERLINK("https://www.boe.es/gazeta/dias/1812/09/12/pdfs/GRE-1812-124.pdf#page=3","Abrir facsímil")</f>
        <v>Abrir facsímil</v>
      </c>
      <c r="K6895" s="3" t="s">
        <v>32</v>
      </c>
    </row>
    <row r="6896" spans="1:11" ht="42" customHeight="1">
      <c r="A6896" s="2" t="s">
        <v>17307</v>
      </c>
      <c r="B6896" s="2" t="s">
        <v>17308</v>
      </c>
      <c r="C6896" s="2" t="s">
        <v>17</v>
      </c>
      <c r="D6896" s="2" t="s">
        <v>18</v>
      </c>
      <c r="E6896" s="4">
        <v>-32004</v>
      </c>
      <c r="F6896" s="3" t="s">
        <v>148</v>
      </c>
      <c r="G6896" s="3" t="s">
        <v>149</v>
      </c>
      <c r="H6896" s="2" t="s">
        <v>30</v>
      </c>
      <c r="I6896" s="2" t="s">
        <v>17309</v>
      </c>
      <c r="J6896" s="3" t="str">
        <f>HYPERLINK("https://www.boe.es/gazeta/dias/1812/05/16/pdfs/GRE-1812-61.pdf#page=3","Abrir facsímil")</f>
        <v>Abrir facsímil</v>
      </c>
      <c r="K6896" s="3" t="s">
        <v>32</v>
      </c>
    </row>
    <row r="6897" spans="1:11" ht="42" customHeight="1">
      <c r="A6897" s="2" t="s">
        <v>17307</v>
      </c>
      <c r="B6897" s="2" t="s">
        <v>17308</v>
      </c>
      <c r="C6897" s="2" t="s">
        <v>17</v>
      </c>
      <c r="D6897" s="2" t="s">
        <v>27</v>
      </c>
      <c r="E6897" s="4">
        <v>-31969</v>
      </c>
      <c r="F6897" s="3" t="s">
        <v>83</v>
      </c>
      <c r="G6897" s="3" t="s">
        <v>6943</v>
      </c>
      <c r="H6897" s="2" t="s">
        <v>30</v>
      </c>
      <c r="I6897" s="2" t="s">
        <v>17310</v>
      </c>
      <c r="J6897" s="3" t="str">
        <f>HYPERLINK("https://www.boe.es/gazeta/dias/1812/06/20/pdfs/GRE-1812-76.pdf#page=2","Abrir facsímil")</f>
        <v>Abrir facsímil</v>
      </c>
      <c r="K6897" s="3" t="s">
        <v>32</v>
      </c>
    </row>
    <row r="6898" spans="1:11" ht="42" customHeight="1">
      <c r="A6898" s="2" t="s">
        <v>17307</v>
      </c>
      <c r="B6898" s="2" t="s">
        <v>17308</v>
      </c>
      <c r="C6898" s="2" t="s">
        <v>17</v>
      </c>
      <c r="D6898" s="2" t="s">
        <v>18</v>
      </c>
      <c r="E6898" s="4">
        <v>-31922</v>
      </c>
      <c r="F6898" s="3" t="s">
        <v>375</v>
      </c>
      <c r="G6898" s="3" t="s">
        <v>136</v>
      </c>
      <c r="H6898" s="2" t="s">
        <v>30</v>
      </c>
      <c r="I6898" s="2" t="s">
        <v>17311</v>
      </c>
      <c r="J6898" s="3" t="str">
        <f>HYPERLINK("https://www.boe.es/gazeta/dias/1812/08/06/pdfs/GRE-1812-100.pdf#page=2","Abrir facsímil")</f>
        <v>Abrir facsímil</v>
      </c>
      <c r="K6898" s="3" t="s">
        <v>32</v>
      </c>
    </row>
    <row r="6899" spans="1:11" ht="42" customHeight="1">
      <c r="A6899" s="2" t="s">
        <v>17312</v>
      </c>
      <c r="B6899" s="2" t="s">
        <v>17313</v>
      </c>
      <c r="C6899" s="2" t="s">
        <v>17</v>
      </c>
      <c r="D6899" s="2" t="s">
        <v>18</v>
      </c>
      <c r="E6899" s="4">
        <v>-31805</v>
      </c>
      <c r="F6899" s="3" t="s">
        <v>4346</v>
      </c>
      <c r="G6899" s="3" t="s">
        <v>10680</v>
      </c>
      <c r="H6899" s="2" t="s">
        <v>30</v>
      </c>
      <c r="I6899" s="2" t="s">
        <v>17314</v>
      </c>
      <c r="J6899" s="3" t="str">
        <f>HYPERLINK("https://www.boe.es/gazeta/dias/1812/12/01/pdfs/GRE-1812-159.pdf#page=3","Abrir facsímil")</f>
        <v>Abrir facsímil</v>
      </c>
      <c r="K6899" s="3" t="s">
        <v>32</v>
      </c>
    </row>
    <row r="6900" spans="1:11" ht="42" customHeight="1">
      <c r="A6900" s="2" t="s">
        <v>17307</v>
      </c>
      <c r="B6900" s="2" t="s">
        <v>17308</v>
      </c>
      <c r="C6900" s="2" t="s">
        <v>17</v>
      </c>
      <c r="D6900" s="2" t="s">
        <v>18</v>
      </c>
      <c r="E6900" s="4">
        <v>-31805</v>
      </c>
      <c r="F6900" s="3" t="s">
        <v>4346</v>
      </c>
      <c r="G6900" s="3" t="s">
        <v>45</v>
      </c>
      <c r="H6900" s="2" t="s">
        <v>30</v>
      </c>
      <c r="I6900" s="2" t="s">
        <v>17315</v>
      </c>
      <c r="J6900" s="3" t="str">
        <f>HYPERLINK("https://www.boe.es/gazeta/dias/1812/12/01/pdfs/GRE-1812-159.pdf#page=4","Abrir facsímil")</f>
        <v>Abrir facsímil</v>
      </c>
      <c r="K6900" s="3" t="s">
        <v>32</v>
      </c>
    </row>
    <row r="6901" spans="1:11" ht="42" customHeight="1">
      <c r="A6901" s="2" t="s">
        <v>17307</v>
      </c>
      <c r="B6901" s="2" t="s">
        <v>17308</v>
      </c>
      <c r="C6901" s="2" t="s">
        <v>17</v>
      </c>
      <c r="D6901" s="2" t="s">
        <v>18</v>
      </c>
      <c r="E6901" s="4">
        <v>-31794</v>
      </c>
      <c r="F6901" s="3" t="s">
        <v>3308</v>
      </c>
      <c r="G6901" s="3" t="s">
        <v>9191</v>
      </c>
      <c r="H6901" s="2" t="s">
        <v>30</v>
      </c>
      <c r="I6901" s="2" t="s">
        <v>17316</v>
      </c>
      <c r="J6901" s="3" t="str">
        <f>HYPERLINK("https://www.boe.es/gazeta/dias/1812/12/12/pdfs/GRE-1812-164.pdf#page=1","Abrir facsímil")</f>
        <v>Abrir facsímil</v>
      </c>
      <c r="K6901" s="3" t="s">
        <v>32</v>
      </c>
    </row>
    <row r="6902" spans="1:11" ht="42" customHeight="1">
      <c r="A6902" s="2" t="s">
        <v>17307</v>
      </c>
      <c r="B6902" s="2" t="s">
        <v>17308</v>
      </c>
      <c r="C6902" s="2" t="s">
        <v>17</v>
      </c>
      <c r="D6902" s="2" t="s">
        <v>27</v>
      </c>
      <c r="E6902" s="4">
        <v>-31784</v>
      </c>
      <c r="F6902" s="3" t="s">
        <v>1648</v>
      </c>
      <c r="G6902" s="3" t="s">
        <v>1650</v>
      </c>
      <c r="H6902" s="2" t="s">
        <v>30</v>
      </c>
      <c r="I6902" s="2" t="s">
        <v>17317</v>
      </c>
      <c r="J6902" s="3" t="str">
        <f>HYPERLINK("https://www.boe.es/gazeta/dias/1812/12/22/pdfs/GMD-1812-245.pdf#page=4","Abrir facsímil")</f>
        <v>Abrir facsímil</v>
      </c>
      <c r="K6902" s="3" t="s">
        <v>32</v>
      </c>
    </row>
    <row r="6903" spans="1:11" ht="42" customHeight="1">
      <c r="A6903" s="2" t="s">
        <v>17318</v>
      </c>
      <c r="B6903" s="2" t="s">
        <v>17319</v>
      </c>
      <c r="C6903" s="2" t="s">
        <v>105</v>
      </c>
      <c r="D6903" s="2" t="s">
        <v>27</v>
      </c>
      <c r="E6903" s="4">
        <v>-32109</v>
      </c>
      <c r="F6903" s="3" t="s">
        <v>62</v>
      </c>
      <c r="G6903" s="3" t="s">
        <v>106</v>
      </c>
      <c r="H6903" s="2" t="s">
        <v>21</v>
      </c>
      <c r="I6903" s="2" t="s">
        <v>17320</v>
      </c>
      <c r="J6903" s="3" t="str">
        <f>HYPERLINK("https://www.boe.es/gazeta/dias/1812/02/01/pdfs/GRE-1812-14.pdf#page=11","Abrir facsímil")</f>
        <v>Abrir facsímil</v>
      </c>
      <c r="K6903" s="3" t="s">
        <v>23</v>
      </c>
    </row>
    <row r="6904" spans="1:11" ht="42" customHeight="1">
      <c r="A6904" s="2" t="s">
        <v>17321</v>
      </c>
      <c r="B6904" s="2" t="s">
        <v>17322</v>
      </c>
      <c r="C6904" s="2" t="s">
        <v>26</v>
      </c>
      <c r="D6904" s="2" t="s">
        <v>27</v>
      </c>
      <c r="E6904" s="4">
        <v>-31965</v>
      </c>
      <c r="F6904" s="3" t="s">
        <v>1180</v>
      </c>
      <c r="G6904" s="3" t="s">
        <v>777</v>
      </c>
      <c r="H6904" s="2" t="s">
        <v>21</v>
      </c>
      <c r="I6904" s="2" t="s">
        <v>17323</v>
      </c>
      <c r="J6904" s="3" t="str">
        <f>HYPERLINK("https://www.boe.es/gazeta/dias/1812/06/24/pdfs/GMD-1812-176.pdf#page=2","Abrir facsímil")</f>
        <v>Abrir facsímil</v>
      </c>
      <c r="K6904" s="3" t="s">
        <v>23</v>
      </c>
    </row>
    <row r="6905" spans="1:11" ht="42" customHeight="1">
      <c r="A6905" s="2" t="s">
        <v>17324</v>
      </c>
      <c r="B6905" s="2" t="s">
        <v>17325</v>
      </c>
      <c r="C6905" s="2" t="s">
        <v>26</v>
      </c>
      <c r="D6905" s="2" t="s">
        <v>27</v>
      </c>
      <c r="E6905" s="4">
        <v>-31938</v>
      </c>
      <c r="F6905" s="3" t="s">
        <v>324</v>
      </c>
      <c r="G6905" s="3" t="s">
        <v>404</v>
      </c>
      <c r="H6905" s="2" t="s">
        <v>21</v>
      </c>
      <c r="I6905" s="2" t="s">
        <v>17326</v>
      </c>
      <c r="J6905" s="3" t="str">
        <f>HYPERLINK("https://www.boe.es/gazeta/dias/1812/07/21/pdfs/GMD-1812-203.pdf#page=4","Abrir facsímil")</f>
        <v>Abrir facsímil</v>
      </c>
      <c r="K6905" s="3" t="s">
        <v>23</v>
      </c>
    </row>
    <row r="6906" spans="1:11" ht="42" customHeight="1">
      <c r="A6906" s="2" t="s">
        <v>17327</v>
      </c>
      <c r="B6906" s="2" t="s">
        <v>17328</v>
      </c>
      <c r="C6906" s="2" t="s">
        <v>26</v>
      </c>
      <c r="D6906" s="2" t="s">
        <v>27</v>
      </c>
      <c r="E6906" s="4">
        <v>-32006</v>
      </c>
      <c r="F6906" s="3" t="s">
        <v>190</v>
      </c>
      <c r="G6906" s="3" t="s">
        <v>994</v>
      </c>
      <c r="H6906" s="2" t="s">
        <v>21</v>
      </c>
      <c r="I6906" s="2" t="s">
        <v>17329</v>
      </c>
      <c r="J6906" s="3" t="str">
        <f>HYPERLINK("https://www.boe.es/gazeta/dias/1812/05/14/pdfs/GRE-1812-60.pdf#page=2","Abrir facsímil")</f>
        <v>Abrir facsímil</v>
      </c>
      <c r="K6906" s="3" t="s">
        <v>23</v>
      </c>
    </row>
    <row r="6907" spans="1:11" ht="42" customHeight="1">
      <c r="A6907" s="2" t="s">
        <v>17330</v>
      </c>
      <c r="B6907" s="2" t="s">
        <v>17331</v>
      </c>
      <c r="C6907" s="2" t="s">
        <v>26</v>
      </c>
      <c r="D6907" s="2" t="s">
        <v>573</v>
      </c>
      <c r="E6907" s="4">
        <v>-31900</v>
      </c>
      <c r="F6907" s="3" t="s">
        <v>276</v>
      </c>
      <c r="G6907" s="3" t="s">
        <v>277</v>
      </c>
      <c r="H6907" s="2" t="s">
        <v>21</v>
      </c>
      <c r="I6907" s="2" t="s">
        <v>17332</v>
      </c>
      <c r="J6907" s="3" t="str">
        <f>HYPERLINK("https://www.boe.es/gazeta/dias/1812/08/28/pdfs/GRE-1812-113E.pdf#page=8","Abrir facsímil")</f>
        <v>Abrir facsímil</v>
      </c>
      <c r="K6907" s="3" t="s">
        <v>23</v>
      </c>
    </row>
    <row r="6908" spans="1:11" ht="42" customHeight="1">
      <c r="A6908" s="2" t="s">
        <v>17333</v>
      </c>
      <c r="B6908" s="2" t="s">
        <v>17333</v>
      </c>
      <c r="C6908" s="2" t="s">
        <v>17</v>
      </c>
      <c r="D6908" s="2" t="s">
        <v>27</v>
      </c>
      <c r="E6908" s="4">
        <v>-31793</v>
      </c>
      <c r="F6908" s="3" t="s">
        <v>2570</v>
      </c>
      <c r="G6908" s="3" t="s">
        <v>217</v>
      </c>
      <c r="H6908" s="2" t="s">
        <v>21</v>
      </c>
      <c r="I6908" s="2" t="s">
        <v>17334</v>
      </c>
      <c r="J6908" s="3" t="str">
        <f>HYPERLINK("https://www.boe.es/gazeta/dias/1812/12/13/pdfs/GMD-1812-236.pdf#page=4","Abrir facsímil")</f>
        <v>Abrir facsímil</v>
      </c>
      <c r="K6908" s="3" t="s">
        <v>23</v>
      </c>
    </row>
    <row r="6909" spans="1:11" ht="42" customHeight="1">
      <c r="A6909" s="2" t="s">
        <v>17335</v>
      </c>
      <c r="B6909" s="2" t="s">
        <v>17336</v>
      </c>
      <c r="C6909" s="2" t="s">
        <v>17</v>
      </c>
      <c r="D6909" s="2" t="s">
        <v>18</v>
      </c>
      <c r="E6909" s="4">
        <v>-32138</v>
      </c>
      <c r="F6909" s="3" t="s">
        <v>2714</v>
      </c>
      <c r="G6909" s="3" t="s">
        <v>1907</v>
      </c>
      <c r="H6909" s="2" t="s">
        <v>21</v>
      </c>
      <c r="I6909" s="2" t="s">
        <v>17337</v>
      </c>
      <c r="J6909" s="3" t="str">
        <f>HYPERLINK("https://www.boe.es/gazeta/dias/1812/01/03/pdfs/GMD-1812-3.pdf#page=2","Abrir facsímil")</f>
        <v>Abrir facsímil</v>
      </c>
      <c r="K6909" s="3" t="s">
        <v>23</v>
      </c>
    </row>
    <row r="6910" spans="1:11" ht="42" customHeight="1">
      <c r="A6910" s="2" t="s">
        <v>17338</v>
      </c>
      <c r="B6910" s="2" t="s">
        <v>17339</v>
      </c>
      <c r="C6910" s="2" t="s">
        <v>26</v>
      </c>
      <c r="D6910" s="2" t="s">
        <v>27</v>
      </c>
      <c r="E6910" s="4">
        <v>-31866</v>
      </c>
      <c r="F6910" s="3" t="s">
        <v>845</v>
      </c>
      <c r="G6910" s="3" t="s">
        <v>2358</v>
      </c>
      <c r="H6910" s="2" t="s">
        <v>21</v>
      </c>
      <c r="I6910" s="2" t="s">
        <v>17340</v>
      </c>
      <c r="J6910" s="3" t="str">
        <f>HYPERLINK("https://www.boe.es/gazeta/dias/1812/10/01/pdfs/GRE-1812-133.pdf#page=4","Abrir facsímil")</f>
        <v>Abrir facsímil</v>
      </c>
      <c r="K6910" s="3" t="s">
        <v>23</v>
      </c>
    </row>
    <row r="6911" spans="1:11" ht="42" customHeight="1">
      <c r="A6911" s="2" t="s">
        <v>17341</v>
      </c>
      <c r="B6911" s="2" t="s">
        <v>17341</v>
      </c>
      <c r="C6911" s="2" t="s">
        <v>26</v>
      </c>
      <c r="D6911" s="2" t="s">
        <v>27</v>
      </c>
      <c r="E6911" s="4">
        <v>-32063</v>
      </c>
      <c r="F6911" s="3" t="s">
        <v>384</v>
      </c>
      <c r="G6911" s="3" t="s">
        <v>125</v>
      </c>
      <c r="H6911" s="2" t="s">
        <v>21</v>
      </c>
      <c r="I6911" s="2" t="s">
        <v>17342</v>
      </c>
      <c r="J6911" s="3" t="str">
        <f>HYPERLINK("https://www.boe.es/gazeta/dias/1812/03/18/pdfs/GMD-1812-78.pdf#page=3","Abrir facsímil")</f>
        <v>Abrir facsímil</v>
      </c>
      <c r="K6911" s="3" t="s">
        <v>23</v>
      </c>
    </row>
    <row r="6912" spans="1:11" ht="42" customHeight="1">
      <c r="A6912" s="2" t="s">
        <v>17341</v>
      </c>
      <c r="B6912" s="2" t="s">
        <v>17341</v>
      </c>
      <c r="C6912" s="2" t="s">
        <v>26</v>
      </c>
      <c r="D6912" s="2" t="s">
        <v>27</v>
      </c>
      <c r="E6912" s="4">
        <v>-32055</v>
      </c>
      <c r="F6912" s="3" t="s">
        <v>1271</v>
      </c>
      <c r="G6912" s="3" t="s">
        <v>130</v>
      </c>
      <c r="H6912" s="2" t="s">
        <v>21</v>
      </c>
      <c r="I6912" s="2" t="s">
        <v>17343</v>
      </c>
      <c r="J6912" s="3" t="str">
        <f>HYPERLINK("https://www.boe.es/gazeta/dias/1812/03/26/pdfs/GMD-1812-86.pdf#page=4","Abrir facsímil")</f>
        <v>Abrir facsímil</v>
      </c>
      <c r="K6912" s="3" t="s">
        <v>23</v>
      </c>
    </row>
    <row r="6913" spans="1:11" ht="42" customHeight="1">
      <c r="A6913" s="2" t="s">
        <v>17344</v>
      </c>
      <c r="B6913" s="2" t="s">
        <v>17344</v>
      </c>
      <c r="C6913" s="2" t="s">
        <v>17</v>
      </c>
      <c r="D6913" s="2" t="s">
        <v>18</v>
      </c>
      <c r="E6913" s="4">
        <v>-31859</v>
      </c>
      <c r="F6913" s="3" t="s">
        <v>158</v>
      </c>
      <c r="G6913" s="3" t="s">
        <v>404</v>
      </c>
      <c r="H6913" s="2" t="s">
        <v>21</v>
      </c>
      <c r="I6913" s="2" t="s">
        <v>17345</v>
      </c>
      <c r="J6913" s="3" t="str">
        <f>HYPERLINK("https://www.boe.es/gazeta/dias/1812/10/08/pdfs/GMR-1812-24.pdf#page=1","Abrir facsímil")</f>
        <v>Abrir facsímil</v>
      </c>
      <c r="K6913" s="3" t="s">
        <v>23</v>
      </c>
    </row>
    <row r="6914" spans="1:11" ht="42" customHeight="1">
      <c r="A6914" s="2" t="s">
        <v>17346</v>
      </c>
      <c r="B6914" s="2" t="s">
        <v>17346</v>
      </c>
      <c r="C6914" s="2" t="s">
        <v>17</v>
      </c>
      <c r="D6914" s="2" t="s">
        <v>27</v>
      </c>
      <c r="E6914" s="4">
        <v>-32060</v>
      </c>
      <c r="F6914" s="3" t="s">
        <v>1403</v>
      </c>
      <c r="G6914" s="3" t="s">
        <v>1432</v>
      </c>
      <c r="H6914" s="2" t="s">
        <v>21</v>
      </c>
      <c r="I6914" s="2" t="s">
        <v>17347</v>
      </c>
      <c r="J6914" s="3" t="str">
        <f>HYPERLINK("https://www.boe.es/gazeta/dias/1812/03/21/pdfs/GRE-1812-36.pdf#page=2","Abrir facsímil")</f>
        <v>Abrir facsímil</v>
      </c>
      <c r="K6914" s="3" t="s">
        <v>23</v>
      </c>
    </row>
    <row r="6915" spans="1:11" ht="42" customHeight="1">
      <c r="A6915" s="2" t="s">
        <v>17348</v>
      </c>
      <c r="B6915" s="2" t="s">
        <v>17349</v>
      </c>
      <c r="C6915" s="2" t="s">
        <v>26</v>
      </c>
      <c r="D6915" s="2" t="s">
        <v>27</v>
      </c>
      <c r="E6915" s="4">
        <v>-32116</v>
      </c>
      <c r="F6915" s="3" t="s">
        <v>993</v>
      </c>
      <c r="G6915" s="3" t="s">
        <v>1958</v>
      </c>
      <c r="H6915" s="2" t="s">
        <v>21</v>
      </c>
      <c r="I6915" s="2" t="s">
        <v>17350</v>
      </c>
      <c r="J6915" s="3" t="str">
        <f>HYPERLINK("https://www.boe.es/gazeta/dias/1812/01/25/pdfs/GEI-1812-11.pdf#page=5","Abrir facsímil")</f>
        <v>Abrir facsímil</v>
      </c>
      <c r="K6915" s="3" t="s">
        <v>23</v>
      </c>
    </row>
    <row r="6916" spans="1:11" ht="42" customHeight="1">
      <c r="A6916" s="2" t="s">
        <v>17351</v>
      </c>
      <c r="B6916" s="2" t="s">
        <v>17352</v>
      </c>
      <c r="C6916" s="2" t="s">
        <v>26</v>
      </c>
      <c r="D6916" s="2" t="s">
        <v>275</v>
      </c>
      <c r="E6916" s="4">
        <v>-31964</v>
      </c>
      <c r="F6916" s="3" t="s">
        <v>305</v>
      </c>
      <c r="G6916" s="3" t="s">
        <v>58</v>
      </c>
      <c r="H6916" s="2" t="s">
        <v>21</v>
      </c>
      <c r="I6916" s="2" t="s">
        <v>17353</v>
      </c>
      <c r="J6916" s="3" t="str">
        <f>HYPERLINK("https://www.boe.es/gazeta/dias/1812/06/25/pdfs/GMD-1812-177.pdf#page=2","Abrir facsímil")</f>
        <v>Abrir facsímil</v>
      </c>
      <c r="K6916" s="3" t="s">
        <v>23</v>
      </c>
    </row>
    <row r="6917" spans="1:11" ht="42" customHeight="1">
      <c r="A6917" s="2" t="s">
        <v>17354</v>
      </c>
      <c r="B6917" s="2" t="s">
        <v>17355</v>
      </c>
      <c r="C6917" s="2" t="s">
        <v>26</v>
      </c>
      <c r="D6917" s="2" t="s">
        <v>27</v>
      </c>
      <c r="E6917" s="4">
        <v>-31843</v>
      </c>
      <c r="F6917" s="3" t="s">
        <v>6436</v>
      </c>
      <c r="G6917" s="3" t="s">
        <v>7883</v>
      </c>
      <c r="H6917" s="2" t="s">
        <v>21</v>
      </c>
      <c r="I6917" s="2" t="s">
        <v>17356</v>
      </c>
      <c r="J6917" s="3" t="str">
        <f>HYPERLINK("https://www.boe.es/gazeta/dias/1812/10/24/pdfs/GRE-1812-143.pdf#page=3","Abrir facsímil")</f>
        <v>Abrir facsímil</v>
      </c>
      <c r="K6917" s="3" t="s">
        <v>23</v>
      </c>
    </row>
    <row r="6918" spans="1:11" ht="42" customHeight="1">
      <c r="A6918" s="2" t="s">
        <v>17357</v>
      </c>
      <c r="B6918" s="2" t="s">
        <v>17357</v>
      </c>
      <c r="C6918" s="2" t="s">
        <v>17</v>
      </c>
      <c r="D6918" s="2" t="s">
        <v>18</v>
      </c>
      <c r="E6918" s="4">
        <v>-31859</v>
      </c>
      <c r="F6918" s="3" t="s">
        <v>3024</v>
      </c>
      <c r="G6918" s="3" t="s">
        <v>217</v>
      </c>
      <c r="H6918" s="2" t="s">
        <v>21</v>
      </c>
      <c r="I6918" s="2" t="s">
        <v>17358</v>
      </c>
      <c r="J6918" s="3" t="str">
        <f>HYPERLINK("https://www.boe.es/gazeta/dias/1812/10/08/pdfs/GRE-1812-136.pdf#page=5","Abrir facsímil")</f>
        <v>Abrir facsímil</v>
      </c>
      <c r="K6918" s="3" t="s">
        <v>23</v>
      </c>
    </row>
    <row r="6919" spans="1:11" ht="42" customHeight="1">
      <c r="A6919" s="2" t="s">
        <v>17359</v>
      </c>
      <c r="B6919" s="2" t="s">
        <v>17359</v>
      </c>
      <c r="C6919" s="2" t="s">
        <v>17</v>
      </c>
      <c r="D6919" s="2" t="s">
        <v>18</v>
      </c>
      <c r="E6919" s="4">
        <v>-31868</v>
      </c>
      <c r="F6919" s="3" t="s">
        <v>1833</v>
      </c>
      <c r="G6919" s="3" t="s">
        <v>2280</v>
      </c>
      <c r="H6919" s="2" t="s">
        <v>21</v>
      </c>
      <c r="I6919" s="2" t="s">
        <v>17360</v>
      </c>
      <c r="J6919" s="3" t="str">
        <f>HYPERLINK("https://www.boe.es/gazeta/dias/1812/09/29/pdfs/GMR-1812-20.pdf#page=1","Abrir facsímil")</f>
        <v>Abrir facsímil</v>
      </c>
      <c r="K6919" s="3" t="s">
        <v>23</v>
      </c>
    </row>
    <row r="6920" spans="1:11" ht="42" customHeight="1">
      <c r="A6920" s="2" t="s">
        <v>17359</v>
      </c>
      <c r="B6920" s="2" t="s">
        <v>17359</v>
      </c>
      <c r="C6920" s="2" t="s">
        <v>17</v>
      </c>
      <c r="D6920" s="2" t="s">
        <v>18</v>
      </c>
      <c r="E6920" s="4">
        <v>-31868</v>
      </c>
      <c r="F6920" s="3" t="s">
        <v>1833</v>
      </c>
      <c r="G6920" s="3" t="s">
        <v>45</v>
      </c>
      <c r="H6920" s="2" t="s">
        <v>21</v>
      </c>
      <c r="I6920" s="2" t="s">
        <v>17361</v>
      </c>
      <c r="J6920" s="3" t="str">
        <f>HYPERLINK("https://www.boe.es/gazeta/dias/1812/09/29/pdfs/GMR-1812-20.pdf#page=2","Abrir facsímil")</f>
        <v>Abrir facsímil</v>
      </c>
      <c r="K6920" s="3" t="s">
        <v>23</v>
      </c>
    </row>
    <row r="6921" spans="1:11" ht="42" customHeight="1">
      <c r="A6921" s="2" t="s">
        <v>17359</v>
      </c>
      <c r="B6921" s="2" t="s">
        <v>17359</v>
      </c>
      <c r="C6921" s="2" t="s">
        <v>17</v>
      </c>
      <c r="D6921" s="2" t="s">
        <v>18</v>
      </c>
      <c r="E6921" s="4">
        <v>-31791</v>
      </c>
      <c r="F6921" s="3" t="s">
        <v>1668</v>
      </c>
      <c r="G6921" s="3" t="s">
        <v>1669</v>
      </c>
      <c r="H6921" s="2" t="s">
        <v>21</v>
      </c>
      <c r="I6921" s="2" t="s">
        <v>17362</v>
      </c>
      <c r="J6921" s="3" t="str">
        <f>HYPERLINK("https://www.boe.es/gazeta/dias/1812/12/15/pdfs/GMD-1812-238.pdf#page=3","Abrir facsímil")</f>
        <v>Abrir facsímil</v>
      </c>
      <c r="K6921" s="3" t="s">
        <v>23</v>
      </c>
    </row>
    <row r="6922" spans="1:11" ht="42" customHeight="1">
      <c r="A6922" s="2" t="s">
        <v>17363</v>
      </c>
      <c r="B6922" s="2" t="s">
        <v>17364</v>
      </c>
      <c r="C6922" s="2" t="s">
        <v>17</v>
      </c>
      <c r="D6922" s="2" t="s">
        <v>27</v>
      </c>
      <c r="E6922" s="4">
        <v>-32067</v>
      </c>
      <c r="F6922" s="3" t="s">
        <v>199</v>
      </c>
      <c r="G6922" s="3" t="s">
        <v>237</v>
      </c>
      <c r="H6922" s="2" t="s">
        <v>21</v>
      </c>
      <c r="I6922" s="2" t="s">
        <v>17365</v>
      </c>
      <c r="J6922" s="3" t="str">
        <f>HYPERLINK("https://www.boe.es/gazeta/dias/1812/03/14/pdfs/GRE-1812-33.pdf#page=8","Abrir facsímil")</f>
        <v>Abrir facsímil</v>
      </c>
      <c r="K6922" s="3" t="s">
        <v>23</v>
      </c>
    </row>
    <row r="6923" spans="1:11" ht="42" customHeight="1">
      <c r="A6923" s="2" t="s">
        <v>17366</v>
      </c>
      <c r="B6923" s="2" t="s">
        <v>17366</v>
      </c>
      <c r="C6923" s="2" t="s">
        <v>17</v>
      </c>
      <c r="D6923" s="2" t="s">
        <v>27</v>
      </c>
      <c r="E6923" s="4">
        <v>-31852</v>
      </c>
      <c r="F6923" s="3" t="s">
        <v>2145</v>
      </c>
      <c r="G6923" s="3" t="s">
        <v>2866</v>
      </c>
      <c r="H6923" s="2" t="s">
        <v>21</v>
      </c>
      <c r="I6923" s="2" t="s">
        <v>17367</v>
      </c>
      <c r="J6923" s="3" t="str">
        <f>HYPERLINK("https://www.boe.es/gazeta/dias/1812/10/15/pdfs/GRE-1812-139.pdf#page=3","Abrir facsímil")</f>
        <v>Abrir facsímil</v>
      </c>
      <c r="K6923" s="3" t="s">
        <v>23</v>
      </c>
    </row>
    <row r="6924" spans="1:11" ht="42" customHeight="1">
      <c r="A6924" s="2" t="s">
        <v>17368</v>
      </c>
      <c r="B6924" s="2" t="s">
        <v>17369</v>
      </c>
      <c r="C6924" s="2" t="s">
        <v>17</v>
      </c>
      <c r="D6924" s="2" t="s">
        <v>27</v>
      </c>
      <c r="E6924" s="4">
        <v>-31922</v>
      </c>
      <c r="F6924" s="3" t="s">
        <v>375</v>
      </c>
      <c r="G6924" s="3" t="s">
        <v>5327</v>
      </c>
      <c r="H6924" s="2" t="s">
        <v>21</v>
      </c>
      <c r="I6924" s="2" t="s">
        <v>17370</v>
      </c>
      <c r="J6924" s="3" t="str">
        <f>HYPERLINK("https://www.boe.es/gazeta/dias/1812/08/06/pdfs/GRE-1812-100.pdf#page=3","Abrir facsímil")</f>
        <v>Abrir facsímil</v>
      </c>
      <c r="K6924" s="3" t="s">
        <v>23</v>
      </c>
    </row>
    <row r="6925" spans="1:11" ht="42" customHeight="1">
      <c r="A6925" s="2" t="s">
        <v>17371</v>
      </c>
      <c r="B6925" s="2" t="s">
        <v>17372</v>
      </c>
      <c r="C6925" s="2" t="s">
        <v>105</v>
      </c>
      <c r="D6925" s="2" t="s">
        <v>27</v>
      </c>
      <c r="E6925" s="4">
        <v>-32110</v>
      </c>
      <c r="F6925" s="3" t="s">
        <v>68</v>
      </c>
      <c r="G6925" s="3" t="s">
        <v>20</v>
      </c>
      <c r="H6925" s="2" t="s">
        <v>21</v>
      </c>
      <c r="I6925" s="2" t="s">
        <v>17373</v>
      </c>
      <c r="J6925" s="3" t="str">
        <f>HYPERLINK("https://www.boe.es/gazeta/dias/1812/01/31/pdfs/GMD-1812-31.pdf#page=4","Abrir facsímil")</f>
        <v>Abrir facsímil</v>
      </c>
      <c r="K6925" s="3" t="s">
        <v>23</v>
      </c>
    </row>
    <row r="6926" spans="1:11" ht="42" customHeight="1">
      <c r="A6926" s="2" t="s">
        <v>17374</v>
      </c>
      <c r="B6926" s="2" t="s">
        <v>17375</v>
      </c>
      <c r="C6926" s="2" t="s">
        <v>26</v>
      </c>
      <c r="D6926" s="2" t="s">
        <v>27</v>
      </c>
      <c r="E6926" s="4">
        <v>-32095</v>
      </c>
      <c r="F6926" s="3" t="s">
        <v>284</v>
      </c>
      <c r="G6926" s="3" t="s">
        <v>29</v>
      </c>
      <c r="H6926" s="2" t="s">
        <v>21</v>
      </c>
      <c r="I6926" s="2" t="s">
        <v>17376</v>
      </c>
      <c r="J6926" s="3" t="str">
        <f>HYPERLINK("https://www.boe.es/gazeta/dias/1812/02/15/pdfs/GRE-1812-20.pdf#page=8","Abrir facsímil")</f>
        <v>Abrir facsímil</v>
      </c>
      <c r="K6926" s="3" t="s">
        <v>23</v>
      </c>
    </row>
    <row r="6927" spans="1:11" ht="42" customHeight="1">
      <c r="A6927" s="2" t="s">
        <v>17377</v>
      </c>
      <c r="B6927" s="2" t="s">
        <v>17378</v>
      </c>
      <c r="C6927" s="2" t="s">
        <v>17</v>
      </c>
      <c r="D6927" s="2" t="s">
        <v>27</v>
      </c>
      <c r="E6927" s="4">
        <v>-32109</v>
      </c>
      <c r="F6927" s="3" t="s">
        <v>62</v>
      </c>
      <c r="G6927" s="3" t="s">
        <v>472</v>
      </c>
      <c r="H6927" s="2" t="s">
        <v>21</v>
      </c>
      <c r="I6927" s="2" t="s">
        <v>17379</v>
      </c>
      <c r="J6927" s="3" t="str">
        <f>HYPERLINK("https://www.boe.es/gazeta/dias/1812/02/01/pdfs/GRE-1812-14.pdf#page=12","Abrir facsímil")</f>
        <v>Abrir facsímil</v>
      </c>
      <c r="K6927" s="3" t="s">
        <v>23</v>
      </c>
    </row>
    <row r="6928" spans="1:11" ht="42" customHeight="1">
      <c r="A6928" s="2" t="s">
        <v>17380</v>
      </c>
      <c r="B6928" s="2" t="s">
        <v>17380</v>
      </c>
      <c r="C6928" s="2" t="s">
        <v>17</v>
      </c>
      <c r="D6928" s="2" t="s">
        <v>27</v>
      </c>
      <c r="E6928" s="4">
        <v>-32134</v>
      </c>
      <c r="F6928" s="3" t="s">
        <v>50</v>
      </c>
      <c r="G6928" s="3" t="s">
        <v>20</v>
      </c>
      <c r="H6928" s="2" t="s">
        <v>21</v>
      </c>
      <c r="I6928" s="2" t="s">
        <v>17381</v>
      </c>
      <c r="J6928" s="3" t="str">
        <f>HYPERLINK("https://www.boe.es/gazeta/dias/1812/01/07/pdfs/GEI-1812-3.pdf#page=2","Abrir facsímil")</f>
        <v>Abrir facsímil</v>
      </c>
      <c r="K6928" s="3" t="s">
        <v>23</v>
      </c>
    </row>
    <row r="6929" spans="1:11" ht="42" customHeight="1">
      <c r="A6929" s="2" t="s">
        <v>17380</v>
      </c>
      <c r="B6929" s="2" t="s">
        <v>17380</v>
      </c>
      <c r="C6929" s="2" t="s">
        <v>17</v>
      </c>
      <c r="D6929" s="2" t="s">
        <v>18</v>
      </c>
      <c r="E6929" s="4">
        <v>-32134</v>
      </c>
      <c r="F6929" s="3" t="s">
        <v>50</v>
      </c>
      <c r="G6929" s="3" t="s">
        <v>1980</v>
      </c>
      <c r="H6929" s="2" t="s">
        <v>21</v>
      </c>
      <c r="I6929" s="2" t="s">
        <v>17382</v>
      </c>
      <c r="J6929" s="3" t="str">
        <f>HYPERLINK("https://www.boe.es/gazeta/dias/1812/01/07/pdfs/GEI-1812-3.pdf#page=3","Abrir facsímil")</f>
        <v>Abrir facsímil</v>
      </c>
      <c r="K6929" s="3" t="s">
        <v>23</v>
      </c>
    </row>
    <row r="6930" spans="1:11" ht="42" customHeight="1">
      <c r="A6930" s="2" t="s">
        <v>17383</v>
      </c>
      <c r="B6930" s="2" t="s">
        <v>17383</v>
      </c>
      <c r="C6930" s="2" t="s">
        <v>17</v>
      </c>
      <c r="D6930" s="2" t="s">
        <v>27</v>
      </c>
      <c r="E6930" s="4">
        <v>-32134</v>
      </c>
      <c r="F6930" s="3" t="s">
        <v>50</v>
      </c>
      <c r="G6930" s="3" t="s">
        <v>45</v>
      </c>
      <c r="H6930" s="2" t="s">
        <v>21</v>
      </c>
      <c r="I6930" s="2" t="s">
        <v>17384</v>
      </c>
      <c r="J6930" s="3" t="str">
        <f>HYPERLINK("https://www.boe.es/gazeta/dias/1812/01/07/pdfs/GEI-1812-3.pdf#page=4","Abrir facsímil")</f>
        <v>Abrir facsímil</v>
      </c>
      <c r="K6930" s="3" t="s">
        <v>23</v>
      </c>
    </row>
    <row r="6931" spans="1:11" ht="42" customHeight="1">
      <c r="A6931" s="2" t="s">
        <v>17380</v>
      </c>
      <c r="B6931" s="2" t="s">
        <v>17380</v>
      </c>
      <c r="C6931" s="2" t="s">
        <v>17</v>
      </c>
      <c r="D6931" s="2" t="s">
        <v>18</v>
      </c>
      <c r="E6931" s="4">
        <v>-32027</v>
      </c>
      <c r="F6931" s="3" t="s">
        <v>803</v>
      </c>
      <c r="G6931" s="3" t="s">
        <v>106</v>
      </c>
      <c r="H6931" s="2" t="s">
        <v>21</v>
      </c>
      <c r="I6931" s="2" t="s">
        <v>17385</v>
      </c>
      <c r="J6931" s="3" t="str">
        <f>HYPERLINK("https://www.boe.es/gazeta/dias/1812/04/23/pdfs/GRE-1812-51.pdf#page=3","Abrir facsímil")</f>
        <v>Abrir facsímil</v>
      </c>
      <c r="K6931" s="3" t="s">
        <v>23</v>
      </c>
    </row>
    <row r="6932" spans="1:11" ht="42" customHeight="1">
      <c r="A6932" s="2" t="s">
        <v>17380</v>
      </c>
      <c r="B6932" s="2" t="s">
        <v>17380</v>
      </c>
      <c r="C6932" s="2" t="s">
        <v>17</v>
      </c>
      <c r="D6932" s="2" t="s">
        <v>27</v>
      </c>
      <c r="E6932" s="4">
        <v>-31887</v>
      </c>
      <c r="F6932" s="3" t="s">
        <v>701</v>
      </c>
      <c r="G6932" s="3" t="s">
        <v>233</v>
      </c>
      <c r="H6932" s="2" t="s">
        <v>21</v>
      </c>
      <c r="I6932" s="2" t="s">
        <v>17386</v>
      </c>
      <c r="J6932" s="3" t="str">
        <f>HYPERLINK("https://www.boe.es/gazeta/dias/1812/09/10/pdfs/GMR-1812-12.pdf#page=7","Abrir facsímil")</f>
        <v>Abrir facsímil</v>
      </c>
      <c r="K6932" s="3" t="s">
        <v>23</v>
      </c>
    </row>
    <row r="6933" spans="1:11" ht="42" customHeight="1">
      <c r="A6933" s="2" t="s">
        <v>17387</v>
      </c>
      <c r="B6933" s="2" t="s">
        <v>17388</v>
      </c>
      <c r="C6933" s="2" t="s">
        <v>26</v>
      </c>
      <c r="D6933" s="2" t="s">
        <v>27</v>
      </c>
      <c r="E6933" s="4">
        <v>-31936</v>
      </c>
      <c r="F6933" s="3" t="s">
        <v>614</v>
      </c>
      <c r="G6933" s="3" t="s">
        <v>615</v>
      </c>
      <c r="H6933" s="2" t="s">
        <v>21</v>
      </c>
      <c r="I6933" s="2" t="s">
        <v>17389</v>
      </c>
      <c r="J6933" s="3" t="str">
        <f>HYPERLINK("https://www.boe.es/gazeta/dias/1812/07/23/pdfs/GRE-1812-92.pdf#page=8","Abrir facsímil")</f>
        <v>Abrir facsímil</v>
      </c>
      <c r="K6933" s="3" t="s">
        <v>23</v>
      </c>
    </row>
    <row r="6934" spans="1:11" ht="42" customHeight="1">
      <c r="A6934" s="2" t="s">
        <v>17390</v>
      </c>
      <c r="B6934" s="2" t="s">
        <v>17391</v>
      </c>
      <c r="C6934" s="2" t="s">
        <v>26</v>
      </c>
      <c r="D6934" s="2" t="s">
        <v>27</v>
      </c>
      <c r="E6934" s="4">
        <v>-31857</v>
      </c>
      <c r="F6934" s="3" t="s">
        <v>1000</v>
      </c>
      <c r="G6934" s="3" t="s">
        <v>1001</v>
      </c>
      <c r="H6934" s="2" t="s">
        <v>21</v>
      </c>
      <c r="I6934" s="2" t="s">
        <v>17392</v>
      </c>
      <c r="J6934" s="3" t="str">
        <f>HYPERLINK("https://www.boe.es/gazeta/dias/1812/10/10/pdfs/GRE-1812-137.pdf#page=7","Abrir facsímil")</f>
        <v>Abrir facsímil</v>
      </c>
      <c r="K6934" s="3" t="s">
        <v>23</v>
      </c>
    </row>
    <row r="6935" spans="1:11" ht="42" customHeight="1">
      <c r="A6935" s="2" t="s">
        <v>17393</v>
      </c>
      <c r="B6935" s="2" t="s">
        <v>17394</v>
      </c>
      <c r="C6935" s="2" t="s">
        <v>26</v>
      </c>
      <c r="D6935" s="2" t="s">
        <v>27</v>
      </c>
      <c r="E6935" s="4">
        <v>-31939</v>
      </c>
      <c r="F6935" s="3" t="s">
        <v>408</v>
      </c>
      <c r="G6935" s="3" t="s">
        <v>20</v>
      </c>
      <c r="H6935" s="2" t="s">
        <v>21</v>
      </c>
      <c r="I6935" s="2" t="s">
        <v>17395</v>
      </c>
      <c r="J6935" s="3" t="str">
        <f>HYPERLINK("https://www.boe.es/gazeta/dias/1812/07/20/pdfs/GMD-1812-202.pdf#page=4","Abrir facsímil")</f>
        <v>Abrir facsímil</v>
      </c>
      <c r="K6935" s="3" t="s">
        <v>23</v>
      </c>
    </row>
    <row r="6936" spans="1:11" ht="42" customHeight="1">
      <c r="A6936" s="2" t="s">
        <v>17396</v>
      </c>
      <c r="B6936" s="2" t="s">
        <v>17397</v>
      </c>
      <c r="C6936" s="2" t="s">
        <v>17</v>
      </c>
      <c r="D6936" s="2" t="s">
        <v>27</v>
      </c>
      <c r="E6936" s="4">
        <v>-31951</v>
      </c>
      <c r="F6936" s="3" t="s">
        <v>1603</v>
      </c>
      <c r="G6936" s="3" t="s">
        <v>214</v>
      </c>
      <c r="H6936" s="2" t="s">
        <v>21</v>
      </c>
      <c r="I6936" s="2" t="s">
        <v>17398</v>
      </c>
      <c r="J6936" s="3" t="str">
        <f>HYPERLINK("https://www.boe.es/gazeta/dias/1812/07/08/pdfs/GMD-1812-190.pdf#page=4","Abrir facsímil")</f>
        <v>Abrir facsímil</v>
      </c>
      <c r="K6936" s="3" t="s">
        <v>23</v>
      </c>
    </row>
    <row r="6937" spans="1:11" ht="42" customHeight="1">
      <c r="A6937" s="2" t="s">
        <v>17399</v>
      </c>
      <c r="B6937" s="2" t="s">
        <v>17400</v>
      </c>
      <c r="C6937" s="2" t="s">
        <v>26</v>
      </c>
      <c r="D6937" s="2" t="s">
        <v>27</v>
      </c>
      <c r="E6937" s="4">
        <v>-31939</v>
      </c>
      <c r="F6937" s="3" t="s">
        <v>408</v>
      </c>
      <c r="G6937" s="3" t="s">
        <v>20</v>
      </c>
      <c r="H6937" s="2" t="s">
        <v>21</v>
      </c>
      <c r="I6937" s="2" t="s">
        <v>17401</v>
      </c>
      <c r="J6937" s="3" t="str">
        <f>HYPERLINK("https://www.boe.es/gazeta/dias/1812/07/20/pdfs/GMD-1812-202.pdf#page=4","Abrir facsímil")</f>
        <v>Abrir facsímil</v>
      </c>
      <c r="K6937" s="3" t="s">
        <v>23</v>
      </c>
    </row>
    <row r="6938" spans="1:11" ht="42" customHeight="1">
      <c r="A6938" s="2" t="s">
        <v>17402</v>
      </c>
      <c r="B6938" s="2" t="s">
        <v>17403</v>
      </c>
      <c r="C6938" s="2" t="s">
        <v>26</v>
      </c>
      <c r="D6938" s="2" t="s">
        <v>27</v>
      </c>
      <c r="E6938" s="4">
        <v>-32125</v>
      </c>
      <c r="F6938" s="3" t="s">
        <v>335</v>
      </c>
      <c r="G6938" s="3" t="s">
        <v>336</v>
      </c>
      <c r="H6938" s="2" t="s">
        <v>21</v>
      </c>
      <c r="I6938" s="2" t="s">
        <v>17404</v>
      </c>
      <c r="J6938" s="3" t="str">
        <f>HYPERLINK("https://www.boe.es/gazeta/dias/1812/01/16/pdfs/GEI-1812-7.pdf#page=8","Abrir facsímil")</f>
        <v>Abrir facsímil</v>
      </c>
      <c r="K6938" s="3" t="s">
        <v>23</v>
      </c>
    </row>
    <row r="6939" spans="1:11" ht="42" customHeight="1">
      <c r="A6939" s="2" t="s">
        <v>17405</v>
      </c>
      <c r="B6939" s="2" t="s">
        <v>17406</v>
      </c>
      <c r="C6939" s="2" t="s">
        <v>17</v>
      </c>
      <c r="D6939" s="2" t="s">
        <v>27</v>
      </c>
      <c r="E6939" s="4">
        <v>-32075</v>
      </c>
      <c r="F6939" s="3" t="s">
        <v>301</v>
      </c>
      <c r="G6939" s="3" t="s">
        <v>20</v>
      </c>
      <c r="H6939" s="2" t="s">
        <v>21</v>
      </c>
      <c r="I6939" s="2" t="s">
        <v>17407</v>
      </c>
      <c r="J6939" s="3" t="str">
        <f>HYPERLINK("https://www.boe.es/gazeta/dias/1812/03/06/pdfs/GMD-1812-66.pdf#page=4","Abrir facsímil")</f>
        <v>Abrir facsímil</v>
      </c>
      <c r="K6939" s="3" t="s">
        <v>23</v>
      </c>
    </row>
    <row r="6940" spans="1:11" ht="42" customHeight="1">
      <c r="A6940" s="2" t="s">
        <v>17408</v>
      </c>
      <c r="B6940" s="2" t="s">
        <v>17409</v>
      </c>
      <c r="C6940" s="2" t="s">
        <v>115</v>
      </c>
      <c r="D6940" s="2" t="s">
        <v>27</v>
      </c>
      <c r="E6940" s="4">
        <v>-32019</v>
      </c>
      <c r="F6940" s="3" t="s">
        <v>476</v>
      </c>
      <c r="G6940" s="3" t="s">
        <v>404</v>
      </c>
      <c r="H6940" s="2" t="s">
        <v>21</v>
      </c>
      <c r="I6940" s="2" t="s">
        <v>17410</v>
      </c>
      <c r="J6940" s="3" t="str">
        <f>HYPERLINK("https://www.boe.es/gazeta/dias/1812/05/01/pdfs/GMD-1812-122.pdf#page=3","Abrir facsímil")</f>
        <v>Abrir facsímil</v>
      </c>
      <c r="K6940" s="3" t="s">
        <v>23</v>
      </c>
    </row>
    <row r="6941" spans="1:11" ht="42" customHeight="1">
      <c r="A6941" s="2" t="s">
        <v>17411</v>
      </c>
      <c r="B6941" s="2" t="s">
        <v>17412</v>
      </c>
      <c r="C6941" s="2" t="s">
        <v>26</v>
      </c>
      <c r="D6941" s="2" t="s">
        <v>27</v>
      </c>
      <c r="E6941" s="4">
        <v>-31976</v>
      </c>
      <c r="F6941" s="3" t="s">
        <v>54</v>
      </c>
      <c r="G6941" s="3" t="s">
        <v>55</v>
      </c>
      <c r="H6941" s="2" t="s">
        <v>21</v>
      </c>
      <c r="I6941" s="2" t="s">
        <v>17413</v>
      </c>
      <c r="J6941" s="3" t="str">
        <f>HYPERLINK("https://www.boe.es/gazeta/dias/1812/06/13/pdfs/GRE-1812-73.pdf#page=6","Abrir facsímil")</f>
        <v>Abrir facsímil</v>
      </c>
      <c r="K6941" s="3" t="s">
        <v>23</v>
      </c>
    </row>
    <row r="6942" spans="1:11" ht="42" customHeight="1">
      <c r="A6942" s="2" t="s">
        <v>17414</v>
      </c>
      <c r="B6942" s="2" t="s">
        <v>17415</v>
      </c>
      <c r="C6942" s="2" t="s">
        <v>49</v>
      </c>
      <c r="D6942" s="2" t="s">
        <v>27</v>
      </c>
      <c r="E6942" s="4">
        <v>-32002</v>
      </c>
      <c r="F6942" s="3" t="s">
        <v>619</v>
      </c>
      <c r="G6942" s="3" t="s">
        <v>20</v>
      </c>
      <c r="H6942" s="2" t="s">
        <v>21</v>
      </c>
      <c r="I6942" s="2" t="s">
        <v>17416</v>
      </c>
      <c r="J6942" s="3" t="str">
        <f>HYPERLINK("https://www.boe.es/gazeta/dias/1812/05/18/pdfs/GMD-1812-139.pdf#page=3","Abrir facsímil")</f>
        <v>Abrir facsímil</v>
      </c>
      <c r="K6942" s="3" t="s">
        <v>23</v>
      </c>
    </row>
    <row r="6943" spans="1:11" ht="42" customHeight="1">
      <c r="A6943" s="2" t="s">
        <v>17417</v>
      </c>
      <c r="B6943" s="2" t="s">
        <v>17417</v>
      </c>
      <c r="C6943" s="2" t="s">
        <v>26</v>
      </c>
      <c r="D6943" s="2" t="s">
        <v>27</v>
      </c>
      <c r="E6943" s="4">
        <v>-32109</v>
      </c>
      <c r="F6943" s="3" t="s">
        <v>62</v>
      </c>
      <c r="G6943" s="3" t="s">
        <v>63</v>
      </c>
      <c r="H6943" s="2" t="s">
        <v>21</v>
      </c>
      <c r="I6943" s="2" t="s">
        <v>17418</v>
      </c>
      <c r="J6943" s="3" t="str">
        <f>HYPERLINK("https://www.boe.es/gazeta/dias/1812/02/01/pdfs/GRE-1812-14.pdf#page=10","Abrir facsímil")</f>
        <v>Abrir facsímil</v>
      </c>
      <c r="K6943" s="3" t="s">
        <v>23</v>
      </c>
    </row>
    <row r="6944" spans="1:11" ht="42" customHeight="1">
      <c r="A6944" s="2" t="s">
        <v>17417</v>
      </c>
      <c r="B6944" s="2" t="s">
        <v>17417</v>
      </c>
      <c r="C6944" s="2" t="s">
        <v>26</v>
      </c>
      <c r="D6944" s="2" t="s">
        <v>27</v>
      </c>
      <c r="E6944" s="4">
        <v>-31980</v>
      </c>
      <c r="F6944" s="3" t="s">
        <v>40</v>
      </c>
      <c r="G6944" s="3" t="s">
        <v>41</v>
      </c>
      <c r="H6944" s="2" t="s">
        <v>21</v>
      </c>
      <c r="I6944" s="2" t="s">
        <v>17419</v>
      </c>
      <c r="J6944" s="3" t="str">
        <f>HYPERLINK("https://www.boe.es/gazeta/dias/1812/06/09/pdfs/GRE-1812-71.pdf#page=6","Abrir facsímil")</f>
        <v>Abrir facsímil</v>
      </c>
      <c r="K6944" s="3" t="s">
        <v>23</v>
      </c>
    </row>
    <row r="6945" spans="1:11" ht="42" customHeight="1">
      <c r="A6945" s="2" t="s">
        <v>17417</v>
      </c>
      <c r="B6945" s="2" t="s">
        <v>17417</v>
      </c>
      <c r="C6945" s="2" t="s">
        <v>26</v>
      </c>
      <c r="D6945" s="2" t="s">
        <v>27</v>
      </c>
      <c r="E6945" s="4">
        <v>-31868</v>
      </c>
      <c r="F6945" s="3" t="s">
        <v>1833</v>
      </c>
      <c r="G6945" s="3" t="s">
        <v>58</v>
      </c>
      <c r="H6945" s="2" t="s">
        <v>21</v>
      </c>
      <c r="I6945" s="2" t="s">
        <v>17420</v>
      </c>
      <c r="J6945" s="3" t="str">
        <f>HYPERLINK("https://www.boe.es/gazeta/dias/1812/09/29/pdfs/GMR-1812-20.pdf#page=4","Abrir facsímil")</f>
        <v>Abrir facsímil</v>
      </c>
      <c r="K6945" s="3" t="s">
        <v>23</v>
      </c>
    </row>
    <row r="6946" spans="1:11" ht="42" customHeight="1">
      <c r="A6946" s="2" t="s">
        <v>17421</v>
      </c>
      <c r="B6946" s="2" t="s">
        <v>17422</v>
      </c>
      <c r="C6946" s="2" t="s">
        <v>186</v>
      </c>
      <c r="D6946" s="2" t="s">
        <v>27</v>
      </c>
      <c r="E6946" s="4">
        <v>-31922</v>
      </c>
      <c r="F6946" s="3" t="s">
        <v>622</v>
      </c>
      <c r="G6946" s="3" t="s">
        <v>404</v>
      </c>
      <c r="H6946" s="2" t="s">
        <v>21</v>
      </c>
      <c r="I6946" s="2" t="s">
        <v>17423</v>
      </c>
      <c r="J6946" s="3" t="str">
        <f>HYPERLINK("https://www.boe.es/gazeta/dias/1812/08/06/pdfs/GMD-1812-219.pdf#page=2","Abrir facsímil")</f>
        <v>Abrir facsímil</v>
      </c>
      <c r="K6946" s="3" t="s">
        <v>23</v>
      </c>
    </row>
    <row r="6947" spans="1:11" ht="42" customHeight="1">
      <c r="A6947" s="2" t="s">
        <v>17424</v>
      </c>
      <c r="B6947" s="2" t="s">
        <v>17425</v>
      </c>
      <c r="C6947" s="2" t="s">
        <v>26</v>
      </c>
      <c r="D6947" s="2" t="s">
        <v>27</v>
      </c>
      <c r="E6947" s="4">
        <v>-31965</v>
      </c>
      <c r="F6947" s="3" t="s">
        <v>1180</v>
      </c>
      <c r="G6947" s="3" t="s">
        <v>777</v>
      </c>
      <c r="H6947" s="2" t="s">
        <v>21</v>
      </c>
      <c r="I6947" s="2" t="s">
        <v>17426</v>
      </c>
      <c r="J6947" s="3" t="str">
        <f>HYPERLINK("https://www.boe.es/gazeta/dias/1812/06/24/pdfs/GMD-1812-176.pdf#page=2","Abrir facsímil")</f>
        <v>Abrir facsímil</v>
      </c>
      <c r="K6947" s="3" t="s">
        <v>23</v>
      </c>
    </row>
    <row r="6948" spans="1:11" ht="42" customHeight="1">
      <c r="A6948" s="2" t="s">
        <v>17427</v>
      </c>
      <c r="B6948" s="2" t="s">
        <v>17428</v>
      </c>
      <c r="C6948" s="2" t="s">
        <v>26</v>
      </c>
      <c r="D6948" s="2" t="s">
        <v>27</v>
      </c>
      <c r="E6948" s="4">
        <v>-32034</v>
      </c>
      <c r="F6948" s="3" t="s">
        <v>28</v>
      </c>
      <c r="G6948" s="3" t="s">
        <v>130</v>
      </c>
      <c r="H6948" s="2" t="s">
        <v>21</v>
      </c>
      <c r="I6948" s="2" t="s">
        <v>17429</v>
      </c>
      <c r="J6948" s="3" t="str">
        <f>HYPERLINK("https://www.boe.es/gazeta/dias/1812/04/16/pdfs/GMD-1812-107.pdf#page=4","Abrir facsímil")</f>
        <v>Abrir facsímil</v>
      </c>
      <c r="K6948" s="3" t="s">
        <v>23</v>
      </c>
    </row>
    <row r="6949" spans="1:11" ht="42" customHeight="1">
      <c r="A6949" s="2" t="s">
        <v>17427</v>
      </c>
      <c r="B6949" s="2" t="s">
        <v>17428</v>
      </c>
      <c r="C6949" s="2" t="s">
        <v>26</v>
      </c>
      <c r="D6949" s="2" t="s">
        <v>27</v>
      </c>
      <c r="E6949" s="4">
        <v>-31969</v>
      </c>
      <c r="F6949" s="3" t="s">
        <v>83</v>
      </c>
      <c r="G6949" s="3" t="s">
        <v>84</v>
      </c>
      <c r="H6949" s="2" t="s">
        <v>21</v>
      </c>
      <c r="I6949" s="2" t="s">
        <v>17430</v>
      </c>
      <c r="J6949" s="3" t="str">
        <f>HYPERLINK("https://www.boe.es/gazeta/dias/1812/06/20/pdfs/GRE-1812-76.pdf#page=8","Abrir facsímil")</f>
        <v>Abrir facsímil</v>
      </c>
      <c r="K6949" s="3" t="s">
        <v>23</v>
      </c>
    </row>
    <row r="6950" spans="1:11" ht="42" customHeight="1">
      <c r="A6950" s="2" t="s">
        <v>17431</v>
      </c>
      <c r="B6950" s="2" t="s">
        <v>17431</v>
      </c>
      <c r="C6950" s="2" t="s">
        <v>17</v>
      </c>
      <c r="D6950" s="2" t="s">
        <v>18</v>
      </c>
      <c r="E6950" s="4">
        <v>-31808</v>
      </c>
      <c r="F6950" s="3" t="s">
        <v>416</v>
      </c>
      <c r="G6950" s="3" t="s">
        <v>130</v>
      </c>
      <c r="H6950" s="2" t="s">
        <v>21</v>
      </c>
      <c r="I6950" s="2" t="s">
        <v>17432</v>
      </c>
      <c r="J6950" s="3" t="str">
        <f>HYPERLINK("https://www.boe.es/gazeta/dias/1812/11/28/pdfs/GRE-1812-158.pdf#page=4","Abrir facsímil")</f>
        <v>Abrir facsímil</v>
      </c>
      <c r="K6950" s="3" t="s">
        <v>23</v>
      </c>
    </row>
    <row r="6951" spans="1:11" ht="42" customHeight="1">
      <c r="A6951" s="2" t="s">
        <v>17433</v>
      </c>
      <c r="B6951" s="2" t="s">
        <v>17434</v>
      </c>
      <c r="C6951" s="2" t="s">
        <v>26</v>
      </c>
      <c r="D6951" s="2" t="s">
        <v>27</v>
      </c>
      <c r="E6951" s="4">
        <v>-32134</v>
      </c>
      <c r="F6951" s="3" t="s">
        <v>50</v>
      </c>
      <c r="G6951" s="3" t="s">
        <v>233</v>
      </c>
      <c r="H6951" s="2" t="s">
        <v>21</v>
      </c>
      <c r="I6951" s="2" t="s">
        <v>17435</v>
      </c>
      <c r="J6951" s="3" t="str">
        <f>HYPERLINK("https://www.boe.es/gazeta/dias/1812/01/07/pdfs/GEI-1812-3.pdf#page=8","Abrir facsímil")</f>
        <v>Abrir facsímil</v>
      </c>
      <c r="K6951" s="3" t="s">
        <v>23</v>
      </c>
    </row>
    <row r="6952" spans="1:11" ht="42" customHeight="1">
      <c r="A6952" s="2" t="s">
        <v>17436</v>
      </c>
      <c r="B6952" s="2" t="s">
        <v>17436</v>
      </c>
      <c r="C6952" s="2" t="s">
        <v>17</v>
      </c>
      <c r="D6952" s="2" t="s">
        <v>27</v>
      </c>
      <c r="E6952" s="4">
        <v>-31903</v>
      </c>
      <c r="F6952" s="3" t="s">
        <v>2720</v>
      </c>
      <c r="G6952" s="3" t="s">
        <v>7799</v>
      </c>
      <c r="H6952" s="2" t="s">
        <v>21</v>
      </c>
      <c r="I6952" s="2" t="s">
        <v>17437</v>
      </c>
      <c r="J6952" s="3" t="str">
        <f>HYPERLINK("https://www.boe.es/gazeta/dias/1812/08/25/pdfs/GRE-1812-110.pdf#page=1","Abrir facsímil")</f>
        <v>Abrir facsímil</v>
      </c>
      <c r="K6952" s="3" t="s">
        <v>23</v>
      </c>
    </row>
    <row r="6953" spans="1:11" ht="42" customHeight="1">
      <c r="A6953" s="2" t="s">
        <v>17436</v>
      </c>
      <c r="B6953" s="2" t="s">
        <v>17436</v>
      </c>
      <c r="C6953" s="2" t="s">
        <v>17</v>
      </c>
      <c r="D6953" s="2" t="s">
        <v>27</v>
      </c>
      <c r="E6953" s="4">
        <v>-31830</v>
      </c>
      <c r="F6953" s="3" t="s">
        <v>1839</v>
      </c>
      <c r="G6953" s="3" t="s">
        <v>20</v>
      </c>
      <c r="H6953" s="2" t="s">
        <v>21</v>
      </c>
      <c r="I6953" s="2" t="s">
        <v>17438</v>
      </c>
      <c r="J6953" s="3" t="str">
        <f>HYPERLINK("https://www.boe.es/gazeta/dias/1812/11/06/pdfs/GMD-1812-226.pdf#page=1","Abrir facsímil")</f>
        <v>Abrir facsímil</v>
      </c>
      <c r="K6953" s="3" t="s">
        <v>23</v>
      </c>
    </row>
    <row r="6954" spans="1:11" ht="42" customHeight="1">
      <c r="A6954" s="2" t="s">
        <v>17439</v>
      </c>
      <c r="B6954" s="2" t="s">
        <v>17440</v>
      </c>
      <c r="C6954" s="2" t="s">
        <v>26</v>
      </c>
      <c r="D6954" s="2" t="s">
        <v>27</v>
      </c>
      <c r="E6954" s="4">
        <v>-31838</v>
      </c>
      <c r="F6954" s="3" t="s">
        <v>1452</v>
      </c>
      <c r="G6954" s="3" t="s">
        <v>29</v>
      </c>
      <c r="H6954" s="2" t="s">
        <v>21</v>
      </c>
      <c r="I6954" s="2" t="s">
        <v>17441</v>
      </c>
      <c r="J6954" s="3" t="str">
        <f>HYPERLINK("https://www.boe.es/gazeta/dias/1812/10/29/pdfs/GMR-1812-33.pdf#page=8","Abrir facsímil")</f>
        <v>Abrir facsímil</v>
      </c>
      <c r="K6954" s="3" t="s">
        <v>23</v>
      </c>
    </row>
    <row r="6955" spans="1:11" ht="42" customHeight="1">
      <c r="A6955" s="2" t="s">
        <v>17442</v>
      </c>
      <c r="B6955" s="2" t="s">
        <v>17443</v>
      </c>
      <c r="C6955" s="2" t="s">
        <v>17</v>
      </c>
      <c r="D6955" s="2" t="s">
        <v>18</v>
      </c>
      <c r="E6955" s="4">
        <v>-32083</v>
      </c>
      <c r="F6955" s="3" t="s">
        <v>1496</v>
      </c>
      <c r="G6955" s="3" t="s">
        <v>2658</v>
      </c>
      <c r="H6955" s="2" t="s">
        <v>21</v>
      </c>
      <c r="I6955" s="2" t="s">
        <v>17444</v>
      </c>
      <c r="J6955" s="3" t="str">
        <f>HYPERLINK("https://www.boe.es/gazeta/dias/1812/02/27/pdfs/GRE-1812-26.pdf#page=7","Abrir facsímil")</f>
        <v>Abrir facsímil</v>
      </c>
      <c r="K6955" s="3" t="s">
        <v>23</v>
      </c>
    </row>
    <row r="6956" spans="1:11" ht="42" customHeight="1">
      <c r="A6956" s="2" t="s">
        <v>17445</v>
      </c>
      <c r="B6956" s="2" t="s">
        <v>17446</v>
      </c>
      <c r="C6956" s="2" t="s">
        <v>26</v>
      </c>
      <c r="D6956" s="2" t="s">
        <v>27</v>
      </c>
      <c r="E6956" s="4">
        <v>-31980</v>
      </c>
      <c r="F6956" s="3" t="s">
        <v>40</v>
      </c>
      <c r="G6956" s="3" t="s">
        <v>41</v>
      </c>
      <c r="H6956" s="2" t="s">
        <v>21</v>
      </c>
      <c r="I6956" s="2" t="s">
        <v>17447</v>
      </c>
      <c r="J6956" s="3" t="str">
        <f>HYPERLINK("https://www.boe.es/gazeta/dias/1812/06/09/pdfs/GRE-1812-71.pdf#page=6","Abrir facsímil")</f>
        <v>Abrir facsímil</v>
      </c>
      <c r="K6956" s="3" t="s">
        <v>23</v>
      </c>
    </row>
    <row r="6957" spans="1:11" ht="42" customHeight="1">
      <c r="A6957" s="2" t="s">
        <v>17448</v>
      </c>
      <c r="B6957" s="2" t="s">
        <v>17449</v>
      </c>
      <c r="C6957" s="2" t="s">
        <v>17</v>
      </c>
      <c r="D6957" s="2" t="s">
        <v>27</v>
      </c>
      <c r="E6957" s="4">
        <v>-32134</v>
      </c>
      <c r="F6957" s="3" t="s">
        <v>50</v>
      </c>
      <c r="G6957" s="3" t="s">
        <v>1907</v>
      </c>
      <c r="H6957" s="2" t="s">
        <v>21</v>
      </c>
      <c r="I6957" s="2" t="s">
        <v>17450</v>
      </c>
      <c r="J6957" s="3" t="str">
        <f>HYPERLINK("https://www.boe.es/gazeta/dias/1812/01/07/pdfs/GEI-1812-3.pdf#page=7","Abrir facsímil")</f>
        <v>Abrir facsímil</v>
      </c>
      <c r="K6957" s="3" t="s">
        <v>23</v>
      </c>
    </row>
    <row r="6958" spans="1:11" ht="42" customHeight="1">
      <c r="A6958" s="2" t="s">
        <v>17451</v>
      </c>
      <c r="B6958" s="2" t="s">
        <v>17452</v>
      </c>
      <c r="C6958" s="2" t="s">
        <v>105</v>
      </c>
      <c r="D6958" s="2" t="s">
        <v>27</v>
      </c>
      <c r="E6958" s="4">
        <v>-31964</v>
      </c>
      <c r="F6958" s="3" t="s">
        <v>93</v>
      </c>
      <c r="G6958" s="3" t="s">
        <v>1722</v>
      </c>
      <c r="H6958" s="2" t="s">
        <v>21</v>
      </c>
      <c r="I6958" s="2" t="s">
        <v>17453</v>
      </c>
      <c r="J6958" s="3" t="str">
        <f>HYPERLINK("https://www.boe.es/gazeta/dias/1812/06/25/pdfs/GRE-1812-78.pdf#page=8","Abrir facsímil")</f>
        <v>Abrir facsímil</v>
      </c>
      <c r="K6958" s="3" t="s">
        <v>23</v>
      </c>
    </row>
    <row r="6959" spans="1:11" ht="42" customHeight="1">
      <c r="A6959" s="2" t="s">
        <v>17454</v>
      </c>
      <c r="B6959" s="2" t="s">
        <v>17454</v>
      </c>
      <c r="C6959" s="2" t="s">
        <v>17</v>
      </c>
      <c r="D6959" s="2" t="s">
        <v>27</v>
      </c>
      <c r="E6959" s="4">
        <v>-31959</v>
      </c>
      <c r="F6959" s="3" t="s">
        <v>1035</v>
      </c>
      <c r="G6959" s="3" t="s">
        <v>514</v>
      </c>
      <c r="H6959" s="2" t="s">
        <v>21</v>
      </c>
      <c r="I6959" s="2" t="s">
        <v>17455</v>
      </c>
      <c r="J6959" s="3" t="str">
        <f>HYPERLINK("https://www.boe.es/gazeta/dias/1812/06/30/pdfs/GRE-1812-80.pdf#page=8","Abrir facsímil")</f>
        <v>Abrir facsímil</v>
      </c>
      <c r="K6959" s="3" t="s">
        <v>23</v>
      </c>
    </row>
    <row r="6960" spans="1:11" ht="42" customHeight="1">
      <c r="A6960" s="2" t="s">
        <v>17456</v>
      </c>
      <c r="B6960" s="2" t="s">
        <v>17457</v>
      </c>
      <c r="C6960" s="2" t="s">
        <v>17</v>
      </c>
      <c r="D6960" s="2" t="s">
        <v>18</v>
      </c>
      <c r="E6960" s="4">
        <v>-31959</v>
      </c>
      <c r="F6960" s="3" t="s">
        <v>1035</v>
      </c>
      <c r="G6960" s="3" t="s">
        <v>159</v>
      </c>
      <c r="H6960" s="2" t="s">
        <v>21</v>
      </c>
      <c r="I6960" s="2" t="s">
        <v>17458</v>
      </c>
      <c r="J6960" s="3" t="str">
        <f>HYPERLINK("https://www.boe.es/gazeta/dias/1812/06/30/pdfs/GRE-1812-80.pdf#page=7","Abrir facsímil")</f>
        <v>Abrir facsímil</v>
      </c>
      <c r="K6960" s="3" t="s">
        <v>23</v>
      </c>
    </row>
    <row r="6961" spans="1:11" ht="42" customHeight="1">
      <c r="A6961" s="2" t="s">
        <v>17459</v>
      </c>
      <c r="B6961" s="2" t="s">
        <v>17459</v>
      </c>
      <c r="C6961" s="2" t="s">
        <v>26</v>
      </c>
      <c r="D6961" s="2" t="s">
        <v>27</v>
      </c>
      <c r="E6961" s="4">
        <v>-32097</v>
      </c>
      <c r="F6961" s="3" t="s">
        <v>4288</v>
      </c>
      <c r="G6961" s="3" t="s">
        <v>36</v>
      </c>
      <c r="H6961" s="2" t="s">
        <v>21</v>
      </c>
      <c r="I6961" s="2" t="s">
        <v>17460</v>
      </c>
      <c r="J6961" s="3" t="str">
        <f>HYPERLINK("https://www.boe.es/gazeta/dias/1812/02/13/pdfs/GMD-1812-44.pdf#page=3","Abrir facsímil")</f>
        <v>Abrir facsímil</v>
      </c>
      <c r="K6961" s="3" t="s">
        <v>23</v>
      </c>
    </row>
    <row r="6962" spans="1:11" ht="42" customHeight="1">
      <c r="A6962" s="2" t="s">
        <v>17461</v>
      </c>
      <c r="B6962" s="2" t="s">
        <v>17461</v>
      </c>
      <c r="C6962" s="2" t="s">
        <v>49</v>
      </c>
      <c r="D6962" s="2" t="s">
        <v>18</v>
      </c>
      <c r="E6962" s="4">
        <v>-32022</v>
      </c>
      <c r="F6962" s="3" t="s">
        <v>1554</v>
      </c>
      <c r="G6962" s="3" t="s">
        <v>217</v>
      </c>
      <c r="H6962" s="2" t="s">
        <v>21</v>
      </c>
      <c r="I6962" s="2" t="s">
        <v>17462</v>
      </c>
      <c r="J6962" s="3" t="str">
        <f>HYPERLINK("https://www.boe.es/gazeta/dias/1812/04/28/pdfs/GMD-1812-119.pdf#page=1","Abrir facsímil")</f>
        <v>Abrir facsímil</v>
      </c>
      <c r="K6962" s="3" t="s">
        <v>23</v>
      </c>
    </row>
    <row r="6963" spans="1:11" ht="42" customHeight="1">
      <c r="A6963" s="2" t="s">
        <v>17463</v>
      </c>
      <c r="B6963" s="2" t="s">
        <v>17463</v>
      </c>
      <c r="C6963" s="2" t="s">
        <v>17</v>
      </c>
      <c r="D6963" s="2" t="s">
        <v>27</v>
      </c>
      <c r="E6963" s="4">
        <v>-32132</v>
      </c>
      <c r="F6963" s="3" t="s">
        <v>441</v>
      </c>
      <c r="G6963" s="3" t="s">
        <v>172</v>
      </c>
      <c r="H6963" s="2" t="s">
        <v>21</v>
      </c>
      <c r="I6963" s="2" t="s">
        <v>17464</v>
      </c>
      <c r="J6963" s="3" t="str">
        <f>HYPERLINK("https://www.boe.es/gazeta/dias/1812/01/09/pdfs/GMD-1812-9.pdf#page=2","Abrir facsímil")</f>
        <v>Abrir facsímil</v>
      </c>
      <c r="K6963" s="3" t="s">
        <v>23</v>
      </c>
    </row>
    <row r="6964" spans="1:11" ht="42" customHeight="1">
      <c r="A6964" s="2" t="s">
        <v>17465</v>
      </c>
      <c r="B6964" s="2" t="s">
        <v>17465</v>
      </c>
      <c r="C6964" s="2" t="s">
        <v>26</v>
      </c>
      <c r="D6964" s="2" t="s">
        <v>27</v>
      </c>
      <c r="E6964" s="4">
        <v>-32134</v>
      </c>
      <c r="F6964" s="3" t="s">
        <v>50</v>
      </c>
      <c r="G6964" s="3" t="s">
        <v>233</v>
      </c>
      <c r="H6964" s="2" t="s">
        <v>21</v>
      </c>
      <c r="I6964" s="2" t="s">
        <v>17466</v>
      </c>
      <c r="J6964" s="3" t="str">
        <f>HYPERLINK("https://www.boe.es/gazeta/dias/1812/01/07/pdfs/GEI-1812-3.pdf#page=8","Abrir facsímil")</f>
        <v>Abrir facsímil</v>
      </c>
      <c r="K6964" s="3" t="s">
        <v>23</v>
      </c>
    </row>
    <row r="6965" spans="1:11" ht="42" customHeight="1">
      <c r="A6965" s="2" t="s">
        <v>17467</v>
      </c>
      <c r="B6965" s="2" t="s">
        <v>17467</v>
      </c>
      <c r="C6965" s="2" t="s">
        <v>17</v>
      </c>
      <c r="D6965" s="2" t="s">
        <v>18</v>
      </c>
      <c r="E6965" s="4">
        <v>-31854</v>
      </c>
      <c r="F6965" s="3" t="s">
        <v>717</v>
      </c>
      <c r="G6965" s="3" t="s">
        <v>7829</v>
      </c>
      <c r="H6965" s="2" t="s">
        <v>21</v>
      </c>
      <c r="I6965" s="2" t="s">
        <v>17468</v>
      </c>
      <c r="J6965" s="3" t="str">
        <f>HYPERLINK("https://www.boe.es/gazeta/dias/1812/10/13/pdfs/GRE-1812-138.pdf#page=4","Abrir facsímil")</f>
        <v>Abrir facsímil</v>
      </c>
      <c r="K6965" s="3" t="s">
        <v>23</v>
      </c>
    </row>
    <row r="6966" spans="1:11" ht="42" customHeight="1">
      <c r="A6966" s="2" t="s">
        <v>17469</v>
      </c>
      <c r="B6966" s="2" t="s">
        <v>17469</v>
      </c>
      <c r="C6966" s="2" t="s">
        <v>17</v>
      </c>
      <c r="D6966" s="2" t="s">
        <v>18</v>
      </c>
      <c r="E6966" s="4">
        <v>-31845</v>
      </c>
      <c r="F6966" s="3" t="s">
        <v>723</v>
      </c>
      <c r="G6966" s="3" t="s">
        <v>1980</v>
      </c>
      <c r="H6966" s="2" t="s">
        <v>21</v>
      </c>
      <c r="I6966" s="2" t="s">
        <v>17470</v>
      </c>
      <c r="J6966" s="3" t="str">
        <f>HYPERLINK("https://www.boe.es/gazeta/dias/1812/10/22/pdfs/GMR-1812-30.pdf#page=3","Abrir facsímil")</f>
        <v>Abrir facsímil</v>
      </c>
      <c r="K6966" s="3" t="s">
        <v>23</v>
      </c>
    </row>
    <row r="6967" spans="1:11" ht="42" customHeight="1">
      <c r="A6967" s="2" t="s">
        <v>17471</v>
      </c>
      <c r="B6967" s="2" t="s">
        <v>17471</v>
      </c>
      <c r="C6967" s="2" t="s">
        <v>17</v>
      </c>
      <c r="D6967" s="2" t="s">
        <v>27</v>
      </c>
      <c r="E6967" s="4">
        <v>-32129</v>
      </c>
      <c r="F6967" s="3" t="s">
        <v>3162</v>
      </c>
      <c r="G6967" s="3" t="s">
        <v>1842</v>
      </c>
      <c r="H6967" s="2" t="s">
        <v>21</v>
      </c>
      <c r="I6967" s="2" t="s">
        <v>17472</v>
      </c>
      <c r="J6967" s="3" t="str">
        <f>HYPERLINK("https://www.boe.es/gazeta/dias/1812/01/12/pdfs/GMD-1812-12.pdf#page=3","Abrir facsímil")</f>
        <v>Abrir facsímil</v>
      </c>
      <c r="K6967" s="3" t="s">
        <v>23</v>
      </c>
    </row>
    <row r="6968" spans="1:11" ht="42" customHeight="1">
      <c r="A6968" s="2" t="s">
        <v>17471</v>
      </c>
      <c r="B6968" s="2" t="s">
        <v>17471</v>
      </c>
      <c r="C6968" s="2" t="s">
        <v>26</v>
      </c>
      <c r="D6968" s="2" t="s">
        <v>27</v>
      </c>
      <c r="E6968" s="4">
        <v>-32055</v>
      </c>
      <c r="F6968" s="3" t="s">
        <v>459</v>
      </c>
      <c r="G6968" s="3" t="s">
        <v>1497</v>
      </c>
      <c r="H6968" s="2" t="s">
        <v>21</v>
      </c>
      <c r="I6968" s="2" t="s">
        <v>17473</v>
      </c>
      <c r="J6968" s="3" t="str">
        <f>HYPERLINK("https://www.boe.es/gazeta/dias/1812/03/26/pdfs/GRE-1812-38.pdf#page=5","Abrir facsímil")</f>
        <v>Abrir facsímil</v>
      </c>
      <c r="K6968" s="3" t="s">
        <v>23</v>
      </c>
    </row>
    <row r="6969" spans="1:11" ht="42" customHeight="1">
      <c r="A6969" s="2" t="s">
        <v>17474</v>
      </c>
      <c r="B6969" s="2" t="s">
        <v>17474</v>
      </c>
      <c r="C6969" s="2" t="s">
        <v>26</v>
      </c>
      <c r="D6969" s="2" t="s">
        <v>27</v>
      </c>
      <c r="E6969" s="4">
        <v>-32102</v>
      </c>
      <c r="F6969" s="3" t="s">
        <v>11310</v>
      </c>
      <c r="G6969" s="3" t="s">
        <v>45</v>
      </c>
      <c r="H6969" s="2" t="s">
        <v>21</v>
      </c>
      <c r="I6969" s="2" t="s">
        <v>17475</v>
      </c>
      <c r="J6969" s="3" t="str">
        <f>HYPERLINK("https://www.boe.es/gazeta/dias/1812/02/08/pdfs/GMD-1812-39.pdf#page=2","Abrir facsímil")</f>
        <v>Abrir facsímil</v>
      </c>
      <c r="K6969" s="3" t="s">
        <v>23</v>
      </c>
    </row>
    <row r="6970" spans="1:11" ht="42" customHeight="1">
      <c r="A6970" s="2" t="s">
        <v>17476</v>
      </c>
      <c r="B6970" s="2" t="s">
        <v>17476</v>
      </c>
      <c r="C6970" s="2" t="s">
        <v>17</v>
      </c>
      <c r="D6970" s="2" t="s">
        <v>27</v>
      </c>
      <c r="E6970" s="4">
        <v>-31794</v>
      </c>
      <c r="F6970" s="3" t="s">
        <v>254</v>
      </c>
      <c r="G6970" s="3" t="s">
        <v>125</v>
      </c>
      <c r="H6970" s="2" t="s">
        <v>21</v>
      </c>
      <c r="I6970" s="2" t="s">
        <v>17477</v>
      </c>
      <c r="J6970" s="3" t="str">
        <f>HYPERLINK("https://www.boe.es/gazeta/dias/1812/12/12/pdfs/GMD-1812-235.pdf#page=2","Abrir facsímil")</f>
        <v>Abrir facsímil</v>
      </c>
      <c r="K6970" s="3" t="s">
        <v>23</v>
      </c>
    </row>
    <row r="6971" spans="1:11" ht="42" customHeight="1">
      <c r="A6971" s="2" t="s">
        <v>17478</v>
      </c>
      <c r="B6971" s="2" t="s">
        <v>17479</v>
      </c>
      <c r="C6971" s="2" t="s">
        <v>26</v>
      </c>
      <c r="D6971" s="2" t="s">
        <v>27</v>
      </c>
      <c r="E6971" s="4">
        <v>-32034</v>
      </c>
      <c r="F6971" s="3" t="s">
        <v>28</v>
      </c>
      <c r="G6971" s="3" t="s">
        <v>317</v>
      </c>
      <c r="H6971" s="2" t="s">
        <v>21</v>
      </c>
      <c r="I6971" s="2" t="s">
        <v>17480</v>
      </c>
      <c r="J6971" s="3" t="str">
        <f>HYPERLINK("https://www.boe.es/gazeta/dias/1812/04/16/pdfs/GMD-1812-107.pdf#page=6","Abrir facsímil")</f>
        <v>Abrir facsímil</v>
      </c>
      <c r="K6971" s="3" t="s">
        <v>23</v>
      </c>
    </row>
    <row r="6972" spans="1:11" ht="42" customHeight="1">
      <c r="A6972" s="2" t="s">
        <v>17481</v>
      </c>
      <c r="B6972" s="2" t="s">
        <v>17482</v>
      </c>
      <c r="C6972" s="2" t="s">
        <v>17</v>
      </c>
      <c r="D6972" s="2" t="s">
        <v>27</v>
      </c>
      <c r="E6972" s="4">
        <v>-32123</v>
      </c>
      <c r="F6972" s="3" t="s">
        <v>2642</v>
      </c>
      <c r="G6972" s="3" t="s">
        <v>20</v>
      </c>
      <c r="H6972" s="2" t="s">
        <v>21</v>
      </c>
      <c r="I6972" s="2" t="s">
        <v>17483</v>
      </c>
      <c r="J6972" s="3" t="str">
        <f>HYPERLINK("https://www.boe.es/gazeta/dias/1812/01/18/pdfs/GMD-1812-18.pdf#page=4","Abrir facsímil")</f>
        <v>Abrir facsímil</v>
      </c>
      <c r="K6972" s="3" t="s">
        <v>23</v>
      </c>
    </row>
    <row r="6973" spans="1:11" ht="42" customHeight="1">
      <c r="A6973" s="2" t="s">
        <v>17484</v>
      </c>
      <c r="B6973" s="2" t="s">
        <v>17484</v>
      </c>
      <c r="C6973" s="2" t="s">
        <v>17</v>
      </c>
      <c r="D6973" s="2" t="s">
        <v>27</v>
      </c>
      <c r="E6973" s="4">
        <v>-31861</v>
      </c>
      <c r="F6973" s="3" t="s">
        <v>1080</v>
      </c>
      <c r="G6973" s="3" t="s">
        <v>1907</v>
      </c>
      <c r="H6973" s="2" t="s">
        <v>21</v>
      </c>
      <c r="I6973" s="2" t="s">
        <v>17485</v>
      </c>
      <c r="J6973" s="3" t="str">
        <f>HYPERLINK("https://www.boe.es/gazeta/dias/1812/10/06/pdfs/GMR-1812-23.pdf#page=2","Abrir facsímil")</f>
        <v>Abrir facsímil</v>
      </c>
      <c r="K6973" s="3" t="s">
        <v>23</v>
      </c>
    </row>
    <row r="6974" spans="1:11" ht="42" customHeight="1">
      <c r="A6974" s="2" t="s">
        <v>17486</v>
      </c>
      <c r="B6974" s="2" t="s">
        <v>17487</v>
      </c>
      <c r="C6974" s="2" t="s">
        <v>17</v>
      </c>
      <c r="D6974" s="2" t="s">
        <v>27</v>
      </c>
      <c r="E6974" s="4">
        <v>-31941</v>
      </c>
      <c r="F6974" s="3" t="s">
        <v>2048</v>
      </c>
      <c r="G6974" s="3" t="s">
        <v>237</v>
      </c>
      <c r="H6974" s="2" t="s">
        <v>21</v>
      </c>
      <c r="I6974" s="2" t="s">
        <v>17488</v>
      </c>
      <c r="J6974" s="3" t="str">
        <f>HYPERLINK("https://www.boe.es/gazeta/dias/1812/07/18/pdfs/GRE-1812-90.pdf#page=2","Abrir facsímil")</f>
        <v>Abrir facsímil</v>
      </c>
      <c r="K6974" s="3" t="s">
        <v>23</v>
      </c>
    </row>
    <row r="6975" spans="1:11" ht="42" customHeight="1">
      <c r="A6975" s="2" t="s">
        <v>17489</v>
      </c>
      <c r="B6975" s="2" t="s">
        <v>17489</v>
      </c>
      <c r="C6975" s="2" t="s">
        <v>26</v>
      </c>
      <c r="D6975" s="2" t="s">
        <v>27</v>
      </c>
      <c r="E6975" s="4">
        <v>-32132</v>
      </c>
      <c r="F6975" s="3" t="s">
        <v>441</v>
      </c>
      <c r="G6975" s="3" t="s">
        <v>125</v>
      </c>
      <c r="H6975" s="2" t="s">
        <v>21</v>
      </c>
      <c r="I6975" s="2" t="s">
        <v>17490</v>
      </c>
      <c r="J6975" s="3" t="str">
        <f>HYPERLINK("https://www.boe.es/gazeta/dias/1812/01/09/pdfs/GMD-1812-9.pdf#page=3","Abrir facsímil")</f>
        <v>Abrir facsímil</v>
      </c>
      <c r="K6975" s="3" t="s">
        <v>23</v>
      </c>
    </row>
    <row r="6976" spans="1:11" ht="42" customHeight="1">
      <c r="A6976" s="2" t="s">
        <v>17491</v>
      </c>
      <c r="B6976" s="2" t="s">
        <v>17492</v>
      </c>
      <c r="C6976" s="2" t="s">
        <v>17</v>
      </c>
      <c r="D6976" s="2" t="s">
        <v>18</v>
      </c>
      <c r="E6976" s="4">
        <v>-31882</v>
      </c>
      <c r="F6976" s="3" t="s">
        <v>1798</v>
      </c>
      <c r="G6976" s="3" t="s">
        <v>1799</v>
      </c>
      <c r="H6976" s="2" t="s">
        <v>21</v>
      </c>
      <c r="I6976" s="2" t="s">
        <v>17493</v>
      </c>
      <c r="J6976" s="3" t="str">
        <f>HYPERLINK("https://www.boe.es/gazeta/dias/1812/09/15/pdfs/GMR-1812-14.pdf#page=12","Abrir facsímil")</f>
        <v>Abrir facsímil</v>
      </c>
      <c r="K6976" s="3" t="s">
        <v>23</v>
      </c>
    </row>
    <row r="6977" spans="1:11" ht="42" customHeight="1">
      <c r="A6977" s="2" t="s">
        <v>17494</v>
      </c>
      <c r="B6977" s="2" t="s">
        <v>17495</v>
      </c>
      <c r="C6977" s="2" t="s">
        <v>115</v>
      </c>
      <c r="D6977" s="2" t="s">
        <v>27</v>
      </c>
      <c r="E6977" s="4">
        <v>-31926</v>
      </c>
      <c r="F6977" s="3" t="s">
        <v>17496</v>
      </c>
      <c r="G6977" s="3" t="s">
        <v>36</v>
      </c>
      <c r="H6977" s="2" t="s">
        <v>21</v>
      </c>
      <c r="I6977" s="2" t="s">
        <v>17497</v>
      </c>
      <c r="J6977" s="3" t="str">
        <f>HYPERLINK("https://www.boe.es/gazeta/dias/1812/08/02/pdfs/GMD-1812-215.pdf#page=3","Abrir facsímil")</f>
        <v>Abrir facsímil</v>
      </c>
      <c r="K6977" s="3" t="s">
        <v>23</v>
      </c>
    </row>
    <row r="6978" spans="1:11" ht="42" customHeight="1">
      <c r="A6978" s="2" t="s">
        <v>17498</v>
      </c>
      <c r="B6978" s="2" t="s">
        <v>17498</v>
      </c>
      <c r="C6978" s="2" t="s">
        <v>26</v>
      </c>
      <c r="D6978" s="2" t="s">
        <v>27</v>
      </c>
      <c r="E6978" s="4">
        <v>-31780</v>
      </c>
      <c r="F6978" s="3" t="s">
        <v>4192</v>
      </c>
      <c r="G6978" s="3" t="s">
        <v>140</v>
      </c>
      <c r="H6978" s="2" t="s">
        <v>21</v>
      </c>
      <c r="I6978" s="2" t="s">
        <v>17499</v>
      </c>
      <c r="J6978" s="3" t="str">
        <f>HYPERLINK("https://www.boe.es/gazeta/dias/1812/12/26/pdfs/GMD-1812-249.pdf#page=2","Abrir facsímil")</f>
        <v>Abrir facsímil</v>
      </c>
      <c r="K6978" s="3" t="s">
        <v>23</v>
      </c>
    </row>
    <row r="6979" spans="1:11" ht="42" customHeight="1">
      <c r="A6979" s="2" t="s">
        <v>17500</v>
      </c>
      <c r="B6979" s="2" t="s">
        <v>17501</v>
      </c>
      <c r="C6979" s="2" t="s">
        <v>26</v>
      </c>
      <c r="D6979" s="2" t="s">
        <v>27</v>
      </c>
      <c r="E6979" s="4">
        <v>-31939</v>
      </c>
      <c r="F6979" s="3" t="s">
        <v>408</v>
      </c>
      <c r="G6979" s="3" t="s">
        <v>20</v>
      </c>
      <c r="H6979" s="2" t="s">
        <v>21</v>
      </c>
      <c r="I6979" s="2" t="s">
        <v>17502</v>
      </c>
      <c r="J6979" s="3" t="str">
        <f>HYPERLINK("https://www.boe.es/gazeta/dias/1812/07/20/pdfs/GMD-1812-202.pdf#page=4","Abrir facsímil")</f>
        <v>Abrir facsímil</v>
      </c>
      <c r="K6979" s="3" t="s">
        <v>23</v>
      </c>
    </row>
    <row r="6980" spans="1:11" ht="42" customHeight="1">
      <c r="A6980" s="2" t="s">
        <v>17503</v>
      </c>
      <c r="B6980" s="2" t="s">
        <v>17503</v>
      </c>
      <c r="C6980" s="2" t="s">
        <v>17</v>
      </c>
      <c r="D6980" s="2" t="s">
        <v>18</v>
      </c>
      <c r="E6980" s="4">
        <v>-32134</v>
      </c>
      <c r="F6980" s="3" t="s">
        <v>50</v>
      </c>
      <c r="G6980" s="3" t="s">
        <v>1650</v>
      </c>
      <c r="H6980" s="2" t="s">
        <v>21</v>
      </c>
      <c r="I6980" s="2" t="s">
        <v>17504</v>
      </c>
      <c r="J6980" s="3" t="str">
        <f>HYPERLINK("https://www.boe.es/gazeta/dias/1812/01/07/pdfs/GEI-1812-3.pdf#page=6","Abrir facsímil")</f>
        <v>Abrir facsímil</v>
      </c>
      <c r="K6980" s="3" t="s">
        <v>23</v>
      </c>
    </row>
    <row r="6981" spans="1:11" ht="42" customHeight="1">
      <c r="A6981" s="2" t="s">
        <v>17505</v>
      </c>
      <c r="B6981" s="2" t="s">
        <v>17506</v>
      </c>
      <c r="C6981" s="2" t="s">
        <v>17</v>
      </c>
      <c r="D6981" s="2" t="s">
        <v>27</v>
      </c>
      <c r="E6981" s="4">
        <v>-32032</v>
      </c>
      <c r="F6981" s="3" t="s">
        <v>421</v>
      </c>
      <c r="G6981" s="3" t="s">
        <v>16711</v>
      </c>
      <c r="H6981" s="2" t="s">
        <v>21</v>
      </c>
      <c r="I6981" s="2" t="s">
        <v>17507</v>
      </c>
      <c r="J6981" s="3" t="str">
        <f>HYPERLINK("https://www.boe.es/gazeta/dias/1812/04/18/pdfs/GRE-1812-49.pdf#page=8","Abrir facsímil")</f>
        <v>Abrir facsímil</v>
      </c>
      <c r="K6981" s="3" t="s">
        <v>23</v>
      </c>
    </row>
    <row r="6982" spans="1:11" ht="42" customHeight="1">
      <c r="A6982" s="2" t="s">
        <v>17508</v>
      </c>
      <c r="B6982" s="2" t="s">
        <v>17509</v>
      </c>
      <c r="C6982" s="2" t="s">
        <v>67</v>
      </c>
      <c r="D6982" s="2" t="s">
        <v>27</v>
      </c>
      <c r="E6982" s="4">
        <v>-32137</v>
      </c>
      <c r="F6982" s="3" t="s">
        <v>4353</v>
      </c>
      <c r="G6982" s="3" t="s">
        <v>58</v>
      </c>
      <c r="H6982" s="2" t="s">
        <v>21</v>
      </c>
      <c r="I6982" s="2" t="s">
        <v>17510</v>
      </c>
      <c r="J6982" s="3" t="str">
        <f>HYPERLINK("https://www.boe.es/gazeta/dias/1812/01/04/pdfs/GMD-1812-4.pdf#page=4","Abrir facsímil")</f>
        <v>Abrir facsímil</v>
      </c>
      <c r="K6982" s="3" t="s">
        <v>23</v>
      </c>
    </row>
    <row r="6983" spans="1:11" ht="42" customHeight="1">
      <c r="A6983" s="2" t="s">
        <v>17511</v>
      </c>
      <c r="B6983" s="2" t="s">
        <v>17511</v>
      </c>
      <c r="C6983" s="2" t="s">
        <v>17</v>
      </c>
      <c r="D6983" s="2" t="s">
        <v>27</v>
      </c>
      <c r="E6983" s="4">
        <v>-31795</v>
      </c>
      <c r="F6983" s="3" t="s">
        <v>2344</v>
      </c>
      <c r="G6983" s="3" t="s">
        <v>2280</v>
      </c>
      <c r="H6983" s="2" t="s">
        <v>21</v>
      </c>
      <c r="I6983" s="2" t="s">
        <v>17512</v>
      </c>
      <c r="J6983" s="3" t="str">
        <f>HYPERLINK("https://www.boe.es/gazeta/dias/1812/12/11/pdfs/GMD-1812-234.pdf#page=1","Abrir facsímil")</f>
        <v>Abrir facsímil</v>
      </c>
      <c r="K6983" s="3" t="s">
        <v>23</v>
      </c>
    </row>
    <row r="6984" spans="1:11" ht="42" customHeight="1">
      <c r="A6984" s="2" t="s">
        <v>17513</v>
      </c>
      <c r="B6984" s="2" t="s">
        <v>17513</v>
      </c>
      <c r="C6984" s="2" t="s">
        <v>26</v>
      </c>
      <c r="D6984" s="2" t="s">
        <v>27</v>
      </c>
      <c r="E6984" s="4">
        <v>-32088</v>
      </c>
      <c r="F6984" s="3" t="s">
        <v>250</v>
      </c>
      <c r="G6984" s="3" t="s">
        <v>1919</v>
      </c>
      <c r="H6984" s="2" t="s">
        <v>21</v>
      </c>
      <c r="I6984" s="2" t="s">
        <v>17514</v>
      </c>
      <c r="J6984" s="3" t="str">
        <f>HYPERLINK("https://www.boe.es/gazeta/dias/1812/02/22/pdfs/GRE-1812-23.pdf#page=7","Abrir facsímil")</f>
        <v>Abrir facsímil</v>
      </c>
      <c r="K6984" s="3" t="s">
        <v>23</v>
      </c>
    </row>
    <row r="6985" spans="1:11" ht="42" customHeight="1">
      <c r="A6985" s="2" t="s">
        <v>17515</v>
      </c>
      <c r="B6985" s="2" t="s">
        <v>17516</v>
      </c>
      <c r="C6985" s="2" t="s">
        <v>49</v>
      </c>
      <c r="D6985" s="2" t="s">
        <v>18</v>
      </c>
      <c r="E6985" s="4">
        <v>-32053</v>
      </c>
      <c r="F6985" s="3" t="s">
        <v>910</v>
      </c>
      <c r="G6985" s="3" t="s">
        <v>911</v>
      </c>
      <c r="H6985" s="2" t="s">
        <v>21</v>
      </c>
      <c r="I6985" s="2" t="s">
        <v>17517</v>
      </c>
      <c r="J6985" s="3" t="str">
        <f>HYPERLINK("https://www.boe.es/gazeta/dias/1812/03/28/pdfs/GRE-1812-39.pdf#page=8","Abrir facsímil")</f>
        <v>Abrir facsímil</v>
      </c>
      <c r="K6985" s="3" t="s">
        <v>23</v>
      </c>
    </row>
    <row r="6986" spans="1:11" ht="42" customHeight="1">
      <c r="A6986" s="2" t="s">
        <v>17518</v>
      </c>
      <c r="B6986" s="2" t="s">
        <v>17519</v>
      </c>
      <c r="C6986" s="2" t="s">
        <v>17</v>
      </c>
      <c r="D6986" s="2" t="s">
        <v>18</v>
      </c>
      <c r="E6986" s="4">
        <v>-32039</v>
      </c>
      <c r="F6986" s="3" t="s">
        <v>557</v>
      </c>
      <c r="G6986" s="3" t="s">
        <v>20</v>
      </c>
      <c r="H6986" s="2" t="s">
        <v>21</v>
      </c>
      <c r="I6986" s="2" t="s">
        <v>17520</v>
      </c>
      <c r="J6986" s="3" t="str">
        <f>HYPERLINK("https://www.boe.es/gazeta/dias/1812/04/11/pdfs/GMD-1812-102.pdf#page=4","Abrir facsímil")</f>
        <v>Abrir facsímil</v>
      </c>
      <c r="K6986" s="3" t="s">
        <v>23</v>
      </c>
    </row>
    <row r="6987" spans="1:11" ht="42" customHeight="1">
      <c r="A6987" s="2" t="s">
        <v>17521</v>
      </c>
      <c r="B6987" s="2" t="s">
        <v>17522</v>
      </c>
      <c r="C6987" s="2" t="s">
        <v>26</v>
      </c>
      <c r="D6987" s="2" t="s">
        <v>27</v>
      </c>
      <c r="E6987" s="4">
        <v>-32034</v>
      </c>
      <c r="F6987" s="3" t="s">
        <v>28</v>
      </c>
      <c r="G6987" s="3" t="s">
        <v>45</v>
      </c>
      <c r="H6987" s="2" t="s">
        <v>21</v>
      </c>
      <c r="I6987" s="2" t="s">
        <v>17523</v>
      </c>
      <c r="J6987" s="3" t="str">
        <f>HYPERLINK("https://www.boe.es/gazeta/dias/1812/04/16/pdfs/GMD-1812-107.pdf#page=5","Abrir facsímil")</f>
        <v>Abrir facsímil</v>
      </c>
      <c r="K6987" s="3" t="s">
        <v>23</v>
      </c>
    </row>
    <row r="6988" spans="1:11" ht="42" customHeight="1">
      <c r="A6988" s="2" t="s">
        <v>17524</v>
      </c>
      <c r="B6988" s="2" t="s">
        <v>17525</v>
      </c>
      <c r="C6988" s="2" t="s">
        <v>26</v>
      </c>
      <c r="D6988" s="2" t="s">
        <v>27</v>
      </c>
      <c r="E6988" s="4">
        <v>-32066</v>
      </c>
      <c r="F6988" s="3" t="s">
        <v>291</v>
      </c>
      <c r="G6988" s="3" t="s">
        <v>125</v>
      </c>
      <c r="H6988" s="2" t="s">
        <v>21</v>
      </c>
      <c r="I6988" s="2" t="s">
        <v>17526</v>
      </c>
      <c r="J6988" s="3" t="str">
        <f>HYPERLINK("https://www.boe.es/gazeta/dias/1812/03/15/pdfs/GMD-1812-75.pdf#page=4","Abrir facsímil")</f>
        <v>Abrir facsímil</v>
      </c>
      <c r="K6988" s="3" t="s">
        <v>23</v>
      </c>
    </row>
    <row r="6989" spans="1:11" ht="42" customHeight="1">
      <c r="A6989" s="2" t="s">
        <v>17527</v>
      </c>
      <c r="B6989" s="2" t="s">
        <v>17527</v>
      </c>
      <c r="C6989" s="2" t="s">
        <v>17</v>
      </c>
      <c r="D6989" s="2" t="s">
        <v>18</v>
      </c>
      <c r="E6989" s="4">
        <v>-31859</v>
      </c>
      <c r="F6989" s="3" t="s">
        <v>158</v>
      </c>
      <c r="G6989" s="3" t="s">
        <v>36</v>
      </c>
      <c r="H6989" s="2" t="s">
        <v>21</v>
      </c>
      <c r="I6989" s="2" t="s">
        <v>17528</v>
      </c>
      <c r="J6989" s="3" t="str">
        <f>HYPERLINK("https://www.boe.es/gazeta/dias/1812/10/08/pdfs/GMR-1812-24.pdf#page=3","Abrir facsímil")</f>
        <v>Abrir facsímil</v>
      </c>
      <c r="K6989" s="3" t="s">
        <v>23</v>
      </c>
    </row>
    <row r="6990" spans="1:11" ht="42" customHeight="1">
      <c r="A6990" s="2" t="s">
        <v>17529</v>
      </c>
      <c r="B6990" s="2" t="s">
        <v>17529</v>
      </c>
      <c r="C6990" s="2" t="s">
        <v>17</v>
      </c>
      <c r="D6990" s="2" t="s">
        <v>18</v>
      </c>
      <c r="E6990" s="4">
        <v>-32133</v>
      </c>
      <c r="F6990" s="3" t="s">
        <v>139</v>
      </c>
      <c r="G6990" s="3" t="s">
        <v>140</v>
      </c>
      <c r="H6990" s="2" t="s">
        <v>21</v>
      </c>
      <c r="I6990" s="2" t="s">
        <v>17530</v>
      </c>
      <c r="J6990" s="3" t="str">
        <f>HYPERLINK("https://www.boe.es/gazeta/dias/1812/01/08/pdfs/GMD-1812-8.pdf#page=2","Abrir facsímil")</f>
        <v>Abrir facsímil</v>
      </c>
      <c r="K6990" s="3" t="s">
        <v>23</v>
      </c>
    </row>
    <row r="6991" spans="1:11" ht="42" customHeight="1">
      <c r="A6991" s="2" t="s">
        <v>17529</v>
      </c>
      <c r="B6991" s="2" t="s">
        <v>17529</v>
      </c>
      <c r="C6991" s="2" t="s">
        <v>26</v>
      </c>
      <c r="D6991" s="2" t="s">
        <v>27</v>
      </c>
      <c r="E6991" s="4">
        <v>-32067</v>
      </c>
      <c r="F6991" s="3" t="s">
        <v>12381</v>
      </c>
      <c r="G6991" s="3" t="s">
        <v>2156</v>
      </c>
      <c r="H6991" s="2" t="s">
        <v>21</v>
      </c>
      <c r="I6991" s="2" t="s">
        <v>17531</v>
      </c>
      <c r="J6991" s="3" t="str">
        <f>HYPERLINK("https://www.boe.es/gazeta/dias/1812/03/14/pdfs/GMD-1812-74.pdf#page=2","Abrir facsímil")</f>
        <v>Abrir facsímil</v>
      </c>
      <c r="K6991" s="3" t="s">
        <v>23</v>
      </c>
    </row>
    <row r="6992" spans="1:11" ht="42" customHeight="1">
      <c r="A6992" s="2" t="s">
        <v>17529</v>
      </c>
      <c r="B6992" s="2" t="s">
        <v>17529</v>
      </c>
      <c r="C6992" s="2" t="s">
        <v>17</v>
      </c>
      <c r="D6992" s="2" t="s">
        <v>27</v>
      </c>
      <c r="E6992" s="4">
        <v>-32033</v>
      </c>
      <c r="F6992" s="3" t="s">
        <v>771</v>
      </c>
      <c r="G6992" s="3" t="s">
        <v>13197</v>
      </c>
      <c r="H6992" s="2" t="s">
        <v>21</v>
      </c>
      <c r="I6992" s="2" t="s">
        <v>17532</v>
      </c>
      <c r="J6992" s="3" t="str">
        <f>HYPERLINK("https://www.boe.es/gazeta/dias/1812/04/17/pdfs/GMD-1812-108.pdf#page=2","Abrir facsímil")</f>
        <v>Abrir facsímil</v>
      </c>
      <c r="K6992" s="3" t="s">
        <v>23</v>
      </c>
    </row>
    <row r="6993" spans="1:11" ht="42" customHeight="1">
      <c r="A6993" s="2" t="s">
        <v>17529</v>
      </c>
      <c r="B6993" s="2" t="s">
        <v>17529</v>
      </c>
      <c r="C6993" s="2" t="s">
        <v>26</v>
      </c>
      <c r="D6993" s="2" t="s">
        <v>27</v>
      </c>
      <c r="E6993" s="4">
        <v>-32017</v>
      </c>
      <c r="F6993" s="3" t="s">
        <v>3446</v>
      </c>
      <c r="G6993" s="3" t="s">
        <v>140</v>
      </c>
      <c r="H6993" s="2" t="s">
        <v>21</v>
      </c>
      <c r="I6993" s="2" t="s">
        <v>17533</v>
      </c>
      <c r="J6993" s="3" t="str">
        <f>HYPERLINK("https://www.boe.es/gazeta/dias/1812/05/03/pdfs/GMD-1812-124.pdf#page=2","Abrir facsímil")</f>
        <v>Abrir facsímil</v>
      </c>
      <c r="K6993" s="3" t="s">
        <v>23</v>
      </c>
    </row>
    <row r="6994" spans="1:11" ht="42" customHeight="1">
      <c r="A6994" s="2" t="s">
        <v>17529</v>
      </c>
      <c r="B6994" s="2" t="s">
        <v>17529</v>
      </c>
      <c r="C6994" s="2" t="s">
        <v>67</v>
      </c>
      <c r="D6994" s="2" t="s">
        <v>27</v>
      </c>
      <c r="E6994" s="4">
        <v>-31873</v>
      </c>
      <c r="F6994" s="3" t="s">
        <v>213</v>
      </c>
      <c r="G6994" s="3" t="s">
        <v>599</v>
      </c>
      <c r="H6994" s="2" t="s">
        <v>21</v>
      </c>
      <c r="I6994" s="2" t="s">
        <v>17534</v>
      </c>
      <c r="J6994" s="3" t="str">
        <f>HYPERLINK("https://www.boe.es/gazeta/dias/1812/09/24/pdfs/GMR-1812-18.pdf#page=2","Abrir facsímil")</f>
        <v>Abrir facsímil</v>
      </c>
      <c r="K6994" s="3" t="s">
        <v>23</v>
      </c>
    </row>
    <row r="6995" spans="1:11" ht="42" customHeight="1">
      <c r="A6995" s="2" t="s">
        <v>17535</v>
      </c>
      <c r="B6995" s="2" t="s">
        <v>17535</v>
      </c>
      <c r="C6995" s="2" t="s">
        <v>26</v>
      </c>
      <c r="D6995" s="2" t="s">
        <v>27</v>
      </c>
      <c r="E6995" s="4">
        <v>-32013</v>
      </c>
      <c r="F6995" s="3" t="s">
        <v>15298</v>
      </c>
      <c r="G6995" s="3" t="s">
        <v>214</v>
      </c>
      <c r="H6995" s="2" t="s">
        <v>21</v>
      </c>
      <c r="I6995" s="2" t="s">
        <v>17536</v>
      </c>
      <c r="J6995" s="3" t="str">
        <f>HYPERLINK("https://www.boe.es/gazeta/dias/1812/05/07/pdfs/GMD-1812-128.pdf#page=1","Abrir facsímil")</f>
        <v>Abrir facsímil</v>
      </c>
      <c r="K6995" s="3" t="s">
        <v>23</v>
      </c>
    </row>
    <row r="6996" spans="1:11" ht="42" customHeight="1">
      <c r="A6996" s="2" t="s">
        <v>17537</v>
      </c>
      <c r="B6996" s="2" t="s">
        <v>17538</v>
      </c>
      <c r="C6996" s="2" t="s">
        <v>105</v>
      </c>
      <c r="D6996" s="2" t="s">
        <v>27</v>
      </c>
      <c r="E6996" s="4">
        <v>-32055</v>
      </c>
      <c r="F6996" s="3" t="s">
        <v>459</v>
      </c>
      <c r="G6996" s="3" t="s">
        <v>20</v>
      </c>
      <c r="H6996" s="2" t="s">
        <v>21</v>
      </c>
      <c r="I6996" s="2" t="s">
        <v>17539</v>
      </c>
      <c r="J6996" s="3" t="str">
        <f>HYPERLINK("https://www.boe.es/gazeta/dias/1812/03/26/pdfs/GRE-1812-38.pdf#page=8","Abrir facsímil")</f>
        <v>Abrir facsímil</v>
      </c>
      <c r="K6996" s="3" t="s">
        <v>23</v>
      </c>
    </row>
    <row r="6997" spans="1:11" ht="42" customHeight="1">
      <c r="A6997" s="2" t="s">
        <v>17540</v>
      </c>
      <c r="B6997" s="2" t="s">
        <v>17541</v>
      </c>
      <c r="C6997" s="2" t="s">
        <v>105</v>
      </c>
      <c r="D6997" s="2" t="s">
        <v>27</v>
      </c>
      <c r="E6997" s="4">
        <v>-32015</v>
      </c>
      <c r="F6997" s="3" t="s">
        <v>77</v>
      </c>
      <c r="G6997" s="3" t="s">
        <v>78</v>
      </c>
      <c r="H6997" s="2" t="s">
        <v>21</v>
      </c>
      <c r="I6997" s="2" t="s">
        <v>17542</v>
      </c>
      <c r="J6997" s="3" t="str">
        <f>HYPERLINK("https://www.boe.es/gazeta/dias/1812/05/05/pdfs/GRE-1812-56.pdf#page=8","Abrir facsímil")</f>
        <v>Abrir facsímil</v>
      </c>
      <c r="K6997" s="3" t="s">
        <v>23</v>
      </c>
    </row>
    <row r="6998" spans="1:11" ht="42" customHeight="1">
      <c r="A6998" s="2" t="s">
        <v>17543</v>
      </c>
      <c r="B6998" s="2" t="s">
        <v>17544</v>
      </c>
      <c r="C6998" s="2" t="s">
        <v>17</v>
      </c>
      <c r="D6998" s="2" t="s">
        <v>27</v>
      </c>
      <c r="E6998" s="4">
        <v>-32015</v>
      </c>
      <c r="F6998" s="3" t="s">
        <v>77</v>
      </c>
      <c r="G6998" s="3" t="s">
        <v>78</v>
      </c>
      <c r="H6998" s="2" t="s">
        <v>21</v>
      </c>
      <c r="I6998" s="2" t="s">
        <v>17545</v>
      </c>
      <c r="J6998" s="3" t="str">
        <f>HYPERLINK("https://www.boe.es/gazeta/dias/1812/05/05/pdfs/GRE-1812-56.pdf#page=8","Abrir facsímil")</f>
        <v>Abrir facsímil</v>
      </c>
      <c r="K6998" s="3" t="s">
        <v>23</v>
      </c>
    </row>
    <row r="6999" spans="1:11" ht="42" customHeight="1">
      <c r="A6999" s="2" t="s">
        <v>17546</v>
      </c>
      <c r="B6999" s="2" t="s">
        <v>17546</v>
      </c>
      <c r="C6999" s="2" t="s">
        <v>105</v>
      </c>
      <c r="D6999" s="2" t="s">
        <v>194</v>
      </c>
      <c r="E6999" s="4">
        <v>-31986</v>
      </c>
      <c r="F6999" s="3" t="s">
        <v>5062</v>
      </c>
      <c r="G6999" s="3" t="s">
        <v>371</v>
      </c>
      <c r="H6999" s="2" t="s">
        <v>21</v>
      </c>
      <c r="I6999" s="2" t="s">
        <v>17547</v>
      </c>
      <c r="J6999" s="3" t="str">
        <f>HYPERLINK("https://www.boe.es/gazeta/dias/1812/06/03/pdfs/GMD-1812-155.pdf#page=1","Abrir facsímil")</f>
        <v>Abrir facsímil</v>
      </c>
      <c r="K6999" s="3" t="s">
        <v>23</v>
      </c>
    </row>
    <row r="7000" spans="1:11" ht="42" customHeight="1">
      <c r="A7000" s="2" t="s">
        <v>17548</v>
      </c>
      <c r="B7000" s="2" t="s">
        <v>17548</v>
      </c>
      <c r="C7000" s="2" t="s">
        <v>17</v>
      </c>
      <c r="D7000" s="2" t="s">
        <v>27</v>
      </c>
      <c r="E7000" s="4">
        <v>-31892</v>
      </c>
      <c r="F7000" s="3" t="s">
        <v>1825</v>
      </c>
      <c r="G7000" s="3" t="s">
        <v>1826</v>
      </c>
      <c r="H7000" s="2" t="s">
        <v>21</v>
      </c>
      <c r="I7000" s="2" t="s">
        <v>17549</v>
      </c>
      <c r="J7000" s="3" t="str">
        <f>HYPERLINK("https://www.boe.es/gazeta/dias/1812/09/05/pdfs/GMR-1812-10.pdf#page=5","Abrir facsímil")</f>
        <v>Abrir facsímil</v>
      </c>
      <c r="K7000" s="3" t="s">
        <v>23</v>
      </c>
    </row>
    <row r="7001" spans="1:11" ht="42" customHeight="1">
      <c r="A7001" s="2" t="s">
        <v>17548</v>
      </c>
      <c r="B7001" s="2" t="s">
        <v>17548</v>
      </c>
      <c r="C7001" s="2" t="s">
        <v>17</v>
      </c>
      <c r="D7001" s="2" t="s">
        <v>18</v>
      </c>
      <c r="E7001" s="4">
        <v>-31866</v>
      </c>
      <c r="F7001" s="3" t="s">
        <v>2438</v>
      </c>
      <c r="G7001" s="3" t="s">
        <v>125</v>
      </c>
      <c r="H7001" s="2" t="s">
        <v>21</v>
      </c>
      <c r="I7001" s="2" t="s">
        <v>17550</v>
      </c>
      <c r="J7001" s="3" t="str">
        <f>HYPERLINK("https://www.boe.es/gazeta/dias/1812/10/01/pdfs/GMR-1812-21.pdf#page=3","Abrir facsímil")</f>
        <v>Abrir facsímil</v>
      </c>
      <c r="K7001" s="3" t="s">
        <v>23</v>
      </c>
    </row>
    <row r="7002" spans="1:11" ht="42" customHeight="1">
      <c r="A7002" s="2" t="s">
        <v>17548</v>
      </c>
      <c r="B7002" s="2" t="s">
        <v>17548</v>
      </c>
      <c r="C7002" s="2" t="s">
        <v>17</v>
      </c>
      <c r="D7002" s="2" t="s">
        <v>18</v>
      </c>
      <c r="E7002" s="4">
        <v>-31859</v>
      </c>
      <c r="F7002" s="3" t="s">
        <v>158</v>
      </c>
      <c r="G7002" s="3" t="s">
        <v>58</v>
      </c>
      <c r="H7002" s="2" t="s">
        <v>21</v>
      </c>
      <c r="I7002" s="2" t="s">
        <v>17551</v>
      </c>
      <c r="J7002" s="3" t="str">
        <f>HYPERLINK("https://www.boe.es/gazeta/dias/1812/10/08/pdfs/GMR-1812-24.pdf#page=2","Abrir facsímil")</f>
        <v>Abrir facsímil</v>
      </c>
      <c r="K7002" s="3" t="s">
        <v>23</v>
      </c>
    </row>
    <row r="7003" spans="1:11" ht="42" customHeight="1">
      <c r="A7003" s="2" t="s">
        <v>17548</v>
      </c>
      <c r="B7003" s="2" t="s">
        <v>17548</v>
      </c>
      <c r="C7003" s="2" t="s">
        <v>17</v>
      </c>
      <c r="D7003" s="2" t="s">
        <v>27</v>
      </c>
      <c r="E7003" s="4">
        <v>-31859</v>
      </c>
      <c r="F7003" s="3" t="s">
        <v>158</v>
      </c>
      <c r="G7003" s="3" t="s">
        <v>36</v>
      </c>
      <c r="H7003" s="2" t="s">
        <v>21</v>
      </c>
      <c r="I7003" s="2" t="s">
        <v>17552</v>
      </c>
      <c r="J7003" s="3" t="str">
        <f>HYPERLINK("https://www.boe.es/gazeta/dias/1812/10/08/pdfs/GMR-1812-24.pdf#page=3","Abrir facsímil")</f>
        <v>Abrir facsímil</v>
      </c>
      <c r="K7003" s="3" t="s">
        <v>23</v>
      </c>
    </row>
    <row r="7004" spans="1:11" ht="42" customHeight="1">
      <c r="A7004" s="2" t="s">
        <v>17553</v>
      </c>
      <c r="B7004" s="2" t="s">
        <v>17553</v>
      </c>
      <c r="C7004" s="2" t="s">
        <v>17</v>
      </c>
      <c r="D7004" s="2" t="s">
        <v>27</v>
      </c>
      <c r="E7004" s="4">
        <v>-31800</v>
      </c>
      <c r="F7004" s="3" t="s">
        <v>593</v>
      </c>
      <c r="G7004" s="3" t="s">
        <v>594</v>
      </c>
      <c r="H7004" s="2" t="s">
        <v>21</v>
      </c>
      <c r="I7004" s="2" t="s">
        <v>17554</v>
      </c>
      <c r="J7004" s="3" t="str">
        <f>HYPERLINK("https://www.boe.es/gazeta/dias/1812/12/06/pdfs/GMD-1812-229.pdf#page=3","Abrir facsímil")</f>
        <v>Abrir facsímil</v>
      </c>
      <c r="K7004" s="3" t="s">
        <v>23</v>
      </c>
    </row>
    <row r="7005" spans="1:11" ht="42" customHeight="1">
      <c r="A7005" s="2" t="s">
        <v>17548</v>
      </c>
      <c r="B7005" s="2" t="s">
        <v>17548</v>
      </c>
      <c r="C7005" s="2" t="s">
        <v>17</v>
      </c>
      <c r="D7005" s="2" t="s">
        <v>18</v>
      </c>
      <c r="E7005" s="4">
        <v>-31798</v>
      </c>
      <c r="F7005" s="3" t="s">
        <v>1849</v>
      </c>
      <c r="G7005" s="3" t="s">
        <v>237</v>
      </c>
      <c r="H7005" s="2" t="s">
        <v>21</v>
      </c>
      <c r="I7005" s="2" t="s">
        <v>17555</v>
      </c>
      <c r="J7005" s="3" t="str">
        <f>HYPERLINK("https://www.boe.es/gazeta/dias/1812/12/08/pdfs/GMD-1812-231.pdf#page=2","Abrir facsímil")</f>
        <v>Abrir facsímil</v>
      </c>
      <c r="K7005" s="3" t="s">
        <v>23</v>
      </c>
    </row>
    <row r="7006" spans="1:11" ht="42" customHeight="1">
      <c r="A7006" s="2" t="s">
        <v>17556</v>
      </c>
      <c r="B7006" s="2" t="s">
        <v>17557</v>
      </c>
      <c r="C7006" s="2" t="s">
        <v>26</v>
      </c>
      <c r="D7006" s="2" t="s">
        <v>27</v>
      </c>
      <c r="E7006" s="4">
        <v>-31822</v>
      </c>
      <c r="F7006" s="3" t="s">
        <v>541</v>
      </c>
      <c r="G7006" s="3" t="s">
        <v>3583</v>
      </c>
      <c r="H7006" s="2" t="s">
        <v>21</v>
      </c>
      <c r="I7006" s="2" t="s">
        <v>17558</v>
      </c>
      <c r="J7006" s="3" t="str">
        <f>HYPERLINK("https://www.boe.es/gazeta/dias/1812/11/14/pdfs/GRE-1812-152.pdf#page=6","Abrir facsímil")</f>
        <v>Abrir facsímil</v>
      </c>
      <c r="K7006" s="3" t="s">
        <v>23</v>
      </c>
    </row>
    <row r="7007" spans="1:11" ht="42" customHeight="1">
      <c r="A7007" s="2" t="s">
        <v>17559</v>
      </c>
      <c r="B7007" s="2" t="s">
        <v>17559</v>
      </c>
      <c r="C7007" s="2" t="s">
        <v>17</v>
      </c>
      <c r="D7007" s="2" t="s">
        <v>27</v>
      </c>
      <c r="E7007" s="4">
        <v>-32112</v>
      </c>
      <c r="F7007" s="3" t="s">
        <v>2794</v>
      </c>
      <c r="G7007" s="3" t="s">
        <v>58</v>
      </c>
      <c r="H7007" s="2" t="s">
        <v>21</v>
      </c>
      <c r="I7007" s="2" t="s">
        <v>17560</v>
      </c>
      <c r="J7007" s="3" t="str">
        <f>HYPERLINK("https://www.boe.es/gazeta/dias/1812/01/29/pdfs/GMD-1812-29.pdf#page=4","Abrir facsímil")</f>
        <v>Abrir facsímil</v>
      </c>
      <c r="K7007" s="3" t="s">
        <v>23</v>
      </c>
    </row>
    <row r="7008" spans="1:11" ht="42" customHeight="1">
      <c r="A7008" s="2" t="s">
        <v>17559</v>
      </c>
      <c r="B7008" s="2" t="s">
        <v>17559</v>
      </c>
      <c r="C7008" s="2" t="s">
        <v>26</v>
      </c>
      <c r="D7008" s="2" t="s">
        <v>27</v>
      </c>
      <c r="E7008" s="4">
        <v>-32102</v>
      </c>
      <c r="F7008" s="3" t="s">
        <v>11310</v>
      </c>
      <c r="G7008" s="3" t="s">
        <v>58</v>
      </c>
      <c r="H7008" s="2" t="s">
        <v>21</v>
      </c>
      <c r="I7008" s="2" t="s">
        <v>17561</v>
      </c>
      <c r="J7008" s="3" t="str">
        <f>HYPERLINK("https://www.boe.es/gazeta/dias/1812/02/08/pdfs/GMD-1812-39.pdf#page=4","Abrir facsímil")</f>
        <v>Abrir facsímil</v>
      </c>
      <c r="K7008" s="3" t="s">
        <v>23</v>
      </c>
    </row>
    <row r="7009" spans="1:11" ht="42" customHeight="1">
      <c r="A7009" s="2" t="s">
        <v>17562</v>
      </c>
      <c r="B7009" s="2" t="s">
        <v>17562</v>
      </c>
      <c r="C7009" s="2" t="s">
        <v>17</v>
      </c>
      <c r="D7009" s="2" t="s">
        <v>18</v>
      </c>
      <c r="E7009" s="4">
        <v>-32051</v>
      </c>
      <c r="F7009" s="3" t="s">
        <v>2534</v>
      </c>
      <c r="G7009" s="3" t="s">
        <v>125</v>
      </c>
      <c r="H7009" s="2" t="s">
        <v>21</v>
      </c>
      <c r="I7009" s="2" t="s">
        <v>17563</v>
      </c>
      <c r="J7009" s="3" t="str">
        <f>HYPERLINK("https://www.boe.es/gazeta/dias/1812/03/30/pdfs/GMD-1812-90.pdf#page=4","Abrir facsímil")</f>
        <v>Abrir facsímil</v>
      </c>
      <c r="K7009" s="3" t="s">
        <v>23</v>
      </c>
    </row>
    <row r="7010" spans="1:11" ht="42" customHeight="1">
      <c r="A7010" s="2" t="s">
        <v>17564</v>
      </c>
      <c r="B7010" s="2" t="s">
        <v>17564</v>
      </c>
      <c r="C7010" s="2" t="s">
        <v>82</v>
      </c>
      <c r="D7010" s="2" t="s">
        <v>27</v>
      </c>
      <c r="E7010" s="4">
        <v>-32099</v>
      </c>
      <c r="F7010" s="3" t="s">
        <v>2566</v>
      </c>
      <c r="G7010" s="3" t="s">
        <v>16170</v>
      </c>
      <c r="H7010" s="2" t="s">
        <v>21</v>
      </c>
      <c r="I7010" s="2" t="s">
        <v>17565</v>
      </c>
      <c r="J7010" s="3" t="str">
        <f>HYPERLINK("https://www.boe.es/gazeta/dias/1812/02/11/pdfs/GRE-1812-18.pdf#page=2","Abrir facsímil")</f>
        <v>Abrir facsímil</v>
      </c>
      <c r="K7010" s="3" t="s">
        <v>23</v>
      </c>
    </row>
    <row r="7011" spans="1:11" ht="42" customHeight="1">
      <c r="A7011" s="2" t="s">
        <v>17566</v>
      </c>
      <c r="B7011" s="2" t="s">
        <v>17567</v>
      </c>
      <c r="C7011" s="2" t="s">
        <v>26</v>
      </c>
      <c r="D7011" s="2" t="s">
        <v>27</v>
      </c>
      <c r="E7011" s="4">
        <v>-31957</v>
      </c>
      <c r="F7011" s="3" t="s">
        <v>598</v>
      </c>
      <c r="G7011" s="3" t="s">
        <v>599</v>
      </c>
      <c r="H7011" s="2" t="s">
        <v>21</v>
      </c>
      <c r="I7011" s="2" t="s">
        <v>17568</v>
      </c>
      <c r="J7011" s="3" t="str">
        <f>HYPERLINK("https://www.boe.es/gazeta/dias/1812/07/02/pdfs/GMD-1812-184.pdf#page=2","Abrir facsímil")</f>
        <v>Abrir facsímil</v>
      </c>
      <c r="K7011" s="3" t="s">
        <v>23</v>
      </c>
    </row>
    <row r="7012" spans="1:11" ht="42" customHeight="1">
      <c r="A7012" s="2" t="s">
        <v>17569</v>
      </c>
      <c r="B7012" s="2" t="s">
        <v>17570</v>
      </c>
      <c r="C7012" s="2" t="s">
        <v>26</v>
      </c>
      <c r="D7012" s="2" t="s">
        <v>27</v>
      </c>
      <c r="E7012" s="4">
        <v>-31935</v>
      </c>
      <c r="F7012" s="3" t="s">
        <v>2678</v>
      </c>
      <c r="G7012" s="3" t="s">
        <v>404</v>
      </c>
      <c r="H7012" s="2" t="s">
        <v>21</v>
      </c>
      <c r="I7012" s="2" t="s">
        <v>17571</v>
      </c>
      <c r="J7012" s="3" t="str">
        <f>HYPERLINK("https://www.boe.es/gazeta/dias/1812/07/24/pdfs/GMD-1812-206.pdf#page=1","Abrir facsímil")</f>
        <v>Abrir facsímil</v>
      </c>
      <c r="K7012" s="3" t="s">
        <v>23</v>
      </c>
    </row>
    <row r="7013" spans="1:11" ht="42" customHeight="1">
      <c r="A7013" s="2" t="s">
        <v>17572</v>
      </c>
      <c r="B7013" s="2" t="s">
        <v>17572</v>
      </c>
      <c r="C7013" s="2" t="s">
        <v>17</v>
      </c>
      <c r="D7013" s="2" t="s">
        <v>27</v>
      </c>
      <c r="E7013" s="4">
        <v>-31873</v>
      </c>
      <c r="F7013" s="3" t="s">
        <v>654</v>
      </c>
      <c r="G7013" s="3" t="s">
        <v>3846</v>
      </c>
      <c r="H7013" s="2" t="s">
        <v>21</v>
      </c>
      <c r="I7013" s="2" t="s">
        <v>17573</v>
      </c>
      <c r="J7013" s="3" t="str">
        <f>HYPERLINK("https://www.boe.es/gazeta/dias/1812/09/24/pdfs/GRE-1812-130.pdf#page=2","Abrir facsímil")</f>
        <v>Abrir facsímil</v>
      </c>
      <c r="K7013" s="3" t="s">
        <v>23</v>
      </c>
    </row>
    <row r="7014" spans="1:11" ht="42" customHeight="1">
      <c r="A7014" s="2" t="s">
        <v>17574</v>
      </c>
      <c r="B7014" s="2" t="s">
        <v>17575</v>
      </c>
      <c r="C7014" s="2" t="s">
        <v>26</v>
      </c>
      <c r="D7014" s="2" t="s">
        <v>27</v>
      </c>
      <c r="E7014" s="4">
        <v>-31843</v>
      </c>
      <c r="F7014" s="3" t="s">
        <v>6436</v>
      </c>
      <c r="G7014" s="3" t="s">
        <v>7883</v>
      </c>
      <c r="H7014" s="2" t="s">
        <v>21</v>
      </c>
      <c r="I7014" s="2" t="s">
        <v>17576</v>
      </c>
      <c r="J7014" s="3" t="str">
        <f>HYPERLINK("https://www.boe.es/gazeta/dias/1812/10/24/pdfs/GRE-1812-143.pdf#page=3","Abrir facsímil")</f>
        <v>Abrir facsímil</v>
      </c>
      <c r="K7014" s="3" t="s">
        <v>23</v>
      </c>
    </row>
    <row r="7015" spans="1:11" ht="42" customHeight="1">
      <c r="A7015" s="2" t="s">
        <v>17577</v>
      </c>
      <c r="B7015" s="2" t="s">
        <v>17577</v>
      </c>
      <c r="C7015" s="2" t="s">
        <v>17</v>
      </c>
      <c r="D7015" s="2" t="s">
        <v>573</v>
      </c>
      <c r="E7015" s="4">
        <v>-31895</v>
      </c>
      <c r="F7015" s="3" t="s">
        <v>3980</v>
      </c>
      <c r="G7015" s="3" t="s">
        <v>20</v>
      </c>
      <c r="H7015" s="2" t="s">
        <v>21</v>
      </c>
      <c r="I7015" s="2" t="s">
        <v>17578</v>
      </c>
      <c r="J7015" s="3" t="str">
        <f>HYPERLINK("https://www.boe.es/gazeta/dias/1812/09/02/pdfs/GRE-1812-118E.pdf#page=1","Abrir facsímil")</f>
        <v>Abrir facsímil</v>
      </c>
      <c r="K7015" s="3" t="s">
        <v>23</v>
      </c>
    </row>
    <row r="7016" spans="1:11" ht="42" customHeight="1">
      <c r="A7016" s="2" t="s">
        <v>17579</v>
      </c>
      <c r="B7016" s="2" t="s">
        <v>17580</v>
      </c>
      <c r="C7016" s="2" t="s">
        <v>17</v>
      </c>
      <c r="D7016" s="2" t="s">
        <v>27</v>
      </c>
      <c r="E7016" s="4">
        <v>-31936</v>
      </c>
      <c r="F7016" s="3" t="s">
        <v>614</v>
      </c>
      <c r="G7016" s="3" t="s">
        <v>615</v>
      </c>
      <c r="H7016" s="2" t="s">
        <v>21</v>
      </c>
      <c r="I7016" s="2" t="s">
        <v>17581</v>
      </c>
      <c r="J7016" s="3" t="str">
        <f>HYPERLINK("https://www.boe.es/gazeta/dias/1812/07/23/pdfs/GRE-1812-92.pdf#page=8","Abrir facsímil")</f>
        <v>Abrir facsímil</v>
      </c>
      <c r="K7016" s="3" t="s">
        <v>23</v>
      </c>
    </row>
    <row r="7017" spans="1:11" ht="42" customHeight="1">
      <c r="A7017" s="2" t="s">
        <v>17582</v>
      </c>
      <c r="B7017" s="2" t="s">
        <v>17583</v>
      </c>
      <c r="C7017" s="2" t="s">
        <v>17</v>
      </c>
      <c r="D7017" s="2" t="s">
        <v>27</v>
      </c>
      <c r="E7017" s="4">
        <v>-31857</v>
      </c>
      <c r="F7017" s="3" t="s">
        <v>1000</v>
      </c>
      <c r="G7017" s="3" t="s">
        <v>136</v>
      </c>
      <c r="H7017" s="2" t="s">
        <v>21</v>
      </c>
      <c r="I7017" s="2" t="s">
        <v>17584</v>
      </c>
      <c r="J7017" s="3" t="str">
        <f>HYPERLINK("https://www.boe.es/gazeta/dias/1812/10/10/pdfs/GRE-1812-137.pdf#page=8","Abrir facsímil")</f>
        <v>Abrir facsímil</v>
      </c>
      <c r="K7017" s="3" t="s">
        <v>23</v>
      </c>
    </row>
    <row r="7018" spans="1:11" ht="42" customHeight="1">
      <c r="A7018" s="2" t="s">
        <v>17585</v>
      </c>
      <c r="B7018" s="2" t="s">
        <v>17585</v>
      </c>
      <c r="C7018" s="2" t="s">
        <v>26</v>
      </c>
      <c r="D7018" s="2" t="s">
        <v>27</v>
      </c>
      <c r="E7018" s="4">
        <v>-32035</v>
      </c>
      <c r="F7018" s="3" t="s">
        <v>2646</v>
      </c>
      <c r="G7018" s="3" t="s">
        <v>1176</v>
      </c>
      <c r="H7018" s="2" t="s">
        <v>21</v>
      </c>
      <c r="I7018" s="2" t="s">
        <v>17586</v>
      </c>
      <c r="J7018" s="3" t="str">
        <f>HYPERLINK("https://www.boe.es/gazeta/dias/1812/04/15/pdfs/GMD-1812-106.pdf#page=2","Abrir facsímil")</f>
        <v>Abrir facsímil</v>
      </c>
      <c r="K7018" s="3" t="s">
        <v>23</v>
      </c>
    </row>
    <row r="7019" spans="1:11" ht="42" customHeight="1">
      <c r="A7019" s="2" t="s">
        <v>17587</v>
      </c>
      <c r="B7019" s="2" t="s">
        <v>17587</v>
      </c>
      <c r="C7019" s="2" t="s">
        <v>17</v>
      </c>
      <c r="D7019" s="2" t="s">
        <v>27</v>
      </c>
      <c r="E7019" s="4">
        <v>-32125</v>
      </c>
      <c r="F7019" s="3" t="s">
        <v>335</v>
      </c>
      <c r="G7019" s="3" t="s">
        <v>742</v>
      </c>
      <c r="H7019" s="2" t="s">
        <v>21</v>
      </c>
      <c r="I7019" s="2" t="s">
        <v>17588</v>
      </c>
      <c r="J7019" s="3" t="str">
        <f>HYPERLINK("https://www.boe.es/gazeta/dias/1812/01/16/pdfs/GEI-1812-7.pdf#page=5","Abrir facsímil")</f>
        <v>Abrir facsímil</v>
      </c>
      <c r="K7019" s="3" t="s">
        <v>23</v>
      </c>
    </row>
    <row r="7020" spans="1:11" ht="42" customHeight="1">
      <c r="A7020" s="2" t="s">
        <v>17587</v>
      </c>
      <c r="B7020" s="2" t="s">
        <v>17587</v>
      </c>
      <c r="C7020" s="2" t="s">
        <v>17</v>
      </c>
      <c r="D7020" s="2" t="s">
        <v>18</v>
      </c>
      <c r="E7020" s="4">
        <v>-32123</v>
      </c>
      <c r="F7020" s="3" t="s">
        <v>3501</v>
      </c>
      <c r="G7020" s="3" t="s">
        <v>2313</v>
      </c>
      <c r="H7020" s="2" t="s">
        <v>21</v>
      </c>
      <c r="I7020" s="2" t="s">
        <v>17589</v>
      </c>
      <c r="J7020" s="3" t="str">
        <f>HYPERLINK("https://www.boe.es/gazeta/dias/1812/01/18/pdfs/GEI-1812-8.pdf#page=5","Abrir facsímil")</f>
        <v>Abrir facsímil</v>
      </c>
      <c r="K7020" s="3" t="s">
        <v>23</v>
      </c>
    </row>
    <row r="7021" spans="1:11" ht="42" customHeight="1">
      <c r="A7021" s="2" t="s">
        <v>17587</v>
      </c>
      <c r="B7021" s="2" t="s">
        <v>17587</v>
      </c>
      <c r="C7021" s="2" t="s">
        <v>17</v>
      </c>
      <c r="D7021" s="2" t="s">
        <v>27</v>
      </c>
      <c r="E7021" s="4">
        <v>-31908</v>
      </c>
      <c r="F7021" s="3" t="s">
        <v>835</v>
      </c>
      <c r="G7021" s="3" t="s">
        <v>1413</v>
      </c>
      <c r="H7021" s="2" t="s">
        <v>21</v>
      </c>
      <c r="I7021" s="2" t="s">
        <v>17590</v>
      </c>
      <c r="J7021" s="3" t="str">
        <f>HYPERLINK("https://www.boe.es/gazeta/dias/1812/08/20/pdfs/GRE-1812-107.pdf#page=7","Abrir facsímil")</f>
        <v>Abrir facsímil</v>
      </c>
      <c r="K7021" s="3" t="s">
        <v>23</v>
      </c>
    </row>
    <row r="7022" spans="1:11" ht="42" customHeight="1">
      <c r="A7022" s="2" t="s">
        <v>17587</v>
      </c>
      <c r="B7022" s="2" t="s">
        <v>17587</v>
      </c>
      <c r="C7022" s="2" t="s">
        <v>17</v>
      </c>
      <c r="D7022" s="2" t="s">
        <v>27</v>
      </c>
      <c r="E7022" s="4">
        <v>-31894</v>
      </c>
      <c r="F7022" s="3" t="s">
        <v>3953</v>
      </c>
      <c r="G7022" s="3" t="s">
        <v>20</v>
      </c>
      <c r="H7022" s="2" t="s">
        <v>21</v>
      </c>
      <c r="I7022" s="2" t="s">
        <v>17591</v>
      </c>
      <c r="J7022" s="3" t="str">
        <f>HYPERLINK("https://www.boe.es/gazeta/dias/1812/09/03/pdfs/GMR-1812-9.pdf#page=8","Abrir facsímil")</f>
        <v>Abrir facsímil</v>
      </c>
      <c r="K7022" s="3" t="s">
        <v>23</v>
      </c>
    </row>
    <row r="7023" spans="1:11" ht="42" customHeight="1">
      <c r="A7023" s="2" t="s">
        <v>17587</v>
      </c>
      <c r="B7023" s="2" t="s">
        <v>17587</v>
      </c>
      <c r="C7023" s="2" t="s">
        <v>17</v>
      </c>
      <c r="D7023" s="2" t="s">
        <v>18</v>
      </c>
      <c r="E7023" s="4">
        <v>-31857</v>
      </c>
      <c r="F7023" s="3" t="s">
        <v>2176</v>
      </c>
      <c r="G7023" s="3" t="s">
        <v>136</v>
      </c>
      <c r="H7023" s="2" t="s">
        <v>21</v>
      </c>
      <c r="I7023" s="2" t="s">
        <v>17592</v>
      </c>
      <c r="J7023" s="3" t="str">
        <f>HYPERLINK("https://www.boe.es/gazeta/dias/1812/10/10/pdfs/GMR-1812-25.pdf#page=3","Abrir facsímil")</f>
        <v>Abrir facsímil</v>
      </c>
      <c r="K7023" s="3" t="s">
        <v>23</v>
      </c>
    </row>
    <row r="7024" spans="1:11" ht="42" customHeight="1">
      <c r="A7024" s="2" t="s">
        <v>17593</v>
      </c>
      <c r="B7024" s="2" t="s">
        <v>17593</v>
      </c>
      <c r="C7024" s="2" t="s">
        <v>49</v>
      </c>
      <c r="D7024" s="2" t="s">
        <v>27</v>
      </c>
      <c r="E7024" s="4">
        <v>-32095</v>
      </c>
      <c r="F7024" s="3" t="s">
        <v>181</v>
      </c>
      <c r="G7024" s="3" t="s">
        <v>777</v>
      </c>
      <c r="H7024" s="2" t="s">
        <v>21</v>
      </c>
      <c r="I7024" s="2" t="s">
        <v>17594</v>
      </c>
      <c r="J7024" s="3" t="str">
        <f>HYPERLINK("https://www.boe.es/gazeta/dias/1812/02/15/pdfs/GMD-1812-47.pdf#page=3","Abrir facsímil")</f>
        <v>Abrir facsímil</v>
      </c>
      <c r="K7024" s="3" t="s">
        <v>23</v>
      </c>
    </row>
    <row r="7025" spans="1:11" ht="42" customHeight="1">
      <c r="A7025" s="2" t="s">
        <v>17593</v>
      </c>
      <c r="B7025" s="2" t="s">
        <v>17593</v>
      </c>
      <c r="C7025" s="2" t="s">
        <v>49</v>
      </c>
      <c r="D7025" s="2" t="s">
        <v>27</v>
      </c>
      <c r="E7025" s="4">
        <v>-32094</v>
      </c>
      <c r="F7025" s="3" t="s">
        <v>181</v>
      </c>
      <c r="G7025" s="3" t="s">
        <v>777</v>
      </c>
      <c r="H7025" s="2" t="s">
        <v>21</v>
      </c>
      <c r="I7025" s="2" t="s">
        <v>17594</v>
      </c>
      <c r="J7025" s="3" t="str">
        <f>HYPERLINK("https://www.boe.es/gazeta/dias/1812/02/16/pdfs/GMD-1812-47.pdf#page=3","Abrir facsímil")</f>
        <v>Abrir facsímil</v>
      </c>
      <c r="K7025" s="3" t="s">
        <v>23</v>
      </c>
    </row>
    <row r="7026" spans="1:11" ht="42" customHeight="1">
      <c r="A7026" s="2" t="s">
        <v>17595</v>
      </c>
      <c r="B7026" s="2" t="s">
        <v>17595</v>
      </c>
      <c r="C7026" s="2" t="s">
        <v>17</v>
      </c>
      <c r="D7026" s="2" t="s">
        <v>27</v>
      </c>
      <c r="E7026" s="4">
        <v>-31795</v>
      </c>
      <c r="F7026" s="3" t="s">
        <v>2344</v>
      </c>
      <c r="G7026" s="3" t="s">
        <v>11844</v>
      </c>
      <c r="H7026" s="2" t="s">
        <v>21</v>
      </c>
      <c r="I7026" s="2" t="s">
        <v>17596</v>
      </c>
      <c r="J7026" s="3" t="str">
        <f>HYPERLINK("https://www.boe.es/gazeta/dias/1812/12/11/pdfs/GMD-1812-234.pdf#page=3","Abrir facsímil")</f>
        <v>Abrir facsímil</v>
      </c>
      <c r="K7026" s="3" t="s">
        <v>23</v>
      </c>
    </row>
    <row r="7027" spans="1:11" ht="42" customHeight="1">
      <c r="A7027" s="2" t="s">
        <v>17597</v>
      </c>
      <c r="B7027" s="2" t="s">
        <v>17598</v>
      </c>
      <c r="C7027" s="2" t="s">
        <v>26</v>
      </c>
      <c r="D7027" s="2" t="s">
        <v>27</v>
      </c>
      <c r="E7027" s="4">
        <v>-31938</v>
      </c>
      <c r="F7027" s="3" t="s">
        <v>324</v>
      </c>
      <c r="G7027" s="3" t="s">
        <v>237</v>
      </c>
      <c r="H7027" s="2" t="s">
        <v>21</v>
      </c>
      <c r="I7027" s="2" t="s">
        <v>17599</v>
      </c>
      <c r="J7027" s="3" t="str">
        <f>HYPERLINK("https://www.boe.es/gazeta/dias/1812/07/21/pdfs/GMD-1812-203.pdf#page=2","Abrir facsímil")</f>
        <v>Abrir facsímil</v>
      </c>
      <c r="K7027" s="3" t="s">
        <v>23</v>
      </c>
    </row>
    <row r="7028" spans="1:11" ht="42" customHeight="1">
      <c r="A7028" s="2" t="s">
        <v>17600</v>
      </c>
      <c r="B7028" s="2" t="s">
        <v>17601</v>
      </c>
      <c r="C7028" s="2" t="s">
        <v>26</v>
      </c>
      <c r="D7028" s="2" t="s">
        <v>27</v>
      </c>
      <c r="E7028" s="4">
        <v>-31938</v>
      </c>
      <c r="F7028" s="3" t="s">
        <v>324</v>
      </c>
      <c r="G7028" s="3" t="s">
        <v>404</v>
      </c>
      <c r="H7028" s="2" t="s">
        <v>21</v>
      </c>
      <c r="I7028" s="2" t="s">
        <v>17602</v>
      </c>
      <c r="J7028" s="3" t="str">
        <f>HYPERLINK("https://www.boe.es/gazeta/dias/1812/07/21/pdfs/GMD-1812-203.pdf#page=4","Abrir facsímil")</f>
        <v>Abrir facsímil</v>
      </c>
      <c r="K7028" s="3" t="s">
        <v>23</v>
      </c>
    </row>
    <row r="7029" spans="1:11" ht="42" customHeight="1">
      <c r="A7029" s="2" t="s">
        <v>17603</v>
      </c>
      <c r="B7029" s="2" t="s">
        <v>17604</v>
      </c>
      <c r="C7029" s="2" t="s">
        <v>26</v>
      </c>
      <c r="D7029" s="2" t="s">
        <v>27</v>
      </c>
      <c r="E7029" s="4">
        <v>-31917</v>
      </c>
      <c r="F7029" s="3" t="s">
        <v>946</v>
      </c>
      <c r="G7029" s="3" t="s">
        <v>947</v>
      </c>
      <c r="H7029" s="2" t="s">
        <v>21</v>
      </c>
      <c r="I7029" s="2" t="s">
        <v>17605</v>
      </c>
      <c r="J7029" s="3" t="str">
        <f>HYPERLINK("https://www.boe.es/gazeta/dias/1812/08/11/pdfs/GRE-1812-103.pdf#page=8","Abrir facsímil")</f>
        <v>Abrir facsímil</v>
      </c>
      <c r="K7029" s="3" t="s">
        <v>23</v>
      </c>
    </row>
    <row r="7030" spans="1:11" ht="42" customHeight="1">
      <c r="A7030" s="2" t="s">
        <v>17606</v>
      </c>
      <c r="B7030" s="2" t="s">
        <v>17606</v>
      </c>
      <c r="C7030" s="2" t="s">
        <v>105</v>
      </c>
      <c r="D7030" s="2" t="s">
        <v>194</v>
      </c>
      <c r="E7030" s="4">
        <v>-32060</v>
      </c>
      <c r="F7030" s="3" t="s">
        <v>399</v>
      </c>
      <c r="G7030" s="3" t="s">
        <v>17607</v>
      </c>
      <c r="H7030" s="2" t="s">
        <v>21</v>
      </c>
      <c r="I7030" s="2" t="s">
        <v>17608</v>
      </c>
      <c r="J7030" s="3" t="str">
        <f>HYPERLINK("https://www.boe.es/gazeta/dias/1812/03/21/pdfs/GMD-1812-81.pdf#page=2","Abrir facsímil")</f>
        <v>Abrir facsímil</v>
      </c>
      <c r="K7030" s="3" t="s">
        <v>23</v>
      </c>
    </row>
    <row r="7031" spans="1:11" ht="42" customHeight="1">
      <c r="A7031" s="2" t="s">
        <v>17609</v>
      </c>
      <c r="B7031" s="2" t="s">
        <v>17610</v>
      </c>
      <c r="C7031" s="2" t="s">
        <v>17</v>
      </c>
      <c r="D7031" s="2" t="s">
        <v>18</v>
      </c>
      <c r="E7031" s="4">
        <v>-31966</v>
      </c>
      <c r="F7031" s="3" t="s">
        <v>387</v>
      </c>
      <c r="G7031" s="3" t="s">
        <v>388</v>
      </c>
      <c r="H7031" s="2" t="s">
        <v>21</v>
      </c>
      <c r="I7031" s="2" t="s">
        <v>17611</v>
      </c>
      <c r="J7031" s="3" t="str">
        <f>HYPERLINK("https://www.boe.es/gazeta/dias/1812/06/23/pdfs/GMD-1812-175.pdf#page=2","Abrir facsímil")</f>
        <v>Abrir facsímil</v>
      </c>
      <c r="K7031" s="3" t="s">
        <v>23</v>
      </c>
    </row>
    <row r="7032" spans="1:11" ht="42" customHeight="1">
      <c r="A7032" s="2" t="s">
        <v>17612</v>
      </c>
      <c r="B7032" s="2" t="s">
        <v>17613</v>
      </c>
      <c r="C7032" s="2" t="s">
        <v>17</v>
      </c>
      <c r="D7032" s="2" t="s">
        <v>27</v>
      </c>
      <c r="E7032" s="4">
        <v>-31875</v>
      </c>
      <c r="F7032" s="3" t="s">
        <v>110</v>
      </c>
      <c r="G7032" s="3" t="s">
        <v>2373</v>
      </c>
      <c r="H7032" s="2" t="s">
        <v>21</v>
      </c>
      <c r="I7032" s="2" t="s">
        <v>17614</v>
      </c>
      <c r="J7032" s="3" t="str">
        <f>HYPERLINK("https://www.boe.es/gazeta/dias/1812/09/22/pdfs/GRE-1812-128.pdf#page=5","Abrir facsímil")</f>
        <v>Abrir facsímil</v>
      </c>
      <c r="K7032" s="3" t="s">
        <v>23</v>
      </c>
    </row>
    <row r="7033" spans="1:11" ht="42" customHeight="1">
      <c r="A7033" s="2" t="s">
        <v>17615</v>
      </c>
      <c r="B7033" s="2" t="s">
        <v>17616</v>
      </c>
      <c r="C7033" s="2" t="s">
        <v>17</v>
      </c>
      <c r="D7033" s="2" t="s">
        <v>27</v>
      </c>
      <c r="E7033" s="4">
        <v>-31931</v>
      </c>
      <c r="F7033" s="3" t="s">
        <v>4174</v>
      </c>
      <c r="G7033" s="3" t="s">
        <v>4175</v>
      </c>
      <c r="H7033" s="2" t="s">
        <v>21</v>
      </c>
      <c r="I7033" s="2" t="s">
        <v>17617</v>
      </c>
      <c r="J7033" s="3" t="str">
        <f>HYPERLINK("https://www.boe.es/gazeta/dias/1812/07/28/pdfs/GRE-1812-94.pdf#page=5","Abrir facsímil")</f>
        <v>Abrir facsímil</v>
      </c>
      <c r="K7033" s="3" t="s">
        <v>23</v>
      </c>
    </row>
    <row r="7034" spans="1:11" ht="42" customHeight="1">
      <c r="A7034" s="2" t="s">
        <v>17618</v>
      </c>
      <c r="B7034" s="2" t="s">
        <v>17618</v>
      </c>
      <c r="C7034" s="2" t="s">
        <v>17</v>
      </c>
      <c r="D7034" s="2" t="s">
        <v>18</v>
      </c>
      <c r="E7034" s="4">
        <v>-31976</v>
      </c>
      <c r="F7034" s="3" t="s">
        <v>2250</v>
      </c>
      <c r="G7034" s="3" t="s">
        <v>2831</v>
      </c>
      <c r="H7034" s="2" t="s">
        <v>21</v>
      </c>
      <c r="I7034" s="2" t="s">
        <v>17619</v>
      </c>
      <c r="J7034" s="3" t="str">
        <f>HYPERLINK("https://www.boe.es/gazeta/dias/1812/06/13/pdfs/GMD-1812-165.pdf#page=1","Abrir facsímil")</f>
        <v>Abrir facsímil</v>
      </c>
      <c r="K7034" s="3" t="s">
        <v>23</v>
      </c>
    </row>
    <row r="7035" spans="1:11" ht="42" customHeight="1">
      <c r="A7035" s="2" t="s">
        <v>17620</v>
      </c>
      <c r="B7035" s="2" t="s">
        <v>17621</v>
      </c>
      <c r="C7035" s="2" t="s">
        <v>26</v>
      </c>
      <c r="D7035" s="2" t="s">
        <v>27</v>
      </c>
      <c r="E7035" s="4">
        <v>-31822</v>
      </c>
      <c r="F7035" s="3" t="s">
        <v>541</v>
      </c>
      <c r="G7035" s="3" t="s">
        <v>3583</v>
      </c>
      <c r="H7035" s="2" t="s">
        <v>21</v>
      </c>
      <c r="I7035" s="2" t="s">
        <v>17622</v>
      </c>
      <c r="J7035" s="3" t="str">
        <f>HYPERLINK("https://www.boe.es/gazeta/dias/1812/11/14/pdfs/GRE-1812-152.pdf#page=6","Abrir facsímil")</f>
        <v>Abrir facsímil</v>
      </c>
      <c r="K7035" s="3" t="s">
        <v>23</v>
      </c>
    </row>
    <row r="7036" spans="1:11" ht="42" customHeight="1">
      <c r="A7036" s="2" t="s">
        <v>17623</v>
      </c>
      <c r="B7036" s="2" t="s">
        <v>17623</v>
      </c>
      <c r="C7036" s="2" t="s">
        <v>26</v>
      </c>
      <c r="D7036" s="2" t="s">
        <v>194</v>
      </c>
      <c r="E7036" s="4">
        <v>-31973</v>
      </c>
      <c r="F7036" s="3" t="s">
        <v>1735</v>
      </c>
      <c r="G7036" s="3" t="s">
        <v>58</v>
      </c>
      <c r="H7036" s="2" t="s">
        <v>21</v>
      </c>
      <c r="I7036" s="2" t="s">
        <v>17624</v>
      </c>
      <c r="J7036" s="3" t="str">
        <f>HYPERLINK("https://www.boe.es/gazeta/dias/1812/06/16/pdfs/GRE-1812-74.pdf#page=6","Abrir facsímil")</f>
        <v>Abrir facsímil</v>
      </c>
      <c r="K7036" s="3" t="s">
        <v>23</v>
      </c>
    </row>
    <row r="7037" spans="1:11" ht="42" customHeight="1">
      <c r="A7037" s="2" t="s">
        <v>17623</v>
      </c>
      <c r="B7037" s="2" t="s">
        <v>17623</v>
      </c>
      <c r="C7037" s="2" t="s">
        <v>26</v>
      </c>
      <c r="D7037" s="2" t="s">
        <v>27</v>
      </c>
      <c r="E7037" s="4">
        <v>-31971</v>
      </c>
      <c r="F7037" s="3" t="s">
        <v>686</v>
      </c>
      <c r="G7037" s="3" t="s">
        <v>8588</v>
      </c>
      <c r="H7037" s="2" t="s">
        <v>21</v>
      </c>
      <c r="I7037" s="2" t="s">
        <v>17625</v>
      </c>
      <c r="J7037" s="3" t="str">
        <f>HYPERLINK("https://www.boe.es/gazeta/dias/1812/06/18/pdfs/GRE-1812-75.pdf#page=6","Abrir facsímil")</f>
        <v>Abrir facsímil</v>
      </c>
      <c r="K7037" s="3" t="s">
        <v>23</v>
      </c>
    </row>
    <row r="7038" spans="1:11" ht="42" customHeight="1">
      <c r="A7038" s="2" t="s">
        <v>17623</v>
      </c>
      <c r="B7038" s="2" t="s">
        <v>17623</v>
      </c>
      <c r="C7038" s="2" t="s">
        <v>17</v>
      </c>
      <c r="D7038" s="2" t="s">
        <v>18</v>
      </c>
      <c r="E7038" s="4">
        <v>-31959</v>
      </c>
      <c r="F7038" s="3" t="s">
        <v>1035</v>
      </c>
      <c r="G7038" s="3" t="s">
        <v>4321</v>
      </c>
      <c r="H7038" s="2" t="s">
        <v>21</v>
      </c>
      <c r="I7038" s="2" t="s">
        <v>17626</v>
      </c>
      <c r="J7038" s="3" t="str">
        <f>HYPERLINK("https://www.boe.es/gazeta/dias/1812/06/30/pdfs/GRE-1812-80.pdf#page=5","Abrir facsímil")</f>
        <v>Abrir facsímil</v>
      </c>
      <c r="K7038" s="3" t="s">
        <v>23</v>
      </c>
    </row>
    <row r="7039" spans="1:11" ht="42" customHeight="1">
      <c r="A7039" s="2" t="s">
        <v>17623</v>
      </c>
      <c r="B7039" s="2" t="s">
        <v>17623</v>
      </c>
      <c r="C7039" s="2" t="s">
        <v>549</v>
      </c>
      <c r="D7039" s="2" t="s">
        <v>27</v>
      </c>
      <c r="E7039" s="4">
        <v>-31955</v>
      </c>
      <c r="F7039" s="3" t="s">
        <v>789</v>
      </c>
      <c r="G7039" s="3" t="s">
        <v>196</v>
      </c>
      <c r="H7039" s="2" t="s">
        <v>21</v>
      </c>
      <c r="I7039" s="2" t="s">
        <v>17627</v>
      </c>
      <c r="J7039" s="3" t="str">
        <f>HYPERLINK("https://www.boe.es/gazeta/dias/1812/07/04/pdfs/GRE-1812-82.pdf#page=1","Abrir facsímil")</f>
        <v>Abrir facsímil</v>
      </c>
      <c r="K7039" s="3" t="s">
        <v>23</v>
      </c>
    </row>
    <row r="7040" spans="1:11" ht="42" customHeight="1">
      <c r="A7040" s="2" t="s">
        <v>17628</v>
      </c>
      <c r="B7040" s="2" t="s">
        <v>17628</v>
      </c>
      <c r="C7040" s="2" t="s">
        <v>17</v>
      </c>
      <c r="D7040" s="2" t="s">
        <v>27</v>
      </c>
      <c r="E7040" s="4">
        <v>-32067</v>
      </c>
      <c r="F7040" s="3" t="s">
        <v>199</v>
      </c>
      <c r="G7040" s="3" t="s">
        <v>317</v>
      </c>
      <c r="H7040" s="2" t="s">
        <v>21</v>
      </c>
      <c r="I7040" s="2" t="s">
        <v>17629</v>
      </c>
      <c r="J7040" s="3" t="str">
        <f>HYPERLINK("https://www.boe.es/gazeta/dias/1812/03/14/pdfs/GRE-1812-33.pdf#page=6","Abrir facsímil")</f>
        <v>Abrir facsímil</v>
      </c>
      <c r="K7040" s="3" t="s">
        <v>23</v>
      </c>
    </row>
    <row r="7041" spans="1:11" ht="42" customHeight="1">
      <c r="A7041" s="2" t="s">
        <v>17628</v>
      </c>
      <c r="B7041" s="2" t="s">
        <v>17628</v>
      </c>
      <c r="C7041" s="2" t="s">
        <v>17</v>
      </c>
      <c r="D7041" s="2" t="s">
        <v>27</v>
      </c>
      <c r="E7041" s="4">
        <v>-32025</v>
      </c>
      <c r="F7041" s="3" t="s">
        <v>2323</v>
      </c>
      <c r="G7041" s="3" t="s">
        <v>125</v>
      </c>
      <c r="H7041" s="2" t="s">
        <v>21</v>
      </c>
      <c r="I7041" s="2" t="s">
        <v>17630</v>
      </c>
      <c r="J7041" s="3" t="str">
        <f>HYPERLINK("https://www.boe.es/gazeta/dias/1812/04/25/pdfs/GRE-1812-52.pdf#page=2","Abrir facsímil")</f>
        <v>Abrir facsímil</v>
      </c>
      <c r="K7041" s="3" t="s">
        <v>23</v>
      </c>
    </row>
    <row r="7042" spans="1:11" ht="42" customHeight="1">
      <c r="A7042" s="2" t="s">
        <v>17628</v>
      </c>
      <c r="B7042" s="2" t="s">
        <v>17628</v>
      </c>
      <c r="C7042" s="2" t="s">
        <v>17</v>
      </c>
      <c r="D7042" s="2" t="s">
        <v>27</v>
      </c>
      <c r="E7042" s="4">
        <v>-31983</v>
      </c>
      <c r="F7042" s="3" t="s">
        <v>809</v>
      </c>
      <c r="G7042" s="3" t="s">
        <v>237</v>
      </c>
      <c r="H7042" s="2" t="s">
        <v>21</v>
      </c>
      <c r="I7042" s="2" t="s">
        <v>17631</v>
      </c>
      <c r="J7042" s="3" t="str">
        <f>HYPERLINK("https://www.boe.es/gazeta/dias/1812/06/06/pdfs/GRE-1812-70.pdf#page=8","Abrir facsímil")</f>
        <v>Abrir facsímil</v>
      </c>
      <c r="K7042" s="3" t="s">
        <v>23</v>
      </c>
    </row>
    <row r="7043" spans="1:11" ht="42" customHeight="1">
      <c r="A7043" s="2" t="s">
        <v>17628</v>
      </c>
      <c r="B7043" s="2" t="s">
        <v>17628</v>
      </c>
      <c r="C7043" s="2" t="s">
        <v>17</v>
      </c>
      <c r="D7043" s="2" t="s">
        <v>27</v>
      </c>
      <c r="E7043" s="4">
        <v>-31980</v>
      </c>
      <c r="F7043" s="3" t="s">
        <v>40</v>
      </c>
      <c r="G7043" s="3" t="s">
        <v>7999</v>
      </c>
      <c r="H7043" s="2" t="s">
        <v>21</v>
      </c>
      <c r="I7043" s="2" t="s">
        <v>17632</v>
      </c>
      <c r="J7043" s="3" t="str">
        <f>HYPERLINK("https://www.boe.es/gazeta/dias/1812/06/09/pdfs/GRE-1812-71.pdf#page=4","Abrir facsímil")</f>
        <v>Abrir facsímil</v>
      </c>
      <c r="K7043" s="3" t="s">
        <v>23</v>
      </c>
    </row>
    <row r="7044" spans="1:11" ht="42" customHeight="1">
      <c r="A7044" s="2" t="s">
        <v>17628</v>
      </c>
      <c r="B7044" s="2" t="s">
        <v>17628</v>
      </c>
      <c r="C7044" s="2" t="s">
        <v>17</v>
      </c>
      <c r="D7044" s="2" t="s">
        <v>573</v>
      </c>
      <c r="E7044" s="4">
        <v>-31898</v>
      </c>
      <c r="F7044" s="3" t="s">
        <v>1952</v>
      </c>
      <c r="G7044" s="3" t="s">
        <v>1953</v>
      </c>
      <c r="H7044" s="2" t="s">
        <v>21</v>
      </c>
      <c r="I7044" s="2" t="s">
        <v>17633</v>
      </c>
      <c r="J7044" s="3" t="str">
        <f>HYPERLINK("https://www.boe.es/gazeta/dias/1812/08/30/pdfs/GRE-1812-116E.pdf#page=5","Abrir facsímil")</f>
        <v>Abrir facsímil</v>
      </c>
      <c r="K7044" s="3" t="s">
        <v>23</v>
      </c>
    </row>
    <row r="7045" spans="1:11" ht="42" customHeight="1">
      <c r="A7045" s="2" t="s">
        <v>17634</v>
      </c>
      <c r="B7045" s="2" t="s">
        <v>17635</v>
      </c>
      <c r="C7045" s="2" t="s">
        <v>105</v>
      </c>
      <c r="D7045" s="2" t="s">
        <v>27</v>
      </c>
      <c r="E7045" s="4">
        <v>-32132</v>
      </c>
      <c r="F7045" s="3" t="s">
        <v>484</v>
      </c>
      <c r="G7045" s="3" t="s">
        <v>485</v>
      </c>
      <c r="H7045" s="2" t="s">
        <v>21</v>
      </c>
      <c r="I7045" s="2" t="s">
        <v>17636</v>
      </c>
      <c r="J7045" s="3" t="str">
        <f>HYPERLINK("https://www.boe.es/gazeta/dias/1812/01/09/pdfs/GEI-1812-4.pdf#page=8","Abrir facsímil")</f>
        <v>Abrir facsímil</v>
      </c>
      <c r="K7045" s="3" t="s">
        <v>23</v>
      </c>
    </row>
    <row r="7046" spans="1:11" ht="42" customHeight="1">
      <c r="A7046" s="2" t="s">
        <v>17637</v>
      </c>
      <c r="B7046" s="2" t="s">
        <v>17638</v>
      </c>
      <c r="C7046" s="2" t="s">
        <v>105</v>
      </c>
      <c r="D7046" s="2" t="s">
        <v>27</v>
      </c>
      <c r="E7046" s="4">
        <v>-32015</v>
      </c>
      <c r="F7046" s="3" t="s">
        <v>77</v>
      </c>
      <c r="G7046" s="3" t="s">
        <v>78</v>
      </c>
      <c r="H7046" s="2" t="s">
        <v>21</v>
      </c>
      <c r="I7046" s="2" t="s">
        <v>17639</v>
      </c>
      <c r="J7046" s="3" t="str">
        <f>HYPERLINK("https://www.boe.es/gazeta/dias/1812/05/05/pdfs/GRE-1812-56.pdf#page=8","Abrir facsímil")</f>
        <v>Abrir facsímil</v>
      </c>
      <c r="K7046" s="3" t="s">
        <v>23</v>
      </c>
    </row>
    <row r="7047" spans="1:11" ht="42" customHeight="1">
      <c r="A7047" s="2" t="s">
        <v>17640</v>
      </c>
      <c r="B7047" s="2" t="s">
        <v>17641</v>
      </c>
      <c r="C7047" s="2" t="s">
        <v>17</v>
      </c>
      <c r="D7047" s="2" t="s">
        <v>18</v>
      </c>
      <c r="E7047" s="4">
        <v>-32110</v>
      </c>
      <c r="F7047" s="3" t="s">
        <v>68</v>
      </c>
      <c r="G7047" s="3" t="s">
        <v>20</v>
      </c>
      <c r="H7047" s="2" t="s">
        <v>21</v>
      </c>
      <c r="I7047" s="2" t="s">
        <v>17642</v>
      </c>
      <c r="J7047" s="3" t="str">
        <f>HYPERLINK("https://www.boe.es/gazeta/dias/1812/01/31/pdfs/GMD-1812-31.pdf#page=4","Abrir facsímil")</f>
        <v>Abrir facsímil</v>
      </c>
      <c r="K7047" s="3" t="s">
        <v>23</v>
      </c>
    </row>
    <row r="7048" spans="1:11" ht="42" customHeight="1">
      <c r="A7048" s="2" t="s">
        <v>17643</v>
      </c>
      <c r="B7048" s="2" t="s">
        <v>17644</v>
      </c>
      <c r="C7048" s="2" t="s">
        <v>105</v>
      </c>
      <c r="D7048" s="2" t="s">
        <v>27</v>
      </c>
      <c r="E7048" s="4">
        <v>-32055</v>
      </c>
      <c r="F7048" s="3" t="s">
        <v>459</v>
      </c>
      <c r="G7048" s="3" t="s">
        <v>20</v>
      </c>
      <c r="H7048" s="2" t="s">
        <v>21</v>
      </c>
      <c r="I7048" s="2" t="s">
        <v>17645</v>
      </c>
      <c r="J7048" s="3" t="str">
        <f>HYPERLINK("https://www.boe.es/gazeta/dias/1812/03/26/pdfs/GRE-1812-38.pdf#page=8","Abrir facsímil")</f>
        <v>Abrir facsímil</v>
      </c>
      <c r="K7048" s="3" t="s">
        <v>23</v>
      </c>
    </row>
    <row r="7049" spans="1:11" ht="42" customHeight="1">
      <c r="A7049" s="2" t="s">
        <v>17646</v>
      </c>
      <c r="B7049" s="2" t="s">
        <v>17647</v>
      </c>
      <c r="C7049" s="2" t="s">
        <v>105</v>
      </c>
      <c r="D7049" s="2" t="s">
        <v>27</v>
      </c>
      <c r="E7049" s="4">
        <v>-32060</v>
      </c>
      <c r="F7049" s="3" t="s">
        <v>1403</v>
      </c>
      <c r="G7049" s="3" t="s">
        <v>217</v>
      </c>
      <c r="H7049" s="2" t="s">
        <v>21</v>
      </c>
      <c r="I7049" s="2" t="s">
        <v>17648</v>
      </c>
      <c r="J7049" s="3" t="str">
        <f>HYPERLINK("https://www.boe.es/gazeta/dias/1812/03/21/pdfs/GRE-1812-36.pdf#page=8","Abrir facsímil")</f>
        <v>Abrir facsímil</v>
      </c>
      <c r="K7049" s="3" t="s">
        <v>23</v>
      </c>
    </row>
    <row r="7050" spans="1:11" ht="42" customHeight="1">
      <c r="A7050" s="2" t="s">
        <v>17649</v>
      </c>
      <c r="B7050" s="2" t="s">
        <v>17650</v>
      </c>
      <c r="C7050" s="2" t="s">
        <v>105</v>
      </c>
      <c r="D7050" s="2" t="s">
        <v>27</v>
      </c>
      <c r="E7050" s="4">
        <v>-32055</v>
      </c>
      <c r="F7050" s="3" t="s">
        <v>459</v>
      </c>
      <c r="G7050" s="3" t="s">
        <v>20</v>
      </c>
      <c r="H7050" s="2" t="s">
        <v>21</v>
      </c>
      <c r="I7050" s="2" t="s">
        <v>17651</v>
      </c>
      <c r="J7050" s="3" t="str">
        <f>HYPERLINK("https://www.boe.es/gazeta/dias/1812/03/26/pdfs/GRE-1812-38.pdf#page=8","Abrir facsímil")</f>
        <v>Abrir facsímil</v>
      </c>
      <c r="K7050" s="3" t="s">
        <v>23</v>
      </c>
    </row>
    <row r="7051" spans="1:11" ht="42" customHeight="1">
      <c r="A7051" s="2" t="s">
        <v>17652</v>
      </c>
      <c r="B7051" s="2" t="s">
        <v>17653</v>
      </c>
      <c r="C7051" s="2" t="s">
        <v>17</v>
      </c>
      <c r="D7051" s="2" t="s">
        <v>27</v>
      </c>
      <c r="E7051" s="4">
        <v>-32036</v>
      </c>
      <c r="F7051" s="3" t="s">
        <v>781</v>
      </c>
      <c r="G7051" s="3" t="s">
        <v>782</v>
      </c>
      <c r="H7051" s="2" t="s">
        <v>21</v>
      </c>
      <c r="I7051" s="2" t="s">
        <v>17654</v>
      </c>
      <c r="J7051" s="3" t="str">
        <f>HYPERLINK("https://www.boe.es/gazeta/dias/1812/04/14/pdfs/GRE-1812-47.pdf#page=8","Abrir facsímil")</f>
        <v>Abrir facsímil</v>
      </c>
      <c r="K7051" s="3" t="s">
        <v>23</v>
      </c>
    </row>
    <row r="7052" spans="1:11" ht="42" customHeight="1">
      <c r="A7052" s="2" t="s">
        <v>17655</v>
      </c>
      <c r="B7052" s="2" t="s">
        <v>17656</v>
      </c>
      <c r="C7052" s="2" t="s">
        <v>105</v>
      </c>
      <c r="D7052" s="2" t="s">
        <v>27</v>
      </c>
      <c r="E7052" s="4">
        <v>-32069</v>
      </c>
      <c r="F7052" s="3" t="s">
        <v>445</v>
      </c>
      <c r="G7052" s="3" t="s">
        <v>446</v>
      </c>
      <c r="H7052" s="2" t="s">
        <v>21</v>
      </c>
      <c r="I7052" s="2" t="s">
        <v>17657</v>
      </c>
      <c r="J7052" s="3" t="str">
        <f>HYPERLINK("https://www.boe.es/gazeta/dias/1812/03/12/pdfs/GRE-1812-32.pdf#page=8","Abrir facsímil")</f>
        <v>Abrir facsímil</v>
      </c>
      <c r="K7052" s="3" t="s">
        <v>23</v>
      </c>
    </row>
    <row r="7053" spans="1:11" ht="42" customHeight="1">
      <c r="A7053" s="2" t="s">
        <v>17658</v>
      </c>
      <c r="B7053" s="2" t="s">
        <v>17658</v>
      </c>
      <c r="C7053" s="2" t="s">
        <v>17</v>
      </c>
      <c r="D7053" s="2" t="s">
        <v>27</v>
      </c>
      <c r="E7053" s="4">
        <v>-32139</v>
      </c>
      <c r="F7053" s="3" t="s">
        <v>518</v>
      </c>
      <c r="G7053" s="3" t="s">
        <v>20</v>
      </c>
      <c r="H7053" s="2" t="s">
        <v>21</v>
      </c>
      <c r="I7053" s="2" t="s">
        <v>17659</v>
      </c>
      <c r="J7053" s="3" t="str">
        <f>HYPERLINK("https://www.boe.es/gazeta/dias/1812/01/02/pdfs/GEI-1812-1.pdf#page=4","Abrir facsímil")</f>
        <v>Abrir facsímil</v>
      </c>
      <c r="K7053" s="3" t="s">
        <v>23</v>
      </c>
    </row>
    <row r="7054" spans="1:11" ht="42" customHeight="1">
      <c r="A7054" s="2" t="s">
        <v>17660</v>
      </c>
      <c r="B7054" s="2" t="s">
        <v>17661</v>
      </c>
      <c r="C7054" s="2" t="s">
        <v>17</v>
      </c>
      <c r="D7054" s="2" t="s">
        <v>18</v>
      </c>
      <c r="E7054" s="4">
        <v>-31900</v>
      </c>
      <c r="F7054" s="3" t="s">
        <v>276</v>
      </c>
      <c r="G7054" s="3" t="s">
        <v>794</v>
      </c>
      <c r="H7054" s="2" t="s">
        <v>21</v>
      </c>
      <c r="I7054" s="2" t="s">
        <v>17662</v>
      </c>
      <c r="J7054" s="3" t="str">
        <f>HYPERLINK("https://www.boe.es/gazeta/dias/1812/08/28/pdfs/GRE-1812-113E.pdf#page=7","Abrir facsímil")</f>
        <v>Abrir facsímil</v>
      </c>
      <c r="K7054" s="3" t="s">
        <v>23</v>
      </c>
    </row>
    <row r="7055" spans="1:11" ht="42" customHeight="1">
      <c r="A7055" s="2" t="s">
        <v>17663</v>
      </c>
      <c r="B7055" s="2" t="s">
        <v>17664</v>
      </c>
      <c r="C7055" s="2" t="s">
        <v>17</v>
      </c>
      <c r="D7055" s="2" t="s">
        <v>27</v>
      </c>
      <c r="E7055" s="4">
        <v>-32085</v>
      </c>
      <c r="F7055" s="3" t="s">
        <v>3321</v>
      </c>
      <c r="G7055" s="3" t="s">
        <v>3409</v>
      </c>
      <c r="H7055" s="2" t="s">
        <v>21</v>
      </c>
      <c r="I7055" s="2" t="s">
        <v>17665</v>
      </c>
      <c r="J7055" s="3" t="str">
        <f>HYPERLINK("https://www.boe.es/gazeta/dias/1812/02/25/pdfs/GRE-1812-25.pdf#page=3","Abrir facsímil")</f>
        <v>Abrir facsímil</v>
      </c>
      <c r="K7055" s="3" t="s">
        <v>23</v>
      </c>
    </row>
    <row r="7056" spans="1:11" ht="42" customHeight="1">
      <c r="A7056" s="2" t="s">
        <v>17666</v>
      </c>
      <c r="B7056" s="2" t="s">
        <v>17667</v>
      </c>
      <c r="C7056" s="2" t="s">
        <v>26</v>
      </c>
      <c r="D7056" s="2" t="s">
        <v>27</v>
      </c>
      <c r="E7056" s="4">
        <v>-32053</v>
      </c>
      <c r="F7056" s="3" t="s">
        <v>910</v>
      </c>
      <c r="G7056" s="3" t="s">
        <v>911</v>
      </c>
      <c r="H7056" s="2" t="s">
        <v>21</v>
      </c>
      <c r="I7056" s="2" t="s">
        <v>17668</v>
      </c>
      <c r="J7056" s="3" t="str">
        <f>HYPERLINK("https://www.boe.es/gazeta/dias/1812/03/28/pdfs/GRE-1812-39.pdf#page=8","Abrir facsímil")</f>
        <v>Abrir facsímil</v>
      </c>
      <c r="K7056" s="3" t="s">
        <v>23</v>
      </c>
    </row>
    <row r="7057" spans="1:11" ht="42" customHeight="1">
      <c r="A7057" s="2" t="s">
        <v>17669</v>
      </c>
      <c r="B7057" s="2" t="s">
        <v>17670</v>
      </c>
      <c r="C7057" s="2" t="s">
        <v>17</v>
      </c>
      <c r="D7057" s="2" t="s">
        <v>18</v>
      </c>
      <c r="E7057" s="4">
        <v>-32035</v>
      </c>
      <c r="F7057" s="3" t="s">
        <v>2646</v>
      </c>
      <c r="G7057" s="3" t="s">
        <v>45</v>
      </c>
      <c r="H7057" s="2" t="s">
        <v>30</v>
      </c>
      <c r="I7057" s="2" t="s">
        <v>17671</v>
      </c>
      <c r="J7057" s="3" t="str">
        <f>HYPERLINK("https://www.boe.es/gazeta/dias/1812/04/15/pdfs/GMD-1812-106.pdf#page=3","Abrir facsímil")</f>
        <v>Abrir facsímil</v>
      </c>
      <c r="K7057" s="3" t="s">
        <v>32</v>
      </c>
    </row>
    <row r="7058" spans="1:11" ht="42" customHeight="1">
      <c r="A7058" s="2" t="s">
        <v>17672</v>
      </c>
      <c r="B7058" s="2" t="s">
        <v>17673</v>
      </c>
      <c r="C7058" s="2" t="s">
        <v>26</v>
      </c>
      <c r="D7058" s="2" t="s">
        <v>27</v>
      </c>
      <c r="E7058" s="4">
        <v>-32001</v>
      </c>
      <c r="F7058" s="3" t="s">
        <v>1938</v>
      </c>
      <c r="G7058" s="3" t="s">
        <v>678</v>
      </c>
      <c r="H7058" s="2" t="s">
        <v>21</v>
      </c>
      <c r="I7058" s="2" t="s">
        <v>17674</v>
      </c>
      <c r="J7058" s="3" t="str">
        <f>HYPERLINK("https://www.boe.es/gazeta/dias/1812/05/19/pdfs/GRE-1812-62.pdf#page=8","Abrir facsímil")</f>
        <v>Abrir facsímil</v>
      </c>
      <c r="K7058" s="3" t="s">
        <v>23</v>
      </c>
    </row>
    <row r="7059" spans="1:11" ht="42" customHeight="1">
      <c r="A7059" s="2" t="s">
        <v>17675</v>
      </c>
      <c r="B7059" s="2" t="s">
        <v>17676</v>
      </c>
      <c r="C7059" s="2" t="s">
        <v>186</v>
      </c>
      <c r="D7059" s="2" t="s">
        <v>275</v>
      </c>
      <c r="E7059" s="4">
        <v>-32034</v>
      </c>
      <c r="F7059" s="3" t="s">
        <v>1008</v>
      </c>
      <c r="G7059" s="3" t="s">
        <v>1009</v>
      </c>
      <c r="H7059" s="2" t="s">
        <v>21</v>
      </c>
      <c r="I7059" s="2" t="s">
        <v>17677</v>
      </c>
      <c r="J7059" s="3" t="str">
        <f>HYPERLINK("https://www.boe.es/gazeta/dias/1812/04/16/pdfs/GRE-1812-48.pdf#page=8","Abrir facsímil")</f>
        <v>Abrir facsímil</v>
      </c>
      <c r="K7059" s="3" t="s">
        <v>23</v>
      </c>
    </row>
    <row r="7060" spans="1:11" ht="42" customHeight="1">
      <c r="A7060" s="2" t="s">
        <v>17678</v>
      </c>
      <c r="B7060" s="2" t="s">
        <v>17679</v>
      </c>
      <c r="C7060" s="2" t="s">
        <v>26</v>
      </c>
      <c r="D7060" s="2" t="s">
        <v>27</v>
      </c>
      <c r="E7060" s="4">
        <v>-31994</v>
      </c>
      <c r="F7060" s="3" t="s">
        <v>207</v>
      </c>
      <c r="G7060" s="3" t="s">
        <v>1176</v>
      </c>
      <c r="H7060" s="2" t="s">
        <v>21</v>
      </c>
      <c r="I7060" s="2" t="s">
        <v>17680</v>
      </c>
      <c r="J7060" s="3" t="str">
        <f>HYPERLINK("https://www.boe.es/gazeta/dias/1812/05/26/pdfs/GRE-1812-65.pdf#page=8","Abrir facsímil")</f>
        <v>Abrir facsímil</v>
      </c>
      <c r="K7060" s="3" t="s">
        <v>23</v>
      </c>
    </row>
    <row r="7061" spans="1:11" ht="42" customHeight="1">
      <c r="A7061" s="2" t="s">
        <v>17681</v>
      </c>
      <c r="B7061" s="2" t="s">
        <v>17682</v>
      </c>
      <c r="C7061" s="2" t="s">
        <v>26</v>
      </c>
      <c r="D7061" s="2" t="s">
        <v>27</v>
      </c>
      <c r="E7061" s="4">
        <v>-31940</v>
      </c>
      <c r="F7061" s="3" t="s">
        <v>187</v>
      </c>
      <c r="G7061" s="3" t="s">
        <v>404</v>
      </c>
      <c r="H7061" s="2" t="s">
        <v>21</v>
      </c>
      <c r="I7061" s="2" t="s">
        <v>17683</v>
      </c>
      <c r="J7061" s="3" t="str">
        <f>HYPERLINK("https://www.boe.es/gazeta/dias/1812/07/19/pdfs/GMD-1812-201.pdf#page=3","Abrir facsímil")</f>
        <v>Abrir facsímil</v>
      </c>
      <c r="K7061" s="3" t="s">
        <v>23</v>
      </c>
    </row>
    <row r="7062" spans="1:11" ht="42" customHeight="1">
      <c r="A7062" s="2" t="s">
        <v>17684</v>
      </c>
      <c r="B7062" s="2" t="s">
        <v>17685</v>
      </c>
      <c r="C7062" s="2" t="s">
        <v>26</v>
      </c>
      <c r="D7062" s="2" t="s">
        <v>134</v>
      </c>
      <c r="E7062" s="4">
        <v>-31983</v>
      </c>
      <c r="F7062" s="3" t="s">
        <v>1437</v>
      </c>
      <c r="G7062" s="3" t="s">
        <v>1438</v>
      </c>
      <c r="H7062" s="2" t="s">
        <v>21</v>
      </c>
      <c r="I7062" s="2" t="s">
        <v>17686</v>
      </c>
      <c r="J7062" s="3" t="str">
        <f>HYPERLINK("https://www.boe.es/gazeta/dias/1812/06/06/pdfs/GRE-F-1812-70.pdf#page=4","Abrir facsímil")</f>
        <v>Abrir facsímil</v>
      </c>
      <c r="K7062" s="3" t="s">
        <v>23</v>
      </c>
    </row>
    <row r="7063" spans="1:11" ht="42" customHeight="1">
      <c r="A7063" s="2" t="s">
        <v>17687</v>
      </c>
      <c r="B7063" s="2" t="s">
        <v>17687</v>
      </c>
      <c r="C7063" s="2" t="s">
        <v>17</v>
      </c>
      <c r="D7063" s="2" t="s">
        <v>18</v>
      </c>
      <c r="E7063" s="4">
        <v>-31798</v>
      </c>
      <c r="F7063" s="3" t="s">
        <v>1849</v>
      </c>
      <c r="G7063" s="3" t="s">
        <v>237</v>
      </c>
      <c r="H7063" s="2" t="s">
        <v>21</v>
      </c>
      <c r="I7063" s="2" t="s">
        <v>17688</v>
      </c>
      <c r="J7063" s="3" t="str">
        <f>HYPERLINK("https://www.boe.es/gazeta/dias/1812/12/08/pdfs/GMD-1812-231.pdf#page=2","Abrir facsímil")</f>
        <v>Abrir facsímil</v>
      </c>
      <c r="K7063" s="3" t="s">
        <v>23</v>
      </c>
    </row>
    <row r="7064" spans="1:11" ht="42" customHeight="1">
      <c r="A7064" s="2" t="s">
        <v>17689</v>
      </c>
      <c r="B7064" s="2" t="s">
        <v>17689</v>
      </c>
      <c r="C7064" s="2" t="s">
        <v>17</v>
      </c>
      <c r="D7064" s="2" t="s">
        <v>27</v>
      </c>
      <c r="E7064" s="4">
        <v>-32032</v>
      </c>
      <c r="F7064" s="3" t="s">
        <v>531</v>
      </c>
      <c r="G7064" s="3" t="s">
        <v>4086</v>
      </c>
      <c r="H7064" s="2" t="s">
        <v>21</v>
      </c>
      <c r="I7064" s="2" t="s">
        <v>17690</v>
      </c>
      <c r="J7064" s="3" t="str">
        <f>HYPERLINK("https://www.boe.es/gazeta/dias/1812/04/18/pdfs/GMD-1812-109.pdf#page=3","Abrir facsímil")</f>
        <v>Abrir facsímil</v>
      </c>
      <c r="K7064" s="3" t="s">
        <v>23</v>
      </c>
    </row>
    <row r="7065" spans="1:11" ht="42" customHeight="1">
      <c r="A7065" s="2" t="s">
        <v>17691</v>
      </c>
      <c r="B7065" s="2" t="s">
        <v>17692</v>
      </c>
      <c r="C7065" s="2" t="s">
        <v>26</v>
      </c>
      <c r="D7065" s="2" t="s">
        <v>27</v>
      </c>
      <c r="E7065" s="4">
        <v>-31922</v>
      </c>
      <c r="F7065" s="3" t="s">
        <v>622</v>
      </c>
      <c r="G7065" s="3" t="s">
        <v>623</v>
      </c>
      <c r="H7065" s="2" t="s">
        <v>21</v>
      </c>
      <c r="I7065" s="2" t="s">
        <v>17693</v>
      </c>
      <c r="J7065" s="3" t="str">
        <f>HYPERLINK("https://www.boe.es/gazeta/dias/1812/08/06/pdfs/GMD-1812-219.pdf#page=1","Abrir facsímil")</f>
        <v>Abrir facsímil</v>
      </c>
      <c r="K7065" s="3" t="s">
        <v>23</v>
      </c>
    </row>
    <row r="7066" spans="1:11" ht="42" customHeight="1">
      <c r="A7066" s="2" t="s">
        <v>17694</v>
      </c>
      <c r="B7066" s="2" t="s">
        <v>17695</v>
      </c>
      <c r="C7066" s="2" t="s">
        <v>26</v>
      </c>
      <c r="D7066" s="2" t="s">
        <v>27</v>
      </c>
      <c r="E7066" s="4">
        <v>-31980</v>
      </c>
      <c r="F7066" s="3" t="s">
        <v>40</v>
      </c>
      <c r="G7066" s="3" t="s">
        <v>41</v>
      </c>
      <c r="H7066" s="2" t="s">
        <v>21</v>
      </c>
      <c r="I7066" s="2" t="s">
        <v>17696</v>
      </c>
      <c r="J7066" s="3" t="str">
        <f>HYPERLINK("https://www.boe.es/gazeta/dias/1812/06/09/pdfs/GRE-1812-71.pdf#page=6","Abrir facsímil")</f>
        <v>Abrir facsímil</v>
      </c>
      <c r="K7066" s="3" t="s">
        <v>23</v>
      </c>
    </row>
    <row r="7067" spans="1:11" ht="42" customHeight="1">
      <c r="A7067" s="2" t="s">
        <v>17697</v>
      </c>
      <c r="B7067" s="2" t="s">
        <v>17698</v>
      </c>
      <c r="C7067" s="2" t="s">
        <v>105</v>
      </c>
      <c r="D7067" s="2" t="s">
        <v>27</v>
      </c>
      <c r="E7067" s="4">
        <v>-31829</v>
      </c>
      <c r="F7067" s="3" t="s">
        <v>3229</v>
      </c>
      <c r="G7067" s="3" t="s">
        <v>1980</v>
      </c>
      <c r="H7067" s="2" t="s">
        <v>21</v>
      </c>
      <c r="I7067" s="2" t="s">
        <v>17699</v>
      </c>
      <c r="J7067" s="3" t="str">
        <f>HYPERLINK("https://www.boe.es/gazeta/dias/1812/11/07/pdfs/GRE-1812-149.pdf#page=3","Abrir facsímil")</f>
        <v>Abrir facsímil</v>
      </c>
      <c r="K7067" s="3" t="s">
        <v>23</v>
      </c>
    </row>
    <row r="7068" spans="1:11" ht="42" customHeight="1">
      <c r="A7068" s="2" t="s">
        <v>17700</v>
      </c>
      <c r="B7068" s="2" t="s">
        <v>17700</v>
      </c>
      <c r="C7068" s="2" t="s">
        <v>17</v>
      </c>
      <c r="D7068" s="2" t="s">
        <v>18</v>
      </c>
      <c r="E7068" s="4">
        <v>-32120</v>
      </c>
      <c r="F7068" s="3" t="s">
        <v>964</v>
      </c>
      <c r="G7068" s="3" t="s">
        <v>217</v>
      </c>
      <c r="H7068" s="2" t="s">
        <v>21</v>
      </c>
      <c r="I7068" s="2" t="s">
        <v>17701</v>
      </c>
      <c r="J7068" s="3" t="str">
        <f>HYPERLINK("https://www.boe.es/gazeta/dias/1812/01/21/pdfs/GEI-H-1812-9.pdf#page=3","Abrir facsímil")</f>
        <v>Abrir facsímil</v>
      </c>
      <c r="K7068" s="3" t="s">
        <v>23</v>
      </c>
    </row>
    <row r="7069" spans="1:11" ht="42" customHeight="1">
      <c r="A7069" s="2" t="s">
        <v>17702</v>
      </c>
      <c r="B7069" s="2" t="s">
        <v>17702</v>
      </c>
      <c r="C7069" s="2" t="s">
        <v>17</v>
      </c>
      <c r="D7069" s="2" t="s">
        <v>27</v>
      </c>
      <c r="E7069" s="4">
        <v>-32025</v>
      </c>
      <c r="F7069" s="3" t="s">
        <v>2323</v>
      </c>
      <c r="G7069" s="3" t="s">
        <v>125</v>
      </c>
      <c r="H7069" s="2" t="s">
        <v>21</v>
      </c>
      <c r="I7069" s="2" t="s">
        <v>17703</v>
      </c>
      <c r="J7069" s="3" t="str">
        <f>HYPERLINK("https://www.boe.es/gazeta/dias/1812/04/25/pdfs/GRE-1812-52.pdf#page=7","Abrir facsímil")</f>
        <v>Abrir facsímil</v>
      </c>
      <c r="K7069" s="3" t="s">
        <v>23</v>
      </c>
    </row>
    <row r="7070" spans="1:11" ht="42" customHeight="1">
      <c r="A7070" s="2" t="s">
        <v>17704</v>
      </c>
      <c r="B7070" s="2" t="s">
        <v>17704</v>
      </c>
      <c r="C7070" s="2" t="s">
        <v>17</v>
      </c>
      <c r="D7070" s="2" t="s">
        <v>18</v>
      </c>
      <c r="E7070" s="4">
        <v>-31801</v>
      </c>
      <c r="F7070" s="3" t="s">
        <v>1914</v>
      </c>
      <c r="G7070" s="3" t="s">
        <v>1915</v>
      </c>
      <c r="H7070" s="2" t="s">
        <v>21</v>
      </c>
      <c r="I7070" s="2" t="s">
        <v>17705</v>
      </c>
      <c r="J7070" s="3" t="str">
        <f>HYPERLINK("https://www.boe.es/gazeta/dias/1812/12/05/pdfs/GRE-1812-161.pdf#page=3","Abrir facsímil")</f>
        <v>Abrir facsímil</v>
      </c>
      <c r="K7070" s="3" t="s">
        <v>23</v>
      </c>
    </row>
    <row r="7071" spans="1:11" ht="42" customHeight="1">
      <c r="A7071" s="2" t="s">
        <v>17706</v>
      </c>
      <c r="B7071" s="2" t="s">
        <v>17707</v>
      </c>
      <c r="C7071" s="2" t="s">
        <v>26</v>
      </c>
      <c r="D7071" s="2" t="s">
        <v>573</v>
      </c>
      <c r="E7071" s="4">
        <v>-31874</v>
      </c>
      <c r="F7071" s="3" t="s">
        <v>1697</v>
      </c>
      <c r="G7071" s="3" t="s">
        <v>1698</v>
      </c>
      <c r="H7071" s="2" t="s">
        <v>30</v>
      </c>
      <c r="I7071" s="2" t="s">
        <v>17708</v>
      </c>
      <c r="J7071" s="3" t="str">
        <f>HYPERLINK("https://www.boe.es/gazeta/dias/1812/09/23/pdfs/GRE-1812-129E.pdf#page=3","Abrir facsímil")</f>
        <v>Abrir facsímil</v>
      </c>
      <c r="K7071" s="3" t="s">
        <v>32</v>
      </c>
    </row>
    <row r="7072" spans="1:11" ht="42" customHeight="1">
      <c r="A7072" s="2" t="s">
        <v>17709</v>
      </c>
      <c r="B7072" s="2" t="s">
        <v>17710</v>
      </c>
      <c r="C7072" s="2" t="s">
        <v>26</v>
      </c>
      <c r="D7072" s="2" t="s">
        <v>27</v>
      </c>
      <c r="E7072" s="4">
        <v>-31854</v>
      </c>
      <c r="F7072" s="3" t="s">
        <v>1574</v>
      </c>
      <c r="G7072" s="3" t="s">
        <v>1700</v>
      </c>
      <c r="H7072" s="2" t="s">
        <v>21</v>
      </c>
      <c r="I7072" s="2" t="s">
        <v>17711</v>
      </c>
      <c r="J7072" s="3" t="str">
        <f>HYPERLINK("https://www.boe.es/gazeta/dias/1812/10/13/pdfs/GMR-1812-26.pdf#page=4","Abrir facsímil")</f>
        <v>Abrir facsímil</v>
      </c>
      <c r="K7072" s="3" t="s">
        <v>23</v>
      </c>
    </row>
    <row r="7073" spans="1:11" ht="42" customHeight="1">
      <c r="A7073" s="2" t="s">
        <v>17712</v>
      </c>
      <c r="B7073" s="2" t="s">
        <v>17713</v>
      </c>
      <c r="C7073" s="2" t="s">
        <v>26</v>
      </c>
      <c r="D7073" s="2" t="s">
        <v>27</v>
      </c>
      <c r="E7073" s="4">
        <v>-31894</v>
      </c>
      <c r="F7073" s="3" t="s">
        <v>793</v>
      </c>
      <c r="G7073" s="3" t="s">
        <v>11570</v>
      </c>
      <c r="H7073" s="2" t="s">
        <v>21</v>
      </c>
      <c r="I7073" s="2" t="s">
        <v>17714</v>
      </c>
      <c r="J7073" s="3" t="str">
        <f>HYPERLINK("https://www.boe.es/gazeta/dias/1812/09/03/pdfs/GRE-1812-119.pdf#page=6","Abrir facsímil")</f>
        <v>Abrir facsímil</v>
      </c>
      <c r="K7073" s="3" t="s">
        <v>23</v>
      </c>
    </row>
    <row r="7074" spans="1:11" ht="42" customHeight="1">
      <c r="A7074" s="2" t="s">
        <v>17715</v>
      </c>
      <c r="B7074" s="2" t="s">
        <v>17716</v>
      </c>
      <c r="C7074" s="2" t="s">
        <v>26</v>
      </c>
      <c r="D7074" s="2" t="s">
        <v>27</v>
      </c>
      <c r="E7074" s="4">
        <v>-32066</v>
      </c>
      <c r="F7074" s="3" t="s">
        <v>291</v>
      </c>
      <c r="G7074" s="3" t="s">
        <v>125</v>
      </c>
      <c r="H7074" s="2" t="s">
        <v>21</v>
      </c>
      <c r="I7074" s="2" t="s">
        <v>17717</v>
      </c>
      <c r="J7074" s="3" t="str">
        <f>HYPERLINK("https://www.boe.es/gazeta/dias/1812/03/15/pdfs/GMD-1812-75.pdf#page=4","Abrir facsímil")</f>
        <v>Abrir facsímil</v>
      </c>
      <c r="K7074" s="3" t="s">
        <v>23</v>
      </c>
    </row>
    <row r="7075" spans="1:11" ht="42" customHeight="1">
      <c r="A7075" s="2" t="s">
        <v>17718</v>
      </c>
      <c r="B7075" s="2" t="s">
        <v>17718</v>
      </c>
      <c r="C7075" s="2" t="s">
        <v>17</v>
      </c>
      <c r="D7075" s="2" t="s">
        <v>27</v>
      </c>
      <c r="E7075" s="4">
        <v>-32123</v>
      </c>
      <c r="F7075" s="3" t="s">
        <v>2642</v>
      </c>
      <c r="G7075" s="3" t="s">
        <v>20</v>
      </c>
      <c r="H7075" s="2" t="s">
        <v>21</v>
      </c>
      <c r="I7075" s="2" t="s">
        <v>17719</v>
      </c>
      <c r="J7075" s="3" t="str">
        <f>HYPERLINK("https://www.boe.es/gazeta/dias/1812/01/18/pdfs/GMD-1812-18.pdf#page=1","Abrir facsímil")</f>
        <v>Abrir facsímil</v>
      </c>
      <c r="K7075" s="3" t="s">
        <v>23</v>
      </c>
    </row>
    <row r="7076" spans="1:11" ht="42" customHeight="1">
      <c r="A7076" s="2" t="s">
        <v>17720</v>
      </c>
      <c r="B7076" s="2" t="s">
        <v>17721</v>
      </c>
      <c r="C7076" s="2" t="s">
        <v>105</v>
      </c>
      <c r="D7076" s="2" t="s">
        <v>27</v>
      </c>
      <c r="E7076" s="4">
        <v>-32064</v>
      </c>
      <c r="F7076" s="3" t="s">
        <v>403</v>
      </c>
      <c r="G7076" s="3" t="s">
        <v>404</v>
      </c>
      <c r="H7076" s="2" t="s">
        <v>21</v>
      </c>
      <c r="I7076" s="2" t="s">
        <v>17722</v>
      </c>
      <c r="J7076" s="3" t="str">
        <f>HYPERLINK("https://www.boe.es/gazeta/dias/1812/03/17/pdfs/GMD-1812-77.pdf#page=4","Abrir facsímil")</f>
        <v>Abrir facsímil</v>
      </c>
      <c r="K7076" s="3" t="s">
        <v>23</v>
      </c>
    </row>
    <row r="7077" spans="1:11" ht="42" customHeight="1">
      <c r="A7077" s="2" t="s">
        <v>17723</v>
      </c>
      <c r="B7077" s="2" t="s">
        <v>17723</v>
      </c>
      <c r="C7077" s="2" t="s">
        <v>17</v>
      </c>
      <c r="D7077" s="2" t="s">
        <v>18</v>
      </c>
      <c r="E7077" s="4">
        <v>-32032</v>
      </c>
      <c r="F7077" s="3" t="s">
        <v>421</v>
      </c>
      <c r="G7077" s="3" t="s">
        <v>217</v>
      </c>
      <c r="H7077" s="2" t="s">
        <v>21</v>
      </c>
      <c r="I7077" s="2" t="s">
        <v>17724</v>
      </c>
      <c r="J7077" s="3" t="str">
        <f>HYPERLINK("https://www.boe.es/gazeta/dias/1812/04/18/pdfs/GRE-1812-49.pdf#page=7","Abrir facsímil")</f>
        <v>Abrir facsímil</v>
      </c>
      <c r="K7077" s="3" t="s">
        <v>23</v>
      </c>
    </row>
    <row r="7078" spans="1:11" ht="42" customHeight="1">
      <c r="A7078" s="2" t="s">
        <v>17725</v>
      </c>
      <c r="B7078" s="2" t="s">
        <v>17726</v>
      </c>
      <c r="C7078" s="2" t="s">
        <v>17</v>
      </c>
      <c r="D7078" s="2" t="s">
        <v>27</v>
      </c>
      <c r="E7078" s="4">
        <v>-32050</v>
      </c>
      <c r="F7078" s="3" t="s">
        <v>864</v>
      </c>
      <c r="G7078" s="3" t="s">
        <v>217</v>
      </c>
      <c r="H7078" s="2" t="s">
        <v>21</v>
      </c>
      <c r="I7078" s="2" t="s">
        <v>17727</v>
      </c>
      <c r="J7078" s="3" t="str">
        <f>HYPERLINK("https://www.boe.es/gazeta/dias/1812/03/31/pdfs/GRE-1812-40.pdf#page=3","Abrir facsímil")</f>
        <v>Abrir facsímil</v>
      </c>
      <c r="K7078" s="3" t="s">
        <v>23</v>
      </c>
    </row>
    <row r="7079" spans="1:11" ht="42" customHeight="1">
      <c r="A7079" s="2" t="s">
        <v>17728</v>
      </c>
      <c r="B7079" s="2" t="s">
        <v>17729</v>
      </c>
      <c r="C7079" s="2" t="s">
        <v>26</v>
      </c>
      <c r="D7079" s="2" t="s">
        <v>275</v>
      </c>
      <c r="E7079" s="4">
        <v>-31836</v>
      </c>
      <c r="F7079" s="3" t="s">
        <v>729</v>
      </c>
      <c r="G7079" s="3" t="s">
        <v>11190</v>
      </c>
      <c r="H7079" s="2" t="s">
        <v>21</v>
      </c>
      <c r="I7079" s="2" t="s">
        <v>17730</v>
      </c>
      <c r="J7079" s="3" t="str">
        <f>HYPERLINK("https://www.boe.es/gazeta/dias/1812/10/31/pdfs/GRE-1812-146.pdf#page=3","Abrir facsímil")</f>
        <v>Abrir facsímil</v>
      </c>
      <c r="K7079" s="3" t="s">
        <v>23</v>
      </c>
    </row>
    <row r="7080" spans="1:11" ht="42" customHeight="1">
      <c r="A7080" s="2" t="s">
        <v>17731</v>
      </c>
      <c r="B7080" s="2" t="s">
        <v>17731</v>
      </c>
      <c r="C7080" s="2" t="s">
        <v>67</v>
      </c>
      <c r="D7080" s="2" t="s">
        <v>27</v>
      </c>
      <c r="E7080" s="4">
        <v>-32029</v>
      </c>
      <c r="F7080" s="3" t="s">
        <v>3605</v>
      </c>
      <c r="G7080" s="3" t="s">
        <v>20</v>
      </c>
      <c r="H7080" s="2" t="s">
        <v>21</v>
      </c>
      <c r="I7080" s="2" t="s">
        <v>17732</v>
      </c>
      <c r="J7080" s="3" t="str">
        <f>HYPERLINK("https://www.boe.es/gazeta/dias/1812/04/21/pdfs/GMD-1812-112.pdf#page=2","Abrir facsímil")</f>
        <v>Abrir facsímil</v>
      </c>
      <c r="K7080" s="3" t="s">
        <v>23</v>
      </c>
    </row>
    <row r="7081" spans="1:11" ht="42" customHeight="1">
      <c r="A7081" s="2" t="s">
        <v>17733</v>
      </c>
      <c r="B7081" s="2" t="s">
        <v>17733</v>
      </c>
      <c r="C7081" s="2" t="s">
        <v>17</v>
      </c>
      <c r="D7081" s="2" t="s">
        <v>27</v>
      </c>
      <c r="E7081" s="4">
        <v>-32032</v>
      </c>
      <c r="F7081" s="3" t="s">
        <v>531</v>
      </c>
      <c r="G7081" s="3" t="s">
        <v>140</v>
      </c>
      <c r="H7081" s="2" t="s">
        <v>21</v>
      </c>
      <c r="I7081" s="2" t="s">
        <v>17734</v>
      </c>
      <c r="J7081" s="3" t="str">
        <f>HYPERLINK("https://www.boe.es/gazeta/dias/1812/04/18/pdfs/GMD-1812-109.pdf#page=2","Abrir facsímil")</f>
        <v>Abrir facsímil</v>
      </c>
      <c r="K7081" s="3" t="s">
        <v>23</v>
      </c>
    </row>
    <row r="7082" spans="1:11" ht="42" customHeight="1">
      <c r="A7082" s="2" t="s">
        <v>17735</v>
      </c>
      <c r="B7082" s="2" t="s">
        <v>17736</v>
      </c>
      <c r="C7082" s="2" t="s">
        <v>26</v>
      </c>
      <c r="D7082" s="2" t="s">
        <v>27</v>
      </c>
      <c r="E7082" s="4">
        <v>-32034</v>
      </c>
      <c r="F7082" s="3" t="s">
        <v>28</v>
      </c>
      <c r="G7082" s="3" t="s">
        <v>29</v>
      </c>
      <c r="H7082" s="2" t="s">
        <v>30</v>
      </c>
      <c r="I7082" s="2" t="s">
        <v>17737</v>
      </c>
      <c r="J7082" s="3" t="str">
        <f>HYPERLINK("https://www.boe.es/gazeta/dias/1812/04/16/pdfs/GMD-1812-107.pdf#page=8","Abrir facsímil")</f>
        <v>Abrir facsímil</v>
      </c>
      <c r="K7082" s="3" t="s">
        <v>32</v>
      </c>
    </row>
    <row r="7083" spans="1:11" ht="42" customHeight="1">
      <c r="A7083" s="2" t="s">
        <v>17738</v>
      </c>
      <c r="B7083" s="2" t="s">
        <v>17739</v>
      </c>
      <c r="C7083" s="2" t="s">
        <v>26</v>
      </c>
      <c r="D7083" s="2" t="s">
        <v>27</v>
      </c>
      <c r="E7083" s="4">
        <v>-32100</v>
      </c>
      <c r="F7083" s="3" t="s">
        <v>492</v>
      </c>
      <c r="G7083" s="3" t="s">
        <v>493</v>
      </c>
      <c r="H7083" s="2" t="s">
        <v>21</v>
      </c>
      <c r="I7083" s="2" t="s">
        <v>17740</v>
      </c>
      <c r="J7083" s="3" t="str">
        <f>HYPERLINK("https://www.boe.es/gazeta/dias/1812/02/10/pdfs/GRE-1812-31.pdf#page=8","Abrir facsímil")</f>
        <v>Abrir facsímil</v>
      </c>
      <c r="K7083" s="3" t="s">
        <v>23</v>
      </c>
    </row>
    <row r="7084" spans="1:11" ht="42" customHeight="1">
      <c r="A7084" s="2" t="s">
        <v>17738</v>
      </c>
      <c r="B7084" s="2" t="s">
        <v>17739</v>
      </c>
      <c r="C7084" s="2" t="s">
        <v>26</v>
      </c>
      <c r="D7084" s="2" t="s">
        <v>27</v>
      </c>
      <c r="E7084" s="4">
        <v>-32071</v>
      </c>
      <c r="F7084" s="3" t="s">
        <v>492</v>
      </c>
      <c r="G7084" s="3" t="s">
        <v>493</v>
      </c>
      <c r="H7084" s="2" t="s">
        <v>21</v>
      </c>
      <c r="I7084" s="2" t="s">
        <v>17740</v>
      </c>
      <c r="J7084" s="3" t="str">
        <f>HYPERLINK("https://www.boe.es/gazeta/dias/1812/03/10/pdfs/GRE-1812-31.pdf#page=8","Abrir facsímil")</f>
        <v>Abrir facsímil</v>
      </c>
      <c r="K7084" s="3" t="s">
        <v>23</v>
      </c>
    </row>
    <row r="7085" spans="1:11" ht="42" customHeight="1">
      <c r="A7085" s="2" t="s">
        <v>17741</v>
      </c>
      <c r="B7085" s="2" t="s">
        <v>17742</v>
      </c>
      <c r="C7085" s="2" t="s">
        <v>26</v>
      </c>
      <c r="D7085" s="2" t="s">
        <v>27</v>
      </c>
      <c r="E7085" s="4">
        <v>-32100</v>
      </c>
      <c r="F7085" s="3" t="s">
        <v>492</v>
      </c>
      <c r="G7085" s="3" t="s">
        <v>493</v>
      </c>
      <c r="H7085" s="2" t="s">
        <v>21</v>
      </c>
      <c r="I7085" s="2" t="s">
        <v>17743</v>
      </c>
      <c r="J7085" s="3" t="str">
        <f>HYPERLINK("https://www.boe.es/gazeta/dias/1812/02/10/pdfs/GRE-1812-31.pdf#page=8","Abrir facsímil")</f>
        <v>Abrir facsímil</v>
      </c>
      <c r="K7085" s="3" t="s">
        <v>23</v>
      </c>
    </row>
    <row r="7086" spans="1:11" ht="42" customHeight="1">
      <c r="A7086" s="2" t="s">
        <v>17741</v>
      </c>
      <c r="B7086" s="2" t="s">
        <v>17742</v>
      </c>
      <c r="C7086" s="2" t="s">
        <v>26</v>
      </c>
      <c r="D7086" s="2" t="s">
        <v>27</v>
      </c>
      <c r="E7086" s="4">
        <v>-32071</v>
      </c>
      <c r="F7086" s="3" t="s">
        <v>492</v>
      </c>
      <c r="G7086" s="3" t="s">
        <v>493</v>
      </c>
      <c r="H7086" s="2" t="s">
        <v>21</v>
      </c>
      <c r="I7086" s="2" t="s">
        <v>17743</v>
      </c>
      <c r="J7086" s="3" t="str">
        <f>HYPERLINK("https://www.boe.es/gazeta/dias/1812/03/10/pdfs/GRE-1812-31.pdf#page=8","Abrir facsímil")</f>
        <v>Abrir facsímil</v>
      </c>
      <c r="K7086" s="3" t="s">
        <v>23</v>
      </c>
    </row>
    <row r="7087" spans="1:11" ht="42" customHeight="1">
      <c r="A7087" s="2" t="s">
        <v>17744</v>
      </c>
      <c r="B7087" s="2" t="s">
        <v>17744</v>
      </c>
      <c r="C7087" s="2" t="s">
        <v>49</v>
      </c>
      <c r="D7087" s="2" t="s">
        <v>27</v>
      </c>
      <c r="E7087" s="4">
        <v>-32129</v>
      </c>
      <c r="F7087" s="3" t="s">
        <v>3162</v>
      </c>
      <c r="G7087" s="3" t="s">
        <v>2313</v>
      </c>
      <c r="H7087" s="2" t="s">
        <v>21</v>
      </c>
      <c r="I7087" s="2" t="s">
        <v>17745</v>
      </c>
      <c r="J7087" s="3" t="str">
        <f>HYPERLINK("https://www.boe.es/gazeta/dias/1812/01/12/pdfs/GMD-1812-12.pdf#page=4","Abrir facsímil")</f>
        <v>Abrir facsímil</v>
      </c>
      <c r="K7087" s="3" t="s">
        <v>23</v>
      </c>
    </row>
    <row r="7088" spans="1:11" ht="42" customHeight="1">
      <c r="A7088" s="2" t="s">
        <v>17746</v>
      </c>
      <c r="B7088" s="2" t="s">
        <v>17747</v>
      </c>
      <c r="C7088" s="2" t="s">
        <v>26</v>
      </c>
      <c r="D7088" s="2" t="s">
        <v>27</v>
      </c>
      <c r="E7088" s="4">
        <v>-32053</v>
      </c>
      <c r="F7088" s="3" t="s">
        <v>2877</v>
      </c>
      <c r="G7088" s="3" t="s">
        <v>965</v>
      </c>
      <c r="H7088" s="2" t="s">
        <v>21</v>
      </c>
      <c r="I7088" s="2" t="s">
        <v>17748</v>
      </c>
      <c r="J7088" s="3" t="str">
        <f>HYPERLINK("https://www.boe.es/gazeta/dias/1812/03/28/pdfs/GMD-1812-88.pdf#page=4","Abrir facsímil")</f>
        <v>Abrir facsímil</v>
      </c>
      <c r="K7088" s="3" t="s">
        <v>23</v>
      </c>
    </row>
    <row r="7089" spans="1:11" ht="42" customHeight="1">
      <c r="A7089" s="2" t="s">
        <v>17749</v>
      </c>
      <c r="B7089" s="2" t="s">
        <v>17750</v>
      </c>
      <c r="C7089" s="2" t="s">
        <v>26</v>
      </c>
      <c r="D7089" s="2" t="s">
        <v>27</v>
      </c>
      <c r="E7089" s="4">
        <v>-32034</v>
      </c>
      <c r="F7089" s="3" t="s">
        <v>28</v>
      </c>
      <c r="G7089" s="3" t="s">
        <v>317</v>
      </c>
      <c r="H7089" s="2" t="s">
        <v>21</v>
      </c>
      <c r="I7089" s="2" t="s">
        <v>17751</v>
      </c>
      <c r="J7089" s="3" t="str">
        <f>HYPERLINK("https://www.boe.es/gazeta/dias/1812/04/16/pdfs/GMD-1812-107.pdf#page=6","Abrir facsímil")</f>
        <v>Abrir facsímil</v>
      </c>
      <c r="K7089" s="3" t="s">
        <v>23</v>
      </c>
    </row>
    <row r="7090" spans="1:11" ht="42" customHeight="1">
      <c r="A7090" s="2" t="s">
        <v>17752</v>
      </c>
      <c r="B7090" s="2" t="s">
        <v>17753</v>
      </c>
      <c r="C7090" s="2" t="s">
        <v>17</v>
      </c>
      <c r="D7090" s="2" t="s">
        <v>18</v>
      </c>
      <c r="E7090" s="4">
        <v>-32053</v>
      </c>
      <c r="F7090" s="3" t="s">
        <v>910</v>
      </c>
      <c r="G7090" s="3" t="s">
        <v>911</v>
      </c>
      <c r="H7090" s="2" t="s">
        <v>21</v>
      </c>
      <c r="I7090" s="2" t="s">
        <v>17754</v>
      </c>
      <c r="J7090" s="3" t="str">
        <f>HYPERLINK("https://www.boe.es/gazeta/dias/1812/03/28/pdfs/GRE-1812-39.pdf#page=8","Abrir facsímil")</f>
        <v>Abrir facsímil</v>
      </c>
      <c r="K7090" s="3" t="s">
        <v>23</v>
      </c>
    </row>
    <row r="7091" spans="1:11" ht="42" customHeight="1">
      <c r="A7091" s="2" t="s">
        <v>17755</v>
      </c>
      <c r="B7091" s="2" t="s">
        <v>17756</v>
      </c>
      <c r="C7091" s="2" t="s">
        <v>49</v>
      </c>
      <c r="D7091" s="2" t="s">
        <v>27</v>
      </c>
      <c r="E7091" s="4">
        <v>-32103</v>
      </c>
      <c r="F7091" s="3" t="s">
        <v>1996</v>
      </c>
      <c r="G7091" s="3" t="s">
        <v>58</v>
      </c>
      <c r="H7091" s="2" t="s">
        <v>21</v>
      </c>
      <c r="I7091" s="2" t="s">
        <v>17757</v>
      </c>
      <c r="J7091" s="3" t="str">
        <f>HYPERLINK("https://www.boe.es/gazeta/dias/1812/02/07/pdfs/GMD-1812-38.pdf#page=4","Abrir facsímil")</f>
        <v>Abrir facsímil</v>
      </c>
      <c r="K7091" s="3" t="s">
        <v>23</v>
      </c>
    </row>
    <row r="7092" spans="1:11" ht="42" customHeight="1">
      <c r="A7092" s="2" t="s">
        <v>17758</v>
      </c>
      <c r="B7092" s="2" t="s">
        <v>17759</v>
      </c>
      <c r="C7092" s="2" t="s">
        <v>26</v>
      </c>
      <c r="D7092" s="2" t="s">
        <v>27</v>
      </c>
      <c r="E7092" s="4">
        <v>-32095</v>
      </c>
      <c r="F7092" s="3" t="s">
        <v>1099</v>
      </c>
      <c r="G7092" s="3" t="s">
        <v>438</v>
      </c>
      <c r="H7092" s="2" t="s">
        <v>21</v>
      </c>
      <c r="I7092" s="2" t="s">
        <v>17760</v>
      </c>
      <c r="J7092" s="3" t="str">
        <f>HYPERLINK("https://www.boe.es/gazeta/dias/1812/02/15/pdfs/GMD-1812-46.pdf#page=4","Abrir facsímil")</f>
        <v>Abrir facsímil</v>
      </c>
      <c r="K7092" s="3" t="s">
        <v>23</v>
      </c>
    </row>
    <row r="7093" spans="1:11" ht="42" customHeight="1">
      <c r="A7093" s="2" t="s">
        <v>17761</v>
      </c>
      <c r="B7093" s="2" t="s">
        <v>17762</v>
      </c>
      <c r="C7093" s="2" t="s">
        <v>26</v>
      </c>
      <c r="D7093" s="2" t="s">
        <v>27</v>
      </c>
      <c r="E7093" s="4">
        <v>-32140</v>
      </c>
      <c r="F7093" s="3" t="s">
        <v>822</v>
      </c>
      <c r="G7093" s="3" t="s">
        <v>106</v>
      </c>
      <c r="H7093" s="2" t="s">
        <v>21</v>
      </c>
      <c r="I7093" s="2" t="s">
        <v>17763</v>
      </c>
      <c r="J7093" s="3" t="str">
        <f>HYPERLINK("https://www.boe.es/gazeta/dias/1812/01/01/pdfs/GMD-1812-1.pdf#page=4","Abrir facsímil")</f>
        <v>Abrir facsímil</v>
      </c>
      <c r="K7093" s="3" t="s">
        <v>23</v>
      </c>
    </row>
    <row r="7094" spans="1:11" ht="42" customHeight="1">
      <c r="A7094" s="2" t="s">
        <v>17764</v>
      </c>
      <c r="B7094" s="2" t="s">
        <v>17765</v>
      </c>
      <c r="C7094" s="2" t="s">
        <v>26</v>
      </c>
      <c r="D7094" s="2" t="s">
        <v>27</v>
      </c>
      <c r="E7094" s="4">
        <v>-32132</v>
      </c>
      <c r="F7094" s="3" t="s">
        <v>484</v>
      </c>
      <c r="G7094" s="3" t="s">
        <v>485</v>
      </c>
      <c r="H7094" s="2" t="s">
        <v>21</v>
      </c>
      <c r="I7094" s="2" t="s">
        <v>17766</v>
      </c>
      <c r="J7094" s="3" t="str">
        <f>HYPERLINK("https://www.boe.es/gazeta/dias/1812/01/09/pdfs/GEI-1812-4.pdf#page=8","Abrir facsímil")</f>
        <v>Abrir facsímil</v>
      </c>
      <c r="K7094" s="3" t="s">
        <v>23</v>
      </c>
    </row>
    <row r="7095" spans="1:11" ht="42" customHeight="1">
      <c r="A7095" s="2" t="s">
        <v>17767</v>
      </c>
      <c r="B7095" s="2" t="s">
        <v>17767</v>
      </c>
      <c r="C7095" s="2" t="s">
        <v>26</v>
      </c>
      <c r="D7095" s="2" t="s">
        <v>27</v>
      </c>
      <c r="E7095" s="4">
        <v>-31981</v>
      </c>
      <c r="F7095" s="3" t="s">
        <v>5059</v>
      </c>
      <c r="G7095" s="3" t="s">
        <v>45</v>
      </c>
      <c r="H7095" s="2" t="s">
        <v>21</v>
      </c>
      <c r="I7095" s="2" t="s">
        <v>17768</v>
      </c>
      <c r="J7095" s="3" t="str">
        <f>HYPERLINK("https://www.boe.es/gazeta/dias/1812/06/08/pdfs/GMD-1812-160.pdf#page=3","Abrir facsímil")</f>
        <v>Abrir facsímil</v>
      </c>
      <c r="K7095" s="3" t="s">
        <v>23</v>
      </c>
    </row>
    <row r="7096" spans="1:11" ht="42" customHeight="1">
      <c r="A7096" s="2" t="s">
        <v>17769</v>
      </c>
      <c r="B7096" s="2" t="s">
        <v>17770</v>
      </c>
      <c r="C7096" s="2" t="s">
        <v>26</v>
      </c>
      <c r="D7096" s="2" t="s">
        <v>27</v>
      </c>
      <c r="E7096" s="4">
        <v>-32139</v>
      </c>
      <c r="F7096" s="3" t="s">
        <v>288</v>
      </c>
      <c r="G7096" s="3" t="s">
        <v>130</v>
      </c>
      <c r="H7096" s="2" t="s">
        <v>21</v>
      </c>
      <c r="I7096" s="2" t="s">
        <v>17771</v>
      </c>
      <c r="J7096" s="3" t="str">
        <f>HYPERLINK("https://www.boe.es/gazeta/dias/1812/01/02/pdfs/GMD-1812-2.pdf#page=4","Abrir facsímil")</f>
        <v>Abrir facsímil</v>
      </c>
      <c r="K7096" s="3" t="s">
        <v>23</v>
      </c>
    </row>
    <row r="7097" spans="1:11" ht="42" customHeight="1">
      <c r="A7097" s="2" t="s">
        <v>17772</v>
      </c>
      <c r="B7097" s="2" t="s">
        <v>17772</v>
      </c>
      <c r="C7097" s="2" t="s">
        <v>17</v>
      </c>
      <c r="D7097" s="2" t="s">
        <v>27</v>
      </c>
      <c r="E7097" s="4">
        <v>-32135</v>
      </c>
      <c r="F7097" s="3" t="s">
        <v>17773</v>
      </c>
      <c r="G7097" s="3" t="s">
        <v>101</v>
      </c>
      <c r="H7097" s="2" t="s">
        <v>21</v>
      </c>
      <c r="I7097" s="2" t="s">
        <v>17774</v>
      </c>
      <c r="J7097" s="3" t="str">
        <f>HYPERLINK("https://www.boe.es/gazeta/dias/1812/01/06/pdfs/GMD-1812-6.pdf#page=1","Abrir facsímil")</f>
        <v>Abrir facsímil</v>
      </c>
      <c r="K7097" s="3" t="s">
        <v>23</v>
      </c>
    </row>
    <row r="7098" spans="1:11" ht="42" customHeight="1">
      <c r="A7098" s="2" t="s">
        <v>17775</v>
      </c>
      <c r="B7098" s="2" t="s">
        <v>17776</v>
      </c>
      <c r="C7098" s="2" t="s">
        <v>26</v>
      </c>
      <c r="D7098" s="2" t="s">
        <v>27</v>
      </c>
      <c r="E7098" s="4">
        <v>-31939</v>
      </c>
      <c r="F7098" s="3" t="s">
        <v>408</v>
      </c>
      <c r="G7098" s="3" t="s">
        <v>20</v>
      </c>
      <c r="H7098" s="2" t="s">
        <v>21</v>
      </c>
      <c r="I7098" s="2" t="s">
        <v>17777</v>
      </c>
      <c r="J7098" s="3" t="str">
        <f>HYPERLINK("https://www.boe.es/gazeta/dias/1812/07/20/pdfs/GMD-1812-202.pdf#page=4","Abrir facsímil")</f>
        <v>Abrir facsímil</v>
      </c>
      <c r="K7098" s="3" t="s">
        <v>23</v>
      </c>
    </row>
    <row r="7099" spans="1:11" ht="42" customHeight="1">
      <c r="A7099" s="2" t="s">
        <v>17778</v>
      </c>
      <c r="B7099" s="2" t="s">
        <v>17779</v>
      </c>
      <c r="C7099" s="2" t="s">
        <v>26</v>
      </c>
      <c r="D7099" s="2" t="s">
        <v>27</v>
      </c>
      <c r="E7099" s="4">
        <v>-31936</v>
      </c>
      <c r="F7099" s="3" t="s">
        <v>614</v>
      </c>
      <c r="G7099" s="3" t="s">
        <v>615</v>
      </c>
      <c r="H7099" s="2" t="s">
        <v>21</v>
      </c>
      <c r="I7099" s="2" t="s">
        <v>17780</v>
      </c>
      <c r="J7099" s="3" t="str">
        <f>HYPERLINK("https://www.boe.es/gazeta/dias/1812/07/23/pdfs/GRE-1812-92.pdf#page=8","Abrir facsímil")</f>
        <v>Abrir facsímil</v>
      </c>
      <c r="K7099" s="3" t="s">
        <v>23</v>
      </c>
    </row>
    <row r="7100" spans="1:11" ht="42" customHeight="1">
      <c r="A7100" s="2" t="s">
        <v>17781</v>
      </c>
      <c r="B7100" s="2" t="s">
        <v>17782</v>
      </c>
      <c r="C7100" s="2" t="s">
        <v>26</v>
      </c>
      <c r="D7100" s="2" t="s">
        <v>27</v>
      </c>
      <c r="E7100" s="4">
        <v>-32034</v>
      </c>
      <c r="F7100" s="3" t="s">
        <v>1008</v>
      </c>
      <c r="G7100" s="3" t="s">
        <v>1009</v>
      </c>
      <c r="H7100" s="2" t="s">
        <v>21</v>
      </c>
      <c r="I7100" s="2" t="s">
        <v>17783</v>
      </c>
      <c r="J7100" s="3" t="str">
        <f>HYPERLINK("https://www.boe.es/gazeta/dias/1812/04/16/pdfs/GRE-1812-48.pdf#page=8","Abrir facsímil")</f>
        <v>Abrir facsímil</v>
      </c>
      <c r="K7100" s="3" t="s">
        <v>23</v>
      </c>
    </row>
    <row r="7101" spans="1:11" ht="42" customHeight="1">
      <c r="A7101" s="2" t="s">
        <v>17784</v>
      </c>
      <c r="B7101" s="2" t="s">
        <v>17785</v>
      </c>
      <c r="C7101" s="2" t="s">
        <v>26</v>
      </c>
      <c r="D7101" s="2" t="s">
        <v>27</v>
      </c>
      <c r="E7101" s="4">
        <v>-32082</v>
      </c>
      <c r="F7101" s="3" t="s">
        <v>16278</v>
      </c>
      <c r="G7101" s="3" t="s">
        <v>58</v>
      </c>
      <c r="H7101" s="2" t="s">
        <v>21</v>
      </c>
      <c r="I7101" s="2" t="s">
        <v>17786</v>
      </c>
      <c r="J7101" s="3" t="str">
        <f>HYPERLINK("https://www.boe.es/gazeta/dias/1812/02/28/pdfs/GMD-1812-59.pdf#page=4","Abrir facsímil")</f>
        <v>Abrir facsímil</v>
      </c>
      <c r="K7101" s="3" t="s">
        <v>23</v>
      </c>
    </row>
    <row r="7102" spans="1:11" ht="42" customHeight="1">
      <c r="A7102" s="2" t="s">
        <v>17787</v>
      </c>
      <c r="B7102" s="2" t="s">
        <v>17788</v>
      </c>
      <c r="C7102" s="2" t="s">
        <v>26</v>
      </c>
      <c r="D7102" s="2" t="s">
        <v>27</v>
      </c>
      <c r="E7102" s="4">
        <v>-32044</v>
      </c>
      <c r="F7102" s="3" t="s">
        <v>1031</v>
      </c>
      <c r="G7102" s="3" t="s">
        <v>1873</v>
      </c>
      <c r="H7102" s="2" t="s">
        <v>21</v>
      </c>
      <c r="I7102" s="2" t="s">
        <v>17789</v>
      </c>
      <c r="J7102" s="3" t="str">
        <f>HYPERLINK("https://www.boe.es/gazeta/dias/1812/04/06/pdfs/GMD-1812-97.pdf#page=4","Abrir facsímil")</f>
        <v>Abrir facsímil</v>
      </c>
      <c r="K7102" s="3" t="s">
        <v>23</v>
      </c>
    </row>
    <row r="7103" spans="1:11" ht="42" customHeight="1">
      <c r="A7103" s="2" t="s">
        <v>17790</v>
      </c>
      <c r="B7103" s="2" t="s">
        <v>17791</v>
      </c>
      <c r="C7103" s="2" t="s">
        <v>26</v>
      </c>
      <c r="D7103" s="2" t="s">
        <v>27</v>
      </c>
      <c r="E7103" s="4">
        <v>-32083</v>
      </c>
      <c r="F7103" s="3" t="s">
        <v>1496</v>
      </c>
      <c r="G7103" s="3" t="s">
        <v>2658</v>
      </c>
      <c r="H7103" s="2" t="s">
        <v>21</v>
      </c>
      <c r="I7103" s="2" t="s">
        <v>17792</v>
      </c>
      <c r="J7103" s="3" t="str">
        <f>HYPERLINK("https://www.boe.es/gazeta/dias/1812/02/27/pdfs/GRE-1812-26.pdf#page=7","Abrir facsímil")</f>
        <v>Abrir facsímil</v>
      </c>
      <c r="K7103" s="3" t="s">
        <v>23</v>
      </c>
    </row>
    <row r="7104" spans="1:11" ht="42" customHeight="1">
      <c r="A7104" s="2" t="s">
        <v>17793</v>
      </c>
      <c r="B7104" s="2" t="s">
        <v>17794</v>
      </c>
      <c r="C7104" s="2" t="s">
        <v>17</v>
      </c>
      <c r="D7104" s="2" t="s">
        <v>27</v>
      </c>
      <c r="E7104" s="4">
        <v>-32036</v>
      </c>
      <c r="F7104" s="3" t="s">
        <v>781</v>
      </c>
      <c r="G7104" s="3" t="s">
        <v>782</v>
      </c>
      <c r="H7104" s="2" t="s">
        <v>21</v>
      </c>
      <c r="I7104" s="2" t="s">
        <v>17795</v>
      </c>
      <c r="J7104" s="3" t="str">
        <f>HYPERLINK("https://www.boe.es/gazeta/dias/1812/04/14/pdfs/GRE-1812-47.pdf#page=8","Abrir facsímil")</f>
        <v>Abrir facsímil</v>
      </c>
      <c r="K7104" s="3" t="s">
        <v>23</v>
      </c>
    </row>
    <row r="7105" spans="1:11" ht="42" customHeight="1">
      <c r="A7105" s="2" t="s">
        <v>17796</v>
      </c>
      <c r="B7105" s="2" t="s">
        <v>17797</v>
      </c>
      <c r="C7105" s="2" t="s">
        <v>26</v>
      </c>
      <c r="D7105" s="2" t="s">
        <v>27</v>
      </c>
      <c r="E7105" s="4">
        <v>-31976</v>
      </c>
      <c r="F7105" s="3" t="s">
        <v>54</v>
      </c>
      <c r="G7105" s="3" t="s">
        <v>55</v>
      </c>
      <c r="H7105" s="2" t="s">
        <v>21</v>
      </c>
      <c r="I7105" s="2" t="s">
        <v>17798</v>
      </c>
      <c r="J7105" s="3" t="str">
        <f>HYPERLINK("https://www.boe.es/gazeta/dias/1812/06/13/pdfs/GRE-1812-73.pdf#page=6","Abrir facsímil")</f>
        <v>Abrir facsímil</v>
      </c>
      <c r="K7105" s="3" t="s">
        <v>23</v>
      </c>
    </row>
    <row r="7106" spans="1:11" ht="42" customHeight="1">
      <c r="A7106" s="2" t="s">
        <v>17799</v>
      </c>
      <c r="B7106" s="2" t="s">
        <v>17799</v>
      </c>
      <c r="C7106" s="2" t="s">
        <v>17</v>
      </c>
      <c r="D7106" s="2" t="s">
        <v>18</v>
      </c>
      <c r="E7106" s="4">
        <v>-31934</v>
      </c>
      <c r="F7106" s="3" t="s">
        <v>509</v>
      </c>
      <c r="G7106" s="3" t="s">
        <v>510</v>
      </c>
      <c r="H7106" s="2" t="s">
        <v>21</v>
      </c>
      <c r="I7106" s="2" t="s">
        <v>17800</v>
      </c>
      <c r="J7106" s="3" t="str">
        <f>HYPERLINK("https://www.boe.es/gazeta/dias/1812/07/25/pdfs/GRE-1812-93.pdf#page=5","Abrir facsímil")</f>
        <v>Abrir facsímil</v>
      </c>
      <c r="K7106" s="3" t="s">
        <v>23</v>
      </c>
    </row>
    <row r="7107" spans="1:11" ht="42" customHeight="1">
      <c r="A7107" s="2" t="s">
        <v>17801</v>
      </c>
      <c r="B7107" s="2" t="s">
        <v>17801</v>
      </c>
      <c r="C7107" s="2" t="s">
        <v>17</v>
      </c>
      <c r="D7107" s="2" t="s">
        <v>27</v>
      </c>
      <c r="E7107" s="4">
        <v>-32025</v>
      </c>
      <c r="F7107" s="3" t="s">
        <v>2323</v>
      </c>
      <c r="G7107" s="3" t="s">
        <v>125</v>
      </c>
      <c r="H7107" s="2" t="s">
        <v>21</v>
      </c>
      <c r="I7107" s="2" t="s">
        <v>17802</v>
      </c>
      <c r="J7107" s="3" t="str">
        <f>HYPERLINK("https://www.boe.es/gazeta/dias/1812/04/25/pdfs/GRE-1812-52.pdf#page=7","Abrir facsímil")</f>
        <v>Abrir facsímil</v>
      </c>
      <c r="K7107" s="3" t="s">
        <v>23</v>
      </c>
    </row>
    <row r="7108" spans="1:11" ht="42" customHeight="1">
      <c r="A7108" s="2" t="s">
        <v>17803</v>
      </c>
      <c r="B7108" s="2" t="s">
        <v>17803</v>
      </c>
      <c r="C7108" s="2" t="s">
        <v>49</v>
      </c>
      <c r="D7108" s="2" t="s">
        <v>18</v>
      </c>
      <c r="E7108" s="4">
        <v>-32117</v>
      </c>
      <c r="F7108" s="3" t="s">
        <v>15575</v>
      </c>
      <c r="G7108" s="3" t="s">
        <v>20</v>
      </c>
      <c r="H7108" s="2" t="s">
        <v>21</v>
      </c>
      <c r="I7108" s="2" t="s">
        <v>17804</v>
      </c>
      <c r="J7108" s="3" t="str">
        <f>HYPERLINK("https://www.boe.es/gazeta/dias/1812/01/24/pdfs/GMD-1812-24.pdf#page=4","Abrir facsímil")</f>
        <v>Abrir facsímil</v>
      </c>
      <c r="K7108" s="3" t="s">
        <v>23</v>
      </c>
    </row>
    <row r="7109" spans="1:11" ht="42" customHeight="1">
      <c r="A7109" s="2" t="s">
        <v>17805</v>
      </c>
      <c r="B7109" s="2" t="s">
        <v>17806</v>
      </c>
      <c r="C7109" s="2" t="s">
        <v>17</v>
      </c>
      <c r="D7109" s="2" t="s">
        <v>275</v>
      </c>
      <c r="E7109" s="4">
        <v>-31882</v>
      </c>
      <c r="F7109" s="3" t="s">
        <v>1798</v>
      </c>
      <c r="G7109" s="3" t="s">
        <v>3897</v>
      </c>
      <c r="H7109" s="2" t="s">
        <v>30</v>
      </c>
      <c r="I7109" s="2" t="s">
        <v>17807</v>
      </c>
      <c r="J7109" s="3" t="str">
        <f>HYPERLINK("https://www.boe.es/gazeta/dias/1812/09/15/pdfs/GMR-1812-14.pdf#page=4","Abrir facsímil")</f>
        <v>Abrir facsímil</v>
      </c>
      <c r="K7109" s="3" t="s">
        <v>32</v>
      </c>
    </row>
    <row r="7110" spans="1:11" ht="42" customHeight="1">
      <c r="A7110" s="2" t="s">
        <v>17808</v>
      </c>
      <c r="B7110" s="2" t="s">
        <v>17808</v>
      </c>
      <c r="C7110" s="2" t="s">
        <v>17</v>
      </c>
      <c r="D7110" s="2" t="s">
        <v>27</v>
      </c>
      <c r="E7110" s="4">
        <v>-32090</v>
      </c>
      <c r="F7110" s="3" t="s">
        <v>142</v>
      </c>
      <c r="G7110" s="3" t="s">
        <v>2070</v>
      </c>
      <c r="H7110" s="2" t="s">
        <v>21</v>
      </c>
      <c r="I7110" s="2" t="s">
        <v>17809</v>
      </c>
      <c r="J7110" s="3" t="str">
        <f>HYPERLINK("https://www.boe.es/gazeta/dias/1812/02/20/pdfs/GRE-1812-22.pdf#page=5","Abrir facsímil")</f>
        <v>Abrir facsímil</v>
      </c>
      <c r="K7110" s="3" t="s">
        <v>23</v>
      </c>
    </row>
    <row r="7111" spans="1:11" ht="42" customHeight="1">
      <c r="A7111" s="2" t="s">
        <v>17808</v>
      </c>
      <c r="B7111" s="2" t="s">
        <v>17808</v>
      </c>
      <c r="C7111" s="2" t="s">
        <v>26</v>
      </c>
      <c r="D7111" s="2" t="s">
        <v>27</v>
      </c>
      <c r="E7111" s="4">
        <v>-31850</v>
      </c>
      <c r="F7111" s="3" t="s">
        <v>2178</v>
      </c>
      <c r="G7111" s="3" t="s">
        <v>17810</v>
      </c>
      <c r="H7111" s="2" t="s">
        <v>21</v>
      </c>
      <c r="I7111" s="2" t="s">
        <v>17811</v>
      </c>
      <c r="J7111" s="3" t="str">
        <f>HYPERLINK("https://www.boe.es/gazeta/dias/1812/10/17/pdfs/GRE-1812-140.pdf#page=6","Abrir facsímil")</f>
        <v>Abrir facsímil</v>
      </c>
      <c r="K7111" s="3" t="s">
        <v>23</v>
      </c>
    </row>
    <row r="7112" spans="1:11" ht="42" customHeight="1">
      <c r="A7112" s="2" t="s">
        <v>17812</v>
      </c>
      <c r="B7112" s="2" t="s">
        <v>17812</v>
      </c>
      <c r="C7112" s="2" t="s">
        <v>17</v>
      </c>
      <c r="D7112" s="2" t="s">
        <v>27</v>
      </c>
      <c r="E7112" s="4">
        <v>-31882</v>
      </c>
      <c r="F7112" s="3" t="s">
        <v>1798</v>
      </c>
      <c r="G7112" s="3" t="s">
        <v>3897</v>
      </c>
      <c r="H7112" s="2" t="s">
        <v>21</v>
      </c>
      <c r="I7112" s="2" t="s">
        <v>17813</v>
      </c>
      <c r="J7112" s="3" t="str">
        <f>HYPERLINK("https://www.boe.es/gazeta/dias/1812/09/15/pdfs/GMR-1812-14.pdf#page=4","Abrir facsímil")</f>
        <v>Abrir facsímil</v>
      </c>
      <c r="K7112" s="3" t="s">
        <v>23</v>
      </c>
    </row>
    <row r="7113" spans="1:11" ht="42" customHeight="1">
      <c r="A7113" s="2" t="s">
        <v>17814</v>
      </c>
      <c r="B7113" s="2" t="s">
        <v>17815</v>
      </c>
      <c r="C7113" s="2" t="s">
        <v>26</v>
      </c>
      <c r="D7113" s="2" t="s">
        <v>27</v>
      </c>
      <c r="E7113" s="4">
        <v>-32097</v>
      </c>
      <c r="F7113" s="3" t="s">
        <v>3797</v>
      </c>
      <c r="G7113" s="3" t="s">
        <v>196</v>
      </c>
      <c r="H7113" s="2" t="s">
        <v>21</v>
      </c>
      <c r="I7113" s="2" t="s">
        <v>17816</v>
      </c>
      <c r="J7113" s="3" t="str">
        <f>HYPERLINK("https://www.boe.es/gazeta/dias/1812/02/13/pdfs/GRE-1812-19.pdf#page=1","Abrir facsímil")</f>
        <v>Abrir facsímil</v>
      </c>
      <c r="K7113" s="3" t="s">
        <v>23</v>
      </c>
    </row>
    <row r="7114" spans="1:11" ht="42" customHeight="1">
      <c r="A7114" s="2" t="s">
        <v>17817</v>
      </c>
      <c r="B7114" s="2" t="s">
        <v>17818</v>
      </c>
      <c r="C7114" s="2" t="s">
        <v>26</v>
      </c>
      <c r="D7114" s="2" t="s">
        <v>27</v>
      </c>
      <c r="E7114" s="4">
        <v>-32134</v>
      </c>
      <c r="F7114" s="3" t="s">
        <v>50</v>
      </c>
      <c r="G7114" s="3" t="s">
        <v>233</v>
      </c>
      <c r="H7114" s="2" t="s">
        <v>21</v>
      </c>
      <c r="I7114" s="2" t="s">
        <v>17819</v>
      </c>
      <c r="J7114" s="3" t="str">
        <f>HYPERLINK("https://www.boe.es/gazeta/dias/1812/01/07/pdfs/GEI-1812-3.pdf#page=8","Abrir facsímil")</f>
        <v>Abrir facsímil</v>
      </c>
      <c r="K7114" s="3" t="s">
        <v>23</v>
      </c>
    </row>
    <row r="7115" spans="1:11" ht="42" customHeight="1">
      <c r="A7115" s="2" t="s">
        <v>17820</v>
      </c>
      <c r="B7115" s="2" t="s">
        <v>17821</v>
      </c>
      <c r="C7115" s="2" t="s">
        <v>26</v>
      </c>
      <c r="D7115" s="2" t="s">
        <v>27</v>
      </c>
      <c r="E7115" s="4">
        <v>-31969</v>
      </c>
      <c r="F7115" s="3" t="s">
        <v>83</v>
      </c>
      <c r="G7115" s="3" t="s">
        <v>84</v>
      </c>
      <c r="H7115" s="2" t="s">
        <v>21</v>
      </c>
      <c r="I7115" s="2" t="s">
        <v>17822</v>
      </c>
      <c r="J7115" s="3" t="str">
        <f>HYPERLINK("https://www.boe.es/gazeta/dias/1812/06/20/pdfs/GRE-1812-76.pdf#page=8","Abrir facsímil")</f>
        <v>Abrir facsímil</v>
      </c>
      <c r="K7115" s="3" t="s">
        <v>23</v>
      </c>
    </row>
    <row r="7116" spans="1:11" ht="42" customHeight="1">
      <c r="A7116" s="2" t="s">
        <v>17823</v>
      </c>
      <c r="B7116" s="2" t="s">
        <v>17824</v>
      </c>
      <c r="C7116" s="2" t="s">
        <v>26</v>
      </c>
      <c r="D7116" s="2" t="s">
        <v>27</v>
      </c>
      <c r="E7116" s="4">
        <v>-32034</v>
      </c>
      <c r="F7116" s="3" t="s">
        <v>28</v>
      </c>
      <c r="G7116" s="3" t="s">
        <v>29</v>
      </c>
      <c r="H7116" s="2" t="s">
        <v>21</v>
      </c>
      <c r="I7116" s="2" t="s">
        <v>17825</v>
      </c>
      <c r="J7116" s="3" t="str">
        <f>HYPERLINK("https://www.boe.es/gazeta/dias/1812/04/16/pdfs/GMD-1812-107.pdf#page=8","Abrir facsímil")</f>
        <v>Abrir facsímil</v>
      </c>
      <c r="K7116" s="3" t="s">
        <v>23</v>
      </c>
    </row>
    <row r="7117" spans="1:11" ht="42" customHeight="1">
      <c r="A7117" s="2" t="s">
        <v>17826</v>
      </c>
      <c r="B7117" s="2" t="s">
        <v>17827</v>
      </c>
      <c r="C7117" s="2" t="s">
        <v>17</v>
      </c>
      <c r="D7117" s="2" t="s">
        <v>27</v>
      </c>
      <c r="E7117" s="4">
        <v>-32118</v>
      </c>
      <c r="F7117" s="3" t="s">
        <v>964</v>
      </c>
      <c r="G7117" s="3" t="s">
        <v>965</v>
      </c>
      <c r="H7117" s="2" t="s">
        <v>21</v>
      </c>
      <c r="I7117" s="2" t="s">
        <v>17828</v>
      </c>
      <c r="J7117" s="3" t="str">
        <f>HYPERLINK("https://www.boe.es/gazeta/dias/1812/01/23/pdfs/GEI-H-1812-10.pdf#page=4","Abrir facsímil")</f>
        <v>Abrir facsímil</v>
      </c>
      <c r="K7117" s="3" t="s">
        <v>23</v>
      </c>
    </row>
    <row r="7118" spans="1:11" ht="42" customHeight="1">
      <c r="A7118" s="2" t="s">
        <v>17829</v>
      </c>
      <c r="B7118" s="2" t="s">
        <v>17830</v>
      </c>
      <c r="C7118" s="2" t="s">
        <v>26</v>
      </c>
      <c r="D7118" s="2" t="s">
        <v>27</v>
      </c>
      <c r="E7118" s="4">
        <v>-31938</v>
      </c>
      <c r="F7118" s="3" t="s">
        <v>370</v>
      </c>
      <c r="G7118" s="3" t="s">
        <v>371</v>
      </c>
      <c r="H7118" s="2" t="s">
        <v>21</v>
      </c>
      <c r="I7118" s="2" t="s">
        <v>17831</v>
      </c>
      <c r="J7118" s="3" t="str">
        <f>HYPERLINK("https://www.boe.es/gazeta/dias/1812/07/21/pdfs/GRE-1812-91.pdf#page=8","Abrir facsímil")</f>
        <v>Abrir facsímil</v>
      </c>
      <c r="K7118" s="3" t="s">
        <v>23</v>
      </c>
    </row>
    <row r="7119" spans="1:11" ht="42" customHeight="1">
      <c r="A7119" s="2" t="s">
        <v>17832</v>
      </c>
      <c r="B7119" s="2" t="s">
        <v>17833</v>
      </c>
      <c r="C7119" s="2" t="s">
        <v>26</v>
      </c>
      <c r="D7119" s="2" t="s">
        <v>27</v>
      </c>
      <c r="E7119" s="4">
        <v>-31819</v>
      </c>
      <c r="F7119" s="3" t="s">
        <v>1770</v>
      </c>
      <c r="G7119" s="3" t="s">
        <v>1771</v>
      </c>
      <c r="H7119" s="2" t="s">
        <v>21</v>
      </c>
      <c r="I7119" s="2" t="s">
        <v>17834</v>
      </c>
      <c r="J7119" s="3" t="str">
        <f>HYPERLINK("https://www.boe.es/gazeta/dias/1812/11/17/pdfs/GRE-1812-153.pdf#page=4","Abrir facsímil")</f>
        <v>Abrir facsímil</v>
      </c>
      <c r="K7119" s="3" t="s">
        <v>23</v>
      </c>
    </row>
    <row r="7120" spans="1:11" ht="42" customHeight="1">
      <c r="A7120" s="2" t="s">
        <v>17835</v>
      </c>
      <c r="B7120" s="2" t="s">
        <v>17836</v>
      </c>
      <c r="C7120" s="2" t="s">
        <v>26</v>
      </c>
      <c r="D7120" s="2" t="s">
        <v>27</v>
      </c>
      <c r="E7120" s="4">
        <v>-31938</v>
      </c>
      <c r="F7120" s="3" t="s">
        <v>370</v>
      </c>
      <c r="G7120" s="3" t="s">
        <v>371</v>
      </c>
      <c r="H7120" s="2" t="s">
        <v>21</v>
      </c>
      <c r="I7120" s="2" t="s">
        <v>17837</v>
      </c>
      <c r="J7120" s="3" t="str">
        <f>HYPERLINK("https://www.boe.es/gazeta/dias/1812/07/21/pdfs/GRE-1812-91.pdf#page=8","Abrir facsímil")</f>
        <v>Abrir facsímil</v>
      </c>
      <c r="K7120" s="3" t="s">
        <v>23</v>
      </c>
    </row>
    <row r="7121" spans="1:11" ht="42" customHeight="1">
      <c r="A7121" s="2" t="s">
        <v>17838</v>
      </c>
      <c r="B7121" s="2" t="s">
        <v>17839</v>
      </c>
      <c r="C7121" s="2" t="s">
        <v>26</v>
      </c>
      <c r="D7121" s="2" t="s">
        <v>27</v>
      </c>
      <c r="E7121" s="4">
        <v>-31854</v>
      </c>
      <c r="F7121" s="3" t="s">
        <v>1574</v>
      </c>
      <c r="G7121" s="3" t="s">
        <v>1700</v>
      </c>
      <c r="H7121" s="2" t="s">
        <v>21</v>
      </c>
      <c r="I7121" s="2" t="s">
        <v>17840</v>
      </c>
      <c r="J7121" s="3" t="str">
        <f>HYPERLINK("https://www.boe.es/gazeta/dias/1812/10/13/pdfs/GMR-1812-26.pdf#page=4","Abrir facsímil")</f>
        <v>Abrir facsímil</v>
      </c>
      <c r="K7121" s="3" t="s">
        <v>23</v>
      </c>
    </row>
    <row r="7122" spans="1:11" ht="42" customHeight="1">
      <c r="A7122" s="2" t="s">
        <v>17841</v>
      </c>
      <c r="B7122" s="2" t="s">
        <v>17842</v>
      </c>
      <c r="C7122" s="2" t="s">
        <v>17</v>
      </c>
      <c r="D7122" s="2" t="s">
        <v>27</v>
      </c>
      <c r="E7122" s="4">
        <v>-32095</v>
      </c>
      <c r="F7122" s="3" t="s">
        <v>181</v>
      </c>
      <c r="G7122" s="3" t="s">
        <v>777</v>
      </c>
      <c r="H7122" s="2" t="s">
        <v>21</v>
      </c>
      <c r="I7122" s="2" t="s">
        <v>17843</v>
      </c>
      <c r="J7122" s="3" t="str">
        <f>HYPERLINK("https://www.boe.es/gazeta/dias/1812/02/15/pdfs/GMD-1812-47.pdf#page=3","Abrir facsímil")</f>
        <v>Abrir facsímil</v>
      </c>
      <c r="K7122" s="3" t="s">
        <v>23</v>
      </c>
    </row>
    <row r="7123" spans="1:11" ht="42" customHeight="1">
      <c r="A7123" s="2" t="s">
        <v>17841</v>
      </c>
      <c r="B7123" s="2" t="s">
        <v>17842</v>
      </c>
      <c r="C7123" s="2" t="s">
        <v>17</v>
      </c>
      <c r="D7123" s="2" t="s">
        <v>27</v>
      </c>
      <c r="E7123" s="4">
        <v>-32094</v>
      </c>
      <c r="F7123" s="3" t="s">
        <v>181</v>
      </c>
      <c r="G7123" s="3" t="s">
        <v>777</v>
      </c>
      <c r="H7123" s="2" t="s">
        <v>21</v>
      </c>
      <c r="I7123" s="2" t="s">
        <v>17843</v>
      </c>
      <c r="J7123" s="3" t="str">
        <f>HYPERLINK("https://www.boe.es/gazeta/dias/1812/02/16/pdfs/GMD-1812-47.pdf#page=3","Abrir facsímil")</f>
        <v>Abrir facsímil</v>
      </c>
      <c r="K7123" s="3" t="s">
        <v>23</v>
      </c>
    </row>
    <row r="7124" spans="1:11" ht="42" customHeight="1">
      <c r="A7124" s="2" t="s">
        <v>17841</v>
      </c>
      <c r="B7124" s="2" t="s">
        <v>17842</v>
      </c>
      <c r="C7124" s="2" t="s">
        <v>26</v>
      </c>
      <c r="D7124" s="2" t="s">
        <v>27</v>
      </c>
      <c r="E7124" s="4">
        <v>-31938</v>
      </c>
      <c r="F7124" s="3" t="s">
        <v>370</v>
      </c>
      <c r="G7124" s="3" t="s">
        <v>371</v>
      </c>
      <c r="H7124" s="2" t="s">
        <v>21</v>
      </c>
      <c r="I7124" s="2" t="s">
        <v>17844</v>
      </c>
      <c r="J7124" s="3" t="str">
        <f>HYPERLINK("https://www.boe.es/gazeta/dias/1812/07/21/pdfs/GRE-1812-91.pdf#page=8","Abrir facsímil")</f>
        <v>Abrir facsímil</v>
      </c>
      <c r="K7124" s="3" t="s">
        <v>23</v>
      </c>
    </row>
    <row r="7125" spans="1:11" ht="42" customHeight="1">
      <c r="A7125" s="2" t="s">
        <v>17845</v>
      </c>
      <c r="B7125" s="2" t="s">
        <v>17845</v>
      </c>
      <c r="C7125" s="2" t="s">
        <v>17</v>
      </c>
      <c r="D7125" s="2" t="s">
        <v>18</v>
      </c>
      <c r="E7125" s="4">
        <v>-31885</v>
      </c>
      <c r="F7125" s="3" t="s">
        <v>750</v>
      </c>
      <c r="G7125" s="3" t="s">
        <v>214</v>
      </c>
      <c r="H7125" s="2" t="s">
        <v>21</v>
      </c>
      <c r="I7125" s="2" t="s">
        <v>17846</v>
      </c>
      <c r="J7125" s="3" t="str">
        <f>HYPERLINK("https://www.boe.es/gazeta/dias/1812/09/12/pdfs/GMR-1812-13.pdf#page=5","Abrir facsímil")</f>
        <v>Abrir facsímil</v>
      </c>
      <c r="K7125" s="3" t="s">
        <v>23</v>
      </c>
    </row>
    <row r="7126" spans="1:11" ht="42" customHeight="1">
      <c r="A7126" s="2" t="s">
        <v>17845</v>
      </c>
      <c r="B7126" s="2" t="s">
        <v>17845</v>
      </c>
      <c r="C7126" s="2" t="s">
        <v>17</v>
      </c>
      <c r="D7126" s="2" t="s">
        <v>27</v>
      </c>
      <c r="E7126" s="4">
        <v>-31871</v>
      </c>
      <c r="F7126" s="3" t="s">
        <v>1399</v>
      </c>
      <c r="G7126" s="3" t="s">
        <v>794</v>
      </c>
      <c r="H7126" s="2" t="s">
        <v>21</v>
      </c>
      <c r="I7126" s="2" t="s">
        <v>17847</v>
      </c>
      <c r="J7126" s="3" t="str">
        <f>HYPERLINK("https://www.boe.es/gazeta/dias/1812/09/26/pdfs/GMR-1812-19.pdf#page=7","Abrir facsímil")</f>
        <v>Abrir facsímil</v>
      </c>
      <c r="K7126" s="3" t="s">
        <v>23</v>
      </c>
    </row>
    <row r="7127" spans="1:11" ht="42" customHeight="1">
      <c r="A7127" s="2" t="s">
        <v>17848</v>
      </c>
      <c r="B7127" s="2" t="s">
        <v>17849</v>
      </c>
      <c r="C7127" s="2" t="s">
        <v>17</v>
      </c>
      <c r="D7127" s="2" t="s">
        <v>27</v>
      </c>
      <c r="E7127" s="4">
        <v>-31922</v>
      </c>
      <c r="F7127" s="3" t="s">
        <v>375</v>
      </c>
      <c r="G7127" s="3" t="s">
        <v>5327</v>
      </c>
      <c r="H7127" s="2" t="s">
        <v>21</v>
      </c>
      <c r="I7127" s="2" t="s">
        <v>17850</v>
      </c>
      <c r="J7127" s="3" t="str">
        <f>HYPERLINK("https://www.boe.es/gazeta/dias/1812/08/06/pdfs/GRE-1812-100.pdf#page=3","Abrir facsímil")</f>
        <v>Abrir facsímil</v>
      </c>
      <c r="K7127" s="3" t="s">
        <v>23</v>
      </c>
    </row>
    <row r="7128" spans="1:11" ht="42" customHeight="1">
      <c r="A7128" s="2" t="s">
        <v>17851</v>
      </c>
      <c r="B7128" s="2" t="s">
        <v>17851</v>
      </c>
      <c r="C7128" s="2" t="s">
        <v>17</v>
      </c>
      <c r="D7128" s="2" t="s">
        <v>18</v>
      </c>
      <c r="E7128" s="4">
        <v>-31943</v>
      </c>
      <c r="F7128" s="3" t="s">
        <v>2825</v>
      </c>
      <c r="G7128" s="3" t="s">
        <v>10387</v>
      </c>
      <c r="H7128" s="2" t="s">
        <v>21</v>
      </c>
      <c r="I7128" s="2" t="s">
        <v>17852</v>
      </c>
      <c r="J7128" s="3" t="str">
        <f>HYPERLINK("https://www.boe.es/gazeta/dias/1812/07/16/pdfs/GRE-1812-89.pdf#page=5","Abrir facsímil")</f>
        <v>Abrir facsímil</v>
      </c>
      <c r="K7128" s="3" t="s">
        <v>23</v>
      </c>
    </row>
    <row r="7129" spans="1:11" ht="42" customHeight="1">
      <c r="A7129" s="2" t="s">
        <v>17851</v>
      </c>
      <c r="B7129" s="2" t="s">
        <v>17851</v>
      </c>
      <c r="C7129" s="2" t="s">
        <v>17</v>
      </c>
      <c r="D7129" s="2" t="s">
        <v>18</v>
      </c>
      <c r="E7129" s="4">
        <v>-31868</v>
      </c>
      <c r="F7129" s="3" t="s">
        <v>711</v>
      </c>
      <c r="G7129" s="3" t="s">
        <v>1131</v>
      </c>
      <c r="H7129" s="2" t="s">
        <v>21</v>
      </c>
      <c r="I7129" s="2" t="s">
        <v>17853</v>
      </c>
      <c r="J7129" s="3" t="str">
        <f>HYPERLINK("https://www.boe.es/gazeta/dias/1812/09/29/pdfs/GRE-1812-132.pdf#page=3","Abrir facsímil")</f>
        <v>Abrir facsímil</v>
      </c>
      <c r="K7129" s="3" t="s">
        <v>23</v>
      </c>
    </row>
    <row r="7130" spans="1:11" ht="42" customHeight="1">
      <c r="A7130" s="2" t="s">
        <v>17854</v>
      </c>
      <c r="B7130" s="2" t="s">
        <v>17855</v>
      </c>
      <c r="C7130" s="2" t="s">
        <v>26</v>
      </c>
      <c r="D7130" s="2" t="s">
        <v>134</v>
      </c>
      <c r="E7130" s="4">
        <v>-31952</v>
      </c>
      <c r="F7130" s="3" t="s">
        <v>1541</v>
      </c>
      <c r="G7130" s="3" t="s">
        <v>1542</v>
      </c>
      <c r="H7130" s="2" t="s">
        <v>21</v>
      </c>
      <c r="I7130" s="2" t="s">
        <v>17856</v>
      </c>
      <c r="J7130" s="3" t="str">
        <f>HYPERLINK("https://www.boe.es/gazeta/dias/1812/07/07/pdfs/GRE-F-1812-83.pdf#page=3","Abrir facsímil")</f>
        <v>Abrir facsímil</v>
      </c>
      <c r="K7130" s="3" t="s">
        <v>23</v>
      </c>
    </row>
    <row r="7131" spans="1:11" ht="42" customHeight="1">
      <c r="A7131" s="2" t="s">
        <v>17857</v>
      </c>
      <c r="B7131" s="2" t="s">
        <v>17857</v>
      </c>
      <c r="C7131" s="2" t="s">
        <v>17</v>
      </c>
      <c r="D7131" s="2" t="s">
        <v>27</v>
      </c>
      <c r="E7131" s="4">
        <v>-32111</v>
      </c>
      <c r="F7131" s="3" t="s">
        <v>553</v>
      </c>
      <c r="G7131" s="3" t="s">
        <v>196</v>
      </c>
      <c r="H7131" s="2" t="s">
        <v>21</v>
      </c>
      <c r="I7131" s="2" t="s">
        <v>17858</v>
      </c>
      <c r="J7131" s="3" t="str">
        <f>HYPERLINK("https://www.boe.es/gazeta/dias/1812/01/30/pdfs/GRE-1812-13.pdf#page=1","Abrir facsímil")</f>
        <v>Abrir facsímil</v>
      </c>
      <c r="K7131" s="3" t="s">
        <v>23</v>
      </c>
    </row>
    <row r="7132" spans="1:11" ht="42" customHeight="1">
      <c r="A7132" s="2" t="s">
        <v>17859</v>
      </c>
      <c r="B7132" s="2" t="s">
        <v>17859</v>
      </c>
      <c r="C7132" s="2" t="s">
        <v>17</v>
      </c>
      <c r="D7132" s="2" t="s">
        <v>18</v>
      </c>
      <c r="E7132" s="4">
        <v>-31921</v>
      </c>
      <c r="F7132" s="3" t="s">
        <v>785</v>
      </c>
      <c r="G7132" s="3" t="s">
        <v>1137</v>
      </c>
      <c r="H7132" s="2" t="s">
        <v>21</v>
      </c>
      <c r="I7132" s="2" t="s">
        <v>17860</v>
      </c>
      <c r="J7132" s="3" t="str">
        <f>HYPERLINK("https://www.boe.es/gazeta/dias/1812/08/07/pdfs/GRE-1812-101E.pdf#page=6","Abrir facsímil")</f>
        <v>Abrir facsímil</v>
      </c>
      <c r="K7132" s="3" t="s">
        <v>23</v>
      </c>
    </row>
    <row r="7133" spans="1:11" ht="42" customHeight="1">
      <c r="A7133" s="2" t="s">
        <v>17859</v>
      </c>
      <c r="B7133" s="2" t="s">
        <v>17859</v>
      </c>
      <c r="C7133" s="2" t="s">
        <v>17</v>
      </c>
      <c r="D7133" s="2" t="s">
        <v>27</v>
      </c>
      <c r="E7133" s="4">
        <v>-31826</v>
      </c>
      <c r="F7133" s="3" t="s">
        <v>7488</v>
      </c>
      <c r="G7133" s="3" t="s">
        <v>17861</v>
      </c>
      <c r="H7133" s="2" t="s">
        <v>21</v>
      </c>
      <c r="I7133" s="2" t="s">
        <v>17862</v>
      </c>
      <c r="J7133" s="3" t="str">
        <f>HYPERLINK("https://www.boe.es/gazeta/dias/1812/11/10/pdfs/GRE-1812-150.pdf#page=2","Abrir facsímil")</f>
        <v>Abrir facsímil</v>
      </c>
      <c r="K7133" s="3" t="s">
        <v>23</v>
      </c>
    </row>
    <row r="7134" spans="1:11" ht="42" customHeight="1">
      <c r="A7134" s="2" t="s">
        <v>17863</v>
      </c>
      <c r="B7134" s="2" t="s">
        <v>17864</v>
      </c>
      <c r="C7134" s="2" t="s">
        <v>17</v>
      </c>
      <c r="D7134" s="2" t="s">
        <v>27</v>
      </c>
      <c r="E7134" s="4">
        <v>-32034</v>
      </c>
      <c r="F7134" s="3" t="s">
        <v>1008</v>
      </c>
      <c r="G7134" s="3" t="s">
        <v>438</v>
      </c>
      <c r="H7134" s="2" t="s">
        <v>21</v>
      </c>
      <c r="I7134" s="2" t="s">
        <v>17865</v>
      </c>
      <c r="J7134" s="3" t="str">
        <f>HYPERLINK("https://www.boe.es/gazeta/dias/1812/04/16/pdfs/GRE-1812-48.pdf#page=6","Abrir facsímil")</f>
        <v>Abrir facsímil</v>
      </c>
      <c r="K7134" s="3" t="s">
        <v>23</v>
      </c>
    </row>
    <row r="7135" spans="1:11" ht="42" customHeight="1">
      <c r="A7135" s="2" t="s">
        <v>17866</v>
      </c>
      <c r="B7135" s="2" t="s">
        <v>17866</v>
      </c>
      <c r="C7135" s="2" t="s">
        <v>17</v>
      </c>
      <c r="D7135" s="2" t="s">
        <v>27</v>
      </c>
      <c r="E7135" s="4">
        <v>-32135</v>
      </c>
      <c r="F7135" s="3" t="s">
        <v>17773</v>
      </c>
      <c r="G7135" s="3" t="s">
        <v>101</v>
      </c>
      <c r="H7135" s="2" t="s">
        <v>21</v>
      </c>
      <c r="I7135" s="2" t="s">
        <v>17867</v>
      </c>
      <c r="J7135" s="3" t="str">
        <f>HYPERLINK("https://www.boe.es/gazeta/dias/1812/01/06/pdfs/GMD-1812-6.pdf#page=1","Abrir facsímil")</f>
        <v>Abrir facsímil</v>
      </c>
      <c r="K7135" s="3" t="s">
        <v>23</v>
      </c>
    </row>
    <row r="7136" spans="1:11" ht="42" customHeight="1">
      <c r="A7136" s="2" t="s">
        <v>17868</v>
      </c>
      <c r="B7136" s="2" t="s">
        <v>17868</v>
      </c>
      <c r="C7136" s="2" t="s">
        <v>17</v>
      </c>
      <c r="D7136" s="2" t="s">
        <v>27</v>
      </c>
      <c r="E7136" s="4">
        <v>-32125</v>
      </c>
      <c r="F7136" s="3" t="s">
        <v>335</v>
      </c>
      <c r="G7136" s="3" t="s">
        <v>140</v>
      </c>
      <c r="H7136" s="2" t="s">
        <v>21</v>
      </c>
      <c r="I7136" s="2" t="s">
        <v>17869</v>
      </c>
      <c r="J7136" s="3" t="str">
        <f>HYPERLINK("https://www.boe.es/gazeta/dias/1812/01/16/pdfs/GEI-1812-7.pdf#page=2","Abrir facsímil")</f>
        <v>Abrir facsímil</v>
      </c>
      <c r="K7136" s="3" t="s">
        <v>23</v>
      </c>
    </row>
    <row r="7137" spans="1:11" ht="42" customHeight="1">
      <c r="A7137" s="2" t="s">
        <v>17868</v>
      </c>
      <c r="B7137" s="2" t="s">
        <v>17868</v>
      </c>
      <c r="C7137" s="2" t="s">
        <v>17</v>
      </c>
      <c r="D7137" s="2" t="s">
        <v>27</v>
      </c>
      <c r="E7137" s="4">
        <v>-32052</v>
      </c>
      <c r="F7137" s="3" t="s">
        <v>2610</v>
      </c>
      <c r="G7137" s="3" t="s">
        <v>2998</v>
      </c>
      <c r="H7137" s="2" t="s">
        <v>21</v>
      </c>
      <c r="I7137" s="2" t="s">
        <v>17870</v>
      </c>
      <c r="J7137" s="3" t="str">
        <f>HYPERLINK("https://www.boe.es/gazeta/dias/1812/03/29/pdfs/GMD-1812-89.pdf#page=1","Abrir facsímil")</f>
        <v>Abrir facsímil</v>
      </c>
      <c r="K7137" s="3" t="s">
        <v>23</v>
      </c>
    </row>
    <row r="7138" spans="1:11" ht="42" customHeight="1">
      <c r="A7138" s="2" t="s">
        <v>17868</v>
      </c>
      <c r="B7138" s="2" t="s">
        <v>17868</v>
      </c>
      <c r="C7138" s="2" t="s">
        <v>17</v>
      </c>
      <c r="D7138" s="2" t="s">
        <v>27</v>
      </c>
      <c r="E7138" s="4">
        <v>-32052</v>
      </c>
      <c r="F7138" s="3" t="s">
        <v>2610</v>
      </c>
      <c r="G7138" s="3" t="s">
        <v>140</v>
      </c>
      <c r="H7138" s="2" t="s">
        <v>21</v>
      </c>
      <c r="I7138" s="2" t="s">
        <v>17871</v>
      </c>
      <c r="J7138" s="3" t="str">
        <f>HYPERLINK("https://www.boe.es/gazeta/dias/1812/03/29/pdfs/GMD-1812-89.pdf#page=2","Abrir facsímil")</f>
        <v>Abrir facsímil</v>
      </c>
      <c r="K7138" s="3" t="s">
        <v>23</v>
      </c>
    </row>
    <row r="7139" spans="1:11" ht="42" customHeight="1">
      <c r="A7139" s="2" t="s">
        <v>17872</v>
      </c>
      <c r="B7139" s="2" t="s">
        <v>17873</v>
      </c>
      <c r="C7139" s="2" t="s">
        <v>26</v>
      </c>
      <c r="D7139" s="2" t="s">
        <v>27</v>
      </c>
      <c r="E7139" s="4">
        <v>-31833</v>
      </c>
      <c r="F7139" s="3" t="s">
        <v>267</v>
      </c>
      <c r="G7139" s="3" t="s">
        <v>268</v>
      </c>
      <c r="H7139" s="2" t="s">
        <v>21</v>
      </c>
      <c r="I7139" s="2" t="s">
        <v>17874</v>
      </c>
      <c r="J7139" s="3" t="str">
        <f>HYPERLINK("https://www.boe.es/gazeta/dias/1812/11/03/pdfs/GRE-1812-147.pdf#page=8","Abrir facsímil")</f>
        <v>Abrir facsímil</v>
      </c>
      <c r="K7139" s="3" t="s">
        <v>23</v>
      </c>
    </row>
    <row r="7140" spans="1:11" ht="42" customHeight="1">
      <c r="A7140" s="2" t="s">
        <v>17875</v>
      </c>
      <c r="B7140" s="2" t="s">
        <v>17876</v>
      </c>
      <c r="C7140" s="2" t="s">
        <v>26</v>
      </c>
      <c r="D7140" s="2" t="s">
        <v>27</v>
      </c>
      <c r="E7140" s="4">
        <v>-32034</v>
      </c>
      <c r="F7140" s="3" t="s">
        <v>28</v>
      </c>
      <c r="G7140" s="3" t="s">
        <v>794</v>
      </c>
      <c r="H7140" s="2" t="s">
        <v>21</v>
      </c>
      <c r="I7140" s="2" t="s">
        <v>17877</v>
      </c>
      <c r="J7140" s="3" t="str">
        <f>HYPERLINK("https://www.boe.es/gazeta/dias/1812/04/16/pdfs/GMD-1812-107.pdf#page=7","Abrir facsímil")</f>
        <v>Abrir facsímil</v>
      </c>
      <c r="K7140" s="3" t="s">
        <v>23</v>
      </c>
    </row>
    <row r="7141" spans="1:11" ht="42" customHeight="1">
      <c r="A7141" s="2" t="s">
        <v>17878</v>
      </c>
      <c r="B7141" s="2" t="s">
        <v>17879</v>
      </c>
      <c r="C7141" s="2" t="s">
        <v>26</v>
      </c>
      <c r="D7141" s="2" t="s">
        <v>27</v>
      </c>
      <c r="E7141" s="4">
        <v>-32034</v>
      </c>
      <c r="F7141" s="3" t="s">
        <v>28</v>
      </c>
      <c r="G7141" s="3" t="s">
        <v>45</v>
      </c>
      <c r="H7141" s="2" t="s">
        <v>21</v>
      </c>
      <c r="I7141" s="2" t="s">
        <v>17880</v>
      </c>
      <c r="J7141" s="3" t="str">
        <f>HYPERLINK("https://www.boe.es/gazeta/dias/1812/04/16/pdfs/GMD-1812-107.pdf#page=5","Abrir facsímil")</f>
        <v>Abrir facsímil</v>
      </c>
      <c r="K7141" s="3" t="s">
        <v>23</v>
      </c>
    </row>
    <row r="7142" spans="1:11" ht="42" customHeight="1">
      <c r="A7142" s="2" t="s">
        <v>17881</v>
      </c>
      <c r="B7142" s="2" t="s">
        <v>17882</v>
      </c>
      <c r="C7142" s="2" t="s">
        <v>105</v>
      </c>
      <c r="D7142" s="2" t="s">
        <v>27</v>
      </c>
      <c r="E7142" s="4">
        <v>-31952</v>
      </c>
      <c r="F7142" s="3" t="s">
        <v>694</v>
      </c>
      <c r="G7142" s="3" t="s">
        <v>2895</v>
      </c>
      <c r="H7142" s="2" t="s">
        <v>21</v>
      </c>
      <c r="I7142" s="2" t="s">
        <v>17883</v>
      </c>
      <c r="J7142" s="3" t="str">
        <f>HYPERLINK("https://www.boe.es/gazeta/dias/1812/07/07/pdfs/GMD-1812-189.pdf#page=4","Abrir facsímil")</f>
        <v>Abrir facsímil</v>
      </c>
      <c r="K7142" s="3" t="s">
        <v>23</v>
      </c>
    </row>
    <row r="7143" spans="1:11" ht="42" customHeight="1">
      <c r="A7143" s="2" t="s">
        <v>17884</v>
      </c>
      <c r="B7143" s="2" t="s">
        <v>17885</v>
      </c>
      <c r="C7143" s="2" t="s">
        <v>26</v>
      </c>
      <c r="D7143" s="2" t="s">
        <v>27</v>
      </c>
      <c r="E7143" s="4">
        <v>-31812</v>
      </c>
      <c r="F7143" s="3" t="s">
        <v>1533</v>
      </c>
      <c r="G7143" s="3" t="s">
        <v>965</v>
      </c>
      <c r="H7143" s="2" t="s">
        <v>21</v>
      </c>
      <c r="I7143" s="2" t="s">
        <v>17886</v>
      </c>
      <c r="J7143" s="3" t="str">
        <f>HYPERLINK("https://www.boe.es/gazeta/dias/1812/11/24/pdfs/GMR-1812-37.pdf#page=5","Abrir facsímil")</f>
        <v>Abrir facsímil</v>
      </c>
      <c r="K7143" s="3" t="s">
        <v>23</v>
      </c>
    </row>
    <row r="7144" spans="1:11" ht="42" customHeight="1">
      <c r="A7144" s="2" t="s">
        <v>17887</v>
      </c>
      <c r="B7144" s="2" t="s">
        <v>17887</v>
      </c>
      <c r="C7144" s="2" t="s">
        <v>17</v>
      </c>
      <c r="D7144" s="2" t="s">
        <v>18</v>
      </c>
      <c r="E7144" s="4">
        <v>-31826</v>
      </c>
      <c r="F7144" s="3" t="s">
        <v>7488</v>
      </c>
      <c r="G7144" s="3" t="s">
        <v>125</v>
      </c>
      <c r="H7144" s="2" t="s">
        <v>21</v>
      </c>
      <c r="I7144" s="2" t="s">
        <v>17888</v>
      </c>
      <c r="J7144" s="3" t="str">
        <f>HYPERLINK("https://www.boe.es/gazeta/dias/1812/11/10/pdfs/GRE-1812-150.pdf#page=6","Abrir facsímil")</f>
        <v>Abrir facsímil</v>
      </c>
      <c r="K7144" s="3" t="s">
        <v>23</v>
      </c>
    </row>
    <row r="7145" spans="1:11" ht="42" customHeight="1">
      <c r="A7145" s="2" t="s">
        <v>17889</v>
      </c>
      <c r="B7145" s="2" t="s">
        <v>17890</v>
      </c>
      <c r="C7145" s="2" t="s">
        <v>26</v>
      </c>
      <c r="D7145" s="2" t="s">
        <v>27</v>
      </c>
      <c r="E7145" s="4">
        <v>-31816</v>
      </c>
      <c r="F7145" s="3" t="s">
        <v>270</v>
      </c>
      <c r="G7145" s="3" t="s">
        <v>271</v>
      </c>
      <c r="H7145" s="2" t="s">
        <v>21</v>
      </c>
      <c r="I7145" s="2" t="s">
        <v>17891</v>
      </c>
      <c r="J7145" s="3" t="str">
        <f>HYPERLINK("https://www.boe.es/gazeta/dias/1812/11/20/pdfs/GMR-1812-36.pdf#page=6","Abrir facsímil")</f>
        <v>Abrir facsímil</v>
      </c>
      <c r="K7145" s="3" t="s">
        <v>23</v>
      </c>
    </row>
    <row r="7146" spans="1:11" ht="42" customHeight="1">
      <c r="A7146" s="2" t="s">
        <v>17892</v>
      </c>
      <c r="B7146" s="2" t="s">
        <v>17893</v>
      </c>
      <c r="C7146" s="2" t="s">
        <v>17</v>
      </c>
      <c r="D7146" s="2" t="s">
        <v>27</v>
      </c>
      <c r="E7146" s="4">
        <v>-32017</v>
      </c>
      <c r="F7146" s="3" t="s">
        <v>3446</v>
      </c>
      <c r="G7146" s="3" t="s">
        <v>404</v>
      </c>
      <c r="H7146" s="2" t="s">
        <v>21</v>
      </c>
      <c r="I7146" s="2" t="s">
        <v>17894</v>
      </c>
      <c r="J7146" s="3" t="str">
        <f>HYPERLINK("https://www.boe.es/gazeta/dias/1812/05/03/pdfs/GMD-1812-124.pdf#page=3","Abrir facsímil")</f>
        <v>Abrir facsímil</v>
      </c>
      <c r="K7146" s="3" t="s">
        <v>23</v>
      </c>
    </row>
    <row r="7147" spans="1:11" ht="42" customHeight="1">
      <c r="A7147" s="2" t="s">
        <v>17895</v>
      </c>
      <c r="B7147" s="2" t="s">
        <v>17896</v>
      </c>
      <c r="C7147" s="2" t="s">
        <v>17</v>
      </c>
      <c r="D7147" s="2" t="s">
        <v>18</v>
      </c>
      <c r="E7147" s="4">
        <v>-31816</v>
      </c>
      <c r="F7147" s="3" t="s">
        <v>270</v>
      </c>
      <c r="G7147" s="3" t="s">
        <v>271</v>
      </c>
      <c r="H7147" s="2" t="s">
        <v>21</v>
      </c>
      <c r="I7147" s="2" t="s">
        <v>17897</v>
      </c>
      <c r="J7147" s="3" t="str">
        <f>HYPERLINK("https://www.boe.es/gazeta/dias/1812/11/20/pdfs/GMR-1812-36.pdf#page=6","Abrir facsímil")</f>
        <v>Abrir facsímil</v>
      </c>
      <c r="K7147" s="3" t="s">
        <v>23</v>
      </c>
    </row>
    <row r="7148" spans="1:11" ht="42" customHeight="1">
      <c r="A7148" s="2" t="s">
        <v>17898</v>
      </c>
      <c r="B7148" s="2" t="s">
        <v>17899</v>
      </c>
      <c r="C7148" s="2" t="s">
        <v>115</v>
      </c>
      <c r="D7148" s="2" t="s">
        <v>27</v>
      </c>
      <c r="E7148" s="4">
        <v>-32088</v>
      </c>
      <c r="F7148" s="3" t="s">
        <v>1217</v>
      </c>
      <c r="G7148" s="3" t="s">
        <v>1218</v>
      </c>
      <c r="H7148" s="2" t="s">
        <v>21</v>
      </c>
      <c r="I7148" s="2" t="s">
        <v>17900</v>
      </c>
      <c r="J7148" s="3" t="str">
        <f>HYPERLINK("https://www.boe.es/gazeta/dias/1812/02/22/pdfs/GMD-1812-53.pdf#page=4","Abrir facsímil")</f>
        <v>Abrir facsímil</v>
      </c>
      <c r="K7148" s="3" t="s">
        <v>23</v>
      </c>
    </row>
    <row r="7149" spans="1:11" ht="42" customHeight="1">
      <c r="A7149" s="2" t="s">
        <v>17901</v>
      </c>
      <c r="B7149" s="2" t="s">
        <v>17902</v>
      </c>
      <c r="C7149" s="2" t="s">
        <v>26</v>
      </c>
      <c r="D7149" s="2" t="s">
        <v>27</v>
      </c>
      <c r="E7149" s="4">
        <v>-32034</v>
      </c>
      <c r="F7149" s="3" t="s">
        <v>28</v>
      </c>
      <c r="G7149" s="3" t="s">
        <v>45</v>
      </c>
      <c r="H7149" s="2" t="s">
        <v>21</v>
      </c>
      <c r="I7149" s="2" t="s">
        <v>17903</v>
      </c>
      <c r="J7149" s="3" t="str">
        <f>HYPERLINK("https://www.boe.es/gazeta/dias/1812/04/16/pdfs/GMD-1812-107.pdf#page=5","Abrir facsímil")</f>
        <v>Abrir facsímil</v>
      </c>
      <c r="K7149" s="3" t="s">
        <v>23</v>
      </c>
    </row>
    <row r="7150" spans="1:11" ht="42" customHeight="1">
      <c r="A7150" s="2" t="s">
        <v>17904</v>
      </c>
      <c r="B7150" s="2" t="s">
        <v>17905</v>
      </c>
      <c r="C7150" s="2" t="s">
        <v>186</v>
      </c>
      <c r="D7150" s="2" t="s">
        <v>27</v>
      </c>
      <c r="E7150" s="4">
        <v>-32011</v>
      </c>
      <c r="F7150" s="3" t="s">
        <v>1656</v>
      </c>
      <c r="G7150" s="3" t="s">
        <v>777</v>
      </c>
      <c r="H7150" s="2" t="s">
        <v>21</v>
      </c>
      <c r="I7150" s="2" t="s">
        <v>17906</v>
      </c>
      <c r="J7150" s="3" t="str">
        <f>HYPERLINK("https://www.boe.es/gazeta/dias/1812/05/09/pdfs/GMD-1812-130.pdf#page=2","Abrir facsímil")</f>
        <v>Abrir facsímil</v>
      </c>
      <c r="K7150" s="3" t="s">
        <v>23</v>
      </c>
    </row>
    <row r="7151" spans="1:11" ht="42" customHeight="1">
      <c r="A7151" s="2" t="s">
        <v>17907</v>
      </c>
      <c r="B7151" s="2" t="s">
        <v>17908</v>
      </c>
      <c r="C7151" s="2" t="s">
        <v>26</v>
      </c>
      <c r="D7151" s="2" t="s">
        <v>27</v>
      </c>
      <c r="E7151" s="4">
        <v>-31938</v>
      </c>
      <c r="F7151" s="3" t="s">
        <v>324</v>
      </c>
      <c r="G7151" s="3" t="s">
        <v>404</v>
      </c>
      <c r="H7151" s="2" t="s">
        <v>21</v>
      </c>
      <c r="I7151" s="2" t="s">
        <v>17909</v>
      </c>
      <c r="J7151" s="3" t="str">
        <f>HYPERLINK("https://www.boe.es/gazeta/dias/1812/07/21/pdfs/GMD-1812-203.pdf#page=4","Abrir facsímil")</f>
        <v>Abrir facsímil</v>
      </c>
      <c r="K7151" s="3" t="s">
        <v>23</v>
      </c>
    </row>
    <row r="7152" spans="1:11" ht="42" customHeight="1">
      <c r="A7152" s="2" t="s">
        <v>17910</v>
      </c>
      <c r="B7152" s="2" t="s">
        <v>17911</v>
      </c>
      <c r="C7152" s="2" t="s">
        <v>26</v>
      </c>
      <c r="D7152" s="2" t="s">
        <v>27</v>
      </c>
      <c r="E7152" s="4">
        <v>-32034</v>
      </c>
      <c r="F7152" s="3" t="s">
        <v>28</v>
      </c>
      <c r="G7152" s="3" t="s">
        <v>45</v>
      </c>
      <c r="H7152" s="2" t="s">
        <v>21</v>
      </c>
      <c r="I7152" s="2" t="s">
        <v>17912</v>
      </c>
      <c r="J7152" s="3" t="str">
        <f>HYPERLINK("https://www.boe.es/gazeta/dias/1812/04/16/pdfs/GMD-1812-107.pdf#page=5","Abrir facsímil")</f>
        <v>Abrir facsímil</v>
      </c>
      <c r="K7152" s="3" t="s">
        <v>23</v>
      </c>
    </row>
    <row r="7153" spans="1:11" ht="42" customHeight="1">
      <c r="A7153" s="2" t="s">
        <v>17913</v>
      </c>
      <c r="B7153" s="2" t="s">
        <v>17914</v>
      </c>
      <c r="C7153" s="2" t="s">
        <v>26</v>
      </c>
      <c r="D7153" s="2" t="s">
        <v>27</v>
      </c>
      <c r="E7153" s="4">
        <v>-32034</v>
      </c>
      <c r="F7153" s="3" t="s">
        <v>28</v>
      </c>
      <c r="G7153" s="3" t="s">
        <v>794</v>
      </c>
      <c r="H7153" s="2" t="s">
        <v>21</v>
      </c>
      <c r="I7153" s="2" t="s">
        <v>17915</v>
      </c>
      <c r="J7153" s="3" t="str">
        <f>HYPERLINK("https://www.boe.es/gazeta/dias/1812/04/16/pdfs/GMD-1812-107.pdf#page=7","Abrir facsímil")</f>
        <v>Abrir facsímil</v>
      </c>
      <c r="K7153" s="3" t="s">
        <v>23</v>
      </c>
    </row>
    <row r="7154" spans="1:11" ht="42" customHeight="1">
      <c r="A7154" s="2" t="s">
        <v>17916</v>
      </c>
      <c r="B7154" s="2" t="s">
        <v>17917</v>
      </c>
      <c r="C7154" s="2" t="s">
        <v>26</v>
      </c>
      <c r="D7154" s="2" t="s">
        <v>27</v>
      </c>
      <c r="E7154" s="4">
        <v>-31938</v>
      </c>
      <c r="F7154" s="3" t="s">
        <v>324</v>
      </c>
      <c r="G7154" s="3" t="s">
        <v>497</v>
      </c>
      <c r="H7154" s="2" t="s">
        <v>21</v>
      </c>
      <c r="I7154" s="2" t="s">
        <v>17918</v>
      </c>
      <c r="J7154" s="3" t="str">
        <f>HYPERLINK("https://www.boe.es/gazeta/dias/1812/07/21/pdfs/GMD-1812-203.pdf#page=3","Abrir facsímil")</f>
        <v>Abrir facsímil</v>
      </c>
      <c r="K7154" s="3" t="s">
        <v>23</v>
      </c>
    </row>
    <row r="7155" spans="1:11" ht="42" customHeight="1">
      <c r="A7155" s="2" t="s">
        <v>17919</v>
      </c>
      <c r="B7155" s="2" t="s">
        <v>17920</v>
      </c>
      <c r="C7155" s="2" t="s">
        <v>26</v>
      </c>
      <c r="D7155" s="2" t="s">
        <v>275</v>
      </c>
      <c r="E7155" s="4">
        <v>-31964</v>
      </c>
      <c r="F7155" s="3" t="s">
        <v>305</v>
      </c>
      <c r="G7155" s="3" t="s">
        <v>58</v>
      </c>
      <c r="H7155" s="2" t="s">
        <v>21</v>
      </c>
      <c r="I7155" s="2" t="s">
        <v>17921</v>
      </c>
      <c r="J7155" s="3" t="str">
        <f>HYPERLINK("https://www.boe.es/gazeta/dias/1812/06/25/pdfs/GMD-1812-177.pdf#page=2","Abrir facsímil")</f>
        <v>Abrir facsímil</v>
      </c>
      <c r="K7155" s="3" t="s">
        <v>23</v>
      </c>
    </row>
    <row r="7156" spans="1:11" ht="42" customHeight="1">
      <c r="A7156" s="2" t="s">
        <v>17919</v>
      </c>
      <c r="B7156" s="2" t="s">
        <v>17920</v>
      </c>
      <c r="C7156" s="2" t="s">
        <v>26</v>
      </c>
      <c r="D7156" s="2" t="s">
        <v>27</v>
      </c>
      <c r="E7156" s="4">
        <v>-31938</v>
      </c>
      <c r="F7156" s="3" t="s">
        <v>324</v>
      </c>
      <c r="G7156" s="3" t="s">
        <v>497</v>
      </c>
      <c r="H7156" s="2" t="s">
        <v>21</v>
      </c>
      <c r="I7156" s="2" t="s">
        <v>17922</v>
      </c>
      <c r="J7156" s="3" t="str">
        <f>HYPERLINK("https://www.boe.es/gazeta/dias/1812/07/21/pdfs/GMD-1812-203.pdf#page=3","Abrir facsímil")</f>
        <v>Abrir facsímil</v>
      </c>
      <c r="K7156" s="3" t="s">
        <v>23</v>
      </c>
    </row>
    <row r="7157" spans="1:11" ht="42" customHeight="1">
      <c r="A7157" s="2" t="s">
        <v>17923</v>
      </c>
      <c r="B7157" s="2" t="s">
        <v>17924</v>
      </c>
      <c r="C7157" s="2" t="s">
        <v>26</v>
      </c>
      <c r="D7157" s="2" t="s">
        <v>27</v>
      </c>
      <c r="E7157" s="4">
        <v>-31939</v>
      </c>
      <c r="F7157" s="3" t="s">
        <v>408</v>
      </c>
      <c r="G7157" s="3" t="s">
        <v>20</v>
      </c>
      <c r="H7157" s="2" t="s">
        <v>21</v>
      </c>
      <c r="I7157" s="2" t="s">
        <v>17925</v>
      </c>
      <c r="J7157" s="3" t="str">
        <f>HYPERLINK("https://www.boe.es/gazeta/dias/1812/07/20/pdfs/GMD-1812-202.pdf#page=4","Abrir facsímil")</f>
        <v>Abrir facsímil</v>
      </c>
      <c r="K7157" s="3" t="s">
        <v>23</v>
      </c>
    </row>
    <row r="7158" spans="1:11" ht="42" customHeight="1">
      <c r="A7158" s="2" t="s">
        <v>17926</v>
      </c>
      <c r="B7158" s="2" t="s">
        <v>17927</v>
      </c>
      <c r="C7158" s="2" t="s">
        <v>17</v>
      </c>
      <c r="D7158" s="2" t="s">
        <v>27</v>
      </c>
      <c r="E7158" s="4">
        <v>-32085</v>
      </c>
      <c r="F7158" s="3" t="s">
        <v>3321</v>
      </c>
      <c r="G7158" s="3" t="s">
        <v>3409</v>
      </c>
      <c r="H7158" s="2" t="s">
        <v>21</v>
      </c>
      <c r="I7158" s="2" t="s">
        <v>17928</v>
      </c>
      <c r="J7158" s="3" t="str">
        <f>HYPERLINK("https://www.boe.es/gazeta/dias/1812/02/25/pdfs/GRE-1812-25.pdf#page=3","Abrir facsímil")</f>
        <v>Abrir facsímil</v>
      </c>
      <c r="K7158" s="3" t="s">
        <v>23</v>
      </c>
    </row>
    <row r="7159" spans="1:11" ht="42" customHeight="1">
      <c r="A7159" s="2" t="s">
        <v>17929</v>
      </c>
      <c r="B7159" s="2" t="s">
        <v>17930</v>
      </c>
      <c r="C7159" s="2" t="s">
        <v>26</v>
      </c>
      <c r="D7159" s="2" t="s">
        <v>27</v>
      </c>
      <c r="E7159" s="4">
        <v>-32034</v>
      </c>
      <c r="F7159" s="3" t="s">
        <v>28</v>
      </c>
      <c r="G7159" s="3" t="s">
        <v>317</v>
      </c>
      <c r="H7159" s="2" t="s">
        <v>21</v>
      </c>
      <c r="I7159" s="2" t="s">
        <v>17931</v>
      </c>
      <c r="J7159" s="3" t="str">
        <f>HYPERLINK("https://www.boe.es/gazeta/dias/1812/04/16/pdfs/GMD-1812-107.pdf#page=6","Abrir facsímil")</f>
        <v>Abrir facsímil</v>
      </c>
      <c r="K7159" s="3" t="s">
        <v>23</v>
      </c>
    </row>
    <row r="7160" spans="1:11" ht="42" customHeight="1">
      <c r="A7160" s="2" t="s">
        <v>17932</v>
      </c>
      <c r="B7160" s="2" t="s">
        <v>17933</v>
      </c>
      <c r="C7160" s="2" t="s">
        <v>26</v>
      </c>
      <c r="D7160" s="2" t="s">
        <v>27</v>
      </c>
      <c r="E7160" s="4">
        <v>-32100</v>
      </c>
      <c r="F7160" s="3" t="s">
        <v>492</v>
      </c>
      <c r="G7160" s="3" t="s">
        <v>493</v>
      </c>
      <c r="H7160" s="2" t="s">
        <v>21</v>
      </c>
      <c r="I7160" s="2" t="s">
        <v>17934</v>
      </c>
      <c r="J7160" s="3" t="str">
        <f>HYPERLINK("https://www.boe.es/gazeta/dias/1812/02/10/pdfs/GRE-1812-31.pdf#page=8","Abrir facsímil")</f>
        <v>Abrir facsímil</v>
      </c>
      <c r="K7160" s="3" t="s">
        <v>23</v>
      </c>
    </row>
    <row r="7161" spans="1:11" ht="42" customHeight="1">
      <c r="A7161" s="2" t="s">
        <v>17932</v>
      </c>
      <c r="B7161" s="2" t="s">
        <v>17933</v>
      </c>
      <c r="C7161" s="2" t="s">
        <v>26</v>
      </c>
      <c r="D7161" s="2" t="s">
        <v>27</v>
      </c>
      <c r="E7161" s="4">
        <v>-32071</v>
      </c>
      <c r="F7161" s="3" t="s">
        <v>492</v>
      </c>
      <c r="G7161" s="3" t="s">
        <v>493</v>
      </c>
      <c r="H7161" s="2" t="s">
        <v>21</v>
      </c>
      <c r="I7161" s="2" t="s">
        <v>17934</v>
      </c>
      <c r="J7161" s="3" t="str">
        <f>HYPERLINK("https://www.boe.es/gazeta/dias/1812/03/10/pdfs/GRE-1812-31.pdf#page=8","Abrir facsímil")</f>
        <v>Abrir facsímil</v>
      </c>
      <c r="K7161" s="3" t="s">
        <v>23</v>
      </c>
    </row>
    <row r="7162" spans="1:11" ht="42" customHeight="1">
      <c r="A7162" s="2" t="s">
        <v>17935</v>
      </c>
      <c r="B7162" s="2" t="s">
        <v>17936</v>
      </c>
      <c r="C7162" s="2" t="s">
        <v>26</v>
      </c>
      <c r="D7162" s="2" t="s">
        <v>27</v>
      </c>
      <c r="E7162" s="4">
        <v>-31939</v>
      </c>
      <c r="F7162" s="3" t="s">
        <v>408</v>
      </c>
      <c r="G7162" s="3" t="s">
        <v>20</v>
      </c>
      <c r="H7162" s="2" t="s">
        <v>21</v>
      </c>
      <c r="I7162" s="2" t="s">
        <v>17937</v>
      </c>
      <c r="J7162" s="3" t="str">
        <f>HYPERLINK("https://www.boe.es/gazeta/dias/1812/07/20/pdfs/GMD-1812-202.pdf#page=4","Abrir facsímil")</f>
        <v>Abrir facsímil</v>
      </c>
      <c r="K7162" s="3" t="s">
        <v>23</v>
      </c>
    </row>
    <row r="7163" spans="1:11" ht="42" customHeight="1">
      <c r="A7163" s="2" t="s">
        <v>17938</v>
      </c>
      <c r="B7163" s="2" t="s">
        <v>17939</v>
      </c>
      <c r="C7163" s="2" t="s">
        <v>115</v>
      </c>
      <c r="D7163" s="2" t="s">
        <v>275</v>
      </c>
      <c r="E7163" s="4">
        <v>-32019</v>
      </c>
      <c r="F7163" s="3" t="s">
        <v>476</v>
      </c>
      <c r="G7163" s="3" t="s">
        <v>404</v>
      </c>
      <c r="H7163" s="2" t="s">
        <v>21</v>
      </c>
      <c r="I7163" s="2" t="s">
        <v>17940</v>
      </c>
      <c r="J7163" s="3" t="str">
        <f>HYPERLINK("https://www.boe.es/gazeta/dias/1812/05/01/pdfs/GMD-1812-122.pdf#page=3","Abrir facsímil")</f>
        <v>Abrir facsímil</v>
      </c>
      <c r="K7163" s="3" t="s">
        <v>23</v>
      </c>
    </row>
    <row r="7164" spans="1:11" ht="42" customHeight="1">
      <c r="A7164" s="2" t="s">
        <v>17941</v>
      </c>
      <c r="B7164" s="2" t="s">
        <v>17942</v>
      </c>
      <c r="C7164" s="2" t="s">
        <v>26</v>
      </c>
      <c r="D7164" s="2" t="s">
        <v>27</v>
      </c>
      <c r="E7164" s="4">
        <v>-31936</v>
      </c>
      <c r="F7164" s="3" t="s">
        <v>614</v>
      </c>
      <c r="G7164" s="3" t="s">
        <v>615</v>
      </c>
      <c r="H7164" s="2" t="s">
        <v>21</v>
      </c>
      <c r="I7164" s="2" t="s">
        <v>17943</v>
      </c>
      <c r="J7164" s="3" t="str">
        <f>HYPERLINK("https://www.boe.es/gazeta/dias/1812/07/23/pdfs/GRE-1812-92.pdf#page=8","Abrir facsímil")</f>
        <v>Abrir facsímil</v>
      </c>
      <c r="K7164" s="3" t="s">
        <v>23</v>
      </c>
    </row>
    <row r="7165" spans="1:11" ht="42" customHeight="1">
      <c r="A7165" s="2" t="s">
        <v>17944</v>
      </c>
      <c r="B7165" s="2" t="s">
        <v>17945</v>
      </c>
      <c r="C7165" s="2" t="s">
        <v>17</v>
      </c>
      <c r="D7165" s="2" t="s">
        <v>18</v>
      </c>
      <c r="E7165" s="4">
        <v>-31896</v>
      </c>
      <c r="F7165" s="3" t="s">
        <v>2506</v>
      </c>
      <c r="G7165" s="3" t="s">
        <v>217</v>
      </c>
      <c r="H7165" s="2" t="s">
        <v>21</v>
      </c>
      <c r="I7165" s="2" t="s">
        <v>17946</v>
      </c>
      <c r="J7165" s="3" t="str">
        <f>HYPERLINK("https://www.boe.es/gazeta/dias/1812/09/01/pdfs/GRE-F-1812-117.pdf#page=4","Abrir facsímil")</f>
        <v>Abrir facsímil</v>
      </c>
      <c r="K7165" s="3" t="s">
        <v>23</v>
      </c>
    </row>
    <row r="7166" spans="1:11" ht="42" customHeight="1">
      <c r="A7166" s="2" t="s">
        <v>17947</v>
      </c>
      <c r="B7166" s="2" t="s">
        <v>17947</v>
      </c>
      <c r="C7166" s="2" t="s">
        <v>49</v>
      </c>
      <c r="D7166" s="2" t="s">
        <v>27</v>
      </c>
      <c r="E7166" s="4">
        <v>-32064</v>
      </c>
      <c r="F7166" s="3" t="s">
        <v>403</v>
      </c>
      <c r="G7166" s="3" t="s">
        <v>237</v>
      </c>
      <c r="H7166" s="2" t="s">
        <v>21</v>
      </c>
      <c r="I7166" s="2" t="s">
        <v>17948</v>
      </c>
      <c r="J7166" s="3" t="str">
        <f>HYPERLINK("https://www.boe.es/gazeta/dias/1812/03/17/pdfs/GMD-1812-77.pdf#page=3","Abrir facsímil")</f>
        <v>Abrir facsímil</v>
      </c>
      <c r="K7166" s="3" t="s">
        <v>23</v>
      </c>
    </row>
    <row r="7167" spans="1:11" ht="42" customHeight="1">
      <c r="A7167" s="2" t="s">
        <v>17949</v>
      </c>
      <c r="B7167" s="2" t="s">
        <v>17949</v>
      </c>
      <c r="C7167" s="2" t="s">
        <v>17</v>
      </c>
      <c r="D7167" s="2" t="s">
        <v>18</v>
      </c>
      <c r="E7167" s="4">
        <v>-31934</v>
      </c>
      <c r="F7167" s="3" t="s">
        <v>509</v>
      </c>
      <c r="G7167" s="3" t="s">
        <v>510</v>
      </c>
      <c r="H7167" s="2" t="s">
        <v>21</v>
      </c>
      <c r="I7167" s="2" t="s">
        <v>17950</v>
      </c>
      <c r="J7167" s="3" t="str">
        <f>HYPERLINK("https://www.boe.es/gazeta/dias/1812/07/25/pdfs/GRE-1812-93.pdf#page=5","Abrir facsímil")</f>
        <v>Abrir facsímil</v>
      </c>
      <c r="K7167" s="3" t="s">
        <v>23</v>
      </c>
    </row>
    <row r="7168" spans="1:11" ht="42" customHeight="1">
      <c r="A7168" s="2" t="s">
        <v>17951</v>
      </c>
      <c r="B7168" s="2" t="s">
        <v>17951</v>
      </c>
      <c r="C7168" s="2" t="s">
        <v>26</v>
      </c>
      <c r="D7168" s="2" t="s">
        <v>27</v>
      </c>
      <c r="E7168" s="4">
        <v>-31944</v>
      </c>
      <c r="F7168" s="3" t="s">
        <v>5796</v>
      </c>
      <c r="G7168" s="3" t="s">
        <v>623</v>
      </c>
      <c r="H7168" s="2" t="s">
        <v>21</v>
      </c>
      <c r="I7168" s="2" t="s">
        <v>17952</v>
      </c>
      <c r="J7168" s="3" t="str">
        <f>HYPERLINK("https://www.boe.es/gazeta/dias/1812/07/15/pdfs/GMD-1812-197.pdf#page=1","Abrir facsímil")</f>
        <v>Abrir facsímil</v>
      </c>
      <c r="K7168" s="3" t="s">
        <v>23</v>
      </c>
    </row>
    <row r="7169" spans="1:11" ht="42" customHeight="1">
      <c r="A7169" s="2" t="s">
        <v>17953</v>
      </c>
      <c r="B7169" s="2" t="s">
        <v>17954</v>
      </c>
      <c r="C7169" s="2" t="s">
        <v>26</v>
      </c>
      <c r="D7169" s="2" t="s">
        <v>27</v>
      </c>
      <c r="E7169" s="4">
        <v>-32015</v>
      </c>
      <c r="F7169" s="3" t="s">
        <v>77</v>
      </c>
      <c r="G7169" s="3" t="s">
        <v>78</v>
      </c>
      <c r="H7169" s="2" t="s">
        <v>21</v>
      </c>
      <c r="I7169" s="2" t="s">
        <v>17955</v>
      </c>
      <c r="J7169" s="3" t="str">
        <f>HYPERLINK("https://www.boe.es/gazeta/dias/1812/05/05/pdfs/GRE-1812-56.pdf#page=8","Abrir facsímil")</f>
        <v>Abrir facsímil</v>
      </c>
      <c r="K7169" s="3" t="s">
        <v>23</v>
      </c>
    </row>
    <row r="7170" spans="1:11" ht="42" customHeight="1">
      <c r="A7170" s="2" t="s">
        <v>17956</v>
      </c>
      <c r="B7170" s="2" t="s">
        <v>17957</v>
      </c>
      <c r="C7170" s="2" t="s">
        <v>26</v>
      </c>
      <c r="D7170" s="2" t="s">
        <v>27</v>
      </c>
      <c r="E7170" s="4">
        <v>-32034</v>
      </c>
      <c r="F7170" s="3" t="s">
        <v>28</v>
      </c>
      <c r="G7170" s="3" t="s">
        <v>317</v>
      </c>
      <c r="H7170" s="2" t="s">
        <v>21</v>
      </c>
      <c r="I7170" s="2" t="s">
        <v>17958</v>
      </c>
      <c r="J7170" s="3" t="str">
        <f>HYPERLINK("https://www.boe.es/gazeta/dias/1812/04/16/pdfs/GMD-1812-107.pdf#page=6","Abrir facsímil")</f>
        <v>Abrir facsímil</v>
      </c>
      <c r="K7170" s="3" t="s">
        <v>23</v>
      </c>
    </row>
    <row r="7171" spans="1:11" ht="42" customHeight="1">
      <c r="A7171" s="2" t="s">
        <v>17959</v>
      </c>
      <c r="B7171" s="2" t="s">
        <v>17960</v>
      </c>
      <c r="C7171" s="2" t="s">
        <v>26</v>
      </c>
      <c r="D7171" s="2" t="s">
        <v>27</v>
      </c>
      <c r="E7171" s="4">
        <v>-32137</v>
      </c>
      <c r="F7171" s="3" t="s">
        <v>355</v>
      </c>
      <c r="G7171" s="3" t="s">
        <v>117</v>
      </c>
      <c r="H7171" s="2" t="s">
        <v>21</v>
      </c>
      <c r="I7171" s="2" t="s">
        <v>17961</v>
      </c>
      <c r="J7171" s="3" t="str">
        <f>HYPERLINK("https://www.boe.es/gazeta/dias/1812/01/04/pdfs/GEI-1812-2.pdf#page=8","Abrir facsímil")</f>
        <v>Abrir facsímil</v>
      </c>
      <c r="K7171" s="3" t="s">
        <v>23</v>
      </c>
    </row>
    <row r="7172" spans="1:11" ht="42" customHeight="1">
      <c r="A7172" s="2" t="s">
        <v>17962</v>
      </c>
      <c r="B7172" s="2" t="s">
        <v>17963</v>
      </c>
      <c r="C7172" s="2" t="s">
        <v>26</v>
      </c>
      <c r="D7172" s="2" t="s">
        <v>27</v>
      </c>
      <c r="E7172" s="4">
        <v>-32100</v>
      </c>
      <c r="F7172" s="3" t="s">
        <v>492</v>
      </c>
      <c r="G7172" s="3" t="s">
        <v>493</v>
      </c>
      <c r="H7172" s="2" t="s">
        <v>21</v>
      </c>
      <c r="I7172" s="2" t="s">
        <v>17964</v>
      </c>
      <c r="J7172" s="3" t="str">
        <f>HYPERLINK("https://www.boe.es/gazeta/dias/1812/02/10/pdfs/GRE-1812-31.pdf#page=8","Abrir facsímil")</f>
        <v>Abrir facsímil</v>
      </c>
      <c r="K7172" s="3" t="s">
        <v>23</v>
      </c>
    </row>
    <row r="7173" spans="1:11" ht="42" customHeight="1">
      <c r="A7173" s="2" t="s">
        <v>17962</v>
      </c>
      <c r="B7173" s="2" t="s">
        <v>17963</v>
      </c>
      <c r="C7173" s="2" t="s">
        <v>26</v>
      </c>
      <c r="D7173" s="2" t="s">
        <v>27</v>
      </c>
      <c r="E7173" s="4">
        <v>-32071</v>
      </c>
      <c r="F7173" s="3" t="s">
        <v>492</v>
      </c>
      <c r="G7173" s="3" t="s">
        <v>493</v>
      </c>
      <c r="H7173" s="2" t="s">
        <v>21</v>
      </c>
      <c r="I7173" s="2" t="s">
        <v>17964</v>
      </c>
      <c r="J7173" s="3" t="str">
        <f>HYPERLINK("https://www.boe.es/gazeta/dias/1812/03/10/pdfs/GRE-1812-31.pdf#page=8","Abrir facsímil")</f>
        <v>Abrir facsímil</v>
      </c>
      <c r="K7173" s="3" t="s">
        <v>23</v>
      </c>
    </row>
    <row r="7174" spans="1:11" ht="42" customHeight="1">
      <c r="A7174" s="2" t="s">
        <v>17965</v>
      </c>
      <c r="B7174" s="2" t="s">
        <v>17966</v>
      </c>
      <c r="C7174" s="2" t="s">
        <v>115</v>
      </c>
      <c r="D7174" s="2" t="s">
        <v>27</v>
      </c>
      <c r="E7174" s="4">
        <v>-32019</v>
      </c>
      <c r="F7174" s="3" t="s">
        <v>476</v>
      </c>
      <c r="G7174" s="3" t="s">
        <v>404</v>
      </c>
      <c r="H7174" s="2" t="s">
        <v>21</v>
      </c>
      <c r="I7174" s="2" t="s">
        <v>17967</v>
      </c>
      <c r="J7174" s="3" t="str">
        <f>HYPERLINK("https://www.boe.es/gazeta/dias/1812/05/01/pdfs/GMD-1812-122.pdf#page=3","Abrir facsímil")</f>
        <v>Abrir facsímil</v>
      </c>
      <c r="K7174" s="3" t="s">
        <v>23</v>
      </c>
    </row>
    <row r="7175" spans="1:11" ht="42" customHeight="1">
      <c r="A7175" s="2" t="s">
        <v>17968</v>
      </c>
      <c r="B7175" s="2" t="s">
        <v>17969</v>
      </c>
      <c r="C7175" s="2" t="s">
        <v>49</v>
      </c>
      <c r="D7175" s="2" t="s">
        <v>18</v>
      </c>
      <c r="E7175" s="4">
        <v>-32018</v>
      </c>
      <c r="F7175" s="3" t="s">
        <v>365</v>
      </c>
      <c r="G7175" s="3" t="s">
        <v>366</v>
      </c>
      <c r="H7175" s="2" t="s">
        <v>21</v>
      </c>
      <c r="I7175" s="2" t="s">
        <v>17970</v>
      </c>
      <c r="J7175" s="3" t="str">
        <f>HYPERLINK("https://www.boe.es/gazeta/dias/1812/05/02/pdfs/GRE-1812-55.pdf#page=3","Abrir facsímil")</f>
        <v>Abrir facsímil</v>
      </c>
      <c r="K7175" s="3" t="s">
        <v>23</v>
      </c>
    </row>
    <row r="7176" spans="1:11" ht="42" customHeight="1">
      <c r="A7176" s="2" t="s">
        <v>17971</v>
      </c>
      <c r="B7176" s="2" t="s">
        <v>17972</v>
      </c>
      <c r="C7176" s="2" t="s">
        <v>26</v>
      </c>
      <c r="D7176" s="2" t="s">
        <v>27</v>
      </c>
      <c r="E7176" s="4">
        <v>-31964</v>
      </c>
      <c r="F7176" s="3" t="s">
        <v>305</v>
      </c>
      <c r="G7176" s="3" t="s">
        <v>306</v>
      </c>
      <c r="H7176" s="2" t="s">
        <v>21</v>
      </c>
      <c r="I7176" s="2" t="s">
        <v>17973</v>
      </c>
      <c r="J7176" s="3" t="str">
        <f>HYPERLINK("https://www.boe.es/gazeta/dias/1812/06/25/pdfs/GMD-1812-177.pdf#page=3","Abrir facsímil")</f>
        <v>Abrir facsímil</v>
      </c>
      <c r="K7176" s="3" t="s">
        <v>23</v>
      </c>
    </row>
    <row r="7177" spans="1:11" ht="42" customHeight="1">
      <c r="A7177" s="2" t="s">
        <v>17974</v>
      </c>
      <c r="B7177" s="2" t="s">
        <v>17975</v>
      </c>
      <c r="C7177" s="2" t="s">
        <v>26</v>
      </c>
      <c r="D7177" s="2" t="s">
        <v>27</v>
      </c>
      <c r="E7177" s="4">
        <v>-31964</v>
      </c>
      <c r="F7177" s="3" t="s">
        <v>305</v>
      </c>
      <c r="G7177" s="3" t="s">
        <v>58</v>
      </c>
      <c r="H7177" s="2" t="s">
        <v>21</v>
      </c>
      <c r="I7177" s="2" t="s">
        <v>17976</v>
      </c>
      <c r="J7177" s="3" t="str">
        <f>HYPERLINK("https://www.boe.es/gazeta/dias/1812/06/25/pdfs/GMD-1812-177.pdf#page=2","Abrir facsímil")</f>
        <v>Abrir facsímil</v>
      </c>
      <c r="K7177" s="3" t="s">
        <v>23</v>
      </c>
    </row>
    <row r="7178" spans="1:11" ht="42" customHeight="1">
      <c r="A7178" s="2" t="s">
        <v>17977</v>
      </c>
      <c r="B7178" s="2" t="s">
        <v>17978</v>
      </c>
      <c r="C7178" s="2" t="s">
        <v>26</v>
      </c>
      <c r="D7178" s="2" t="s">
        <v>27</v>
      </c>
      <c r="E7178" s="4">
        <v>-31940</v>
      </c>
      <c r="F7178" s="3" t="s">
        <v>187</v>
      </c>
      <c r="G7178" s="3" t="s">
        <v>404</v>
      </c>
      <c r="H7178" s="2" t="s">
        <v>21</v>
      </c>
      <c r="I7178" s="2" t="s">
        <v>17979</v>
      </c>
      <c r="J7178" s="3" t="str">
        <f>HYPERLINK("https://www.boe.es/gazeta/dias/1812/07/19/pdfs/GMD-1812-201.pdf#page=3","Abrir facsímil")</f>
        <v>Abrir facsímil</v>
      </c>
      <c r="K7178" s="3" t="s">
        <v>23</v>
      </c>
    </row>
    <row r="7179" spans="1:11" ht="42" customHeight="1">
      <c r="A7179" s="2" t="s">
        <v>17980</v>
      </c>
      <c r="B7179" s="2" t="s">
        <v>17981</v>
      </c>
      <c r="C7179" s="2" t="s">
        <v>115</v>
      </c>
      <c r="D7179" s="2" t="s">
        <v>27</v>
      </c>
      <c r="E7179" s="4">
        <v>-32019</v>
      </c>
      <c r="F7179" s="3" t="s">
        <v>476</v>
      </c>
      <c r="G7179" s="3" t="s">
        <v>404</v>
      </c>
      <c r="H7179" s="2" t="s">
        <v>21</v>
      </c>
      <c r="I7179" s="2" t="s">
        <v>17982</v>
      </c>
      <c r="J7179" s="3" t="str">
        <f>HYPERLINK("https://www.boe.es/gazeta/dias/1812/05/01/pdfs/GMD-1812-122.pdf#page=3","Abrir facsímil")</f>
        <v>Abrir facsímil</v>
      </c>
      <c r="K7179" s="3" t="s">
        <v>23</v>
      </c>
    </row>
    <row r="7180" spans="1:11" ht="42" customHeight="1">
      <c r="A7180" s="2" t="s">
        <v>17983</v>
      </c>
      <c r="B7180" s="2" t="s">
        <v>17984</v>
      </c>
      <c r="C7180" s="2" t="s">
        <v>17</v>
      </c>
      <c r="D7180" s="2" t="s">
        <v>27</v>
      </c>
      <c r="E7180" s="4">
        <v>-32022</v>
      </c>
      <c r="F7180" s="3" t="s">
        <v>1186</v>
      </c>
      <c r="G7180" s="3" t="s">
        <v>6154</v>
      </c>
      <c r="H7180" s="2" t="s">
        <v>21</v>
      </c>
      <c r="I7180" s="2" t="s">
        <v>17985</v>
      </c>
      <c r="J7180" s="3" t="str">
        <f>HYPERLINK("https://www.boe.es/gazeta/dias/1812/04/28/pdfs/GRE-1812-53.pdf#page=7","Abrir facsímil")</f>
        <v>Abrir facsímil</v>
      </c>
      <c r="K7180" s="3" t="s">
        <v>23</v>
      </c>
    </row>
    <row r="7181" spans="1:11" ht="42" customHeight="1">
      <c r="A7181" s="2" t="s">
        <v>17986</v>
      </c>
      <c r="B7181" s="2" t="s">
        <v>17986</v>
      </c>
      <c r="C7181" s="2" t="s">
        <v>105</v>
      </c>
      <c r="D7181" s="2" t="s">
        <v>27</v>
      </c>
      <c r="E7181" s="4">
        <v>-31847</v>
      </c>
      <c r="F7181" s="3" t="s">
        <v>219</v>
      </c>
      <c r="G7181" s="3" t="s">
        <v>1468</v>
      </c>
      <c r="H7181" s="2" t="s">
        <v>21</v>
      </c>
      <c r="I7181" s="2" t="s">
        <v>17987</v>
      </c>
      <c r="J7181" s="3" t="str">
        <f>HYPERLINK("https://www.boe.es/gazeta/dias/1812/10/20/pdfs/GRE-1812-141.pdf#page=3","Abrir facsímil")</f>
        <v>Abrir facsímil</v>
      </c>
      <c r="K7181" s="3" t="s">
        <v>23</v>
      </c>
    </row>
    <row r="7182" spans="1:11" ht="42" customHeight="1">
      <c r="A7182" s="2" t="s">
        <v>17988</v>
      </c>
      <c r="B7182" s="2" t="s">
        <v>17988</v>
      </c>
      <c r="C7182" s="2" t="s">
        <v>115</v>
      </c>
      <c r="D7182" s="2" t="s">
        <v>27</v>
      </c>
      <c r="E7182" s="4">
        <v>-31843</v>
      </c>
      <c r="F7182" s="3" t="s">
        <v>3493</v>
      </c>
      <c r="G7182" s="3" t="s">
        <v>214</v>
      </c>
      <c r="H7182" s="2" t="s">
        <v>21</v>
      </c>
      <c r="I7182" s="2" t="s">
        <v>17989</v>
      </c>
      <c r="J7182" s="3" t="str">
        <f>HYPERLINK("https://www.boe.es/gazeta/dias/1812/10/24/pdfs/GMR-1812-31.pdf#page=1","Abrir facsímil")</f>
        <v>Abrir facsímil</v>
      </c>
      <c r="K7182" s="3" t="s">
        <v>23</v>
      </c>
    </row>
    <row r="7183" spans="1:11" ht="42" customHeight="1">
      <c r="A7183" s="2" t="s">
        <v>17990</v>
      </c>
      <c r="B7183" s="2" t="s">
        <v>17990</v>
      </c>
      <c r="C7183" s="2" t="s">
        <v>105</v>
      </c>
      <c r="D7183" s="2" t="s">
        <v>27</v>
      </c>
      <c r="E7183" s="4">
        <v>-31934</v>
      </c>
      <c r="F7183" s="3" t="s">
        <v>509</v>
      </c>
      <c r="G7183" s="3" t="s">
        <v>696</v>
      </c>
      <c r="H7183" s="2" t="s">
        <v>21</v>
      </c>
      <c r="I7183" s="2" t="s">
        <v>17991</v>
      </c>
      <c r="J7183" s="3" t="str">
        <f>HYPERLINK("https://www.boe.es/gazeta/dias/1812/07/25/pdfs/GRE-1812-93.pdf#page=2","Abrir facsímil")</f>
        <v>Abrir facsímil</v>
      </c>
      <c r="K7183" s="3" t="s">
        <v>23</v>
      </c>
    </row>
    <row r="7184" spans="1:11" ht="42" customHeight="1">
      <c r="A7184" s="2" t="s">
        <v>17992</v>
      </c>
      <c r="B7184" s="2" t="s">
        <v>17992</v>
      </c>
      <c r="C7184" s="2" t="s">
        <v>186</v>
      </c>
      <c r="D7184" s="2" t="s">
        <v>27</v>
      </c>
      <c r="E7184" s="4">
        <v>-31801</v>
      </c>
      <c r="F7184" s="3" t="s">
        <v>632</v>
      </c>
      <c r="G7184" s="3" t="s">
        <v>13418</v>
      </c>
      <c r="H7184" s="2" t="s">
        <v>21</v>
      </c>
      <c r="I7184" s="2" t="s">
        <v>17993</v>
      </c>
      <c r="J7184" s="3" t="str">
        <f>HYPERLINK("https://www.boe.es/gazeta/dias/1812/12/05/pdfs/GMD-1812-228.pdf#page=4","Abrir facsímil")</f>
        <v>Abrir facsímil</v>
      </c>
      <c r="K7184" s="3" t="s">
        <v>23</v>
      </c>
    </row>
    <row r="7185" spans="1:11" ht="42" customHeight="1">
      <c r="A7185" s="2" t="s">
        <v>17994</v>
      </c>
      <c r="B7185" s="2" t="s">
        <v>17995</v>
      </c>
      <c r="C7185" s="2" t="s">
        <v>17</v>
      </c>
      <c r="D7185" s="2" t="s">
        <v>18</v>
      </c>
      <c r="E7185" s="4">
        <v>-31992</v>
      </c>
      <c r="F7185" s="3" t="s">
        <v>1292</v>
      </c>
      <c r="G7185" s="3" t="s">
        <v>1424</v>
      </c>
      <c r="H7185" s="2" t="s">
        <v>21</v>
      </c>
      <c r="I7185" s="2" t="s">
        <v>17996</v>
      </c>
      <c r="J7185" s="3" t="str">
        <f>HYPERLINK("https://www.boe.es/gazeta/dias/1812/05/28/pdfs/GRE-1812-66.pdf#page=5","Abrir facsímil")</f>
        <v>Abrir facsímil</v>
      </c>
      <c r="K7185" s="3" t="s">
        <v>23</v>
      </c>
    </row>
    <row r="7186" spans="1:11" ht="42" customHeight="1">
      <c r="A7186" s="2" t="s">
        <v>17997</v>
      </c>
      <c r="B7186" s="2" t="s">
        <v>17998</v>
      </c>
      <c r="C7186" s="2" t="s">
        <v>49</v>
      </c>
      <c r="D7186" s="2" t="s">
        <v>18</v>
      </c>
      <c r="E7186" s="4">
        <v>-31966</v>
      </c>
      <c r="F7186" s="3" t="s">
        <v>3665</v>
      </c>
      <c r="G7186" s="3" t="s">
        <v>3666</v>
      </c>
      <c r="H7186" s="2" t="s">
        <v>21</v>
      </c>
      <c r="I7186" s="2" t="s">
        <v>17999</v>
      </c>
      <c r="J7186" s="3" t="str">
        <f>HYPERLINK("https://www.boe.es/gazeta/dias/1812/06/23/pdfs/GRE-1812-77.pdf#page=8","Abrir facsímil")</f>
        <v>Abrir facsímil</v>
      </c>
      <c r="K7186" s="3" t="s">
        <v>23</v>
      </c>
    </row>
    <row r="7187" spans="1:11" ht="42" customHeight="1">
      <c r="A7187" s="2" t="s">
        <v>18000</v>
      </c>
      <c r="B7187" s="2" t="s">
        <v>18001</v>
      </c>
      <c r="C7187" s="2" t="s">
        <v>26</v>
      </c>
      <c r="D7187" s="2" t="s">
        <v>27</v>
      </c>
      <c r="E7187" s="4">
        <v>-32065</v>
      </c>
      <c r="F7187" s="3" t="s">
        <v>259</v>
      </c>
      <c r="G7187" s="3" t="s">
        <v>20</v>
      </c>
      <c r="H7187" s="2" t="s">
        <v>21</v>
      </c>
      <c r="I7187" s="2" t="s">
        <v>18002</v>
      </c>
      <c r="J7187" s="3" t="str">
        <f>HYPERLINK("https://www.boe.es/gazeta/dias/1812/03/16/pdfs/GMD-1812-76.pdf#page=4","Abrir facsímil")</f>
        <v>Abrir facsímil</v>
      </c>
      <c r="K7187" s="3" t="s">
        <v>23</v>
      </c>
    </row>
    <row r="7188" spans="1:11" ht="42" customHeight="1">
      <c r="A7188" s="2" t="s">
        <v>18003</v>
      </c>
      <c r="B7188" s="2" t="s">
        <v>18004</v>
      </c>
      <c r="C7188" s="2" t="s">
        <v>26</v>
      </c>
      <c r="D7188" s="2" t="s">
        <v>27</v>
      </c>
      <c r="E7188" s="4">
        <v>-32034</v>
      </c>
      <c r="F7188" s="3" t="s">
        <v>28</v>
      </c>
      <c r="G7188" s="3" t="s">
        <v>130</v>
      </c>
      <c r="H7188" s="2" t="s">
        <v>21</v>
      </c>
      <c r="I7188" s="2" t="s">
        <v>18005</v>
      </c>
      <c r="J7188" s="3" t="str">
        <f>HYPERLINK("https://www.boe.es/gazeta/dias/1812/04/16/pdfs/GMD-1812-107.pdf#page=4","Abrir facsímil")</f>
        <v>Abrir facsímil</v>
      </c>
      <c r="K7188" s="3" t="s">
        <v>23</v>
      </c>
    </row>
    <row r="7189" spans="1:11" ht="42" customHeight="1">
      <c r="A7189" s="2" t="s">
        <v>18006</v>
      </c>
      <c r="B7189" s="2" t="s">
        <v>18007</v>
      </c>
      <c r="C7189" s="2" t="s">
        <v>26</v>
      </c>
      <c r="D7189" s="2" t="s">
        <v>27</v>
      </c>
      <c r="E7189" s="4">
        <v>-31938</v>
      </c>
      <c r="F7189" s="3" t="s">
        <v>324</v>
      </c>
      <c r="G7189" s="3" t="s">
        <v>237</v>
      </c>
      <c r="H7189" s="2" t="s">
        <v>21</v>
      </c>
      <c r="I7189" s="2" t="s">
        <v>18008</v>
      </c>
      <c r="J7189" s="3" t="str">
        <f>HYPERLINK("https://www.boe.es/gazeta/dias/1812/07/21/pdfs/GMD-1812-203.pdf#page=2","Abrir facsímil")</f>
        <v>Abrir facsímil</v>
      </c>
      <c r="K7189" s="3" t="s">
        <v>23</v>
      </c>
    </row>
    <row r="7190" spans="1:11" ht="42" customHeight="1">
      <c r="A7190" s="2" t="s">
        <v>18009</v>
      </c>
      <c r="B7190" s="2" t="s">
        <v>18010</v>
      </c>
      <c r="C7190" s="2" t="s">
        <v>26</v>
      </c>
      <c r="D7190" s="2" t="s">
        <v>27</v>
      </c>
      <c r="E7190" s="4">
        <v>-31938</v>
      </c>
      <c r="F7190" s="3" t="s">
        <v>324</v>
      </c>
      <c r="G7190" s="3" t="s">
        <v>497</v>
      </c>
      <c r="H7190" s="2" t="s">
        <v>21</v>
      </c>
      <c r="I7190" s="2" t="s">
        <v>18011</v>
      </c>
      <c r="J7190" s="3" t="str">
        <f>HYPERLINK("https://www.boe.es/gazeta/dias/1812/07/21/pdfs/GMD-1812-203.pdf#page=3","Abrir facsímil")</f>
        <v>Abrir facsímil</v>
      </c>
      <c r="K7190" s="3" t="s">
        <v>23</v>
      </c>
    </row>
    <row r="7191" spans="1:11" ht="42" customHeight="1">
      <c r="A7191" s="2" t="s">
        <v>18012</v>
      </c>
      <c r="B7191" s="2" t="s">
        <v>18013</v>
      </c>
      <c r="C7191" s="2" t="s">
        <v>26</v>
      </c>
      <c r="D7191" s="2" t="s">
        <v>27</v>
      </c>
      <c r="E7191" s="4">
        <v>-31938</v>
      </c>
      <c r="F7191" s="3" t="s">
        <v>324</v>
      </c>
      <c r="G7191" s="3" t="s">
        <v>497</v>
      </c>
      <c r="H7191" s="2" t="s">
        <v>21</v>
      </c>
      <c r="I7191" s="2" t="s">
        <v>18014</v>
      </c>
      <c r="J7191" s="3" t="str">
        <f>HYPERLINK("https://www.boe.es/gazeta/dias/1812/07/21/pdfs/GMD-1812-203.pdf#page=3","Abrir facsímil")</f>
        <v>Abrir facsímil</v>
      </c>
      <c r="K7191" s="3" t="s">
        <v>23</v>
      </c>
    </row>
    <row r="7192" spans="1:11" ht="42" customHeight="1">
      <c r="A7192" s="2" t="s">
        <v>18015</v>
      </c>
      <c r="B7192" s="2" t="s">
        <v>18016</v>
      </c>
      <c r="C7192" s="2" t="s">
        <v>17</v>
      </c>
      <c r="D7192" s="2" t="s">
        <v>27</v>
      </c>
      <c r="E7192" s="4">
        <v>-32075</v>
      </c>
      <c r="F7192" s="3" t="s">
        <v>301</v>
      </c>
      <c r="G7192" s="3" t="s">
        <v>20</v>
      </c>
      <c r="H7192" s="2" t="s">
        <v>21</v>
      </c>
      <c r="I7192" s="2" t="s">
        <v>18017</v>
      </c>
      <c r="J7192" s="3" t="str">
        <f>HYPERLINK("https://www.boe.es/gazeta/dias/1812/03/06/pdfs/GMD-1812-66.pdf#page=4","Abrir facsímil")</f>
        <v>Abrir facsímil</v>
      </c>
      <c r="K7192" s="3" t="s">
        <v>23</v>
      </c>
    </row>
    <row r="7193" spans="1:11" ht="42" customHeight="1">
      <c r="A7193" s="2" t="s">
        <v>18018</v>
      </c>
      <c r="B7193" s="2" t="s">
        <v>18019</v>
      </c>
      <c r="C7193" s="2" t="s">
        <v>26</v>
      </c>
      <c r="D7193" s="2" t="s">
        <v>27</v>
      </c>
      <c r="E7193" s="4">
        <v>-32081</v>
      </c>
      <c r="F7193" s="3" t="s">
        <v>232</v>
      </c>
      <c r="G7193" s="3" t="s">
        <v>233</v>
      </c>
      <c r="H7193" s="2" t="s">
        <v>21</v>
      </c>
      <c r="I7193" s="2" t="s">
        <v>18020</v>
      </c>
      <c r="J7193" s="3" t="str">
        <f>HYPERLINK("https://www.boe.es/gazeta/dias/1812/02/29/pdfs/GRE-1812-27.pdf#page=8","Abrir facsímil")</f>
        <v>Abrir facsímil</v>
      </c>
      <c r="K7193" s="3" t="s">
        <v>23</v>
      </c>
    </row>
    <row r="7194" spans="1:11" ht="42" customHeight="1">
      <c r="A7194" s="2" t="s">
        <v>18021</v>
      </c>
      <c r="B7194" s="2" t="s">
        <v>18022</v>
      </c>
      <c r="C7194" s="2" t="s">
        <v>105</v>
      </c>
      <c r="D7194" s="2" t="s">
        <v>27</v>
      </c>
      <c r="E7194" s="4">
        <v>-32055</v>
      </c>
      <c r="F7194" s="3" t="s">
        <v>459</v>
      </c>
      <c r="G7194" s="3" t="s">
        <v>20</v>
      </c>
      <c r="H7194" s="2" t="s">
        <v>21</v>
      </c>
      <c r="I7194" s="2" t="s">
        <v>18023</v>
      </c>
      <c r="J7194" s="3" t="str">
        <f>HYPERLINK("https://www.boe.es/gazeta/dias/1812/03/26/pdfs/GRE-1812-38.pdf#page=8","Abrir facsímil")</f>
        <v>Abrir facsímil</v>
      </c>
      <c r="K7194" s="3" t="s">
        <v>23</v>
      </c>
    </row>
    <row r="7195" spans="1:11" ht="42" customHeight="1">
      <c r="A7195" s="2" t="s">
        <v>18024</v>
      </c>
      <c r="B7195" s="2" t="s">
        <v>18025</v>
      </c>
      <c r="C7195" s="2" t="s">
        <v>105</v>
      </c>
      <c r="D7195" s="2" t="s">
        <v>27</v>
      </c>
      <c r="E7195" s="4">
        <v>-32055</v>
      </c>
      <c r="F7195" s="3" t="s">
        <v>459</v>
      </c>
      <c r="G7195" s="3" t="s">
        <v>20</v>
      </c>
      <c r="H7195" s="2" t="s">
        <v>21</v>
      </c>
      <c r="I7195" s="2" t="s">
        <v>18026</v>
      </c>
      <c r="J7195" s="3" t="str">
        <f>HYPERLINK("https://www.boe.es/gazeta/dias/1812/03/26/pdfs/GRE-1812-38.pdf#page=8","Abrir facsímil")</f>
        <v>Abrir facsímil</v>
      </c>
      <c r="K7195" s="3" t="s">
        <v>23</v>
      </c>
    </row>
    <row r="7196" spans="1:11" ht="42" customHeight="1">
      <c r="A7196" s="2" t="s">
        <v>18027</v>
      </c>
      <c r="B7196" s="2" t="s">
        <v>18028</v>
      </c>
      <c r="C7196" s="2" t="s">
        <v>17</v>
      </c>
      <c r="D7196" s="2" t="s">
        <v>27</v>
      </c>
      <c r="E7196" s="4">
        <v>-32114</v>
      </c>
      <c r="F7196" s="3" t="s">
        <v>480</v>
      </c>
      <c r="G7196" s="3" t="s">
        <v>481</v>
      </c>
      <c r="H7196" s="2" t="s">
        <v>21</v>
      </c>
      <c r="I7196" s="2" t="s">
        <v>18029</v>
      </c>
      <c r="J7196" s="3" t="str">
        <f>HYPERLINK("https://www.boe.es/gazeta/dias/1812/01/27/pdfs/GMD-1812-27.pdf#page=4","Abrir facsímil")</f>
        <v>Abrir facsímil</v>
      </c>
      <c r="K7196" s="3" t="s">
        <v>23</v>
      </c>
    </row>
    <row r="7197" spans="1:11" ht="42" customHeight="1">
      <c r="A7197" s="2" t="s">
        <v>18030</v>
      </c>
      <c r="B7197" s="2" t="s">
        <v>18031</v>
      </c>
      <c r="C7197" s="2" t="s">
        <v>26</v>
      </c>
      <c r="D7197" s="2" t="s">
        <v>27</v>
      </c>
      <c r="E7197" s="4">
        <v>-32000</v>
      </c>
      <c r="F7197" s="3" t="s">
        <v>878</v>
      </c>
      <c r="G7197" s="3" t="s">
        <v>214</v>
      </c>
      <c r="H7197" s="2" t="s">
        <v>21</v>
      </c>
      <c r="I7197" s="2" t="s">
        <v>18032</v>
      </c>
      <c r="J7197" s="3" t="str">
        <f>HYPERLINK("https://www.boe.es/gazeta/dias/1812/05/20/pdfs/GMD-1812-141.pdf#page=2","Abrir facsímil")</f>
        <v>Abrir facsímil</v>
      </c>
      <c r="K7197" s="3" t="s">
        <v>23</v>
      </c>
    </row>
    <row r="7198" spans="1:11" ht="42" customHeight="1">
      <c r="A7198" s="2" t="s">
        <v>18033</v>
      </c>
      <c r="B7198" s="2" t="s">
        <v>18033</v>
      </c>
      <c r="C7198" s="2" t="s">
        <v>67</v>
      </c>
      <c r="D7198" s="2" t="s">
        <v>27</v>
      </c>
      <c r="E7198" s="4">
        <v>-32063</v>
      </c>
      <c r="F7198" s="3" t="s">
        <v>384</v>
      </c>
      <c r="G7198" s="3" t="s">
        <v>20</v>
      </c>
      <c r="H7198" s="2" t="s">
        <v>21</v>
      </c>
      <c r="I7198" s="2" t="s">
        <v>18034</v>
      </c>
      <c r="J7198" s="3" t="str">
        <f>HYPERLINK("https://www.boe.es/gazeta/dias/1812/03/18/pdfs/GMD-1812-78.pdf#page=4","Abrir facsímil")</f>
        <v>Abrir facsímil</v>
      </c>
      <c r="K7198" s="3" t="s">
        <v>23</v>
      </c>
    </row>
    <row r="7199" spans="1:11" ht="42" customHeight="1">
      <c r="A7199" s="2" t="s">
        <v>18035</v>
      </c>
      <c r="B7199" s="2" t="s">
        <v>18036</v>
      </c>
      <c r="C7199" s="2" t="s">
        <v>17</v>
      </c>
      <c r="D7199" s="2" t="s">
        <v>27</v>
      </c>
      <c r="E7199" s="4">
        <v>-32080</v>
      </c>
      <c r="F7199" s="3" t="s">
        <v>4604</v>
      </c>
      <c r="G7199" s="3" t="s">
        <v>965</v>
      </c>
      <c r="H7199" s="2" t="s">
        <v>21</v>
      </c>
      <c r="I7199" s="2" t="s">
        <v>18037</v>
      </c>
      <c r="J7199" s="3" t="str">
        <f>HYPERLINK("https://www.boe.es/gazeta/dias/1812/03/01/pdfs/GMD-1812-61.pdf#page=4","Abrir facsímil")</f>
        <v>Abrir facsímil</v>
      </c>
      <c r="K7199" s="3" t="s">
        <v>23</v>
      </c>
    </row>
    <row r="7200" spans="1:11" ht="42" customHeight="1">
      <c r="A7200" s="2" t="s">
        <v>18038</v>
      </c>
      <c r="B7200" s="2" t="s">
        <v>18039</v>
      </c>
      <c r="C7200" s="2" t="s">
        <v>26</v>
      </c>
      <c r="D7200" s="2" t="s">
        <v>27</v>
      </c>
      <c r="E7200" s="4">
        <v>-32083</v>
      </c>
      <c r="F7200" s="3" t="s">
        <v>1496</v>
      </c>
      <c r="G7200" s="3" t="s">
        <v>2658</v>
      </c>
      <c r="H7200" s="2" t="s">
        <v>21</v>
      </c>
      <c r="I7200" s="2" t="s">
        <v>18040</v>
      </c>
      <c r="J7200" s="3" t="str">
        <f>HYPERLINK("https://www.boe.es/gazeta/dias/1812/02/27/pdfs/GRE-1812-26.pdf#page=7","Abrir facsímil")</f>
        <v>Abrir facsímil</v>
      </c>
      <c r="K7200" s="3" t="s">
        <v>23</v>
      </c>
    </row>
    <row r="7201" spans="1:11" ht="42" customHeight="1">
      <c r="A7201" s="2" t="s">
        <v>18041</v>
      </c>
      <c r="B7201" s="2" t="s">
        <v>18042</v>
      </c>
      <c r="C7201" s="2" t="s">
        <v>115</v>
      </c>
      <c r="D7201" s="2" t="s">
        <v>27</v>
      </c>
      <c r="E7201" s="4">
        <v>-31913</v>
      </c>
      <c r="F7201" s="3" t="s">
        <v>450</v>
      </c>
      <c r="G7201" s="3" t="s">
        <v>1489</v>
      </c>
      <c r="H7201" s="2" t="s">
        <v>21</v>
      </c>
      <c r="I7201" s="2" t="s">
        <v>18043</v>
      </c>
      <c r="J7201" s="3" t="str">
        <f>HYPERLINK("https://www.boe.es/gazeta/dias/1812/08/15/pdfs/GRE-1812-105.pdf#page=3","Abrir facsímil")</f>
        <v>Abrir facsímil</v>
      </c>
      <c r="K7201" s="3" t="s">
        <v>23</v>
      </c>
    </row>
    <row r="7202" spans="1:11" ht="42" customHeight="1">
      <c r="A7202" s="2" t="s">
        <v>18044</v>
      </c>
      <c r="B7202" s="2" t="s">
        <v>18045</v>
      </c>
      <c r="C7202" s="2" t="s">
        <v>17</v>
      </c>
      <c r="D7202" s="2" t="s">
        <v>27</v>
      </c>
      <c r="E7202" s="4">
        <v>-31805</v>
      </c>
      <c r="F7202" s="3" t="s">
        <v>895</v>
      </c>
      <c r="G7202" s="3" t="s">
        <v>1845</v>
      </c>
      <c r="H7202" s="2" t="s">
        <v>21</v>
      </c>
      <c r="I7202" s="2" t="s">
        <v>18046</v>
      </c>
      <c r="J7202" s="3" t="str">
        <f>HYPERLINK("https://www.boe.es/gazeta/dias/1812/12/01/pdfs/GMR-1812-39.pdf#page=3","Abrir facsímil")</f>
        <v>Abrir facsímil</v>
      </c>
      <c r="K7202" s="3" t="s">
        <v>23</v>
      </c>
    </row>
    <row r="7203" spans="1:11" ht="42" customHeight="1">
      <c r="A7203" s="2" t="s">
        <v>18044</v>
      </c>
      <c r="B7203" s="2" t="s">
        <v>18045</v>
      </c>
      <c r="C7203" s="2" t="s">
        <v>17</v>
      </c>
      <c r="D7203" s="2" t="s">
        <v>27</v>
      </c>
      <c r="E7203" s="4">
        <v>-31789</v>
      </c>
      <c r="F7203" s="3" t="s">
        <v>873</v>
      </c>
      <c r="G7203" s="3" t="s">
        <v>874</v>
      </c>
      <c r="H7203" s="2" t="s">
        <v>21</v>
      </c>
      <c r="I7203" s="2" t="s">
        <v>18047</v>
      </c>
      <c r="J7203" s="3" t="str">
        <f>HYPERLINK("https://www.boe.es/gazeta/dias/1812/12/17/pdfs/GMD-1812-240.pdf#page=4","Abrir facsímil")</f>
        <v>Abrir facsímil</v>
      </c>
      <c r="K7203" s="3" t="s">
        <v>23</v>
      </c>
    </row>
    <row r="7204" spans="1:11" ht="42" customHeight="1">
      <c r="A7204" s="2" t="s">
        <v>18048</v>
      </c>
      <c r="B7204" s="2" t="s">
        <v>18049</v>
      </c>
      <c r="C7204" s="2" t="s">
        <v>26</v>
      </c>
      <c r="D7204" s="2" t="s">
        <v>27</v>
      </c>
      <c r="E7204" s="4">
        <v>-32000</v>
      </c>
      <c r="F7204" s="3" t="s">
        <v>878</v>
      </c>
      <c r="G7204" s="3" t="s">
        <v>214</v>
      </c>
      <c r="H7204" s="2" t="s">
        <v>21</v>
      </c>
      <c r="I7204" s="2" t="s">
        <v>18050</v>
      </c>
      <c r="J7204" s="3" t="str">
        <f>HYPERLINK("https://www.boe.es/gazeta/dias/1812/05/20/pdfs/GMD-1812-141.pdf#page=2","Abrir facsímil")</f>
        <v>Abrir facsímil</v>
      </c>
      <c r="K7204" s="3" t="s">
        <v>23</v>
      </c>
    </row>
    <row r="7205" spans="1:11" ht="42" customHeight="1">
      <c r="A7205" s="2" t="s">
        <v>18051</v>
      </c>
      <c r="B7205" s="2" t="s">
        <v>18052</v>
      </c>
      <c r="C7205" s="2" t="s">
        <v>26</v>
      </c>
      <c r="D7205" s="2" t="s">
        <v>27</v>
      </c>
      <c r="E7205" s="4">
        <v>-32109</v>
      </c>
      <c r="F7205" s="3" t="s">
        <v>62</v>
      </c>
      <c r="G7205" s="3" t="s">
        <v>63</v>
      </c>
      <c r="H7205" s="2" t="s">
        <v>21</v>
      </c>
      <c r="I7205" s="2" t="s">
        <v>18053</v>
      </c>
      <c r="J7205" s="3" t="str">
        <f>HYPERLINK("https://www.boe.es/gazeta/dias/1812/02/01/pdfs/GRE-1812-14.pdf#page=10","Abrir facsímil")</f>
        <v>Abrir facsímil</v>
      </c>
      <c r="K7205" s="3" t="s">
        <v>23</v>
      </c>
    </row>
    <row r="7206" spans="1:11" ht="42" customHeight="1">
      <c r="A7206" s="2" t="s">
        <v>18054</v>
      </c>
      <c r="B7206" s="2" t="s">
        <v>18055</v>
      </c>
      <c r="C7206" s="2" t="s">
        <v>186</v>
      </c>
      <c r="D7206" s="2" t="s">
        <v>27</v>
      </c>
      <c r="E7206" s="4">
        <v>-32078</v>
      </c>
      <c r="F7206" s="3" t="s">
        <v>145</v>
      </c>
      <c r="G7206" s="3" t="s">
        <v>237</v>
      </c>
      <c r="H7206" s="2" t="s">
        <v>21</v>
      </c>
      <c r="I7206" s="2" t="s">
        <v>18056</v>
      </c>
      <c r="J7206" s="3" t="str">
        <f>HYPERLINK("https://www.boe.es/gazeta/dias/1812/03/03/pdfs/GRE-1812-28.pdf#page=2","Abrir facsímil")</f>
        <v>Abrir facsímil</v>
      </c>
      <c r="K7206" s="3" t="s">
        <v>23</v>
      </c>
    </row>
    <row r="7207" spans="1:11" ht="42" customHeight="1">
      <c r="A7207" s="2" t="s">
        <v>18057</v>
      </c>
      <c r="B7207" s="2" t="s">
        <v>18057</v>
      </c>
      <c r="C7207" s="2" t="s">
        <v>17</v>
      </c>
      <c r="D7207" s="2" t="s">
        <v>27</v>
      </c>
      <c r="E7207" s="4">
        <v>-31787</v>
      </c>
      <c r="F7207" s="3" t="s">
        <v>1560</v>
      </c>
      <c r="G7207" s="3" t="s">
        <v>6533</v>
      </c>
      <c r="H7207" s="2" t="s">
        <v>21</v>
      </c>
      <c r="I7207" s="2" t="s">
        <v>18058</v>
      </c>
      <c r="J7207" s="3" t="str">
        <f>HYPERLINK("https://www.boe.es/gazeta/dias/1812/12/19/pdfs/GRE-1812-167.pdf#page=4","Abrir facsímil")</f>
        <v>Abrir facsímil</v>
      </c>
      <c r="K7207" s="3" t="s">
        <v>23</v>
      </c>
    </row>
    <row r="7208" spans="1:11" ht="42" customHeight="1">
      <c r="A7208" s="2" t="s">
        <v>18059</v>
      </c>
      <c r="B7208" s="2" t="s">
        <v>18060</v>
      </c>
      <c r="C7208" s="2" t="s">
        <v>26</v>
      </c>
      <c r="D7208" s="2" t="s">
        <v>27</v>
      </c>
      <c r="E7208" s="4">
        <v>-32088</v>
      </c>
      <c r="F7208" s="3" t="s">
        <v>1217</v>
      </c>
      <c r="G7208" s="3" t="s">
        <v>1218</v>
      </c>
      <c r="H7208" s="2" t="s">
        <v>21</v>
      </c>
      <c r="I7208" s="2" t="s">
        <v>18061</v>
      </c>
      <c r="J7208" s="3" t="str">
        <f>HYPERLINK("https://www.boe.es/gazeta/dias/1812/02/22/pdfs/GMD-1812-53.pdf#page=4","Abrir facsímil")</f>
        <v>Abrir facsímil</v>
      </c>
      <c r="K7208" s="3" t="s">
        <v>23</v>
      </c>
    </row>
    <row r="7209" spans="1:11" ht="42" customHeight="1">
      <c r="A7209" s="2" t="s">
        <v>18062</v>
      </c>
      <c r="B7209" s="2" t="s">
        <v>18062</v>
      </c>
      <c r="C7209" s="2" t="s">
        <v>17</v>
      </c>
      <c r="D7209" s="2" t="s">
        <v>18</v>
      </c>
      <c r="E7209" s="4">
        <v>-31840</v>
      </c>
      <c r="F7209" s="3" t="s">
        <v>7112</v>
      </c>
      <c r="G7209" s="3" t="s">
        <v>18063</v>
      </c>
      <c r="H7209" s="2" t="s">
        <v>21</v>
      </c>
      <c r="I7209" s="2" t="s">
        <v>18064</v>
      </c>
      <c r="J7209" s="3" t="str">
        <f>HYPERLINK("https://www.boe.es/gazeta/dias/1812/10/27/pdfs/GRE-1812-144.pdf#page=1","Abrir facsímil")</f>
        <v>Abrir facsímil</v>
      </c>
      <c r="K7209" s="3" t="s">
        <v>23</v>
      </c>
    </row>
    <row r="7210" spans="1:11" ht="42" customHeight="1">
      <c r="A7210" s="2" t="s">
        <v>18065</v>
      </c>
      <c r="B7210" s="2" t="s">
        <v>18065</v>
      </c>
      <c r="C7210" s="2" t="s">
        <v>17</v>
      </c>
      <c r="D7210" s="2" t="s">
        <v>27</v>
      </c>
      <c r="E7210" s="4">
        <v>-31889</v>
      </c>
      <c r="F7210" s="3" t="s">
        <v>699</v>
      </c>
      <c r="G7210" s="3" t="s">
        <v>117</v>
      </c>
      <c r="H7210" s="2" t="s">
        <v>21</v>
      </c>
      <c r="I7210" s="2" t="s">
        <v>18066</v>
      </c>
      <c r="J7210" s="3" t="str">
        <f>HYPERLINK("https://www.boe.es/gazeta/dias/1812/09/08/pdfs/GMR-1812-11.pdf#page=6","Abrir facsímil")</f>
        <v>Abrir facsímil</v>
      </c>
      <c r="K7210" s="3" t="s">
        <v>23</v>
      </c>
    </row>
    <row r="7211" spans="1:11" ht="42" customHeight="1">
      <c r="A7211" s="2" t="s">
        <v>18067</v>
      </c>
      <c r="B7211" s="2" t="s">
        <v>18068</v>
      </c>
      <c r="C7211" s="2" t="s">
        <v>26</v>
      </c>
      <c r="D7211" s="2" t="s">
        <v>27</v>
      </c>
      <c r="E7211" s="4">
        <v>-31964</v>
      </c>
      <c r="F7211" s="3" t="s">
        <v>93</v>
      </c>
      <c r="G7211" s="3" t="s">
        <v>94</v>
      </c>
      <c r="H7211" s="2" t="s">
        <v>21</v>
      </c>
      <c r="I7211" s="2" t="s">
        <v>18069</v>
      </c>
      <c r="J7211" s="3" t="str">
        <f>HYPERLINK("https://www.boe.es/gazeta/dias/1812/06/25/pdfs/GRE-1812-78.pdf#page=4","Abrir facsímil")</f>
        <v>Abrir facsímil</v>
      </c>
      <c r="K7211" s="3" t="s">
        <v>23</v>
      </c>
    </row>
    <row r="7212" spans="1:11" ht="42" customHeight="1">
      <c r="A7212" s="2" t="s">
        <v>18070</v>
      </c>
      <c r="B7212" s="2" t="s">
        <v>18071</v>
      </c>
      <c r="C7212" s="2" t="s">
        <v>17</v>
      </c>
      <c r="D7212" s="2" t="s">
        <v>27</v>
      </c>
      <c r="E7212" s="4">
        <v>-31936</v>
      </c>
      <c r="F7212" s="3" t="s">
        <v>614</v>
      </c>
      <c r="G7212" s="3" t="s">
        <v>615</v>
      </c>
      <c r="H7212" s="2" t="s">
        <v>21</v>
      </c>
      <c r="I7212" s="2" t="s">
        <v>18072</v>
      </c>
      <c r="J7212" s="3" t="str">
        <f>HYPERLINK("https://www.boe.es/gazeta/dias/1812/07/23/pdfs/GRE-1812-92.pdf#page=8","Abrir facsímil")</f>
        <v>Abrir facsímil</v>
      </c>
      <c r="K7212" s="3" t="s">
        <v>23</v>
      </c>
    </row>
    <row r="7213" spans="1:11" ht="42" customHeight="1">
      <c r="A7213" s="2" t="s">
        <v>18073</v>
      </c>
      <c r="B7213" s="2" t="s">
        <v>18073</v>
      </c>
      <c r="C7213" s="2" t="s">
        <v>82</v>
      </c>
      <c r="D7213" s="2" t="s">
        <v>27</v>
      </c>
      <c r="E7213" s="4">
        <v>-31819</v>
      </c>
      <c r="F7213" s="3" t="s">
        <v>1856</v>
      </c>
      <c r="G7213" s="3" t="s">
        <v>2329</v>
      </c>
      <c r="H7213" s="2" t="s">
        <v>21</v>
      </c>
      <c r="I7213" s="2" t="s">
        <v>18074</v>
      </c>
      <c r="J7213" s="3" t="str">
        <f>HYPERLINK("https://www.boe.es/gazeta/dias/1812/11/17/pdfs/GMR-1812-35.pdf#page=5","Abrir facsímil")</f>
        <v>Abrir facsímil</v>
      </c>
      <c r="K7213" s="3" t="s">
        <v>23</v>
      </c>
    </row>
    <row r="7214" spans="1:11" ht="42" customHeight="1">
      <c r="A7214" s="2" t="s">
        <v>18075</v>
      </c>
      <c r="B7214" s="2" t="s">
        <v>18075</v>
      </c>
      <c r="C7214" s="2" t="s">
        <v>17</v>
      </c>
      <c r="D7214" s="2" t="s">
        <v>18</v>
      </c>
      <c r="E7214" s="4">
        <v>-31819</v>
      </c>
      <c r="F7214" s="3" t="s">
        <v>1856</v>
      </c>
      <c r="G7214" s="3" t="s">
        <v>2329</v>
      </c>
      <c r="H7214" s="2" t="s">
        <v>21</v>
      </c>
      <c r="I7214" s="2" t="s">
        <v>18076</v>
      </c>
      <c r="J7214" s="3" t="str">
        <f>HYPERLINK("https://www.boe.es/gazeta/dias/1812/11/17/pdfs/GMR-1812-35.pdf#page=5","Abrir facsímil")</f>
        <v>Abrir facsímil</v>
      </c>
      <c r="K7214" s="3" t="s">
        <v>23</v>
      </c>
    </row>
    <row r="7215" spans="1:11" ht="42" customHeight="1">
      <c r="A7215" s="2" t="s">
        <v>18077</v>
      </c>
      <c r="B7215" s="2" t="s">
        <v>18077</v>
      </c>
      <c r="C7215" s="2" t="s">
        <v>26</v>
      </c>
      <c r="D7215" s="2" t="s">
        <v>27</v>
      </c>
      <c r="E7215" s="4">
        <v>-31805</v>
      </c>
      <c r="F7215" s="3" t="s">
        <v>895</v>
      </c>
      <c r="G7215" s="3" t="s">
        <v>125</v>
      </c>
      <c r="H7215" s="2" t="s">
        <v>21</v>
      </c>
      <c r="I7215" s="2" t="s">
        <v>18078</v>
      </c>
      <c r="J7215" s="3" t="str">
        <f>HYPERLINK("https://www.boe.es/gazeta/dias/1812/12/01/pdfs/GMR-1812-39.pdf#page=1","Abrir facsímil")</f>
        <v>Abrir facsímil</v>
      </c>
      <c r="K7215" s="3" t="s">
        <v>23</v>
      </c>
    </row>
    <row r="7216" spans="1:11" ht="42" customHeight="1">
      <c r="A7216" s="2" t="s">
        <v>18077</v>
      </c>
      <c r="B7216" s="2" t="s">
        <v>18077</v>
      </c>
      <c r="C7216" s="2" t="s">
        <v>26</v>
      </c>
      <c r="D7216" s="2" t="s">
        <v>27</v>
      </c>
      <c r="E7216" s="4">
        <v>-31789</v>
      </c>
      <c r="F7216" s="3" t="s">
        <v>873</v>
      </c>
      <c r="G7216" s="3" t="s">
        <v>1883</v>
      </c>
      <c r="H7216" s="2" t="s">
        <v>21</v>
      </c>
      <c r="I7216" s="2" t="s">
        <v>18079</v>
      </c>
      <c r="J7216" s="3" t="str">
        <f>HYPERLINK("https://www.boe.es/gazeta/dias/1812/12/17/pdfs/GMD-1812-240.pdf#page=2","Abrir facsímil")</f>
        <v>Abrir facsímil</v>
      </c>
      <c r="K7216" s="3" t="s">
        <v>23</v>
      </c>
    </row>
    <row r="7217" spans="1:11" ht="42" customHeight="1">
      <c r="A7217" s="2" t="s">
        <v>18077</v>
      </c>
      <c r="B7217" s="2" t="s">
        <v>18077</v>
      </c>
      <c r="C7217" s="2" t="s">
        <v>26</v>
      </c>
      <c r="D7217" s="2" t="s">
        <v>27</v>
      </c>
      <c r="E7217" s="4">
        <v>-31789</v>
      </c>
      <c r="F7217" s="3" t="s">
        <v>873</v>
      </c>
      <c r="G7217" s="3" t="s">
        <v>217</v>
      </c>
      <c r="H7217" s="2" t="s">
        <v>21</v>
      </c>
      <c r="I7217" s="2" t="s">
        <v>18080</v>
      </c>
      <c r="J7217" s="3" t="str">
        <f>HYPERLINK("https://www.boe.es/gazeta/dias/1812/12/17/pdfs/GMD-1812-240.pdf#page=3","Abrir facsímil")</f>
        <v>Abrir facsímil</v>
      </c>
      <c r="K7217" s="3" t="s">
        <v>23</v>
      </c>
    </row>
    <row r="7218" spans="1:11" ht="42" customHeight="1">
      <c r="A7218" s="2" t="s">
        <v>18077</v>
      </c>
      <c r="B7218" s="2" t="s">
        <v>18077</v>
      </c>
      <c r="C7218" s="2" t="s">
        <v>17</v>
      </c>
      <c r="D7218" s="2" t="s">
        <v>18</v>
      </c>
      <c r="E7218" s="4">
        <v>-31784</v>
      </c>
      <c r="F7218" s="3" t="s">
        <v>6524</v>
      </c>
      <c r="G7218" s="3" t="s">
        <v>45</v>
      </c>
      <c r="H7218" s="2" t="s">
        <v>21</v>
      </c>
      <c r="I7218" s="2" t="s">
        <v>18081</v>
      </c>
      <c r="J7218" s="3" t="str">
        <f>HYPERLINK("https://www.boe.es/gazeta/dias/1812/12/22/pdfs/GRE-1812-168.pdf#page=2","Abrir facsímil")</f>
        <v>Abrir facsímil</v>
      </c>
      <c r="K7218" s="3" t="s">
        <v>23</v>
      </c>
    </row>
    <row r="7219" spans="1:11" ht="42" customHeight="1">
      <c r="A7219" s="2" t="s">
        <v>18082</v>
      </c>
      <c r="B7219" s="2" t="s">
        <v>18083</v>
      </c>
      <c r="C7219" s="2" t="s">
        <v>26</v>
      </c>
      <c r="D7219" s="2" t="s">
        <v>27</v>
      </c>
      <c r="E7219" s="4">
        <v>-32132</v>
      </c>
      <c r="F7219" s="3" t="s">
        <v>484</v>
      </c>
      <c r="G7219" s="3" t="s">
        <v>485</v>
      </c>
      <c r="H7219" s="2" t="s">
        <v>21</v>
      </c>
      <c r="I7219" s="2" t="s">
        <v>18084</v>
      </c>
      <c r="J7219" s="3" t="str">
        <f>HYPERLINK("https://www.boe.es/gazeta/dias/1812/01/09/pdfs/GEI-1812-4.pdf#page=8","Abrir facsímil")</f>
        <v>Abrir facsímil</v>
      </c>
      <c r="K7219" s="3" t="s">
        <v>23</v>
      </c>
    </row>
    <row r="7220" spans="1:11" ht="42" customHeight="1">
      <c r="A7220" s="2" t="s">
        <v>18085</v>
      </c>
      <c r="B7220" s="2" t="s">
        <v>18085</v>
      </c>
      <c r="C7220" s="2" t="s">
        <v>17</v>
      </c>
      <c r="D7220" s="2" t="s">
        <v>27</v>
      </c>
      <c r="E7220" s="4">
        <v>-32103</v>
      </c>
      <c r="F7220" s="3" t="s">
        <v>1996</v>
      </c>
      <c r="G7220" s="3" t="s">
        <v>2354</v>
      </c>
      <c r="H7220" s="2" t="s">
        <v>21</v>
      </c>
      <c r="I7220" s="2" t="s">
        <v>18086</v>
      </c>
      <c r="J7220" s="3" t="str">
        <f>HYPERLINK("https://www.boe.es/gazeta/dias/1812/02/07/pdfs/GMD-1812-38.pdf#page=3","Abrir facsímil")</f>
        <v>Abrir facsímil</v>
      </c>
      <c r="K7220" s="3" t="s">
        <v>23</v>
      </c>
    </row>
    <row r="7221" spans="1:11" ht="42" customHeight="1">
      <c r="A7221" s="2" t="s">
        <v>18087</v>
      </c>
      <c r="B7221" s="2" t="s">
        <v>18087</v>
      </c>
      <c r="C7221" s="2" t="s">
        <v>17</v>
      </c>
      <c r="D7221" s="2" t="s">
        <v>27</v>
      </c>
      <c r="E7221" s="4">
        <v>-31789</v>
      </c>
      <c r="F7221" s="3" t="s">
        <v>350</v>
      </c>
      <c r="G7221" s="3" t="s">
        <v>3984</v>
      </c>
      <c r="H7221" s="2" t="s">
        <v>21</v>
      </c>
      <c r="I7221" s="2" t="s">
        <v>18088</v>
      </c>
      <c r="J7221" s="3" t="str">
        <f>HYPERLINK("https://www.boe.es/gazeta/dias/1812/12/17/pdfs/GRE-1812-166.pdf#page=5","Abrir facsímil")</f>
        <v>Abrir facsímil</v>
      </c>
      <c r="K7221" s="3" t="s">
        <v>23</v>
      </c>
    </row>
    <row r="7222" spans="1:11" ht="42" customHeight="1">
      <c r="A7222" s="2" t="s">
        <v>18089</v>
      </c>
      <c r="B7222" s="2" t="s">
        <v>18090</v>
      </c>
      <c r="C7222" s="2" t="s">
        <v>17</v>
      </c>
      <c r="D7222" s="2" t="s">
        <v>275</v>
      </c>
      <c r="E7222" s="4">
        <v>-32125</v>
      </c>
      <c r="F7222" s="3" t="s">
        <v>964</v>
      </c>
      <c r="G7222" s="3" t="s">
        <v>1842</v>
      </c>
      <c r="H7222" s="2" t="s">
        <v>21</v>
      </c>
      <c r="I7222" s="2" t="s">
        <v>18091</v>
      </c>
      <c r="J7222" s="3" t="str">
        <f>HYPERLINK("https://www.boe.es/gazeta/dias/1812/01/16/pdfs/GEI-H-1812-7.pdf#page=4","Abrir facsímil")</f>
        <v>Abrir facsímil</v>
      </c>
      <c r="K7222" s="3" t="s">
        <v>23</v>
      </c>
    </row>
    <row r="7223" spans="1:11" ht="42" customHeight="1">
      <c r="A7223" s="2" t="s">
        <v>18092</v>
      </c>
      <c r="B7223" s="2" t="s">
        <v>18092</v>
      </c>
      <c r="C7223" s="2" t="s">
        <v>17</v>
      </c>
      <c r="D7223" s="2" t="s">
        <v>27</v>
      </c>
      <c r="E7223" s="4">
        <v>-31799</v>
      </c>
      <c r="F7223" s="3" t="s">
        <v>736</v>
      </c>
      <c r="G7223" s="3" t="s">
        <v>404</v>
      </c>
      <c r="H7223" s="2" t="s">
        <v>21</v>
      </c>
      <c r="I7223" s="2" t="s">
        <v>18093</v>
      </c>
      <c r="J7223" s="3" t="str">
        <f>HYPERLINK("https://www.boe.es/gazeta/dias/1812/12/07/pdfs/GMD-1812-230.pdf#page=3","Abrir facsímil")</f>
        <v>Abrir facsímil</v>
      </c>
      <c r="K7223" s="3" t="s">
        <v>23</v>
      </c>
    </row>
    <row r="7224" spans="1:11" ht="42" customHeight="1">
      <c r="A7224" s="2" t="s">
        <v>18094</v>
      </c>
      <c r="B7224" s="2" t="s">
        <v>18094</v>
      </c>
      <c r="C7224" s="2" t="s">
        <v>26</v>
      </c>
      <c r="D7224" s="2" t="s">
        <v>27</v>
      </c>
      <c r="E7224" s="4">
        <v>-31959</v>
      </c>
      <c r="F7224" s="3" t="s">
        <v>1035</v>
      </c>
      <c r="G7224" s="3" t="s">
        <v>4321</v>
      </c>
      <c r="H7224" s="2" t="s">
        <v>21</v>
      </c>
      <c r="I7224" s="2" t="s">
        <v>18095</v>
      </c>
      <c r="J7224" s="3" t="str">
        <f>HYPERLINK("https://www.boe.es/gazeta/dias/1812/06/30/pdfs/GRE-1812-80.pdf#page=5","Abrir facsímil")</f>
        <v>Abrir facsímil</v>
      </c>
      <c r="K7224" s="3" t="s">
        <v>23</v>
      </c>
    </row>
    <row r="7225" spans="1:11" ht="42" customHeight="1">
      <c r="A7225" s="2" t="s">
        <v>18094</v>
      </c>
      <c r="B7225" s="2" t="s">
        <v>18094</v>
      </c>
      <c r="C7225" s="2" t="s">
        <v>17</v>
      </c>
      <c r="D7225" s="2" t="s">
        <v>18</v>
      </c>
      <c r="E7225" s="4">
        <v>-31957</v>
      </c>
      <c r="F7225" s="3" t="s">
        <v>2173</v>
      </c>
      <c r="G7225" s="3" t="s">
        <v>1820</v>
      </c>
      <c r="H7225" s="2" t="s">
        <v>21</v>
      </c>
      <c r="I7225" s="2" t="s">
        <v>18096</v>
      </c>
      <c r="J7225" s="3" t="str">
        <f>HYPERLINK("https://www.boe.es/gazeta/dias/1812/07/02/pdfs/GRE-1812-81.pdf#page=4","Abrir facsímil")</f>
        <v>Abrir facsímil</v>
      </c>
      <c r="K7225" s="3" t="s">
        <v>23</v>
      </c>
    </row>
    <row r="7226" spans="1:11" ht="42" customHeight="1">
      <c r="A7226" s="2" t="s">
        <v>18097</v>
      </c>
      <c r="B7226" s="2" t="s">
        <v>18098</v>
      </c>
      <c r="C7226" s="2" t="s">
        <v>17</v>
      </c>
      <c r="D7226" s="2" t="s">
        <v>27</v>
      </c>
      <c r="E7226" s="4">
        <v>-32095</v>
      </c>
      <c r="F7226" s="3" t="s">
        <v>181</v>
      </c>
      <c r="G7226" s="3" t="s">
        <v>777</v>
      </c>
      <c r="H7226" s="2" t="s">
        <v>21</v>
      </c>
      <c r="I7226" s="2" t="s">
        <v>18099</v>
      </c>
      <c r="J7226" s="3" t="str">
        <f>HYPERLINK("https://www.boe.es/gazeta/dias/1812/02/15/pdfs/GMD-1812-47.pdf#page=3","Abrir facsímil")</f>
        <v>Abrir facsímil</v>
      </c>
      <c r="K7226" s="3" t="s">
        <v>23</v>
      </c>
    </row>
    <row r="7227" spans="1:11" ht="42" customHeight="1">
      <c r="A7227" s="2" t="s">
        <v>18097</v>
      </c>
      <c r="B7227" s="2" t="s">
        <v>18098</v>
      </c>
      <c r="C7227" s="2" t="s">
        <v>17</v>
      </c>
      <c r="D7227" s="2" t="s">
        <v>27</v>
      </c>
      <c r="E7227" s="4">
        <v>-32094</v>
      </c>
      <c r="F7227" s="3" t="s">
        <v>181</v>
      </c>
      <c r="G7227" s="3" t="s">
        <v>777</v>
      </c>
      <c r="H7227" s="2" t="s">
        <v>21</v>
      </c>
      <c r="I7227" s="2" t="s">
        <v>18099</v>
      </c>
      <c r="J7227" s="3" t="str">
        <f>HYPERLINK("https://www.boe.es/gazeta/dias/1812/02/16/pdfs/GMD-1812-47.pdf#page=3","Abrir facsímil")</f>
        <v>Abrir facsímil</v>
      </c>
      <c r="K7227" s="3" t="s">
        <v>23</v>
      </c>
    </row>
    <row r="7228" spans="1:11" ht="42" customHeight="1">
      <c r="A7228" s="2" t="s">
        <v>18100</v>
      </c>
      <c r="B7228" s="2" t="s">
        <v>18101</v>
      </c>
      <c r="C7228" s="2" t="s">
        <v>17</v>
      </c>
      <c r="D7228" s="2" t="s">
        <v>18</v>
      </c>
      <c r="E7228" s="4">
        <v>-31838</v>
      </c>
      <c r="F7228" s="3" t="s">
        <v>1960</v>
      </c>
      <c r="G7228" s="3" t="s">
        <v>196</v>
      </c>
      <c r="H7228" s="2" t="s">
        <v>21</v>
      </c>
      <c r="I7228" s="2" t="s">
        <v>18102</v>
      </c>
      <c r="J7228" s="3" t="str">
        <f>HYPERLINK("https://www.boe.es/gazeta/dias/1812/10/29/pdfs/GRE-1812-145.pdf#page=8","Abrir facsímil")</f>
        <v>Abrir facsímil</v>
      </c>
      <c r="K7228" s="3" t="s">
        <v>23</v>
      </c>
    </row>
    <row r="7229" spans="1:11" ht="42" customHeight="1">
      <c r="A7229" s="2" t="s">
        <v>18103</v>
      </c>
      <c r="B7229" s="2" t="s">
        <v>18103</v>
      </c>
      <c r="C7229" s="2" t="s">
        <v>17</v>
      </c>
      <c r="D7229" s="2" t="s">
        <v>194</v>
      </c>
      <c r="E7229" s="4">
        <v>-31801</v>
      </c>
      <c r="F7229" s="3" t="s">
        <v>632</v>
      </c>
      <c r="G7229" s="3" t="s">
        <v>237</v>
      </c>
      <c r="H7229" s="2" t="s">
        <v>21</v>
      </c>
      <c r="I7229" s="2" t="s">
        <v>18104</v>
      </c>
      <c r="J7229" s="3" t="str">
        <f>HYPERLINK("https://www.boe.es/gazeta/dias/1812/12/05/pdfs/GMD-1812-228.pdf#page=2","Abrir facsímil")</f>
        <v>Abrir facsímil</v>
      </c>
      <c r="K7229" s="3" t="s">
        <v>23</v>
      </c>
    </row>
    <row r="7230" spans="1:11" ht="42" customHeight="1">
      <c r="A7230" s="2" t="s">
        <v>18105</v>
      </c>
      <c r="B7230" s="2" t="s">
        <v>18105</v>
      </c>
      <c r="C7230" s="2" t="s">
        <v>26</v>
      </c>
      <c r="D7230" s="2" t="s">
        <v>27</v>
      </c>
      <c r="E7230" s="4">
        <v>-31959</v>
      </c>
      <c r="F7230" s="3" t="s">
        <v>1035</v>
      </c>
      <c r="G7230" s="3" t="s">
        <v>130</v>
      </c>
      <c r="H7230" s="2" t="s">
        <v>21</v>
      </c>
      <c r="I7230" s="2" t="s">
        <v>18106</v>
      </c>
      <c r="J7230" s="3" t="str">
        <f>HYPERLINK("https://www.boe.es/gazeta/dias/1812/06/30/pdfs/GRE-1812-80.pdf#page=4","Abrir facsímil")</f>
        <v>Abrir facsímil</v>
      </c>
      <c r="K7230" s="3" t="s">
        <v>23</v>
      </c>
    </row>
    <row r="7231" spans="1:11" ht="42" customHeight="1">
      <c r="A7231" s="2" t="s">
        <v>18107</v>
      </c>
      <c r="B7231" s="2" t="s">
        <v>18107</v>
      </c>
      <c r="C7231" s="2" t="s">
        <v>17</v>
      </c>
      <c r="D7231" s="2" t="s">
        <v>27</v>
      </c>
      <c r="E7231" s="4">
        <v>-32074</v>
      </c>
      <c r="F7231" s="3" t="s">
        <v>816</v>
      </c>
      <c r="G7231" s="3" t="s">
        <v>196</v>
      </c>
      <c r="H7231" s="2" t="s">
        <v>21</v>
      </c>
      <c r="I7231" s="2" t="s">
        <v>18108</v>
      </c>
      <c r="J7231" s="3" t="str">
        <f>HYPERLINK("https://www.boe.es/gazeta/dias/1812/03/07/pdfs/GRE-1812-30.pdf#page=1","Abrir facsímil")</f>
        <v>Abrir facsímil</v>
      </c>
      <c r="K7231" s="3" t="s">
        <v>23</v>
      </c>
    </row>
    <row r="7232" spans="1:11" ht="42" customHeight="1">
      <c r="A7232" s="2" t="s">
        <v>18109</v>
      </c>
      <c r="B7232" s="2" t="s">
        <v>18110</v>
      </c>
      <c r="C7232" s="2" t="s">
        <v>67</v>
      </c>
      <c r="D7232" s="2" t="s">
        <v>27</v>
      </c>
      <c r="E7232" s="4">
        <v>-31922</v>
      </c>
      <c r="F7232" s="3" t="s">
        <v>375</v>
      </c>
      <c r="G7232" s="3" t="s">
        <v>986</v>
      </c>
      <c r="H7232" s="2" t="s">
        <v>21</v>
      </c>
      <c r="I7232" s="2" t="s">
        <v>18111</v>
      </c>
      <c r="J7232" s="3" t="str">
        <f>HYPERLINK("https://www.boe.es/gazeta/dias/1812/08/06/pdfs/GRE-1812-100.pdf#page=8","Abrir facsímil")</f>
        <v>Abrir facsímil</v>
      </c>
      <c r="K7232" s="3" t="s">
        <v>23</v>
      </c>
    </row>
    <row r="7233" spans="1:11" ht="42" customHeight="1">
      <c r="A7233" s="2" t="s">
        <v>18112</v>
      </c>
      <c r="B7233" s="2" t="s">
        <v>18113</v>
      </c>
      <c r="C7233" s="2" t="s">
        <v>17</v>
      </c>
      <c r="D7233" s="2" t="s">
        <v>27</v>
      </c>
      <c r="E7233" s="4">
        <v>-32069</v>
      </c>
      <c r="F7233" s="3" t="s">
        <v>445</v>
      </c>
      <c r="G7233" s="3" t="s">
        <v>446</v>
      </c>
      <c r="H7233" s="2" t="s">
        <v>21</v>
      </c>
      <c r="I7233" s="2" t="s">
        <v>18114</v>
      </c>
      <c r="J7233" s="3" t="str">
        <f>HYPERLINK("https://www.boe.es/gazeta/dias/1812/03/12/pdfs/GRE-1812-32.pdf#page=8","Abrir facsímil")</f>
        <v>Abrir facsímil</v>
      </c>
      <c r="K7233" s="3" t="s">
        <v>23</v>
      </c>
    </row>
    <row r="7234" spans="1:11" ht="42" customHeight="1">
      <c r="A7234" s="2" t="s">
        <v>18112</v>
      </c>
      <c r="B7234" s="2" t="s">
        <v>18113</v>
      </c>
      <c r="C7234" s="2" t="s">
        <v>26</v>
      </c>
      <c r="D7234" s="2" t="s">
        <v>27</v>
      </c>
      <c r="E7234" s="4">
        <v>-32067</v>
      </c>
      <c r="F7234" s="3" t="s">
        <v>199</v>
      </c>
      <c r="G7234" s="3" t="s">
        <v>237</v>
      </c>
      <c r="H7234" s="2" t="s">
        <v>21</v>
      </c>
      <c r="I7234" s="2" t="s">
        <v>18115</v>
      </c>
      <c r="J7234" s="3" t="str">
        <f>HYPERLINK("https://www.boe.es/gazeta/dias/1812/03/14/pdfs/GRE-1812-33.pdf#page=8","Abrir facsímil")</f>
        <v>Abrir facsímil</v>
      </c>
      <c r="K7234" s="3" t="s">
        <v>23</v>
      </c>
    </row>
    <row r="7235" spans="1:11" ht="42" customHeight="1">
      <c r="A7235" s="2" t="s">
        <v>18116</v>
      </c>
      <c r="B7235" s="2" t="s">
        <v>18117</v>
      </c>
      <c r="C7235" s="2" t="s">
        <v>26</v>
      </c>
      <c r="D7235" s="2" t="s">
        <v>27</v>
      </c>
      <c r="E7235" s="4">
        <v>-31938</v>
      </c>
      <c r="F7235" s="3" t="s">
        <v>324</v>
      </c>
      <c r="G7235" s="3" t="s">
        <v>404</v>
      </c>
      <c r="H7235" s="2" t="s">
        <v>21</v>
      </c>
      <c r="I7235" s="2" t="s">
        <v>18118</v>
      </c>
      <c r="J7235" s="3" t="str">
        <f>HYPERLINK("https://www.boe.es/gazeta/dias/1812/07/21/pdfs/GMD-1812-203.pdf#page=4","Abrir facsímil")</f>
        <v>Abrir facsímil</v>
      </c>
      <c r="K7235" s="3" t="s">
        <v>23</v>
      </c>
    </row>
    <row r="7236" spans="1:11" ht="42" customHeight="1">
      <c r="A7236" s="2" t="s">
        <v>18119</v>
      </c>
      <c r="B7236" s="2" t="s">
        <v>18120</v>
      </c>
      <c r="C7236" s="2" t="s">
        <v>26</v>
      </c>
      <c r="D7236" s="2" t="s">
        <v>27</v>
      </c>
      <c r="E7236" s="4">
        <v>-32034</v>
      </c>
      <c r="F7236" s="3" t="s">
        <v>28</v>
      </c>
      <c r="G7236" s="3" t="s">
        <v>130</v>
      </c>
      <c r="H7236" s="2" t="s">
        <v>21</v>
      </c>
      <c r="I7236" s="2" t="s">
        <v>18121</v>
      </c>
      <c r="J7236" s="3" t="str">
        <f>HYPERLINK("https://www.boe.es/gazeta/dias/1812/04/16/pdfs/GMD-1812-107.pdf#page=4","Abrir facsímil")</f>
        <v>Abrir facsímil</v>
      </c>
      <c r="K7236" s="3" t="s">
        <v>23</v>
      </c>
    </row>
    <row r="7237" spans="1:11" ht="42" customHeight="1">
      <c r="A7237" s="2" t="s">
        <v>18122</v>
      </c>
      <c r="B7237" s="2" t="s">
        <v>18123</v>
      </c>
      <c r="C7237" s="2" t="s">
        <v>26</v>
      </c>
      <c r="D7237" s="2" t="s">
        <v>27</v>
      </c>
      <c r="E7237" s="4">
        <v>-31938</v>
      </c>
      <c r="F7237" s="3" t="s">
        <v>324</v>
      </c>
      <c r="G7237" s="3" t="s">
        <v>404</v>
      </c>
      <c r="H7237" s="2" t="s">
        <v>21</v>
      </c>
      <c r="I7237" s="2" t="s">
        <v>18124</v>
      </c>
      <c r="J7237" s="3" t="str">
        <f>HYPERLINK("https://www.boe.es/gazeta/dias/1812/07/21/pdfs/GMD-1812-203.pdf#page=4","Abrir facsímil")</f>
        <v>Abrir facsímil</v>
      </c>
      <c r="K7237" s="3" t="s">
        <v>23</v>
      </c>
    </row>
    <row r="7238" spans="1:11" ht="42" customHeight="1">
      <c r="A7238" s="2" t="s">
        <v>18125</v>
      </c>
      <c r="B7238" s="2" t="s">
        <v>18126</v>
      </c>
      <c r="C7238" s="2" t="s">
        <v>26</v>
      </c>
      <c r="D7238" s="2" t="s">
        <v>27</v>
      </c>
      <c r="E7238" s="4">
        <v>-31880</v>
      </c>
      <c r="F7238" s="3" t="s">
        <v>3148</v>
      </c>
      <c r="G7238" s="3" t="s">
        <v>8123</v>
      </c>
      <c r="H7238" s="2" t="s">
        <v>21</v>
      </c>
      <c r="I7238" s="2" t="s">
        <v>18127</v>
      </c>
      <c r="J7238" s="3" t="str">
        <f>HYPERLINK("https://www.boe.es/gazeta/dias/1812/09/17/pdfs/GRE-1812-126.pdf#page=3","Abrir facsímil")</f>
        <v>Abrir facsímil</v>
      </c>
      <c r="K7238" s="3" t="s">
        <v>23</v>
      </c>
    </row>
    <row r="7239" spans="1:11" ht="42" customHeight="1">
      <c r="A7239" s="2" t="s">
        <v>18128</v>
      </c>
      <c r="B7239" s="2" t="s">
        <v>18129</v>
      </c>
      <c r="C7239" s="2" t="s">
        <v>26</v>
      </c>
      <c r="D7239" s="2" t="s">
        <v>275</v>
      </c>
      <c r="E7239" s="4">
        <v>-32034</v>
      </c>
      <c r="F7239" s="3" t="s">
        <v>28</v>
      </c>
      <c r="G7239" s="3" t="s">
        <v>794</v>
      </c>
      <c r="H7239" s="2" t="s">
        <v>21</v>
      </c>
      <c r="I7239" s="2" t="s">
        <v>18130</v>
      </c>
      <c r="J7239" s="3" t="str">
        <f>HYPERLINK("https://www.boe.es/gazeta/dias/1812/04/16/pdfs/GMD-1812-107.pdf#page=7","Abrir facsímil")</f>
        <v>Abrir facsímil</v>
      </c>
      <c r="K7239" s="3" t="s">
        <v>23</v>
      </c>
    </row>
    <row r="7240" spans="1:11" ht="42" customHeight="1">
      <c r="A7240" s="2" t="s">
        <v>18131</v>
      </c>
      <c r="B7240" s="2" t="s">
        <v>18132</v>
      </c>
      <c r="C7240" s="2" t="s">
        <v>17</v>
      </c>
      <c r="D7240" s="2" t="s">
        <v>27</v>
      </c>
      <c r="E7240" s="4">
        <v>-32067</v>
      </c>
      <c r="F7240" s="3" t="s">
        <v>199</v>
      </c>
      <c r="G7240" s="3" t="s">
        <v>237</v>
      </c>
      <c r="H7240" s="2" t="s">
        <v>21</v>
      </c>
      <c r="I7240" s="2" t="s">
        <v>18133</v>
      </c>
      <c r="J7240" s="3" t="str">
        <f>HYPERLINK("https://www.boe.es/gazeta/dias/1812/03/14/pdfs/GRE-1812-33.pdf#page=8","Abrir facsímil")</f>
        <v>Abrir facsímil</v>
      </c>
      <c r="K7240" s="3" t="s">
        <v>23</v>
      </c>
    </row>
    <row r="7241" spans="1:11" ht="42" customHeight="1">
      <c r="A7241" s="2" t="s">
        <v>18134</v>
      </c>
      <c r="B7241" s="2" t="s">
        <v>18134</v>
      </c>
      <c r="C7241" s="2" t="s">
        <v>17</v>
      </c>
      <c r="D7241" s="2" t="s">
        <v>194</v>
      </c>
      <c r="E7241" s="4">
        <v>-31800</v>
      </c>
      <c r="F7241" s="3" t="s">
        <v>593</v>
      </c>
      <c r="G7241" s="3" t="s">
        <v>140</v>
      </c>
      <c r="H7241" s="2" t="s">
        <v>21</v>
      </c>
      <c r="I7241" s="2" t="s">
        <v>18135</v>
      </c>
      <c r="J7241" s="3" t="str">
        <f>HYPERLINK("https://www.boe.es/gazeta/dias/1812/12/06/pdfs/GMD-1812-229.pdf#page=2","Abrir facsímil")</f>
        <v>Abrir facsímil</v>
      </c>
      <c r="K7241" s="3" t="s">
        <v>23</v>
      </c>
    </row>
    <row r="7242" spans="1:11" ht="42" customHeight="1">
      <c r="A7242" s="2" t="s">
        <v>18136</v>
      </c>
      <c r="B7242" s="2" t="s">
        <v>18137</v>
      </c>
      <c r="C7242" s="2" t="s">
        <v>17</v>
      </c>
      <c r="D7242" s="2" t="s">
        <v>27</v>
      </c>
      <c r="E7242" s="4">
        <v>-31976</v>
      </c>
      <c r="F7242" s="3" t="s">
        <v>54</v>
      </c>
      <c r="G7242" s="3" t="s">
        <v>1335</v>
      </c>
      <c r="H7242" s="2" t="s">
        <v>21</v>
      </c>
      <c r="I7242" s="2" t="s">
        <v>18138</v>
      </c>
      <c r="J7242" s="3" t="str">
        <f>HYPERLINK("https://www.boe.es/gazeta/dias/1812/06/13/pdfs/GRE-1812-73.pdf#page=7","Abrir facsímil")</f>
        <v>Abrir facsímil</v>
      </c>
      <c r="K7242" s="3" t="s">
        <v>23</v>
      </c>
    </row>
    <row r="7243" spans="1:11" ht="42" customHeight="1">
      <c r="A7243" s="2" t="s">
        <v>18139</v>
      </c>
      <c r="B7243" s="2" t="s">
        <v>18140</v>
      </c>
      <c r="C7243" s="2" t="s">
        <v>26</v>
      </c>
      <c r="D7243" s="2" t="s">
        <v>27</v>
      </c>
      <c r="E7243" s="4">
        <v>-32074</v>
      </c>
      <c r="F7243" s="3" t="s">
        <v>816</v>
      </c>
      <c r="G7243" s="3" t="s">
        <v>777</v>
      </c>
      <c r="H7243" s="2" t="s">
        <v>21</v>
      </c>
      <c r="I7243" s="2" t="s">
        <v>18141</v>
      </c>
      <c r="J7243" s="3" t="str">
        <f>HYPERLINK("https://www.boe.es/gazeta/dias/1812/03/07/pdfs/GRE-1812-30.pdf#page=8","Abrir facsímil")</f>
        <v>Abrir facsímil</v>
      </c>
      <c r="K7243" s="3" t="s">
        <v>23</v>
      </c>
    </row>
    <row r="7244" spans="1:11" ht="42" customHeight="1">
      <c r="A7244" s="2" t="s">
        <v>18142</v>
      </c>
      <c r="B7244" s="2" t="s">
        <v>18143</v>
      </c>
      <c r="C7244" s="2" t="s">
        <v>26</v>
      </c>
      <c r="D7244" s="2" t="s">
        <v>27</v>
      </c>
      <c r="E7244" s="4">
        <v>-31838</v>
      </c>
      <c r="F7244" s="3" t="s">
        <v>1452</v>
      </c>
      <c r="G7244" s="3" t="s">
        <v>29</v>
      </c>
      <c r="H7244" s="2" t="s">
        <v>21</v>
      </c>
      <c r="I7244" s="2" t="s">
        <v>18144</v>
      </c>
      <c r="J7244" s="3" t="str">
        <f>HYPERLINK("https://www.boe.es/gazeta/dias/1812/10/29/pdfs/GMR-1812-33.pdf#page=8","Abrir facsímil")</f>
        <v>Abrir facsímil</v>
      </c>
      <c r="K7244" s="3" t="s">
        <v>23</v>
      </c>
    </row>
    <row r="7245" spans="1:11" ht="42" customHeight="1">
      <c r="A7245" s="2" t="s">
        <v>18145</v>
      </c>
      <c r="B7245" s="2" t="s">
        <v>18146</v>
      </c>
      <c r="C7245" s="2" t="s">
        <v>26</v>
      </c>
      <c r="D7245" s="2" t="s">
        <v>27</v>
      </c>
      <c r="E7245" s="4">
        <v>-32088</v>
      </c>
      <c r="F7245" s="3" t="s">
        <v>1217</v>
      </c>
      <c r="G7245" s="3" t="s">
        <v>1218</v>
      </c>
      <c r="H7245" s="2" t="s">
        <v>21</v>
      </c>
      <c r="I7245" s="2" t="s">
        <v>18147</v>
      </c>
      <c r="J7245" s="3" t="str">
        <f>HYPERLINK("https://www.boe.es/gazeta/dias/1812/02/22/pdfs/GMD-1812-53.pdf#page=4","Abrir facsímil")</f>
        <v>Abrir facsímil</v>
      </c>
      <c r="K7245" s="3" t="s">
        <v>23</v>
      </c>
    </row>
    <row r="7246" spans="1:11" ht="42" customHeight="1">
      <c r="A7246" s="2" t="s">
        <v>18148</v>
      </c>
      <c r="B7246" s="2" t="s">
        <v>18148</v>
      </c>
      <c r="C7246" s="2" t="s">
        <v>17</v>
      </c>
      <c r="D7246" s="2" t="s">
        <v>27</v>
      </c>
      <c r="E7246" s="4">
        <v>-31889</v>
      </c>
      <c r="F7246" s="3" t="s">
        <v>699</v>
      </c>
      <c r="G7246" s="3" t="s">
        <v>58</v>
      </c>
      <c r="H7246" s="2" t="s">
        <v>21</v>
      </c>
      <c r="I7246" s="2" t="s">
        <v>18149</v>
      </c>
      <c r="J7246" s="3" t="str">
        <f>HYPERLINK("https://www.boe.es/gazeta/dias/1812/09/08/pdfs/GMR-1812-11.pdf#page=5","Abrir facsímil")</f>
        <v>Abrir facsímil</v>
      </c>
      <c r="K7246" s="3" t="s">
        <v>23</v>
      </c>
    </row>
    <row r="7247" spans="1:11" ht="42" customHeight="1">
      <c r="A7247" s="2" t="s">
        <v>18150</v>
      </c>
      <c r="B7247" s="2" t="s">
        <v>18150</v>
      </c>
      <c r="C7247" s="2" t="s">
        <v>17</v>
      </c>
      <c r="D7247" s="2" t="s">
        <v>27</v>
      </c>
      <c r="E7247" s="4">
        <v>-32097</v>
      </c>
      <c r="F7247" s="3" t="s">
        <v>3797</v>
      </c>
      <c r="G7247" s="3" t="s">
        <v>3798</v>
      </c>
      <c r="H7247" s="2" t="s">
        <v>21</v>
      </c>
      <c r="I7247" s="2" t="s">
        <v>18151</v>
      </c>
      <c r="J7247" s="3" t="str">
        <f>HYPERLINK("https://www.boe.es/gazeta/dias/1812/02/13/pdfs/GRE-1812-19.pdf#page=3","Abrir facsímil")</f>
        <v>Abrir facsímil</v>
      </c>
      <c r="K7247" s="3" t="s">
        <v>23</v>
      </c>
    </row>
    <row r="7248" spans="1:11" ht="42" customHeight="1">
      <c r="A7248" s="2" t="s">
        <v>18152</v>
      </c>
      <c r="B7248" s="2" t="s">
        <v>18153</v>
      </c>
      <c r="C7248" s="2" t="s">
        <v>17</v>
      </c>
      <c r="D7248" s="2" t="s">
        <v>27</v>
      </c>
      <c r="E7248" s="4">
        <v>-32022</v>
      </c>
      <c r="F7248" s="3" t="s">
        <v>1186</v>
      </c>
      <c r="G7248" s="3" t="s">
        <v>336</v>
      </c>
      <c r="H7248" s="2" t="s">
        <v>21</v>
      </c>
      <c r="I7248" s="2" t="s">
        <v>18154</v>
      </c>
      <c r="J7248" s="3" t="str">
        <f>HYPERLINK("https://www.boe.es/gazeta/dias/1812/04/28/pdfs/GRE-1812-53.pdf#page=8","Abrir facsímil")</f>
        <v>Abrir facsímil</v>
      </c>
      <c r="K7248" s="3" t="s">
        <v>23</v>
      </c>
    </row>
    <row r="7249" spans="1:11" ht="42" customHeight="1">
      <c r="A7249" s="2" t="s">
        <v>18155</v>
      </c>
      <c r="B7249" s="2" t="s">
        <v>18156</v>
      </c>
      <c r="C7249" s="2" t="s">
        <v>26</v>
      </c>
      <c r="D7249" s="2" t="s">
        <v>27</v>
      </c>
      <c r="E7249" s="4">
        <v>-32125</v>
      </c>
      <c r="F7249" s="3" t="s">
        <v>335</v>
      </c>
      <c r="G7249" s="3" t="s">
        <v>336</v>
      </c>
      <c r="H7249" s="2" t="s">
        <v>21</v>
      </c>
      <c r="I7249" s="2" t="s">
        <v>18157</v>
      </c>
      <c r="J7249" s="3" t="str">
        <f>HYPERLINK("https://www.boe.es/gazeta/dias/1812/01/16/pdfs/GEI-1812-7.pdf#page=8","Abrir facsímil")</f>
        <v>Abrir facsímil</v>
      </c>
      <c r="K7249" s="3" t="s">
        <v>23</v>
      </c>
    </row>
    <row r="7250" spans="1:11" ht="42" customHeight="1">
      <c r="A7250" s="2" t="s">
        <v>18158</v>
      </c>
      <c r="B7250" s="2" t="s">
        <v>18159</v>
      </c>
      <c r="C7250" s="2" t="s">
        <v>17</v>
      </c>
      <c r="D7250" s="2" t="s">
        <v>18</v>
      </c>
      <c r="E7250" s="4">
        <v>-32022</v>
      </c>
      <c r="F7250" s="3" t="s">
        <v>1186</v>
      </c>
      <c r="G7250" s="3" t="s">
        <v>336</v>
      </c>
      <c r="H7250" s="2" t="s">
        <v>21</v>
      </c>
      <c r="I7250" s="2" t="s">
        <v>18160</v>
      </c>
      <c r="J7250" s="3" t="str">
        <f>HYPERLINK("https://www.boe.es/gazeta/dias/1812/04/28/pdfs/GRE-1812-53.pdf#page=8","Abrir facsímil")</f>
        <v>Abrir facsímil</v>
      </c>
      <c r="K7250" s="3" t="s">
        <v>23</v>
      </c>
    </row>
    <row r="7251" spans="1:11" ht="42" customHeight="1">
      <c r="A7251" s="2" t="s">
        <v>18161</v>
      </c>
      <c r="B7251" s="2" t="s">
        <v>18162</v>
      </c>
      <c r="C7251" s="2" t="s">
        <v>17</v>
      </c>
      <c r="D7251" s="2" t="s">
        <v>27</v>
      </c>
      <c r="E7251" s="4">
        <v>-32010</v>
      </c>
      <c r="F7251" s="3" t="s">
        <v>243</v>
      </c>
      <c r="G7251" s="3" t="s">
        <v>45</v>
      </c>
      <c r="H7251" s="2" t="s">
        <v>21</v>
      </c>
      <c r="I7251" s="2" t="s">
        <v>18163</v>
      </c>
      <c r="J7251" s="3" t="str">
        <f>HYPERLINK("https://www.boe.es/gazeta/dias/1812/05/10/pdfs/GMD-1812-131.pdf#page=3","Abrir facsímil")</f>
        <v>Abrir facsímil</v>
      </c>
      <c r="K7251" s="3" t="s">
        <v>23</v>
      </c>
    </row>
    <row r="7252" spans="1:11" ht="42" customHeight="1">
      <c r="A7252" s="2" t="s">
        <v>18161</v>
      </c>
      <c r="B7252" s="2" t="s">
        <v>18162</v>
      </c>
      <c r="C7252" s="2" t="s">
        <v>26</v>
      </c>
      <c r="D7252" s="2" t="s">
        <v>27</v>
      </c>
      <c r="E7252" s="4">
        <v>-31988</v>
      </c>
      <c r="F7252" s="3" t="s">
        <v>1094</v>
      </c>
      <c r="G7252" s="3" t="s">
        <v>1095</v>
      </c>
      <c r="H7252" s="2" t="s">
        <v>21</v>
      </c>
      <c r="I7252" s="2" t="s">
        <v>18164</v>
      </c>
      <c r="J7252" s="3" t="str">
        <f>HYPERLINK("https://www.boe.es/gazeta/dias/1812/06/01/pdfs/GMD-1812-153.pdf#page=2","Abrir facsímil")</f>
        <v>Abrir facsímil</v>
      </c>
      <c r="K7252" s="3" t="s">
        <v>23</v>
      </c>
    </row>
    <row r="7253" spans="1:11" ht="42" customHeight="1">
      <c r="A7253" s="2" t="s">
        <v>18165</v>
      </c>
      <c r="B7253" s="2" t="s">
        <v>18166</v>
      </c>
      <c r="C7253" s="2" t="s">
        <v>26</v>
      </c>
      <c r="D7253" s="2" t="s">
        <v>27</v>
      </c>
      <c r="E7253" s="4">
        <v>-32013</v>
      </c>
      <c r="F7253" s="3" t="s">
        <v>849</v>
      </c>
      <c r="G7253" s="3" t="s">
        <v>6982</v>
      </c>
      <c r="H7253" s="2" t="s">
        <v>21</v>
      </c>
      <c r="I7253" s="2" t="s">
        <v>18167</v>
      </c>
      <c r="J7253" s="3" t="str">
        <f>HYPERLINK("https://www.boe.es/gazeta/dias/1812/05/07/pdfs/GRE-1812-57.pdf#page=5","Abrir facsímil")</f>
        <v>Abrir facsímil</v>
      </c>
      <c r="K7253" s="3" t="s">
        <v>23</v>
      </c>
    </row>
    <row r="7254" spans="1:11" ht="42" customHeight="1">
      <c r="A7254" s="2" t="s">
        <v>18168</v>
      </c>
      <c r="B7254" s="2" t="s">
        <v>18169</v>
      </c>
      <c r="C7254" s="2" t="s">
        <v>26</v>
      </c>
      <c r="D7254" s="2" t="s">
        <v>27</v>
      </c>
      <c r="E7254" s="4">
        <v>-32034</v>
      </c>
      <c r="F7254" s="3" t="s">
        <v>28</v>
      </c>
      <c r="G7254" s="3" t="s">
        <v>45</v>
      </c>
      <c r="H7254" s="2" t="s">
        <v>21</v>
      </c>
      <c r="I7254" s="2" t="s">
        <v>18170</v>
      </c>
      <c r="J7254" s="3" t="str">
        <f>HYPERLINK("https://www.boe.es/gazeta/dias/1812/04/16/pdfs/GMD-1812-107.pdf#page=5","Abrir facsímil")</f>
        <v>Abrir facsímil</v>
      </c>
      <c r="K7254" s="3" t="s">
        <v>23</v>
      </c>
    </row>
    <row r="7255" spans="1:11" ht="42" customHeight="1">
      <c r="A7255" s="2" t="s">
        <v>18171</v>
      </c>
      <c r="B7255" s="2" t="s">
        <v>18172</v>
      </c>
      <c r="C7255" s="2" t="s">
        <v>26</v>
      </c>
      <c r="D7255" s="2" t="s">
        <v>27</v>
      </c>
      <c r="E7255" s="4">
        <v>-32034</v>
      </c>
      <c r="F7255" s="3" t="s">
        <v>28</v>
      </c>
      <c r="G7255" s="3" t="s">
        <v>45</v>
      </c>
      <c r="H7255" s="2" t="s">
        <v>21</v>
      </c>
      <c r="I7255" s="2" t="s">
        <v>18173</v>
      </c>
      <c r="J7255" s="3" t="str">
        <f>HYPERLINK("https://www.boe.es/gazeta/dias/1812/04/16/pdfs/GMD-1812-107.pdf#page=5","Abrir facsímil")</f>
        <v>Abrir facsímil</v>
      </c>
      <c r="K7255" s="3" t="s">
        <v>23</v>
      </c>
    </row>
    <row r="7256" spans="1:11" ht="42" customHeight="1">
      <c r="A7256" s="2" t="s">
        <v>18174</v>
      </c>
      <c r="B7256" s="2" t="s">
        <v>18175</v>
      </c>
      <c r="C7256" s="2" t="s">
        <v>26</v>
      </c>
      <c r="D7256" s="2" t="s">
        <v>27</v>
      </c>
      <c r="E7256" s="4">
        <v>-32034</v>
      </c>
      <c r="F7256" s="3" t="s">
        <v>28</v>
      </c>
      <c r="G7256" s="3" t="s">
        <v>29</v>
      </c>
      <c r="H7256" s="2" t="s">
        <v>21</v>
      </c>
      <c r="I7256" s="2" t="s">
        <v>18176</v>
      </c>
      <c r="J7256" s="3" t="str">
        <f>HYPERLINK("https://www.boe.es/gazeta/dias/1812/04/16/pdfs/GMD-1812-107.pdf#page=8","Abrir facsímil")</f>
        <v>Abrir facsímil</v>
      </c>
      <c r="K7256" s="3" t="s">
        <v>23</v>
      </c>
    </row>
    <row r="7257" spans="1:11" ht="42" customHeight="1">
      <c r="A7257" s="2" t="s">
        <v>18177</v>
      </c>
      <c r="B7257" s="2" t="s">
        <v>18178</v>
      </c>
      <c r="C7257" s="2" t="s">
        <v>26</v>
      </c>
      <c r="D7257" s="2" t="s">
        <v>27</v>
      </c>
      <c r="E7257" s="4">
        <v>-31922</v>
      </c>
      <c r="F7257" s="3" t="s">
        <v>375</v>
      </c>
      <c r="G7257" s="3" t="s">
        <v>5327</v>
      </c>
      <c r="H7257" s="2" t="s">
        <v>21</v>
      </c>
      <c r="I7257" s="2" t="s">
        <v>18179</v>
      </c>
      <c r="J7257" s="3" t="str">
        <f>HYPERLINK("https://www.boe.es/gazeta/dias/1812/08/06/pdfs/GRE-1812-100.pdf#page=3","Abrir facsímil")</f>
        <v>Abrir facsímil</v>
      </c>
      <c r="K7257" s="3" t="s">
        <v>23</v>
      </c>
    </row>
    <row r="7258" spans="1:11" ht="42" customHeight="1">
      <c r="A7258" s="2" t="s">
        <v>18180</v>
      </c>
      <c r="B7258" s="2" t="s">
        <v>18181</v>
      </c>
      <c r="C7258" s="2" t="s">
        <v>549</v>
      </c>
      <c r="D7258" s="2" t="s">
        <v>27</v>
      </c>
      <c r="E7258" s="4">
        <v>-32132</v>
      </c>
      <c r="F7258" s="3" t="s">
        <v>484</v>
      </c>
      <c r="G7258" s="3" t="s">
        <v>485</v>
      </c>
      <c r="H7258" s="2" t="s">
        <v>21</v>
      </c>
      <c r="I7258" s="2" t="s">
        <v>18182</v>
      </c>
      <c r="J7258" s="3" t="str">
        <f>HYPERLINK("https://www.boe.es/gazeta/dias/1812/01/09/pdfs/GEI-1812-4.pdf#page=8","Abrir facsímil")</f>
        <v>Abrir facsímil</v>
      </c>
      <c r="K7258" s="3" t="s">
        <v>23</v>
      </c>
    </row>
    <row r="7259" spans="1:11" ht="42" customHeight="1">
      <c r="A7259" s="2" t="s">
        <v>18183</v>
      </c>
      <c r="B7259" s="2" t="s">
        <v>18184</v>
      </c>
      <c r="C7259" s="2" t="s">
        <v>26</v>
      </c>
      <c r="D7259" s="2" t="s">
        <v>27</v>
      </c>
      <c r="E7259" s="4">
        <v>-32034</v>
      </c>
      <c r="F7259" s="3" t="s">
        <v>28</v>
      </c>
      <c r="G7259" s="3" t="s">
        <v>29</v>
      </c>
      <c r="H7259" s="2" t="s">
        <v>21</v>
      </c>
      <c r="I7259" s="2" t="s">
        <v>18185</v>
      </c>
      <c r="J7259" s="3" t="str">
        <f>HYPERLINK("https://www.boe.es/gazeta/dias/1812/04/16/pdfs/GMD-1812-107.pdf#page=8","Abrir facsímil")</f>
        <v>Abrir facsímil</v>
      </c>
      <c r="K7259" s="3" t="s">
        <v>23</v>
      </c>
    </row>
    <row r="7260" spans="1:11" ht="42" customHeight="1">
      <c r="A7260" s="2" t="s">
        <v>18186</v>
      </c>
      <c r="B7260" s="2" t="s">
        <v>18187</v>
      </c>
      <c r="C7260" s="2" t="s">
        <v>26</v>
      </c>
      <c r="D7260" s="2" t="s">
        <v>27</v>
      </c>
      <c r="E7260" s="4">
        <v>-31938</v>
      </c>
      <c r="F7260" s="3" t="s">
        <v>324</v>
      </c>
      <c r="G7260" s="3" t="s">
        <v>497</v>
      </c>
      <c r="H7260" s="2" t="s">
        <v>21</v>
      </c>
      <c r="I7260" s="2" t="s">
        <v>18188</v>
      </c>
      <c r="J7260" s="3" t="str">
        <f>HYPERLINK("https://www.boe.es/gazeta/dias/1812/07/21/pdfs/GMD-1812-203.pdf#page=3","Abrir facsímil")</f>
        <v>Abrir facsímil</v>
      </c>
      <c r="K7260" s="3" t="s">
        <v>23</v>
      </c>
    </row>
    <row r="7261" spans="1:11" ht="42" customHeight="1">
      <c r="A7261" s="2" t="s">
        <v>18189</v>
      </c>
      <c r="B7261" s="2" t="s">
        <v>18190</v>
      </c>
      <c r="C7261" s="2" t="s">
        <v>17</v>
      </c>
      <c r="D7261" s="2" t="s">
        <v>27</v>
      </c>
      <c r="E7261" s="4">
        <v>-32002</v>
      </c>
      <c r="F7261" s="3" t="s">
        <v>619</v>
      </c>
      <c r="G7261" s="3" t="s">
        <v>20</v>
      </c>
      <c r="H7261" s="2" t="s">
        <v>21</v>
      </c>
      <c r="I7261" s="2" t="s">
        <v>18191</v>
      </c>
      <c r="J7261" s="3" t="str">
        <f>HYPERLINK("https://www.boe.es/gazeta/dias/1812/05/18/pdfs/GMD-1812-139.pdf#page=3","Abrir facsímil")</f>
        <v>Abrir facsímil</v>
      </c>
      <c r="K7261" s="3" t="s">
        <v>23</v>
      </c>
    </row>
    <row r="7262" spans="1:11" ht="42" customHeight="1">
      <c r="A7262" s="2" t="s">
        <v>18192</v>
      </c>
      <c r="B7262" s="2" t="s">
        <v>18193</v>
      </c>
      <c r="C7262" s="2" t="s">
        <v>26</v>
      </c>
      <c r="D7262" s="2" t="s">
        <v>27</v>
      </c>
      <c r="E7262" s="4">
        <v>-31994</v>
      </c>
      <c r="F7262" s="3" t="s">
        <v>207</v>
      </c>
      <c r="G7262" s="3" t="s">
        <v>1176</v>
      </c>
      <c r="H7262" s="2" t="s">
        <v>21</v>
      </c>
      <c r="I7262" s="2" t="s">
        <v>18194</v>
      </c>
      <c r="J7262" s="3" t="str">
        <f>HYPERLINK("https://www.boe.es/gazeta/dias/1812/05/26/pdfs/GRE-1812-65.pdf#page=8","Abrir facsímil")</f>
        <v>Abrir facsímil</v>
      </c>
      <c r="K7262" s="3" t="s">
        <v>23</v>
      </c>
    </row>
    <row r="7263" spans="1:11" ht="42" customHeight="1">
      <c r="A7263" s="2" t="s">
        <v>18195</v>
      </c>
      <c r="B7263" s="2" t="s">
        <v>18196</v>
      </c>
      <c r="C7263" s="2" t="s">
        <v>26</v>
      </c>
      <c r="D7263" s="2" t="s">
        <v>27</v>
      </c>
      <c r="E7263" s="4">
        <v>-32109</v>
      </c>
      <c r="F7263" s="3" t="s">
        <v>62</v>
      </c>
      <c r="G7263" s="3" t="s">
        <v>63</v>
      </c>
      <c r="H7263" s="2" t="s">
        <v>21</v>
      </c>
      <c r="I7263" s="2" t="s">
        <v>18197</v>
      </c>
      <c r="J7263" s="3" t="str">
        <f>HYPERLINK("https://www.boe.es/gazeta/dias/1812/02/01/pdfs/GRE-1812-14.pdf#page=10","Abrir facsímil")</f>
        <v>Abrir facsímil</v>
      </c>
      <c r="K7263" s="3" t="s">
        <v>23</v>
      </c>
    </row>
    <row r="7264" spans="1:11" ht="42" customHeight="1">
      <c r="A7264" s="2" t="s">
        <v>18198</v>
      </c>
      <c r="B7264" s="2" t="s">
        <v>18198</v>
      </c>
      <c r="C7264" s="2" t="s">
        <v>49</v>
      </c>
      <c r="D7264" s="2" t="s">
        <v>194</v>
      </c>
      <c r="E7264" s="4">
        <v>-32014</v>
      </c>
      <c r="F7264" s="3" t="s">
        <v>5052</v>
      </c>
      <c r="G7264" s="3" t="s">
        <v>20</v>
      </c>
      <c r="H7264" s="2" t="s">
        <v>21</v>
      </c>
      <c r="I7264" s="2" t="s">
        <v>18199</v>
      </c>
      <c r="J7264" s="3" t="str">
        <f>HYPERLINK("https://www.boe.es/gazeta/dias/1812/05/06/pdfs/GMD-1812-127.pdf#page=4","Abrir facsímil")</f>
        <v>Abrir facsímil</v>
      </c>
      <c r="K7264" s="3" t="s">
        <v>23</v>
      </c>
    </row>
    <row r="7265" spans="1:11" ht="42" customHeight="1">
      <c r="A7265" s="2" t="s">
        <v>18200</v>
      </c>
      <c r="B7265" s="2" t="s">
        <v>18201</v>
      </c>
      <c r="C7265" s="2" t="s">
        <v>17</v>
      </c>
      <c r="D7265" s="2" t="s">
        <v>27</v>
      </c>
      <c r="E7265" s="4">
        <v>-32109</v>
      </c>
      <c r="F7265" s="3" t="s">
        <v>62</v>
      </c>
      <c r="G7265" s="3" t="s">
        <v>472</v>
      </c>
      <c r="H7265" s="2" t="s">
        <v>21</v>
      </c>
      <c r="I7265" s="2" t="s">
        <v>18202</v>
      </c>
      <c r="J7265" s="3" t="str">
        <f>HYPERLINK("https://www.boe.es/gazeta/dias/1812/02/01/pdfs/GRE-1812-14.pdf#page=12","Abrir facsímil")</f>
        <v>Abrir facsímil</v>
      </c>
      <c r="K7265" s="3" t="s">
        <v>23</v>
      </c>
    </row>
    <row r="7266" spans="1:11" ht="42" customHeight="1">
      <c r="A7266" s="2" t="s">
        <v>18203</v>
      </c>
      <c r="B7266" s="2" t="s">
        <v>18204</v>
      </c>
      <c r="C7266" s="2" t="s">
        <v>82</v>
      </c>
      <c r="D7266" s="2" t="s">
        <v>27</v>
      </c>
      <c r="E7266" s="4">
        <v>-32095</v>
      </c>
      <c r="F7266" s="3" t="s">
        <v>284</v>
      </c>
      <c r="G7266" s="3" t="s">
        <v>29</v>
      </c>
      <c r="H7266" s="2" t="s">
        <v>21</v>
      </c>
      <c r="I7266" s="2" t="s">
        <v>18205</v>
      </c>
      <c r="J7266" s="3" t="str">
        <f>HYPERLINK("https://www.boe.es/gazeta/dias/1812/02/15/pdfs/GRE-1812-20.pdf#page=8","Abrir facsímil")</f>
        <v>Abrir facsímil</v>
      </c>
      <c r="K7266" s="3" t="s">
        <v>23</v>
      </c>
    </row>
    <row r="7267" spans="1:11" ht="42" customHeight="1">
      <c r="A7267" s="2" t="s">
        <v>18206</v>
      </c>
      <c r="B7267" s="2" t="s">
        <v>18207</v>
      </c>
      <c r="C7267" s="2" t="s">
        <v>26</v>
      </c>
      <c r="D7267" s="2" t="s">
        <v>27</v>
      </c>
      <c r="E7267" s="4">
        <v>-31940</v>
      </c>
      <c r="F7267" s="3" t="s">
        <v>187</v>
      </c>
      <c r="G7267" s="3" t="s">
        <v>404</v>
      </c>
      <c r="H7267" s="2" t="s">
        <v>21</v>
      </c>
      <c r="I7267" s="2" t="s">
        <v>18208</v>
      </c>
      <c r="J7267" s="3" t="str">
        <f>HYPERLINK("https://www.boe.es/gazeta/dias/1812/07/19/pdfs/GMD-1812-201.pdf#page=3","Abrir facsímil")</f>
        <v>Abrir facsímil</v>
      </c>
      <c r="K7267" s="3" t="s">
        <v>23</v>
      </c>
    </row>
    <row r="7268" spans="1:11" ht="42" customHeight="1">
      <c r="A7268" s="2" t="s">
        <v>18209</v>
      </c>
      <c r="B7268" s="2" t="s">
        <v>18210</v>
      </c>
      <c r="C7268" s="2" t="s">
        <v>17</v>
      </c>
      <c r="D7268" s="2" t="s">
        <v>18</v>
      </c>
      <c r="E7268" s="4">
        <v>-31955</v>
      </c>
      <c r="F7268" s="3" t="s">
        <v>135</v>
      </c>
      <c r="G7268" s="3" t="s">
        <v>514</v>
      </c>
      <c r="H7268" s="2" t="s">
        <v>21</v>
      </c>
      <c r="I7268" s="2" t="s">
        <v>18211</v>
      </c>
      <c r="J7268" s="3" t="str">
        <f>HYPERLINK("https://www.boe.es/gazeta/dias/1812/07/04/pdfs/GRE-F-1812-82.pdf#page=7","Abrir facsímil")</f>
        <v>Abrir facsímil</v>
      </c>
      <c r="K7268" s="3" t="s">
        <v>23</v>
      </c>
    </row>
    <row r="7269" spans="1:11" ht="42" customHeight="1">
      <c r="A7269" s="2" t="s">
        <v>18212</v>
      </c>
      <c r="B7269" s="2" t="s">
        <v>18213</v>
      </c>
      <c r="C7269" s="2" t="s">
        <v>67</v>
      </c>
      <c r="D7269" s="2" t="s">
        <v>275</v>
      </c>
      <c r="E7269" s="4">
        <v>-31938</v>
      </c>
      <c r="F7269" s="3" t="s">
        <v>324</v>
      </c>
      <c r="G7269" s="3" t="s">
        <v>237</v>
      </c>
      <c r="H7269" s="2" t="s">
        <v>21</v>
      </c>
      <c r="I7269" s="2" t="s">
        <v>18214</v>
      </c>
      <c r="J7269" s="3" t="str">
        <f>HYPERLINK("https://www.boe.es/gazeta/dias/1812/07/21/pdfs/GMD-1812-203.pdf#page=2","Abrir facsímil")</f>
        <v>Abrir facsímil</v>
      </c>
      <c r="K7269" s="3" t="s">
        <v>23</v>
      </c>
    </row>
    <row r="7270" spans="1:11" ht="42" customHeight="1">
      <c r="A7270" s="2" t="s">
        <v>18215</v>
      </c>
      <c r="B7270" s="2" t="s">
        <v>18216</v>
      </c>
      <c r="C7270" s="2" t="s">
        <v>26</v>
      </c>
      <c r="D7270" s="2" t="s">
        <v>275</v>
      </c>
      <c r="E7270" s="4">
        <v>-32087</v>
      </c>
      <c r="F7270" s="3" t="s">
        <v>9693</v>
      </c>
      <c r="G7270" s="3" t="s">
        <v>58</v>
      </c>
      <c r="H7270" s="2" t="s">
        <v>21</v>
      </c>
      <c r="I7270" s="2" t="s">
        <v>18217</v>
      </c>
      <c r="J7270" s="3" t="str">
        <f>HYPERLINK("https://www.boe.es/gazeta/dias/1812/02/23/pdfs/GMD-1812-54.pdf#page=4","Abrir facsímil")</f>
        <v>Abrir facsímil</v>
      </c>
      <c r="K7270" s="3" t="s">
        <v>23</v>
      </c>
    </row>
    <row r="7271" spans="1:11" ht="42" customHeight="1">
      <c r="A7271" s="2" t="s">
        <v>18215</v>
      </c>
      <c r="B7271" s="2" t="s">
        <v>18216</v>
      </c>
      <c r="C7271" s="2" t="s">
        <v>115</v>
      </c>
      <c r="D7271" s="2" t="s">
        <v>27</v>
      </c>
      <c r="E7271" s="4">
        <v>-32062</v>
      </c>
      <c r="F7271" s="3" t="s">
        <v>280</v>
      </c>
      <c r="G7271" s="3" t="s">
        <v>20</v>
      </c>
      <c r="H7271" s="2" t="s">
        <v>21</v>
      </c>
      <c r="I7271" s="2" t="s">
        <v>18218</v>
      </c>
      <c r="J7271" s="3" t="str">
        <f>HYPERLINK("https://www.boe.es/gazeta/dias/1812/03/19/pdfs/GMD-1812-79.pdf#page=4","Abrir facsímil")</f>
        <v>Abrir facsímil</v>
      </c>
      <c r="K7271" s="3" t="s">
        <v>23</v>
      </c>
    </row>
    <row r="7272" spans="1:11" ht="42" customHeight="1">
      <c r="A7272" s="2" t="s">
        <v>18219</v>
      </c>
      <c r="B7272" s="2" t="s">
        <v>18220</v>
      </c>
      <c r="C7272" s="2" t="s">
        <v>26</v>
      </c>
      <c r="D7272" s="2" t="s">
        <v>27</v>
      </c>
      <c r="E7272" s="4">
        <v>-31938</v>
      </c>
      <c r="F7272" s="3" t="s">
        <v>324</v>
      </c>
      <c r="G7272" s="3" t="s">
        <v>404</v>
      </c>
      <c r="H7272" s="2" t="s">
        <v>21</v>
      </c>
      <c r="I7272" s="2" t="s">
        <v>18221</v>
      </c>
      <c r="J7272" s="3" t="str">
        <f>HYPERLINK("https://www.boe.es/gazeta/dias/1812/07/21/pdfs/GMD-1812-203.pdf#page=4","Abrir facsímil")</f>
        <v>Abrir facsímil</v>
      </c>
      <c r="K7272" s="3" t="s">
        <v>23</v>
      </c>
    </row>
    <row r="7273" spans="1:11" ht="42" customHeight="1">
      <c r="A7273" s="2" t="s">
        <v>18222</v>
      </c>
      <c r="B7273" s="2" t="s">
        <v>18223</v>
      </c>
      <c r="C7273" s="2" t="s">
        <v>67</v>
      </c>
      <c r="D7273" s="2" t="s">
        <v>275</v>
      </c>
      <c r="E7273" s="4">
        <v>-32055</v>
      </c>
      <c r="F7273" s="3" t="s">
        <v>1271</v>
      </c>
      <c r="G7273" s="3" t="s">
        <v>130</v>
      </c>
      <c r="H7273" s="2" t="s">
        <v>21</v>
      </c>
      <c r="I7273" s="2" t="s">
        <v>18224</v>
      </c>
      <c r="J7273" s="3" t="str">
        <f>HYPERLINK("https://www.boe.es/gazeta/dias/1812/03/26/pdfs/GMD-1812-86.pdf#page=4","Abrir facsímil")</f>
        <v>Abrir facsímil</v>
      </c>
      <c r="K7273" s="3" t="s">
        <v>23</v>
      </c>
    </row>
    <row r="7274" spans="1:11" ht="42" customHeight="1">
      <c r="A7274" s="2" t="s">
        <v>18222</v>
      </c>
      <c r="B7274" s="2" t="s">
        <v>18223</v>
      </c>
      <c r="C7274" s="2" t="s">
        <v>26</v>
      </c>
      <c r="D7274" s="2" t="s">
        <v>27</v>
      </c>
      <c r="E7274" s="4">
        <v>-31940</v>
      </c>
      <c r="F7274" s="3" t="s">
        <v>187</v>
      </c>
      <c r="G7274" s="3" t="s">
        <v>404</v>
      </c>
      <c r="H7274" s="2" t="s">
        <v>21</v>
      </c>
      <c r="I7274" s="2" t="s">
        <v>18225</v>
      </c>
      <c r="J7274" s="3" t="str">
        <f>HYPERLINK("https://www.boe.es/gazeta/dias/1812/07/19/pdfs/GMD-1812-201.pdf#page=4","Abrir facsímil")</f>
        <v>Abrir facsímil</v>
      </c>
      <c r="K7274" s="3" t="s">
        <v>23</v>
      </c>
    </row>
    <row r="7275" spans="1:11" ht="42" customHeight="1">
      <c r="A7275" s="2" t="s">
        <v>18222</v>
      </c>
      <c r="B7275" s="2" t="s">
        <v>18223</v>
      </c>
      <c r="C7275" s="2" t="s">
        <v>17</v>
      </c>
      <c r="D7275" s="2" t="s">
        <v>27</v>
      </c>
      <c r="E7275" s="4">
        <v>-31838</v>
      </c>
      <c r="F7275" s="3" t="s">
        <v>1452</v>
      </c>
      <c r="G7275" s="3" t="s">
        <v>29</v>
      </c>
      <c r="H7275" s="2" t="s">
        <v>21</v>
      </c>
      <c r="I7275" s="2" t="s">
        <v>18226</v>
      </c>
      <c r="J7275" s="3" t="str">
        <f>HYPERLINK("https://www.boe.es/gazeta/dias/1812/10/29/pdfs/GMR-1812-33.pdf#page=8","Abrir facsímil")</f>
        <v>Abrir facsímil</v>
      </c>
      <c r="K7275" s="3" t="s">
        <v>23</v>
      </c>
    </row>
    <row r="7276" spans="1:11" ht="42" customHeight="1">
      <c r="A7276" s="2" t="s">
        <v>18227</v>
      </c>
      <c r="B7276" s="2" t="s">
        <v>18228</v>
      </c>
      <c r="C7276" s="2" t="s">
        <v>26</v>
      </c>
      <c r="D7276" s="2" t="s">
        <v>27</v>
      </c>
      <c r="E7276" s="4">
        <v>-31922</v>
      </c>
      <c r="F7276" s="3" t="s">
        <v>622</v>
      </c>
      <c r="G7276" s="3" t="s">
        <v>623</v>
      </c>
      <c r="H7276" s="2" t="s">
        <v>21</v>
      </c>
      <c r="I7276" s="2" t="s">
        <v>18229</v>
      </c>
      <c r="J7276" s="3" t="str">
        <f>HYPERLINK("https://www.boe.es/gazeta/dias/1812/08/06/pdfs/GMD-1812-219.pdf#page=1","Abrir facsímil")</f>
        <v>Abrir facsímil</v>
      </c>
      <c r="K7276" s="3" t="s">
        <v>23</v>
      </c>
    </row>
    <row r="7277" spans="1:11" ht="42" customHeight="1">
      <c r="A7277" s="2" t="s">
        <v>18230</v>
      </c>
      <c r="B7277" s="2" t="s">
        <v>18231</v>
      </c>
      <c r="C7277" s="2" t="s">
        <v>17</v>
      </c>
      <c r="D7277" s="2" t="s">
        <v>27</v>
      </c>
      <c r="E7277" s="4">
        <v>-32067</v>
      </c>
      <c r="F7277" s="3" t="s">
        <v>199</v>
      </c>
      <c r="G7277" s="3" t="s">
        <v>237</v>
      </c>
      <c r="H7277" s="2" t="s">
        <v>21</v>
      </c>
      <c r="I7277" s="2" t="s">
        <v>18232</v>
      </c>
      <c r="J7277" s="3" t="str">
        <f>HYPERLINK("https://www.boe.es/gazeta/dias/1812/03/14/pdfs/GRE-1812-33.pdf#page=8","Abrir facsímil")</f>
        <v>Abrir facsímil</v>
      </c>
      <c r="K7277" s="3" t="s">
        <v>23</v>
      </c>
    </row>
    <row r="7278" spans="1:11" ht="42" customHeight="1">
      <c r="A7278" s="2" t="s">
        <v>18233</v>
      </c>
      <c r="B7278" s="2" t="s">
        <v>18234</v>
      </c>
      <c r="C7278" s="2" t="s">
        <v>26</v>
      </c>
      <c r="D7278" s="2" t="s">
        <v>275</v>
      </c>
      <c r="E7278" s="4">
        <v>-32034</v>
      </c>
      <c r="F7278" s="3" t="s">
        <v>28</v>
      </c>
      <c r="G7278" s="3" t="s">
        <v>20</v>
      </c>
      <c r="H7278" s="2" t="s">
        <v>21</v>
      </c>
      <c r="I7278" s="2" t="s">
        <v>18235</v>
      </c>
      <c r="J7278" s="3" t="str">
        <f>HYPERLINK("https://www.boe.es/gazeta/dias/1812/04/16/pdfs/GMD-1812-107.pdf#page=3","Abrir facsímil")</f>
        <v>Abrir facsímil</v>
      </c>
      <c r="K7278" s="3" t="s">
        <v>23</v>
      </c>
    </row>
    <row r="7279" spans="1:11" ht="42" customHeight="1">
      <c r="A7279" s="2" t="s">
        <v>18236</v>
      </c>
      <c r="B7279" s="2" t="s">
        <v>18237</v>
      </c>
      <c r="C7279" s="2" t="s">
        <v>26</v>
      </c>
      <c r="D7279" s="2" t="s">
        <v>27</v>
      </c>
      <c r="E7279" s="4">
        <v>-32066</v>
      </c>
      <c r="F7279" s="3" t="s">
        <v>291</v>
      </c>
      <c r="G7279" s="3" t="s">
        <v>125</v>
      </c>
      <c r="H7279" s="2" t="s">
        <v>21</v>
      </c>
      <c r="I7279" s="2" t="s">
        <v>18238</v>
      </c>
      <c r="J7279" s="3" t="str">
        <f>HYPERLINK("https://www.boe.es/gazeta/dias/1812/03/15/pdfs/GMD-1812-75.pdf#page=4","Abrir facsímil")</f>
        <v>Abrir facsímil</v>
      </c>
      <c r="K7279" s="3" t="s">
        <v>23</v>
      </c>
    </row>
    <row r="7280" spans="1:11" ht="42" customHeight="1">
      <c r="A7280" s="2" t="s">
        <v>18239</v>
      </c>
      <c r="B7280" s="2" t="s">
        <v>18240</v>
      </c>
      <c r="C7280" s="2" t="s">
        <v>26</v>
      </c>
      <c r="D7280" s="2" t="s">
        <v>27</v>
      </c>
      <c r="E7280" s="4">
        <v>-32090</v>
      </c>
      <c r="F7280" s="3" t="s">
        <v>142</v>
      </c>
      <c r="G7280" s="3" t="s">
        <v>29</v>
      </c>
      <c r="H7280" s="2" t="s">
        <v>21</v>
      </c>
      <c r="I7280" s="2" t="s">
        <v>18241</v>
      </c>
      <c r="J7280" s="3" t="str">
        <f>HYPERLINK("https://www.boe.es/gazeta/dias/1812/02/20/pdfs/GRE-1812-22.pdf#page=8","Abrir facsímil")</f>
        <v>Abrir facsímil</v>
      </c>
      <c r="K7280" s="3" t="s">
        <v>23</v>
      </c>
    </row>
    <row r="7281" spans="1:11" ht="42" customHeight="1">
      <c r="A7281" s="2" t="s">
        <v>18239</v>
      </c>
      <c r="B7281" s="2" t="s">
        <v>18240</v>
      </c>
      <c r="C7281" s="2" t="s">
        <v>26</v>
      </c>
      <c r="D7281" s="2" t="s">
        <v>27</v>
      </c>
      <c r="E7281" s="4">
        <v>-31940</v>
      </c>
      <c r="F7281" s="3" t="s">
        <v>187</v>
      </c>
      <c r="G7281" s="3" t="s">
        <v>404</v>
      </c>
      <c r="H7281" s="2" t="s">
        <v>21</v>
      </c>
      <c r="I7281" s="2" t="s">
        <v>18242</v>
      </c>
      <c r="J7281" s="3" t="str">
        <f>HYPERLINK("https://www.boe.es/gazeta/dias/1812/07/19/pdfs/GMD-1812-201.pdf#page=3","Abrir facsímil")</f>
        <v>Abrir facsímil</v>
      </c>
      <c r="K7281" s="3" t="s">
        <v>23</v>
      </c>
    </row>
    <row r="7282" spans="1:11" ht="42" customHeight="1">
      <c r="A7282" s="2" t="s">
        <v>18243</v>
      </c>
      <c r="B7282" s="2" t="s">
        <v>18244</v>
      </c>
      <c r="C7282" s="2" t="s">
        <v>26</v>
      </c>
      <c r="D7282" s="2" t="s">
        <v>27</v>
      </c>
      <c r="E7282" s="4">
        <v>-32130</v>
      </c>
      <c r="F7282" s="3" t="s">
        <v>927</v>
      </c>
      <c r="G7282" s="3" t="s">
        <v>130</v>
      </c>
      <c r="H7282" s="2" t="s">
        <v>21</v>
      </c>
      <c r="I7282" s="2" t="s">
        <v>18245</v>
      </c>
      <c r="J7282" s="3" t="str">
        <f>HYPERLINK("https://www.boe.es/gazeta/dias/1812/01/11/pdfs/GMD-1812-11.pdf#page=4","Abrir facsímil")</f>
        <v>Abrir facsímil</v>
      </c>
      <c r="K7282" s="3" t="s">
        <v>23</v>
      </c>
    </row>
    <row r="7283" spans="1:11" ht="42" customHeight="1">
      <c r="A7283" s="2" t="s">
        <v>18243</v>
      </c>
      <c r="B7283" s="2" t="s">
        <v>18244</v>
      </c>
      <c r="C7283" s="2" t="s">
        <v>26</v>
      </c>
      <c r="D7283" s="2" t="s">
        <v>27</v>
      </c>
      <c r="E7283" s="4">
        <v>-32000</v>
      </c>
      <c r="F7283" s="3" t="s">
        <v>878</v>
      </c>
      <c r="G7283" s="3" t="s">
        <v>214</v>
      </c>
      <c r="H7283" s="2" t="s">
        <v>21</v>
      </c>
      <c r="I7283" s="2" t="s">
        <v>18246</v>
      </c>
      <c r="J7283" s="3" t="str">
        <f>HYPERLINK("https://www.boe.es/gazeta/dias/1812/05/20/pdfs/GMD-1812-141.pdf#page=2","Abrir facsímil")</f>
        <v>Abrir facsímil</v>
      </c>
      <c r="K7283" s="3" t="s">
        <v>23</v>
      </c>
    </row>
    <row r="7284" spans="1:11" ht="42" customHeight="1">
      <c r="A7284" s="2" t="s">
        <v>18247</v>
      </c>
      <c r="B7284" s="2" t="s">
        <v>18248</v>
      </c>
      <c r="C7284" s="2" t="s">
        <v>26</v>
      </c>
      <c r="D7284" s="2" t="s">
        <v>27</v>
      </c>
      <c r="E7284" s="4">
        <v>-31833</v>
      </c>
      <c r="F7284" s="3" t="s">
        <v>267</v>
      </c>
      <c r="G7284" s="3" t="s">
        <v>268</v>
      </c>
      <c r="H7284" s="2" t="s">
        <v>21</v>
      </c>
      <c r="I7284" s="2" t="s">
        <v>18249</v>
      </c>
      <c r="J7284" s="3" t="str">
        <f>HYPERLINK("https://www.boe.es/gazeta/dias/1812/11/03/pdfs/GRE-1812-147.pdf#page=8","Abrir facsímil")</f>
        <v>Abrir facsímil</v>
      </c>
      <c r="K7284" s="3" t="s">
        <v>23</v>
      </c>
    </row>
    <row r="7285" spans="1:11" ht="42" customHeight="1">
      <c r="A7285" s="2" t="s">
        <v>18247</v>
      </c>
      <c r="B7285" s="2" t="s">
        <v>18248</v>
      </c>
      <c r="C7285" s="2" t="s">
        <v>26</v>
      </c>
      <c r="D7285" s="2" t="s">
        <v>27</v>
      </c>
      <c r="E7285" s="4">
        <v>-31816</v>
      </c>
      <c r="F7285" s="3" t="s">
        <v>270</v>
      </c>
      <c r="G7285" s="3" t="s">
        <v>271</v>
      </c>
      <c r="H7285" s="2" t="s">
        <v>21</v>
      </c>
      <c r="I7285" s="2" t="s">
        <v>18250</v>
      </c>
      <c r="J7285" s="3" t="str">
        <f>HYPERLINK("https://www.boe.es/gazeta/dias/1812/11/20/pdfs/GMR-1812-36.pdf#page=6","Abrir facsímil")</f>
        <v>Abrir facsímil</v>
      </c>
      <c r="K7285" s="3" t="s">
        <v>23</v>
      </c>
    </row>
    <row r="7286" spans="1:11" ht="42" customHeight="1">
      <c r="A7286" s="2" t="s">
        <v>18251</v>
      </c>
      <c r="B7286" s="2" t="s">
        <v>18252</v>
      </c>
      <c r="C7286" s="2" t="s">
        <v>26</v>
      </c>
      <c r="D7286" s="2" t="s">
        <v>27</v>
      </c>
      <c r="E7286" s="4">
        <v>-31939</v>
      </c>
      <c r="F7286" s="3" t="s">
        <v>408</v>
      </c>
      <c r="G7286" s="3" t="s">
        <v>20</v>
      </c>
      <c r="H7286" s="2" t="s">
        <v>21</v>
      </c>
      <c r="I7286" s="2" t="s">
        <v>18253</v>
      </c>
      <c r="J7286" s="3" t="str">
        <f>HYPERLINK("https://www.boe.es/gazeta/dias/1812/07/20/pdfs/GMD-1812-202.pdf#page=4","Abrir facsímil")</f>
        <v>Abrir facsímil</v>
      </c>
      <c r="K7286" s="3" t="s">
        <v>23</v>
      </c>
    </row>
    <row r="7287" spans="1:11" ht="42" customHeight="1">
      <c r="A7287" s="2" t="s">
        <v>18254</v>
      </c>
      <c r="B7287" s="2" t="s">
        <v>18255</v>
      </c>
      <c r="C7287" s="2" t="s">
        <v>26</v>
      </c>
      <c r="D7287" s="2" t="s">
        <v>27</v>
      </c>
      <c r="E7287" s="4">
        <v>-31833</v>
      </c>
      <c r="F7287" s="3" t="s">
        <v>267</v>
      </c>
      <c r="G7287" s="3" t="s">
        <v>268</v>
      </c>
      <c r="H7287" s="2" t="s">
        <v>21</v>
      </c>
      <c r="I7287" s="2" t="s">
        <v>18256</v>
      </c>
      <c r="J7287" s="3" t="str">
        <f>HYPERLINK("https://www.boe.es/gazeta/dias/1812/11/03/pdfs/GRE-1812-147.pdf#page=8","Abrir facsímil")</f>
        <v>Abrir facsímil</v>
      </c>
      <c r="K7287" s="3" t="s">
        <v>23</v>
      </c>
    </row>
    <row r="7288" spans="1:11" ht="42" customHeight="1">
      <c r="A7288" s="2" t="s">
        <v>18257</v>
      </c>
      <c r="B7288" s="2" t="s">
        <v>18257</v>
      </c>
      <c r="C7288" s="2" t="s">
        <v>17</v>
      </c>
      <c r="D7288" s="2" t="s">
        <v>18</v>
      </c>
      <c r="E7288" s="4">
        <v>-31861</v>
      </c>
      <c r="F7288" s="3" t="s">
        <v>1080</v>
      </c>
      <c r="G7288" s="3" t="s">
        <v>125</v>
      </c>
      <c r="H7288" s="2" t="s">
        <v>21</v>
      </c>
      <c r="I7288" s="2" t="s">
        <v>18258</v>
      </c>
      <c r="J7288" s="3" t="str">
        <f>HYPERLINK("https://www.boe.es/gazeta/dias/1812/10/06/pdfs/GMR-1812-23.pdf#page=3","Abrir facsímil")</f>
        <v>Abrir facsímil</v>
      </c>
      <c r="K7288" s="3" t="s">
        <v>23</v>
      </c>
    </row>
    <row r="7289" spans="1:11" ht="42" customHeight="1">
      <c r="A7289" s="2" t="s">
        <v>18259</v>
      </c>
      <c r="B7289" s="2" t="s">
        <v>18259</v>
      </c>
      <c r="C7289" s="2" t="s">
        <v>17</v>
      </c>
      <c r="D7289" s="2" t="s">
        <v>27</v>
      </c>
      <c r="E7289" s="4">
        <v>-31829</v>
      </c>
      <c r="F7289" s="3" t="s">
        <v>328</v>
      </c>
      <c r="G7289" s="3" t="s">
        <v>1842</v>
      </c>
      <c r="H7289" s="2" t="s">
        <v>21</v>
      </c>
      <c r="I7289" s="2" t="s">
        <v>18260</v>
      </c>
      <c r="J7289" s="3" t="str">
        <f>HYPERLINK("https://www.boe.es/gazeta/dias/1812/11/07/pdfs/GMD-1812-227.pdf#page=3","Abrir facsímil")</f>
        <v>Abrir facsímil</v>
      </c>
      <c r="K7289" s="3" t="s">
        <v>23</v>
      </c>
    </row>
    <row r="7290" spans="1:11" ht="42" customHeight="1">
      <c r="A7290" s="2" t="s">
        <v>18261</v>
      </c>
      <c r="B7290" s="2" t="s">
        <v>18261</v>
      </c>
      <c r="C7290" s="2" t="s">
        <v>82</v>
      </c>
      <c r="D7290" s="2" t="s">
        <v>27</v>
      </c>
      <c r="E7290" s="4">
        <v>-32093</v>
      </c>
      <c r="F7290" s="3" t="s">
        <v>4503</v>
      </c>
      <c r="G7290" s="3" t="s">
        <v>217</v>
      </c>
      <c r="H7290" s="2" t="s">
        <v>21</v>
      </c>
      <c r="I7290" s="2" t="s">
        <v>18262</v>
      </c>
      <c r="J7290" s="3" t="str">
        <f>HYPERLINK("https://www.boe.es/gazeta/dias/1812/02/17/pdfs/GMD-1812-48.pdf#page=1","Abrir facsímil")</f>
        <v>Abrir facsímil</v>
      </c>
      <c r="K7290" s="3" t="s">
        <v>23</v>
      </c>
    </row>
    <row r="7291" spans="1:11" ht="42" customHeight="1">
      <c r="A7291" s="2" t="s">
        <v>18263</v>
      </c>
      <c r="B7291" s="2" t="s">
        <v>18264</v>
      </c>
      <c r="C7291" s="2" t="s">
        <v>17</v>
      </c>
      <c r="D7291" s="2" t="s">
        <v>27</v>
      </c>
      <c r="E7291" s="4">
        <v>-32069</v>
      </c>
      <c r="F7291" s="3" t="s">
        <v>445</v>
      </c>
      <c r="G7291" s="3" t="s">
        <v>446</v>
      </c>
      <c r="H7291" s="2" t="s">
        <v>21</v>
      </c>
      <c r="I7291" s="2" t="s">
        <v>18265</v>
      </c>
      <c r="J7291" s="3" t="str">
        <f>HYPERLINK("https://www.boe.es/gazeta/dias/1812/03/12/pdfs/GRE-1812-32.pdf#page=8","Abrir facsímil")</f>
        <v>Abrir facsímil</v>
      </c>
      <c r="K7291" s="3" t="s">
        <v>23</v>
      </c>
    </row>
    <row r="7292" spans="1:11" ht="42" customHeight="1">
      <c r="A7292" s="2" t="s">
        <v>18266</v>
      </c>
      <c r="B7292" s="2" t="s">
        <v>18266</v>
      </c>
      <c r="C7292" s="2" t="s">
        <v>26</v>
      </c>
      <c r="D7292" s="2" t="s">
        <v>27</v>
      </c>
      <c r="E7292" s="4">
        <v>-32095</v>
      </c>
      <c r="F7292" s="3" t="s">
        <v>284</v>
      </c>
      <c r="G7292" s="3" t="s">
        <v>29</v>
      </c>
      <c r="H7292" s="2" t="s">
        <v>21</v>
      </c>
      <c r="I7292" s="2" t="s">
        <v>18267</v>
      </c>
      <c r="J7292" s="3" t="str">
        <f>HYPERLINK("https://www.boe.es/gazeta/dias/1812/02/15/pdfs/GRE-1812-20.pdf#page=8","Abrir facsímil")</f>
        <v>Abrir facsímil</v>
      </c>
      <c r="K7292" s="3" t="s">
        <v>23</v>
      </c>
    </row>
    <row r="7293" spans="1:11" ht="42" customHeight="1">
      <c r="A7293" s="2" t="s">
        <v>18268</v>
      </c>
      <c r="B7293" s="2" t="s">
        <v>18269</v>
      </c>
      <c r="C7293" s="2" t="s">
        <v>17</v>
      </c>
      <c r="D7293" s="2" t="s">
        <v>18</v>
      </c>
      <c r="E7293" s="4">
        <v>-31882</v>
      </c>
      <c r="F7293" s="3" t="s">
        <v>1200</v>
      </c>
      <c r="G7293" s="3" t="s">
        <v>18270</v>
      </c>
      <c r="H7293" s="2" t="s">
        <v>21</v>
      </c>
      <c r="I7293" s="2" t="s">
        <v>18271</v>
      </c>
      <c r="J7293" s="3" t="str">
        <f>HYPERLINK("https://www.boe.es/gazeta/dias/1812/09/15/pdfs/GRE-1812-125.pdf#page=4","Abrir facsímil")</f>
        <v>Abrir facsímil</v>
      </c>
      <c r="K7293" s="3" t="s">
        <v>23</v>
      </c>
    </row>
    <row r="7294" spans="1:11" ht="42" customHeight="1">
      <c r="A7294" s="2" t="s">
        <v>18272</v>
      </c>
      <c r="B7294" s="2" t="s">
        <v>18272</v>
      </c>
      <c r="C7294" s="2" t="s">
        <v>26</v>
      </c>
      <c r="D7294" s="2" t="s">
        <v>27</v>
      </c>
      <c r="E7294" s="4">
        <v>-32120</v>
      </c>
      <c r="F7294" s="3" t="s">
        <v>522</v>
      </c>
      <c r="G7294" s="3" t="s">
        <v>3758</v>
      </c>
      <c r="H7294" s="2" t="s">
        <v>21</v>
      </c>
      <c r="I7294" s="2" t="s">
        <v>18273</v>
      </c>
      <c r="J7294" s="3" t="str">
        <f>HYPERLINK("https://www.boe.es/gazeta/dias/1812/01/21/pdfs/GMD-1812-21.pdf#page=1","Abrir facsímil")</f>
        <v>Abrir facsímil</v>
      </c>
      <c r="K7294" s="3" t="s">
        <v>23</v>
      </c>
    </row>
    <row r="7295" spans="1:11" ht="42" customHeight="1">
      <c r="A7295" s="2" t="s">
        <v>18274</v>
      </c>
      <c r="B7295" s="2" t="s">
        <v>18274</v>
      </c>
      <c r="C7295" s="2" t="s">
        <v>49</v>
      </c>
      <c r="D7295" s="2" t="s">
        <v>275</v>
      </c>
      <c r="E7295" s="4">
        <v>-32120</v>
      </c>
      <c r="F7295" s="3" t="s">
        <v>522</v>
      </c>
      <c r="G7295" s="3" t="s">
        <v>3758</v>
      </c>
      <c r="H7295" s="2" t="s">
        <v>21</v>
      </c>
      <c r="I7295" s="2" t="s">
        <v>18275</v>
      </c>
      <c r="J7295" s="3" t="str">
        <f>HYPERLINK("https://www.boe.es/gazeta/dias/1812/01/21/pdfs/GMD-1812-21.pdf#page=1","Abrir facsímil")</f>
        <v>Abrir facsímil</v>
      </c>
      <c r="K7295" s="3" t="s">
        <v>23</v>
      </c>
    </row>
    <row r="7296" spans="1:11" ht="42" customHeight="1">
      <c r="A7296" s="2" t="s">
        <v>18276</v>
      </c>
      <c r="B7296" s="2" t="s">
        <v>18277</v>
      </c>
      <c r="C7296" s="2" t="s">
        <v>17</v>
      </c>
      <c r="D7296" s="2" t="s">
        <v>18</v>
      </c>
      <c r="E7296" s="4">
        <v>-31982</v>
      </c>
      <c r="F7296" s="3" t="s">
        <v>1630</v>
      </c>
      <c r="G7296" s="3" t="s">
        <v>1631</v>
      </c>
      <c r="H7296" s="2" t="s">
        <v>30</v>
      </c>
      <c r="I7296" s="2" t="s">
        <v>18278</v>
      </c>
      <c r="J7296" s="3" t="str">
        <f>HYPERLINK("https://www.boe.es/gazeta/dias/1812/06/07/pdfs/GMD-1812-159.pdf#page=4","Abrir facsímil")</f>
        <v>Abrir facsímil</v>
      </c>
      <c r="K7296" s="3" t="s">
        <v>32</v>
      </c>
    </row>
    <row r="7297" spans="1:11" ht="42" customHeight="1">
      <c r="A7297" s="2" t="s">
        <v>18279</v>
      </c>
      <c r="B7297" s="2" t="s">
        <v>18280</v>
      </c>
      <c r="C7297" s="2" t="s">
        <v>17</v>
      </c>
      <c r="D7297" s="2" t="s">
        <v>18</v>
      </c>
      <c r="E7297" s="4">
        <v>-32039</v>
      </c>
      <c r="F7297" s="3" t="s">
        <v>557</v>
      </c>
      <c r="G7297" s="3" t="s">
        <v>20</v>
      </c>
      <c r="H7297" s="2" t="s">
        <v>30</v>
      </c>
      <c r="I7297" s="2" t="s">
        <v>18281</v>
      </c>
      <c r="J7297" s="3" t="str">
        <f>HYPERLINK("https://www.boe.es/gazeta/dias/1812/04/11/pdfs/GMD-1812-102.pdf#page=4","Abrir facsímil")</f>
        <v>Abrir facsímil</v>
      </c>
      <c r="K7297" s="3" t="s">
        <v>32</v>
      </c>
    </row>
    <row r="7298" spans="1:11" ht="42" customHeight="1">
      <c r="A7298" s="2" t="s">
        <v>18282</v>
      </c>
      <c r="B7298" s="2" t="s">
        <v>18283</v>
      </c>
      <c r="C7298" s="2" t="s">
        <v>26</v>
      </c>
      <c r="D7298" s="2" t="s">
        <v>134</v>
      </c>
      <c r="E7298" s="4">
        <v>-31955</v>
      </c>
      <c r="F7298" s="3" t="s">
        <v>135</v>
      </c>
      <c r="G7298" s="3" t="s">
        <v>136</v>
      </c>
      <c r="H7298" s="2" t="s">
        <v>30</v>
      </c>
      <c r="I7298" s="2" t="s">
        <v>18284</v>
      </c>
      <c r="J7298" s="3" t="str">
        <f>HYPERLINK("https://www.boe.es/gazeta/dias/1812/07/04/pdfs/GRE-F-1812-82.pdf#page=8","Abrir facsímil")</f>
        <v>Abrir facsímil</v>
      </c>
      <c r="K7298" s="3" t="s">
        <v>32</v>
      </c>
    </row>
    <row r="7299" spans="1:11" ht="42" customHeight="1">
      <c r="A7299" s="2" t="s">
        <v>18282</v>
      </c>
      <c r="B7299" s="2" t="s">
        <v>18283</v>
      </c>
      <c r="C7299" s="2" t="s">
        <v>26</v>
      </c>
      <c r="D7299" s="2" t="s">
        <v>27</v>
      </c>
      <c r="E7299" s="4">
        <v>-31938</v>
      </c>
      <c r="F7299" s="3" t="s">
        <v>324</v>
      </c>
      <c r="G7299" s="3" t="s">
        <v>404</v>
      </c>
      <c r="H7299" s="2" t="s">
        <v>30</v>
      </c>
      <c r="I7299" s="2" t="s">
        <v>18285</v>
      </c>
      <c r="J7299" s="3" t="str">
        <f>HYPERLINK("https://www.boe.es/gazeta/dias/1812/07/21/pdfs/GMD-1812-203.pdf#page=4","Abrir facsímil")</f>
        <v>Abrir facsímil</v>
      </c>
      <c r="K7299" s="3" t="s">
        <v>32</v>
      </c>
    </row>
    <row r="7300" spans="1:11" ht="42" customHeight="1">
      <c r="A7300" s="2" t="s">
        <v>18286</v>
      </c>
      <c r="B7300" s="2" t="s">
        <v>18287</v>
      </c>
      <c r="C7300" s="2" t="s">
        <v>17</v>
      </c>
      <c r="D7300" s="2" t="s">
        <v>27</v>
      </c>
      <c r="E7300" s="4">
        <v>-32095</v>
      </c>
      <c r="F7300" s="3" t="s">
        <v>1099</v>
      </c>
      <c r="G7300" s="3" t="s">
        <v>438</v>
      </c>
      <c r="H7300" s="2" t="s">
        <v>30</v>
      </c>
      <c r="I7300" s="2" t="s">
        <v>18288</v>
      </c>
      <c r="J7300" s="3" t="str">
        <f>HYPERLINK("https://www.boe.es/gazeta/dias/1812/02/15/pdfs/GMD-1812-46.pdf#page=4","Abrir facsímil")</f>
        <v>Abrir facsímil</v>
      </c>
      <c r="K7300" s="3" t="s">
        <v>32</v>
      </c>
    </row>
    <row r="7301" spans="1:11" ht="42" customHeight="1">
      <c r="A7301" s="2" t="s">
        <v>18289</v>
      </c>
      <c r="B7301" s="2" t="s">
        <v>18290</v>
      </c>
      <c r="C7301" s="2" t="s">
        <v>26</v>
      </c>
      <c r="D7301" s="2" t="s">
        <v>27</v>
      </c>
      <c r="E7301" s="4">
        <v>-31859</v>
      </c>
      <c r="F7301" s="3" t="s">
        <v>158</v>
      </c>
      <c r="G7301" s="3" t="s">
        <v>159</v>
      </c>
      <c r="H7301" s="2" t="s">
        <v>30</v>
      </c>
      <c r="I7301" s="2" t="s">
        <v>18291</v>
      </c>
      <c r="J7301" s="3" t="str">
        <f>HYPERLINK("https://www.boe.es/gazeta/dias/1812/10/08/pdfs/GMR-1812-24.pdf#page=9","Abrir facsímil")</f>
        <v>Abrir facsímil</v>
      </c>
      <c r="K7301" s="3" t="s">
        <v>32</v>
      </c>
    </row>
    <row r="7302" spans="1:11" ht="42" customHeight="1">
      <c r="A7302" s="2" t="s">
        <v>18292</v>
      </c>
      <c r="B7302" s="2" t="s">
        <v>18293</v>
      </c>
      <c r="C7302" s="2" t="s">
        <v>17</v>
      </c>
      <c r="D7302" s="2" t="s">
        <v>18</v>
      </c>
      <c r="E7302" s="4">
        <v>-31928</v>
      </c>
      <c r="F7302" s="3" t="s">
        <v>7417</v>
      </c>
      <c r="G7302" s="3" t="s">
        <v>3409</v>
      </c>
      <c r="H7302" s="2" t="s">
        <v>30</v>
      </c>
      <c r="I7302" s="2" t="s">
        <v>18294</v>
      </c>
      <c r="J7302" s="3" t="str">
        <f>HYPERLINK("https://www.boe.es/gazeta/dias/1812/07/31/pdfs/GMD-1812-213.pdf#page=1","Abrir facsímil")</f>
        <v>Abrir facsímil</v>
      </c>
      <c r="K7302" s="3" t="s">
        <v>32</v>
      </c>
    </row>
    <row r="7303" spans="1:11" ht="42" customHeight="1">
      <c r="A7303" s="2" t="s">
        <v>18295</v>
      </c>
      <c r="B7303" s="2" t="s">
        <v>18296</v>
      </c>
      <c r="C7303" s="2" t="s">
        <v>26</v>
      </c>
      <c r="D7303" s="2" t="s">
        <v>27</v>
      </c>
      <c r="E7303" s="4">
        <v>-32066</v>
      </c>
      <c r="F7303" s="3" t="s">
        <v>291</v>
      </c>
      <c r="G7303" s="3" t="s">
        <v>125</v>
      </c>
      <c r="H7303" s="2" t="s">
        <v>30</v>
      </c>
      <c r="I7303" s="2" t="s">
        <v>18297</v>
      </c>
      <c r="J7303" s="3" t="str">
        <f>HYPERLINK("https://www.boe.es/gazeta/dias/1812/03/15/pdfs/GMD-1812-75.pdf#page=4","Abrir facsímil")</f>
        <v>Abrir facsímil</v>
      </c>
      <c r="K7303" s="3" t="s">
        <v>32</v>
      </c>
    </row>
    <row r="7304" spans="1:11" ht="42" customHeight="1">
      <c r="A7304" s="2" t="s">
        <v>18298</v>
      </c>
      <c r="B7304" s="2" t="s">
        <v>18298</v>
      </c>
      <c r="C7304" s="2" t="s">
        <v>17</v>
      </c>
      <c r="D7304" s="2" t="s">
        <v>27</v>
      </c>
      <c r="E7304" s="4">
        <v>-31978</v>
      </c>
      <c r="F7304" s="3" t="s">
        <v>527</v>
      </c>
      <c r="G7304" s="3" t="s">
        <v>217</v>
      </c>
      <c r="H7304" s="2" t="s">
        <v>21</v>
      </c>
      <c r="I7304" s="2" t="s">
        <v>18299</v>
      </c>
      <c r="J7304" s="3" t="str">
        <f>HYPERLINK("https://www.boe.es/gazeta/dias/1812/06/11/pdfs/GMD-1812-163.pdf#page=1","Abrir facsímil")</f>
        <v>Abrir facsímil</v>
      </c>
      <c r="K7304" s="3" t="s">
        <v>23</v>
      </c>
    </row>
    <row r="7305" spans="1:11" ht="42" customHeight="1">
      <c r="A7305" s="2" t="s">
        <v>18300</v>
      </c>
      <c r="B7305" s="2" t="s">
        <v>18300</v>
      </c>
      <c r="C7305" s="2" t="s">
        <v>17</v>
      </c>
      <c r="D7305" s="2" t="s">
        <v>18</v>
      </c>
      <c r="E7305" s="4">
        <v>-31794</v>
      </c>
      <c r="F7305" s="3" t="s">
        <v>254</v>
      </c>
      <c r="G7305" s="3" t="s">
        <v>36</v>
      </c>
      <c r="H7305" s="2" t="s">
        <v>21</v>
      </c>
      <c r="I7305" s="2" t="s">
        <v>18301</v>
      </c>
      <c r="J7305" s="3" t="str">
        <f>HYPERLINK("https://www.boe.es/gazeta/dias/1812/12/12/pdfs/GMD-1812-235.pdf#page=3","Abrir facsímil")</f>
        <v>Abrir facsímil</v>
      </c>
      <c r="K7305" s="3" t="s">
        <v>23</v>
      </c>
    </row>
    <row r="7306" spans="1:11" ht="42" customHeight="1">
      <c r="A7306" s="2" t="s">
        <v>18302</v>
      </c>
      <c r="B7306" s="2" t="s">
        <v>18303</v>
      </c>
      <c r="C7306" s="2" t="s">
        <v>67</v>
      </c>
      <c r="D7306" s="2" t="s">
        <v>27</v>
      </c>
      <c r="E7306" s="4">
        <v>-31983</v>
      </c>
      <c r="F7306" s="3" t="s">
        <v>809</v>
      </c>
      <c r="G7306" s="3" t="s">
        <v>18304</v>
      </c>
      <c r="H7306" s="2" t="s">
        <v>21</v>
      </c>
      <c r="I7306" s="2" t="s">
        <v>18305</v>
      </c>
      <c r="J7306" s="3" t="str">
        <f>HYPERLINK("https://www.boe.es/gazeta/dias/1812/06/06/pdfs/GRE-1812-70.pdf#page=1","Abrir facsímil")</f>
        <v>Abrir facsímil</v>
      </c>
      <c r="K7306" s="3" t="s">
        <v>23</v>
      </c>
    </row>
    <row r="7307" spans="1:11" ht="42" customHeight="1">
      <c r="A7307" s="2" t="s">
        <v>18306</v>
      </c>
      <c r="B7307" s="2" t="s">
        <v>18307</v>
      </c>
      <c r="C7307" s="2" t="s">
        <v>26</v>
      </c>
      <c r="D7307" s="2" t="s">
        <v>275</v>
      </c>
      <c r="E7307" s="4">
        <v>-31964</v>
      </c>
      <c r="F7307" s="3" t="s">
        <v>305</v>
      </c>
      <c r="G7307" s="3" t="s">
        <v>58</v>
      </c>
      <c r="H7307" s="2" t="s">
        <v>21</v>
      </c>
      <c r="I7307" s="2" t="s">
        <v>18308</v>
      </c>
      <c r="J7307" s="3" t="str">
        <f>HYPERLINK("https://www.boe.es/gazeta/dias/1812/06/25/pdfs/GMD-1812-177.pdf#page=2","Abrir facsímil")</f>
        <v>Abrir facsímil</v>
      </c>
      <c r="K7307" s="3" t="s">
        <v>23</v>
      </c>
    </row>
    <row r="7308" spans="1:11" ht="42" customHeight="1">
      <c r="A7308" s="2" t="s">
        <v>18309</v>
      </c>
      <c r="B7308" s="2" t="s">
        <v>18309</v>
      </c>
      <c r="C7308" s="2" t="s">
        <v>17</v>
      </c>
      <c r="D7308" s="2" t="s">
        <v>27</v>
      </c>
      <c r="E7308" s="4">
        <v>-32139</v>
      </c>
      <c r="F7308" s="3" t="s">
        <v>288</v>
      </c>
      <c r="G7308" s="3" t="s">
        <v>101</v>
      </c>
      <c r="H7308" s="2" t="s">
        <v>21</v>
      </c>
      <c r="I7308" s="2" t="s">
        <v>18310</v>
      </c>
      <c r="J7308" s="3" t="str">
        <f>HYPERLINK("https://www.boe.es/gazeta/dias/1812/01/02/pdfs/GMD-1812-2.pdf#page=1","Abrir facsímil")</f>
        <v>Abrir facsímil</v>
      </c>
      <c r="K7308" s="3" t="s">
        <v>23</v>
      </c>
    </row>
    <row r="7309" spans="1:11" ht="42" customHeight="1">
      <c r="A7309" s="2" t="s">
        <v>18311</v>
      </c>
      <c r="B7309" s="2" t="s">
        <v>18311</v>
      </c>
      <c r="C7309" s="2" t="s">
        <v>67</v>
      </c>
      <c r="D7309" s="2" t="s">
        <v>194</v>
      </c>
      <c r="E7309" s="4">
        <v>-31945</v>
      </c>
      <c r="F7309" s="3" t="s">
        <v>9880</v>
      </c>
      <c r="G7309" s="3" t="s">
        <v>620</v>
      </c>
      <c r="H7309" s="2" t="s">
        <v>21</v>
      </c>
      <c r="I7309" s="2" t="s">
        <v>18312</v>
      </c>
      <c r="J7309" s="3" t="str">
        <f>HYPERLINK("https://www.boe.es/gazeta/dias/1812/07/14/pdfs/GMD-1812-196.pdf#page=3","Abrir facsímil")</f>
        <v>Abrir facsímil</v>
      </c>
      <c r="K7309" s="3" t="s">
        <v>23</v>
      </c>
    </row>
    <row r="7310" spans="1:11" ht="42" customHeight="1">
      <c r="A7310" s="2" t="s">
        <v>18313</v>
      </c>
      <c r="B7310" s="2" t="s">
        <v>18314</v>
      </c>
      <c r="C7310" s="2" t="s">
        <v>26</v>
      </c>
      <c r="D7310" s="2" t="s">
        <v>27</v>
      </c>
      <c r="E7310" s="4">
        <v>-31945</v>
      </c>
      <c r="F7310" s="3" t="s">
        <v>1485</v>
      </c>
      <c r="G7310" s="3" t="s">
        <v>1486</v>
      </c>
      <c r="H7310" s="2" t="s">
        <v>21</v>
      </c>
      <c r="I7310" s="2" t="s">
        <v>18315</v>
      </c>
      <c r="J7310" s="3" t="str">
        <f>HYPERLINK("https://www.boe.es/gazeta/dias/1812/07/14/pdfs/GRE-1812-88.pdf#page=1","Abrir facsímil")</f>
        <v>Abrir facsímil</v>
      </c>
      <c r="K7310" s="3" t="s">
        <v>23</v>
      </c>
    </row>
    <row r="7311" spans="1:11" ht="42" customHeight="1">
      <c r="A7311" s="2" t="s">
        <v>18316</v>
      </c>
      <c r="B7311" s="2" t="s">
        <v>18316</v>
      </c>
      <c r="C7311" s="2" t="s">
        <v>26</v>
      </c>
      <c r="D7311" s="2" t="s">
        <v>27</v>
      </c>
      <c r="E7311" s="4">
        <v>-31928</v>
      </c>
      <c r="F7311" s="3" t="s">
        <v>7417</v>
      </c>
      <c r="G7311" s="3" t="s">
        <v>3409</v>
      </c>
      <c r="H7311" s="2" t="s">
        <v>21</v>
      </c>
      <c r="I7311" s="2" t="s">
        <v>18317</v>
      </c>
      <c r="J7311" s="3" t="str">
        <f>HYPERLINK("https://www.boe.es/gazeta/dias/1812/07/31/pdfs/GMD-1812-213.pdf#page=1","Abrir facsímil")</f>
        <v>Abrir facsímil</v>
      </c>
      <c r="K7311" s="3" t="s">
        <v>23</v>
      </c>
    </row>
    <row r="7312" spans="1:11" ht="42" customHeight="1">
      <c r="A7312" s="2" t="s">
        <v>18318</v>
      </c>
      <c r="B7312" s="2" t="s">
        <v>18319</v>
      </c>
      <c r="C7312" s="2" t="s">
        <v>26</v>
      </c>
      <c r="D7312" s="2" t="s">
        <v>27</v>
      </c>
      <c r="E7312" s="4">
        <v>-31963</v>
      </c>
      <c r="F7312" s="3" t="s">
        <v>171</v>
      </c>
      <c r="G7312" s="3" t="s">
        <v>172</v>
      </c>
      <c r="H7312" s="2" t="s">
        <v>21</v>
      </c>
      <c r="I7312" s="2" t="s">
        <v>18320</v>
      </c>
      <c r="J7312" s="3" t="str">
        <f>HYPERLINK("https://www.boe.es/gazeta/dias/1812/06/26/pdfs/GMD-1812-178.pdf#page=3","Abrir facsímil")</f>
        <v>Abrir facsímil</v>
      </c>
      <c r="K7312" s="3" t="s">
        <v>23</v>
      </c>
    </row>
    <row r="7313" spans="1:11" ht="42" customHeight="1">
      <c r="A7313" s="2" t="s">
        <v>18321</v>
      </c>
      <c r="B7313" s="2" t="s">
        <v>18322</v>
      </c>
      <c r="C7313" s="2" t="s">
        <v>26</v>
      </c>
      <c r="D7313" s="2" t="s">
        <v>27</v>
      </c>
      <c r="E7313" s="4">
        <v>-31963</v>
      </c>
      <c r="F7313" s="3" t="s">
        <v>171</v>
      </c>
      <c r="G7313" s="3" t="s">
        <v>1653</v>
      </c>
      <c r="H7313" s="2" t="s">
        <v>21</v>
      </c>
      <c r="I7313" s="2" t="s">
        <v>18323</v>
      </c>
      <c r="J7313" s="3" t="str">
        <f>HYPERLINK("https://www.boe.es/gazeta/dias/1812/06/26/pdfs/GMD-1812-178.pdf#page=2","Abrir facsímil")</f>
        <v>Abrir facsímil</v>
      </c>
      <c r="K7313" s="3" t="s">
        <v>23</v>
      </c>
    </row>
    <row r="7314" spans="1:11" ht="42" customHeight="1">
      <c r="A7314" s="2" t="s">
        <v>18324</v>
      </c>
      <c r="B7314" s="2" t="s">
        <v>18325</v>
      </c>
      <c r="C7314" s="2" t="s">
        <v>67</v>
      </c>
      <c r="D7314" s="2" t="s">
        <v>27</v>
      </c>
      <c r="E7314" s="4">
        <v>-32103</v>
      </c>
      <c r="F7314" s="3" t="s">
        <v>1996</v>
      </c>
      <c r="G7314" s="3" t="s">
        <v>58</v>
      </c>
      <c r="H7314" s="2" t="s">
        <v>21</v>
      </c>
      <c r="I7314" s="2" t="s">
        <v>18326</v>
      </c>
      <c r="J7314" s="3" t="str">
        <f>HYPERLINK("https://www.boe.es/gazeta/dias/1812/02/07/pdfs/GMD-1812-38.pdf#page=4","Abrir facsímil")</f>
        <v>Abrir facsímil</v>
      </c>
      <c r="K7314" s="3" t="s">
        <v>23</v>
      </c>
    </row>
    <row r="7315" spans="1:11" ht="42" customHeight="1">
      <c r="A7315" s="2" t="s">
        <v>18327</v>
      </c>
      <c r="B7315" s="2" t="s">
        <v>18328</v>
      </c>
      <c r="C7315" s="2" t="s">
        <v>17</v>
      </c>
      <c r="D7315" s="2" t="s">
        <v>27</v>
      </c>
      <c r="E7315" s="4">
        <v>-31957</v>
      </c>
      <c r="F7315" s="3" t="s">
        <v>2173</v>
      </c>
      <c r="G7315" s="3" t="s">
        <v>1820</v>
      </c>
      <c r="H7315" s="2" t="s">
        <v>21</v>
      </c>
      <c r="I7315" s="2" t="s">
        <v>18329</v>
      </c>
      <c r="J7315" s="3" t="str">
        <f>HYPERLINK("https://www.boe.es/gazeta/dias/1812/07/02/pdfs/GRE-1812-81.pdf#page=4","Abrir facsímil")</f>
        <v>Abrir facsímil</v>
      </c>
      <c r="K7315" s="3" t="s">
        <v>23</v>
      </c>
    </row>
    <row r="7316" spans="1:11" ht="42" customHeight="1">
      <c r="A7316" s="2" t="s">
        <v>18330</v>
      </c>
      <c r="B7316" s="2" t="s">
        <v>18330</v>
      </c>
      <c r="C7316" s="2" t="s">
        <v>17</v>
      </c>
      <c r="D7316" s="2" t="s">
        <v>27</v>
      </c>
      <c r="E7316" s="4">
        <v>-32050</v>
      </c>
      <c r="F7316" s="3" t="s">
        <v>864</v>
      </c>
      <c r="G7316" s="3" t="s">
        <v>217</v>
      </c>
      <c r="H7316" s="2" t="s">
        <v>21</v>
      </c>
      <c r="I7316" s="2" t="s">
        <v>18331</v>
      </c>
      <c r="J7316" s="3" t="str">
        <f>HYPERLINK("https://www.boe.es/gazeta/dias/1812/03/31/pdfs/GRE-1812-40.pdf#page=3","Abrir facsímil")</f>
        <v>Abrir facsímil</v>
      </c>
      <c r="K7316" s="3" t="s">
        <v>23</v>
      </c>
    </row>
    <row r="7317" spans="1:11" ht="42" customHeight="1">
      <c r="A7317" s="2" t="s">
        <v>18332</v>
      </c>
      <c r="B7317" s="2" t="s">
        <v>18333</v>
      </c>
      <c r="C7317" s="2" t="s">
        <v>26</v>
      </c>
      <c r="D7317" s="2" t="s">
        <v>27</v>
      </c>
      <c r="E7317" s="4">
        <v>-32032</v>
      </c>
      <c r="F7317" s="3" t="s">
        <v>421</v>
      </c>
      <c r="G7317" s="3" t="s">
        <v>217</v>
      </c>
      <c r="H7317" s="2" t="s">
        <v>21</v>
      </c>
      <c r="I7317" s="2" t="s">
        <v>18334</v>
      </c>
      <c r="J7317" s="3" t="str">
        <f>HYPERLINK("https://www.boe.es/gazeta/dias/1812/04/18/pdfs/GRE-1812-49.pdf#page=7","Abrir facsímil")</f>
        <v>Abrir facsímil</v>
      </c>
      <c r="K7317" s="3" t="s">
        <v>23</v>
      </c>
    </row>
    <row r="7318" spans="1:11" ht="42" customHeight="1">
      <c r="A7318" s="2" t="s">
        <v>18335</v>
      </c>
      <c r="B7318" s="2" t="s">
        <v>18336</v>
      </c>
      <c r="C7318" s="2" t="s">
        <v>105</v>
      </c>
      <c r="D7318" s="2" t="s">
        <v>27</v>
      </c>
      <c r="E7318" s="4">
        <v>-32109</v>
      </c>
      <c r="F7318" s="3" t="s">
        <v>62</v>
      </c>
      <c r="G7318" s="3" t="s">
        <v>106</v>
      </c>
      <c r="H7318" s="2" t="s">
        <v>21</v>
      </c>
      <c r="I7318" s="2" t="s">
        <v>18337</v>
      </c>
      <c r="J7318" s="3" t="str">
        <f>HYPERLINK("https://www.boe.es/gazeta/dias/1812/02/01/pdfs/GRE-1812-14.pdf#page=11","Abrir facsímil")</f>
        <v>Abrir facsímil</v>
      </c>
      <c r="K7318" s="3" t="s">
        <v>23</v>
      </c>
    </row>
    <row r="7319" spans="1:11" ht="42" customHeight="1">
      <c r="A7319" s="2" t="s">
        <v>18338</v>
      </c>
      <c r="B7319" s="2" t="s">
        <v>18339</v>
      </c>
      <c r="C7319" s="2" t="s">
        <v>26</v>
      </c>
      <c r="D7319" s="2" t="s">
        <v>27</v>
      </c>
      <c r="E7319" s="4">
        <v>-31791</v>
      </c>
      <c r="F7319" s="3" t="s">
        <v>905</v>
      </c>
      <c r="G7319" s="3" t="s">
        <v>2551</v>
      </c>
      <c r="H7319" s="2" t="s">
        <v>21</v>
      </c>
      <c r="I7319" s="2" t="s">
        <v>18340</v>
      </c>
      <c r="J7319" s="3" t="str">
        <f>HYPERLINK("https://www.boe.es/gazeta/dias/1812/12/15/pdfs/GRE-1812-165.pdf#page=3","Abrir facsímil")</f>
        <v>Abrir facsímil</v>
      </c>
      <c r="K7319" s="3" t="s">
        <v>23</v>
      </c>
    </row>
    <row r="7320" spans="1:11" ht="42" customHeight="1">
      <c r="A7320" s="2" t="s">
        <v>18341</v>
      </c>
      <c r="B7320" s="2" t="s">
        <v>18342</v>
      </c>
      <c r="C7320" s="2" t="s">
        <v>26</v>
      </c>
      <c r="D7320" s="2" t="s">
        <v>27</v>
      </c>
      <c r="E7320" s="4">
        <v>-32034</v>
      </c>
      <c r="F7320" s="3" t="s">
        <v>28</v>
      </c>
      <c r="G7320" s="3" t="s">
        <v>317</v>
      </c>
      <c r="H7320" s="2" t="s">
        <v>21</v>
      </c>
      <c r="I7320" s="2" t="s">
        <v>18343</v>
      </c>
      <c r="J7320" s="3" t="str">
        <f>HYPERLINK("https://www.boe.es/gazeta/dias/1812/04/16/pdfs/GMD-1812-107.pdf#page=6","Abrir facsímil")</f>
        <v>Abrir facsímil</v>
      </c>
      <c r="K7320" s="3" t="s">
        <v>23</v>
      </c>
    </row>
    <row r="7321" spans="1:11" ht="42" customHeight="1">
      <c r="A7321" s="2" t="s">
        <v>18344</v>
      </c>
      <c r="B7321" s="2" t="s">
        <v>18345</v>
      </c>
      <c r="C7321" s="2" t="s">
        <v>26</v>
      </c>
      <c r="D7321" s="2" t="s">
        <v>27</v>
      </c>
      <c r="E7321" s="4">
        <v>-32132</v>
      </c>
      <c r="F7321" s="3" t="s">
        <v>484</v>
      </c>
      <c r="G7321" s="3" t="s">
        <v>485</v>
      </c>
      <c r="H7321" s="2" t="s">
        <v>21</v>
      </c>
      <c r="I7321" s="2" t="s">
        <v>18346</v>
      </c>
      <c r="J7321" s="3" t="str">
        <f>HYPERLINK("https://www.boe.es/gazeta/dias/1812/01/09/pdfs/GEI-1812-4.pdf#page=8","Abrir facsímil")</f>
        <v>Abrir facsímil</v>
      </c>
      <c r="K7321" s="3" t="s">
        <v>23</v>
      </c>
    </row>
    <row r="7322" spans="1:11" ht="42" customHeight="1">
      <c r="A7322" s="2" t="s">
        <v>18347</v>
      </c>
      <c r="B7322" s="2" t="s">
        <v>18348</v>
      </c>
      <c r="C7322" s="2" t="s">
        <v>67</v>
      </c>
      <c r="D7322" s="2" t="s">
        <v>27</v>
      </c>
      <c r="E7322" s="4">
        <v>-31942</v>
      </c>
      <c r="F7322" s="3" t="s">
        <v>3065</v>
      </c>
      <c r="G7322" s="3" t="s">
        <v>3066</v>
      </c>
      <c r="H7322" s="2" t="s">
        <v>21</v>
      </c>
      <c r="I7322" s="2" t="s">
        <v>18349</v>
      </c>
      <c r="J7322" s="3" t="str">
        <f>HYPERLINK("https://www.boe.es/gazeta/dias/1812/07/17/pdfs/GMD-1812-199.pdf#page=3","Abrir facsímil")</f>
        <v>Abrir facsímil</v>
      </c>
      <c r="K7322" s="3" t="s">
        <v>23</v>
      </c>
    </row>
    <row r="7323" spans="1:11" ht="42" customHeight="1">
      <c r="A7323" s="2" t="s">
        <v>18350</v>
      </c>
      <c r="B7323" s="2" t="s">
        <v>18351</v>
      </c>
      <c r="C7323" s="2" t="s">
        <v>17</v>
      </c>
      <c r="D7323" s="2" t="s">
        <v>27</v>
      </c>
      <c r="E7323" s="4">
        <v>-31973</v>
      </c>
      <c r="F7323" s="3" t="s">
        <v>1735</v>
      </c>
      <c r="G7323" s="3" t="s">
        <v>125</v>
      </c>
      <c r="H7323" s="2" t="s">
        <v>21</v>
      </c>
      <c r="I7323" s="2" t="s">
        <v>18352</v>
      </c>
      <c r="J7323" s="3" t="str">
        <f>HYPERLINK("https://www.boe.es/gazeta/dias/1812/06/16/pdfs/GRE-1812-74.pdf#page=4","Abrir facsímil")</f>
        <v>Abrir facsímil</v>
      </c>
      <c r="K7323" s="3" t="s">
        <v>23</v>
      </c>
    </row>
    <row r="7324" spans="1:11" ht="42" customHeight="1">
      <c r="A7324" s="2" t="s">
        <v>18353</v>
      </c>
      <c r="B7324" s="2" t="s">
        <v>18354</v>
      </c>
      <c r="C7324" s="2" t="s">
        <v>17</v>
      </c>
      <c r="D7324" s="2" t="s">
        <v>18</v>
      </c>
      <c r="E7324" s="4">
        <v>-31951</v>
      </c>
      <c r="F7324" s="3" t="s">
        <v>1603</v>
      </c>
      <c r="G7324" s="3" t="s">
        <v>214</v>
      </c>
      <c r="H7324" s="2" t="s">
        <v>21</v>
      </c>
      <c r="I7324" s="2" t="s">
        <v>18355</v>
      </c>
      <c r="J7324" s="3" t="str">
        <f>HYPERLINK("https://www.boe.es/gazeta/dias/1812/07/08/pdfs/GMD-1812-190.pdf#page=4","Abrir facsímil")</f>
        <v>Abrir facsímil</v>
      </c>
      <c r="K7324" s="3" t="s">
        <v>23</v>
      </c>
    </row>
    <row r="7325" spans="1:11" ht="42" customHeight="1">
      <c r="A7325" s="2" t="s">
        <v>18356</v>
      </c>
      <c r="B7325" s="2" t="s">
        <v>18357</v>
      </c>
      <c r="C7325" s="2" t="s">
        <v>115</v>
      </c>
      <c r="D7325" s="2" t="s">
        <v>27</v>
      </c>
      <c r="E7325" s="4">
        <v>-31963</v>
      </c>
      <c r="F7325" s="3" t="s">
        <v>171</v>
      </c>
      <c r="G7325" s="3" t="s">
        <v>172</v>
      </c>
      <c r="H7325" s="2" t="s">
        <v>21</v>
      </c>
      <c r="I7325" s="2" t="s">
        <v>18358</v>
      </c>
      <c r="J7325" s="3" t="str">
        <f>HYPERLINK("https://www.boe.es/gazeta/dias/1812/06/26/pdfs/GMD-1812-178.pdf#page=3","Abrir facsímil")</f>
        <v>Abrir facsímil</v>
      </c>
      <c r="K7325" s="3" t="s">
        <v>23</v>
      </c>
    </row>
    <row r="7326" spans="1:11" ht="42" customHeight="1">
      <c r="A7326" s="2" t="s">
        <v>18359</v>
      </c>
      <c r="B7326" s="2" t="s">
        <v>18360</v>
      </c>
      <c r="C7326" s="2" t="s">
        <v>26</v>
      </c>
      <c r="D7326" s="2" t="s">
        <v>27</v>
      </c>
      <c r="E7326" s="4">
        <v>-31965</v>
      </c>
      <c r="F7326" s="3" t="s">
        <v>1180</v>
      </c>
      <c r="G7326" s="3" t="s">
        <v>777</v>
      </c>
      <c r="H7326" s="2" t="s">
        <v>21</v>
      </c>
      <c r="I7326" s="2" t="s">
        <v>18361</v>
      </c>
      <c r="J7326" s="3" t="str">
        <f>HYPERLINK("https://www.boe.es/gazeta/dias/1812/06/24/pdfs/GMD-1812-176.pdf#page=2","Abrir facsímil")</f>
        <v>Abrir facsímil</v>
      </c>
      <c r="K7326" s="3" t="s">
        <v>23</v>
      </c>
    </row>
    <row r="7327" spans="1:11" ht="42" customHeight="1">
      <c r="A7327" s="2" t="s">
        <v>18362</v>
      </c>
      <c r="B7327" s="2" t="s">
        <v>18363</v>
      </c>
      <c r="C7327" s="2" t="s">
        <v>26</v>
      </c>
      <c r="D7327" s="2" t="s">
        <v>27</v>
      </c>
      <c r="E7327" s="4">
        <v>-32034</v>
      </c>
      <c r="F7327" s="3" t="s">
        <v>28</v>
      </c>
      <c r="G7327" s="3" t="s">
        <v>317</v>
      </c>
      <c r="H7327" s="2" t="s">
        <v>21</v>
      </c>
      <c r="I7327" s="2" t="s">
        <v>12095</v>
      </c>
      <c r="J7327" s="3" t="str">
        <f>HYPERLINK("https://www.boe.es/gazeta/dias/1812/04/16/pdfs/GMD-1812-107.pdf#page=6","Abrir facsímil")</f>
        <v>Abrir facsímil</v>
      </c>
      <c r="K7327" s="3" t="s">
        <v>23</v>
      </c>
    </row>
    <row r="7328" spans="1:11" ht="42" customHeight="1">
      <c r="A7328" s="2" t="s">
        <v>18364</v>
      </c>
      <c r="B7328" s="2" t="s">
        <v>18365</v>
      </c>
      <c r="C7328" s="2" t="s">
        <v>26</v>
      </c>
      <c r="D7328" s="2" t="s">
        <v>27</v>
      </c>
      <c r="E7328" s="4">
        <v>-32034</v>
      </c>
      <c r="F7328" s="3" t="s">
        <v>1008</v>
      </c>
      <c r="G7328" s="3" t="s">
        <v>1009</v>
      </c>
      <c r="H7328" s="2" t="s">
        <v>21</v>
      </c>
      <c r="I7328" s="2" t="s">
        <v>18366</v>
      </c>
      <c r="J7328" s="3" t="str">
        <f>HYPERLINK("https://www.boe.es/gazeta/dias/1812/04/16/pdfs/GRE-1812-48.pdf#page=8","Abrir facsímil")</f>
        <v>Abrir facsímil</v>
      </c>
      <c r="K7328" s="3" t="s">
        <v>23</v>
      </c>
    </row>
    <row r="7329" spans="1:11" ht="42" customHeight="1">
      <c r="A7329" s="2" t="s">
        <v>18367</v>
      </c>
      <c r="B7329" s="2" t="s">
        <v>18368</v>
      </c>
      <c r="C7329" s="2" t="s">
        <v>26</v>
      </c>
      <c r="D7329" s="2" t="s">
        <v>27</v>
      </c>
      <c r="E7329" s="4">
        <v>-31929</v>
      </c>
      <c r="F7329" s="3" t="s">
        <v>1148</v>
      </c>
      <c r="G7329" s="3" t="s">
        <v>1301</v>
      </c>
      <c r="H7329" s="2" t="s">
        <v>21</v>
      </c>
      <c r="I7329" s="2" t="s">
        <v>18369</v>
      </c>
      <c r="J7329" s="3" t="str">
        <f>HYPERLINK("https://www.boe.es/gazeta/dias/1812/07/30/pdfs/GRE-1812-95.pdf#page=8","Abrir facsímil")</f>
        <v>Abrir facsímil</v>
      </c>
      <c r="K7329" s="3" t="s">
        <v>23</v>
      </c>
    </row>
    <row r="7330" spans="1:11" ht="42" customHeight="1">
      <c r="A7330" s="2" t="s">
        <v>18370</v>
      </c>
      <c r="B7330" s="2" t="s">
        <v>18371</v>
      </c>
      <c r="C7330" s="2" t="s">
        <v>17</v>
      </c>
      <c r="D7330" s="2" t="s">
        <v>27</v>
      </c>
      <c r="E7330" s="4">
        <v>-32011</v>
      </c>
      <c r="F7330" s="3" t="s">
        <v>1233</v>
      </c>
      <c r="G7330" s="3" t="s">
        <v>5406</v>
      </c>
      <c r="H7330" s="2" t="s">
        <v>21</v>
      </c>
      <c r="I7330" s="2" t="s">
        <v>18372</v>
      </c>
      <c r="J7330" s="3" t="str">
        <f>HYPERLINK("https://www.boe.es/gazeta/dias/1812/05/09/pdfs/GRE-1812-58.pdf#page=1","Abrir facsímil")</f>
        <v>Abrir facsímil</v>
      </c>
      <c r="K7330" s="3" t="s">
        <v>23</v>
      </c>
    </row>
    <row r="7331" spans="1:11" ht="42" customHeight="1">
      <c r="A7331" s="2" t="s">
        <v>18373</v>
      </c>
      <c r="B7331" s="2" t="s">
        <v>18374</v>
      </c>
      <c r="C7331" s="2" t="s">
        <v>17</v>
      </c>
      <c r="D7331" s="2" t="s">
        <v>18</v>
      </c>
      <c r="E7331" s="4">
        <v>-31992</v>
      </c>
      <c r="F7331" s="3" t="s">
        <v>1292</v>
      </c>
      <c r="G7331" s="3" t="s">
        <v>1424</v>
      </c>
      <c r="H7331" s="2" t="s">
        <v>30</v>
      </c>
      <c r="I7331" s="2" t="s">
        <v>18375</v>
      </c>
      <c r="J7331" s="3" t="str">
        <f>HYPERLINK("https://www.boe.es/gazeta/dias/1812/05/28/pdfs/GRE-1812-66.pdf#page=5","Abrir facsímil")</f>
        <v>Abrir facsímil</v>
      </c>
      <c r="K7331" s="3" t="s">
        <v>32</v>
      </c>
    </row>
    <row r="7332" spans="1:11" ht="42" customHeight="1">
      <c r="A7332" s="2" t="s">
        <v>18376</v>
      </c>
      <c r="B7332" s="2" t="s">
        <v>18376</v>
      </c>
      <c r="C7332" s="2" t="s">
        <v>115</v>
      </c>
      <c r="D7332" s="2" t="s">
        <v>27</v>
      </c>
      <c r="E7332" s="4">
        <v>-32029</v>
      </c>
      <c r="F7332" s="3" t="s">
        <v>3605</v>
      </c>
      <c r="G7332" s="3" t="s">
        <v>366</v>
      </c>
      <c r="H7332" s="2" t="s">
        <v>21</v>
      </c>
      <c r="I7332" s="2" t="s">
        <v>18377</v>
      </c>
      <c r="J7332" s="3" t="str">
        <f>HYPERLINK("https://www.boe.es/gazeta/dias/1812/04/21/pdfs/GMD-1812-112.pdf#page=4","Abrir facsímil")</f>
        <v>Abrir facsímil</v>
      </c>
      <c r="K7332" s="3" t="s">
        <v>23</v>
      </c>
    </row>
    <row r="7333" spans="1:11" ht="42" customHeight="1">
      <c r="A7333" s="2" t="s">
        <v>18378</v>
      </c>
      <c r="B7333" s="2" t="s">
        <v>18378</v>
      </c>
      <c r="C7333" s="2" t="s">
        <v>17</v>
      </c>
      <c r="D7333" s="2" t="s">
        <v>27</v>
      </c>
      <c r="E7333" s="4">
        <v>-31793</v>
      </c>
      <c r="F7333" s="3" t="s">
        <v>2570</v>
      </c>
      <c r="G7333" s="3" t="s">
        <v>217</v>
      </c>
      <c r="H7333" s="2" t="s">
        <v>21</v>
      </c>
      <c r="I7333" s="2" t="s">
        <v>18379</v>
      </c>
      <c r="J7333" s="3" t="str">
        <f>HYPERLINK("https://www.boe.es/gazeta/dias/1812/12/13/pdfs/GMD-1812-236.pdf#page=4","Abrir facsímil")</f>
        <v>Abrir facsímil</v>
      </c>
      <c r="K7333" s="3" t="s">
        <v>23</v>
      </c>
    </row>
    <row r="7334" spans="1:11" ht="42" customHeight="1">
      <c r="A7334" s="2" t="s">
        <v>18380</v>
      </c>
      <c r="B7334" s="2" t="s">
        <v>18381</v>
      </c>
      <c r="C7334" s="2" t="s">
        <v>26</v>
      </c>
      <c r="D7334" s="2" t="s">
        <v>275</v>
      </c>
      <c r="E7334" s="4">
        <v>-31815</v>
      </c>
      <c r="F7334" s="3" t="s">
        <v>1167</v>
      </c>
      <c r="G7334" s="3" t="s">
        <v>1168</v>
      </c>
      <c r="H7334" s="2" t="s">
        <v>21</v>
      </c>
      <c r="I7334" s="2" t="s">
        <v>18382</v>
      </c>
      <c r="J7334" s="3" t="str">
        <f>HYPERLINK("https://www.boe.es/gazeta/dias/1812/11/21/pdfs/GRE-1812-155.pdf#page=1","Abrir facsímil")</f>
        <v>Abrir facsímil</v>
      </c>
      <c r="K7334" s="3" t="s">
        <v>23</v>
      </c>
    </row>
    <row r="7335" spans="1:11" ht="42" customHeight="1">
      <c r="A7335" s="2" t="s">
        <v>18383</v>
      </c>
      <c r="B7335" s="2" t="s">
        <v>18384</v>
      </c>
      <c r="C7335" s="2" t="s">
        <v>26</v>
      </c>
      <c r="D7335" s="2" t="s">
        <v>134</v>
      </c>
      <c r="E7335" s="4">
        <v>-31955</v>
      </c>
      <c r="F7335" s="3" t="s">
        <v>135</v>
      </c>
      <c r="G7335" s="3" t="s">
        <v>514</v>
      </c>
      <c r="H7335" s="2" t="s">
        <v>21</v>
      </c>
      <c r="I7335" s="2" t="s">
        <v>18385</v>
      </c>
      <c r="J7335" s="3" t="str">
        <f>HYPERLINK("https://www.boe.es/gazeta/dias/1812/07/04/pdfs/GRE-F-1812-82.pdf#page=7","Abrir facsímil")</f>
        <v>Abrir facsímil</v>
      </c>
      <c r="K7335" s="3" t="s">
        <v>23</v>
      </c>
    </row>
    <row r="7336" spans="1:11" ht="42" customHeight="1">
      <c r="A7336" s="2" t="s">
        <v>18386</v>
      </c>
      <c r="B7336" s="2" t="s">
        <v>18387</v>
      </c>
      <c r="C7336" s="2" t="s">
        <v>549</v>
      </c>
      <c r="D7336" s="2" t="s">
        <v>27</v>
      </c>
      <c r="E7336" s="4">
        <v>-32074</v>
      </c>
      <c r="F7336" s="3" t="s">
        <v>816</v>
      </c>
      <c r="G7336" s="3" t="s">
        <v>777</v>
      </c>
      <c r="H7336" s="2" t="s">
        <v>21</v>
      </c>
      <c r="I7336" s="2" t="s">
        <v>18388</v>
      </c>
      <c r="J7336" s="3" t="str">
        <f>HYPERLINK("https://www.boe.es/gazeta/dias/1812/03/07/pdfs/GRE-1812-30.pdf#page=8","Abrir facsímil")</f>
        <v>Abrir facsímil</v>
      </c>
      <c r="K7336" s="3" t="s">
        <v>23</v>
      </c>
    </row>
    <row r="7337" spans="1:11" ht="42" customHeight="1">
      <c r="A7337" s="2" t="s">
        <v>18389</v>
      </c>
      <c r="B7337" s="2" t="s">
        <v>18390</v>
      </c>
      <c r="C7337" s="2" t="s">
        <v>26</v>
      </c>
      <c r="D7337" s="2" t="s">
        <v>27</v>
      </c>
      <c r="E7337" s="4">
        <v>-32137</v>
      </c>
      <c r="F7337" s="3" t="s">
        <v>355</v>
      </c>
      <c r="G7337" s="3" t="s">
        <v>117</v>
      </c>
      <c r="H7337" s="2" t="s">
        <v>21</v>
      </c>
      <c r="I7337" s="2" t="s">
        <v>18391</v>
      </c>
      <c r="J7337" s="3" t="str">
        <f>HYPERLINK("https://www.boe.es/gazeta/dias/1812/01/04/pdfs/GEI-1812-2.pdf#page=8","Abrir facsímil")</f>
        <v>Abrir facsímil</v>
      </c>
      <c r="K7337" s="3" t="s">
        <v>23</v>
      </c>
    </row>
    <row r="7338" spans="1:11" ht="42" customHeight="1">
      <c r="A7338" s="2" t="s">
        <v>18392</v>
      </c>
      <c r="B7338" s="2" t="s">
        <v>18393</v>
      </c>
      <c r="C7338" s="2" t="s">
        <v>26</v>
      </c>
      <c r="D7338" s="2" t="s">
        <v>134</v>
      </c>
      <c r="E7338" s="4">
        <v>-31983</v>
      </c>
      <c r="F7338" s="3" t="s">
        <v>1437</v>
      </c>
      <c r="G7338" s="3" t="s">
        <v>1438</v>
      </c>
      <c r="H7338" s="2" t="s">
        <v>21</v>
      </c>
      <c r="I7338" s="2" t="s">
        <v>18394</v>
      </c>
      <c r="J7338" s="3" t="str">
        <f>HYPERLINK("https://www.boe.es/gazeta/dias/1812/06/06/pdfs/GRE-F-1812-70.pdf#page=4","Abrir facsímil")</f>
        <v>Abrir facsímil</v>
      </c>
      <c r="K7338" s="3" t="s">
        <v>23</v>
      </c>
    </row>
    <row r="7339" spans="1:11" ht="42" customHeight="1">
      <c r="A7339" s="2" t="s">
        <v>18395</v>
      </c>
      <c r="B7339" s="2" t="s">
        <v>18396</v>
      </c>
      <c r="C7339" s="2" t="s">
        <v>186</v>
      </c>
      <c r="D7339" s="2" t="s">
        <v>275</v>
      </c>
      <c r="E7339" s="4">
        <v>-32127</v>
      </c>
      <c r="F7339" s="3" t="s">
        <v>88</v>
      </c>
      <c r="G7339" s="3" t="s">
        <v>89</v>
      </c>
      <c r="H7339" s="2" t="s">
        <v>21</v>
      </c>
      <c r="I7339" s="2" t="s">
        <v>18397</v>
      </c>
      <c r="J7339" s="3" t="str">
        <f>HYPERLINK("https://www.boe.es/gazeta/dias/1812/01/14/pdfs/GEI-1812-6.pdf#page=8","Abrir facsímil")</f>
        <v>Abrir facsímil</v>
      </c>
      <c r="K7339" s="3" t="s">
        <v>23</v>
      </c>
    </row>
    <row r="7340" spans="1:11" ht="42" customHeight="1">
      <c r="A7340" s="2" t="s">
        <v>18398</v>
      </c>
      <c r="B7340" s="2" t="s">
        <v>18399</v>
      </c>
      <c r="C7340" s="2" t="s">
        <v>549</v>
      </c>
      <c r="D7340" s="2" t="s">
        <v>27</v>
      </c>
      <c r="E7340" s="4">
        <v>-32095</v>
      </c>
      <c r="F7340" s="3" t="s">
        <v>284</v>
      </c>
      <c r="G7340" s="3" t="s">
        <v>29</v>
      </c>
      <c r="H7340" s="2" t="s">
        <v>21</v>
      </c>
      <c r="I7340" s="2" t="s">
        <v>18400</v>
      </c>
      <c r="J7340" s="3" t="str">
        <f>HYPERLINK("https://www.boe.es/gazeta/dias/1812/02/15/pdfs/GRE-1812-20.pdf#page=8","Abrir facsímil")</f>
        <v>Abrir facsímil</v>
      </c>
      <c r="K7340" s="3" t="s">
        <v>23</v>
      </c>
    </row>
    <row r="7341" spans="1:11" ht="42" customHeight="1">
      <c r="A7341" s="2" t="s">
        <v>18401</v>
      </c>
      <c r="B7341" s="2" t="s">
        <v>18402</v>
      </c>
      <c r="C7341" s="2" t="s">
        <v>82</v>
      </c>
      <c r="D7341" s="2" t="s">
        <v>27</v>
      </c>
      <c r="E7341" s="4">
        <v>-31957</v>
      </c>
      <c r="F7341" s="3" t="s">
        <v>598</v>
      </c>
      <c r="G7341" s="3" t="s">
        <v>599</v>
      </c>
      <c r="H7341" s="2" t="s">
        <v>21</v>
      </c>
      <c r="I7341" s="2" t="s">
        <v>18403</v>
      </c>
      <c r="J7341" s="3" t="str">
        <f>HYPERLINK("https://www.boe.es/gazeta/dias/1812/07/02/pdfs/GMD-1812-184.pdf#page=2","Abrir facsímil")</f>
        <v>Abrir facsímil</v>
      </c>
      <c r="K7341" s="3" t="s">
        <v>23</v>
      </c>
    </row>
    <row r="7342" spans="1:11" ht="42" customHeight="1">
      <c r="A7342" s="2" t="s">
        <v>18404</v>
      </c>
      <c r="B7342" s="2" t="s">
        <v>18405</v>
      </c>
      <c r="C7342" s="2" t="s">
        <v>49</v>
      </c>
      <c r="D7342" s="2" t="s">
        <v>27</v>
      </c>
      <c r="E7342" s="4">
        <v>-32088</v>
      </c>
      <c r="F7342" s="3" t="s">
        <v>250</v>
      </c>
      <c r="G7342" s="3" t="s">
        <v>1919</v>
      </c>
      <c r="H7342" s="2" t="s">
        <v>21</v>
      </c>
      <c r="I7342" s="2" t="s">
        <v>18406</v>
      </c>
      <c r="J7342" s="3" t="str">
        <f>HYPERLINK("https://www.boe.es/gazeta/dias/1812/02/22/pdfs/GRE-1812-23.pdf#page=7","Abrir facsímil")</f>
        <v>Abrir facsímil</v>
      </c>
      <c r="K7342" s="3" t="s">
        <v>23</v>
      </c>
    </row>
    <row r="7343" spans="1:11" ht="42" customHeight="1">
      <c r="A7343" s="2" t="s">
        <v>18407</v>
      </c>
      <c r="B7343" s="2" t="s">
        <v>18408</v>
      </c>
      <c r="C7343" s="2" t="s">
        <v>26</v>
      </c>
      <c r="D7343" s="2" t="s">
        <v>27</v>
      </c>
      <c r="E7343" s="4">
        <v>-31875</v>
      </c>
      <c r="F7343" s="3" t="s">
        <v>110</v>
      </c>
      <c r="G7343" s="3" t="s">
        <v>20</v>
      </c>
      <c r="H7343" s="2" t="s">
        <v>21</v>
      </c>
      <c r="I7343" s="2" t="s">
        <v>18409</v>
      </c>
      <c r="J7343" s="3" t="str">
        <f>HYPERLINK("https://www.boe.es/gazeta/dias/1812/09/22/pdfs/GRE-1812-128.pdf#page=3","Abrir facsímil")</f>
        <v>Abrir facsímil</v>
      </c>
      <c r="K7343" s="3" t="s">
        <v>23</v>
      </c>
    </row>
    <row r="7344" spans="1:11" ht="42" customHeight="1">
      <c r="A7344" s="2" t="s">
        <v>18410</v>
      </c>
      <c r="B7344" s="2" t="s">
        <v>18410</v>
      </c>
      <c r="C7344" s="2" t="s">
        <v>17</v>
      </c>
      <c r="D7344" s="2" t="s">
        <v>18</v>
      </c>
      <c r="E7344" s="4">
        <v>-32077</v>
      </c>
      <c r="F7344" s="3" t="s">
        <v>639</v>
      </c>
      <c r="G7344" s="3" t="s">
        <v>237</v>
      </c>
      <c r="H7344" s="2" t="s">
        <v>21</v>
      </c>
      <c r="I7344" s="2" t="s">
        <v>18411</v>
      </c>
      <c r="J7344" s="3" t="str">
        <f>HYPERLINK("https://www.boe.es/gazeta/dias/1812/03/04/pdfs/GMD-1812-64.pdf#page=4","Abrir facsímil")</f>
        <v>Abrir facsímil</v>
      </c>
      <c r="K7344" s="3" t="s">
        <v>23</v>
      </c>
    </row>
    <row r="7345" spans="1:11" ht="42" customHeight="1">
      <c r="A7345" s="2" t="s">
        <v>18412</v>
      </c>
      <c r="B7345" s="2" t="s">
        <v>18413</v>
      </c>
      <c r="C7345" s="2" t="s">
        <v>49</v>
      </c>
      <c r="D7345" s="2" t="s">
        <v>27</v>
      </c>
      <c r="E7345" s="4">
        <v>-31955</v>
      </c>
      <c r="F7345" s="3" t="s">
        <v>789</v>
      </c>
      <c r="G7345" s="3" t="s">
        <v>58</v>
      </c>
      <c r="H7345" s="2" t="s">
        <v>21</v>
      </c>
      <c r="I7345" s="2" t="s">
        <v>18414</v>
      </c>
      <c r="J7345" s="3" t="str">
        <f>HYPERLINK("https://www.boe.es/gazeta/dias/1812/07/04/pdfs/GRE-1812-82.pdf#page=3","Abrir facsímil")</f>
        <v>Abrir facsímil</v>
      </c>
      <c r="K7345" s="3" t="s">
        <v>23</v>
      </c>
    </row>
    <row r="7346" spans="1:11" ht="42" customHeight="1">
      <c r="A7346" s="2" t="s">
        <v>18412</v>
      </c>
      <c r="B7346" s="2" t="s">
        <v>18413</v>
      </c>
      <c r="C7346" s="2" t="s">
        <v>186</v>
      </c>
      <c r="D7346" s="2" t="s">
        <v>27</v>
      </c>
      <c r="E7346" s="4">
        <v>-31875</v>
      </c>
      <c r="F7346" s="3" t="s">
        <v>110</v>
      </c>
      <c r="G7346" s="3" t="s">
        <v>2373</v>
      </c>
      <c r="H7346" s="2" t="s">
        <v>21</v>
      </c>
      <c r="I7346" s="2" t="s">
        <v>18415</v>
      </c>
      <c r="J7346" s="3" t="str">
        <f>HYPERLINK("https://www.boe.es/gazeta/dias/1812/09/22/pdfs/GRE-1812-128.pdf#page=5","Abrir facsímil")</f>
        <v>Abrir facsímil</v>
      </c>
      <c r="K7346" s="3" t="s">
        <v>23</v>
      </c>
    </row>
    <row r="7347" spans="1:11" ht="42" customHeight="1">
      <c r="A7347" s="2" t="s">
        <v>18416</v>
      </c>
      <c r="B7347" s="2" t="s">
        <v>18417</v>
      </c>
      <c r="C7347" s="2" t="s">
        <v>26</v>
      </c>
      <c r="D7347" s="2" t="s">
        <v>27</v>
      </c>
      <c r="E7347" s="4">
        <v>-32127</v>
      </c>
      <c r="F7347" s="3" t="s">
        <v>88</v>
      </c>
      <c r="G7347" s="3" t="s">
        <v>89</v>
      </c>
      <c r="H7347" s="2" t="s">
        <v>21</v>
      </c>
      <c r="I7347" s="2" t="s">
        <v>18418</v>
      </c>
      <c r="J7347" s="3" t="str">
        <f>HYPERLINK("https://www.boe.es/gazeta/dias/1812/01/14/pdfs/GEI-1812-6.pdf#page=8","Abrir facsímil")</f>
        <v>Abrir facsímil</v>
      </c>
      <c r="K7347" s="3" t="s">
        <v>23</v>
      </c>
    </row>
    <row r="7348" spans="1:11" ht="42" customHeight="1">
      <c r="A7348" s="2" t="s">
        <v>18419</v>
      </c>
      <c r="B7348" s="2" t="s">
        <v>18420</v>
      </c>
      <c r="C7348" s="2" t="s">
        <v>115</v>
      </c>
      <c r="D7348" s="2" t="s">
        <v>27</v>
      </c>
      <c r="E7348" s="4">
        <v>-32006</v>
      </c>
      <c r="F7348" s="3" t="s">
        <v>1153</v>
      </c>
      <c r="G7348" s="3" t="s">
        <v>1154</v>
      </c>
      <c r="H7348" s="2" t="s">
        <v>21</v>
      </c>
      <c r="I7348" s="2" t="s">
        <v>18421</v>
      </c>
      <c r="J7348" s="3" t="str">
        <f>HYPERLINK("https://www.boe.es/gazeta/dias/1812/05/14/pdfs/GMD-1812-135.pdf#page=3","Abrir facsímil")</f>
        <v>Abrir facsímil</v>
      </c>
      <c r="K7348" s="3" t="s">
        <v>23</v>
      </c>
    </row>
    <row r="7349" spans="1:11" ht="42" customHeight="1">
      <c r="A7349" s="2" t="s">
        <v>18422</v>
      </c>
      <c r="B7349" s="2" t="s">
        <v>18423</v>
      </c>
      <c r="C7349" s="2" t="s">
        <v>17</v>
      </c>
      <c r="D7349" s="2" t="s">
        <v>27</v>
      </c>
      <c r="E7349" s="4">
        <v>-32039</v>
      </c>
      <c r="F7349" s="3" t="s">
        <v>1910</v>
      </c>
      <c r="G7349" s="3" t="s">
        <v>58</v>
      </c>
      <c r="H7349" s="2" t="s">
        <v>30</v>
      </c>
      <c r="I7349" s="2" t="s">
        <v>18424</v>
      </c>
      <c r="J7349" s="3" t="str">
        <f>HYPERLINK("https://www.boe.es/gazeta/dias/1812/04/11/pdfs/GRE-1812-46.pdf#page=4","Abrir facsímil")</f>
        <v>Abrir facsímil</v>
      </c>
      <c r="K7349" s="3" t="s">
        <v>32</v>
      </c>
    </row>
    <row r="7350" spans="1:11" ht="42" customHeight="1">
      <c r="A7350" s="2" t="s">
        <v>18425</v>
      </c>
      <c r="B7350" s="2" t="s">
        <v>18426</v>
      </c>
      <c r="C7350" s="2" t="s">
        <v>26</v>
      </c>
      <c r="D7350" s="2" t="s">
        <v>27</v>
      </c>
      <c r="E7350" s="4">
        <v>-31936</v>
      </c>
      <c r="F7350" s="3" t="s">
        <v>603</v>
      </c>
      <c r="G7350" s="3" t="s">
        <v>2410</v>
      </c>
      <c r="H7350" s="2" t="s">
        <v>21</v>
      </c>
      <c r="I7350" s="2" t="s">
        <v>18427</v>
      </c>
      <c r="J7350" s="3" t="str">
        <f>HYPERLINK("https://www.boe.es/gazeta/dias/1812/07/23/pdfs/GMD-1812-205.pdf#page=4","Abrir facsímil")</f>
        <v>Abrir facsímil</v>
      </c>
      <c r="K7350" s="3" t="s">
        <v>23</v>
      </c>
    </row>
    <row r="7351" spans="1:11" ht="42" customHeight="1">
      <c r="A7351" s="2" t="s">
        <v>18428</v>
      </c>
      <c r="B7351" s="2" t="s">
        <v>18429</v>
      </c>
      <c r="C7351" s="2" t="s">
        <v>26</v>
      </c>
      <c r="D7351" s="2" t="s">
        <v>27</v>
      </c>
      <c r="E7351" s="4">
        <v>-32000</v>
      </c>
      <c r="F7351" s="3" t="s">
        <v>878</v>
      </c>
      <c r="G7351" s="3" t="s">
        <v>214</v>
      </c>
      <c r="H7351" s="2" t="s">
        <v>21</v>
      </c>
      <c r="I7351" s="2" t="s">
        <v>18430</v>
      </c>
      <c r="J7351" s="3" t="str">
        <f>HYPERLINK("https://www.boe.es/gazeta/dias/1812/05/20/pdfs/GMD-1812-141.pdf#page=2","Abrir facsímil")</f>
        <v>Abrir facsímil</v>
      </c>
      <c r="K7351" s="3" t="s">
        <v>23</v>
      </c>
    </row>
    <row r="7352" spans="1:11" ht="42" customHeight="1">
      <c r="A7352" s="2" t="s">
        <v>18431</v>
      </c>
      <c r="B7352" s="2" t="s">
        <v>18432</v>
      </c>
      <c r="C7352" s="2" t="s">
        <v>26</v>
      </c>
      <c r="D7352" s="2" t="s">
        <v>27</v>
      </c>
      <c r="E7352" s="4">
        <v>-31994</v>
      </c>
      <c r="F7352" s="3" t="s">
        <v>207</v>
      </c>
      <c r="G7352" s="3" t="s">
        <v>1176</v>
      </c>
      <c r="H7352" s="2" t="s">
        <v>21</v>
      </c>
      <c r="I7352" s="2" t="s">
        <v>18433</v>
      </c>
      <c r="J7352" s="3" t="str">
        <f>HYPERLINK("https://www.boe.es/gazeta/dias/1812/05/26/pdfs/GRE-1812-65.pdf#page=8","Abrir facsímil")</f>
        <v>Abrir facsímil</v>
      </c>
      <c r="K7352" s="3" t="s">
        <v>23</v>
      </c>
    </row>
    <row r="7353" spans="1:11" ht="42" customHeight="1">
      <c r="A7353" s="2" t="s">
        <v>18434</v>
      </c>
      <c r="B7353" s="2" t="s">
        <v>18435</v>
      </c>
      <c r="C7353" s="2" t="s">
        <v>105</v>
      </c>
      <c r="D7353" s="2" t="s">
        <v>27</v>
      </c>
      <c r="E7353" s="4">
        <v>-31963</v>
      </c>
      <c r="F7353" s="3" t="s">
        <v>171</v>
      </c>
      <c r="G7353" s="3" t="s">
        <v>172</v>
      </c>
      <c r="H7353" s="2" t="s">
        <v>21</v>
      </c>
      <c r="I7353" s="2" t="s">
        <v>18436</v>
      </c>
      <c r="J7353" s="3" t="str">
        <f>HYPERLINK("https://www.boe.es/gazeta/dias/1812/06/26/pdfs/GMD-1812-178.pdf#page=3","Abrir facsímil")</f>
        <v>Abrir facsímil</v>
      </c>
      <c r="K7353" s="3" t="s">
        <v>23</v>
      </c>
    </row>
    <row r="7354" spans="1:11" ht="42" customHeight="1">
      <c r="A7354" s="2" t="s">
        <v>18437</v>
      </c>
      <c r="B7354" s="2" t="s">
        <v>18438</v>
      </c>
      <c r="C7354" s="2" t="s">
        <v>17</v>
      </c>
      <c r="D7354" s="2" t="s">
        <v>27</v>
      </c>
      <c r="E7354" s="4">
        <v>-31951</v>
      </c>
      <c r="F7354" s="3" t="s">
        <v>1603</v>
      </c>
      <c r="G7354" s="3" t="s">
        <v>214</v>
      </c>
      <c r="H7354" s="2" t="s">
        <v>21</v>
      </c>
      <c r="I7354" s="2" t="s">
        <v>18439</v>
      </c>
      <c r="J7354" s="3" t="str">
        <f>HYPERLINK("https://www.boe.es/gazeta/dias/1812/07/08/pdfs/GMD-1812-190.pdf#page=4","Abrir facsímil")</f>
        <v>Abrir facsímil</v>
      </c>
      <c r="K7354" s="3" t="s">
        <v>23</v>
      </c>
    </row>
    <row r="7355" spans="1:11" ht="42" customHeight="1">
      <c r="A7355" s="2" t="s">
        <v>18440</v>
      </c>
      <c r="B7355" s="2" t="s">
        <v>18440</v>
      </c>
      <c r="C7355" s="2" t="s">
        <v>17</v>
      </c>
      <c r="D7355" s="2" t="s">
        <v>275</v>
      </c>
      <c r="E7355" s="4">
        <v>-31836</v>
      </c>
      <c r="F7355" s="3" t="s">
        <v>729</v>
      </c>
      <c r="G7355" s="3" t="s">
        <v>11190</v>
      </c>
      <c r="H7355" s="2" t="s">
        <v>21</v>
      </c>
      <c r="I7355" s="2" t="s">
        <v>18441</v>
      </c>
      <c r="J7355" s="3" t="str">
        <f>HYPERLINK("https://www.boe.es/gazeta/dias/1812/10/31/pdfs/GRE-1812-146.pdf#page=3","Abrir facsímil")</f>
        <v>Abrir facsímil</v>
      </c>
      <c r="K7355" s="3" t="s">
        <v>23</v>
      </c>
    </row>
    <row r="7356" spans="1:11" ht="42" customHeight="1">
      <c r="A7356" s="2" t="s">
        <v>18442</v>
      </c>
      <c r="B7356" s="2" t="s">
        <v>18442</v>
      </c>
      <c r="C7356" s="2" t="s">
        <v>105</v>
      </c>
      <c r="D7356" s="2" t="s">
        <v>27</v>
      </c>
      <c r="E7356" s="4">
        <v>-31952</v>
      </c>
      <c r="F7356" s="3" t="s">
        <v>694</v>
      </c>
      <c r="G7356" s="3" t="s">
        <v>217</v>
      </c>
      <c r="H7356" s="2" t="s">
        <v>21</v>
      </c>
      <c r="I7356" s="2" t="s">
        <v>18443</v>
      </c>
      <c r="J7356" s="3" t="str">
        <f>HYPERLINK("https://www.boe.es/gazeta/dias/1812/07/07/pdfs/GMD-1812-189.pdf#page=1","Abrir facsímil")</f>
        <v>Abrir facsímil</v>
      </c>
      <c r="K7356" s="3" t="s">
        <v>23</v>
      </c>
    </row>
    <row r="7357" spans="1:11" ht="42" customHeight="1">
      <c r="A7357" s="2" t="s">
        <v>18444</v>
      </c>
      <c r="B7357" s="2" t="s">
        <v>18444</v>
      </c>
      <c r="C7357" s="2" t="s">
        <v>186</v>
      </c>
      <c r="D7357" s="2" t="s">
        <v>27</v>
      </c>
      <c r="E7357" s="4">
        <v>-31857</v>
      </c>
      <c r="F7357" s="3" t="s">
        <v>2176</v>
      </c>
      <c r="G7357" s="3" t="s">
        <v>20</v>
      </c>
      <c r="H7357" s="2" t="s">
        <v>21</v>
      </c>
      <c r="I7357" s="2" t="s">
        <v>18445</v>
      </c>
      <c r="J7357" s="3" t="str">
        <f>HYPERLINK("https://www.boe.es/gazeta/dias/1812/10/10/pdfs/GMR-1812-25.pdf#page=8","Abrir facsímil")</f>
        <v>Abrir facsímil</v>
      </c>
      <c r="K7357" s="3" t="s">
        <v>23</v>
      </c>
    </row>
    <row r="7358" spans="1:11" ht="42" customHeight="1">
      <c r="A7358" s="2" t="s">
        <v>18446</v>
      </c>
      <c r="B7358" s="2" t="s">
        <v>18447</v>
      </c>
      <c r="C7358" s="2" t="s">
        <v>17</v>
      </c>
      <c r="D7358" s="2" t="s">
        <v>275</v>
      </c>
      <c r="E7358" s="4">
        <v>-31955</v>
      </c>
      <c r="F7358" s="3" t="s">
        <v>135</v>
      </c>
      <c r="G7358" s="3" t="s">
        <v>58</v>
      </c>
      <c r="H7358" s="2" t="s">
        <v>21</v>
      </c>
      <c r="I7358" s="2" t="s">
        <v>18448</v>
      </c>
      <c r="J7358" s="3" t="str">
        <f>HYPERLINK("https://www.boe.es/gazeta/dias/1812/07/04/pdfs/GRE-F-1812-82.pdf#page=6","Abrir facsímil")</f>
        <v>Abrir facsímil</v>
      </c>
      <c r="K7358" s="3" t="s">
        <v>23</v>
      </c>
    </row>
    <row r="7359" spans="1:11" ht="42" customHeight="1">
      <c r="A7359" s="2" t="s">
        <v>18449</v>
      </c>
      <c r="B7359" s="2" t="s">
        <v>18450</v>
      </c>
      <c r="C7359" s="2" t="s">
        <v>17</v>
      </c>
      <c r="D7359" s="2" t="s">
        <v>27</v>
      </c>
      <c r="E7359" s="4">
        <v>-32055</v>
      </c>
      <c r="F7359" s="3" t="s">
        <v>459</v>
      </c>
      <c r="G7359" s="3" t="s">
        <v>20</v>
      </c>
      <c r="H7359" s="2" t="s">
        <v>21</v>
      </c>
      <c r="I7359" s="2" t="s">
        <v>18451</v>
      </c>
      <c r="J7359" s="3" t="str">
        <f>HYPERLINK("https://www.boe.es/gazeta/dias/1812/03/26/pdfs/GRE-1812-38.pdf#page=8","Abrir facsímil")</f>
        <v>Abrir facsímil</v>
      </c>
      <c r="K7359" s="3" t="s">
        <v>23</v>
      </c>
    </row>
    <row r="7360" spans="1:11" ht="42" customHeight="1">
      <c r="A7360" s="2" t="s">
        <v>18452</v>
      </c>
      <c r="B7360" s="2" t="s">
        <v>18453</v>
      </c>
      <c r="C7360" s="2" t="s">
        <v>67</v>
      </c>
      <c r="D7360" s="2" t="s">
        <v>194</v>
      </c>
      <c r="E7360" s="4">
        <v>-32064</v>
      </c>
      <c r="F7360" s="3" t="s">
        <v>12333</v>
      </c>
      <c r="G7360" s="3" t="s">
        <v>18454</v>
      </c>
      <c r="H7360" s="2" t="s">
        <v>21</v>
      </c>
      <c r="I7360" s="2" t="s">
        <v>18455</v>
      </c>
      <c r="J7360" s="3" t="str">
        <f>HYPERLINK("https://www.boe.es/gazeta/dias/1812/03/17/pdfs/GRE-1812-34.pdf#page=1","Abrir facsímil")</f>
        <v>Abrir facsímil</v>
      </c>
      <c r="K7360" s="3" t="s">
        <v>23</v>
      </c>
    </row>
    <row r="7361" spans="1:11" ht="42" customHeight="1">
      <c r="A7361" s="2" t="s">
        <v>18456</v>
      </c>
      <c r="B7361" s="2" t="s">
        <v>18457</v>
      </c>
      <c r="C7361" s="2" t="s">
        <v>17</v>
      </c>
      <c r="D7361" s="2" t="s">
        <v>194</v>
      </c>
      <c r="E7361" s="4">
        <v>-31817</v>
      </c>
      <c r="F7361" s="3" t="s">
        <v>454</v>
      </c>
      <c r="G7361" s="3" t="s">
        <v>1207</v>
      </c>
      <c r="H7361" s="2" t="s">
        <v>21</v>
      </c>
      <c r="I7361" s="2" t="s">
        <v>18458</v>
      </c>
      <c r="J7361" s="3" t="str">
        <f>HYPERLINK("https://www.boe.es/gazeta/dias/1812/11/19/pdfs/GRE-1812-154.pdf#page=4","Abrir facsímil")</f>
        <v>Abrir facsímil</v>
      </c>
      <c r="K7361" s="3" t="s">
        <v>23</v>
      </c>
    </row>
    <row r="7362" spans="1:11" ht="42" customHeight="1">
      <c r="A7362" s="2" t="s">
        <v>18459</v>
      </c>
      <c r="B7362" s="2" t="s">
        <v>18460</v>
      </c>
      <c r="C7362" s="2" t="s">
        <v>26</v>
      </c>
      <c r="D7362" s="2" t="s">
        <v>27</v>
      </c>
      <c r="E7362" s="4">
        <v>-31940</v>
      </c>
      <c r="F7362" s="3" t="s">
        <v>187</v>
      </c>
      <c r="G7362" s="3" t="s">
        <v>404</v>
      </c>
      <c r="H7362" s="2" t="s">
        <v>21</v>
      </c>
      <c r="I7362" s="2" t="s">
        <v>18461</v>
      </c>
      <c r="J7362" s="3" t="str">
        <f>HYPERLINK("https://www.boe.es/gazeta/dias/1812/07/19/pdfs/GMD-1812-201.pdf#page=4","Abrir facsímil")</f>
        <v>Abrir facsímil</v>
      </c>
      <c r="K7362" s="3" t="s">
        <v>23</v>
      </c>
    </row>
    <row r="7363" spans="1:11" ht="42" customHeight="1">
      <c r="A7363" s="2" t="s">
        <v>18462</v>
      </c>
      <c r="B7363" s="2" t="s">
        <v>18463</v>
      </c>
      <c r="C7363" s="2" t="s">
        <v>26</v>
      </c>
      <c r="D7363" s="2" t="s">
        <v>27</v>
      </c>
      <c r="E7363" s="4">
        <v>-31940</v>
      </c>
      <c r="F7363" s="3" t="s">
        <v>187</v>
      </c>
      <c r="G7363" s="3" t="s">
        <v>404</v>
      </c>
      <c r="H7363" s="2" t="s">
        <v>21</v>
      </c>
      <c r="I7363" s="2" t="s">
        <v>18464</v>
      </c>
      <c r="J7363" s="3" t="str">
        <f>HYPERLINK("https://www.boe.es/gazeta/dias/1812/07/19/pdfs/GMD-1812-201.pdf#page=4","Abrir facsímil")</f>
        <v>Abrir facsímil</v>
      </c>
      <c r="K7363" s="3" t="s">
        <v>23</v>
      </c>
    </row>
    <row r="7364" spans="1:11" ht="42" customHeight="1">
      <c r="A7364" s="2" t="s">
        <v>18465</v>
      </c>
      <c r="B7364" s="2" t="s">
        <v>18466</v>
      </c>
      <c r="C7364" s="2" t="s">
        <v>26</v>
      </c>
      <c r="D7364" s="2" t="s">
        <v>573</v>
      </c>
      <c r="E7364" s="4">
        <v>-31900</v>
      </c>
      <c r="F7364" s="3" t="s">
        <v>276</v>
      </c>
      <c r="G7364" s="3" t="s">
        <v>277</v>
      </c>
      <c r="H7364" s="2" t="s">
        <v>21</v>
      </c>
      <c r="I7364" s="2" t="s">
        <v>18467</v>
      </c>
      <c r="J7364" s="3" t="str">
        <f>HYPERLINK("https://www.boe.es/gazeta/dias/1812/08/28/pdfs/GRE-1812-113E.pdf#page=8","Abrir facsímil")</f>
        <v>Abrir facsímil</v>
      </c>
      <c r="K7364" s="3" t="s">
        <v>23</v>
      </c>
    </row>
    <row r="7365" spans="1:11" ht="42" customHeight="1">
      <c r="A7365" s="2" t="s">
        <v>18468</v>
      </c>
      <c r="B7365" s="2" t="s">
        <v>18469</v>
      </c>
      <c r="C7365" s="2" t="s">
        <v>26</v>
      </c>
      <c r="D7365" s="2" t="s">
        <v>27</v>
      </c>
      <c r="E7365" s="4">
        <v>-31954</v>
      </c>
      <c r="F7365" s="3" t="s">
        <v>692</v>
      </c>
      <c r="G7365" s="3" t="s">
        <v>214</v>
      </c>
      <c r="H7365" s="2" t="s">
        <v>21</v>
      </c>
      <c r="I7365" s="2" t="s">
        <v>18470</v>
      </c>
      <c r="J7365" s="3" t="str">
        <f>HYPERLINK("https://www.boe.es/gazeta/dias/1812/07/05/pdfs/GMD-1812-187.pdf#page=1","Abrir facsímil")</f>
        <v>Abrir facsímil</v>
      </c>
      <c r="K7365" s="3" t="s">
        <v>23</v>
      </c>
    </row>
    <row r="7366" spans="1:11" ht="42" customHeight="1">
      <c r="A7366" s="2" t="s">
        <v>18471</v>
      </c>
      <c r="B7366" s="2" t="s">
        <v>18472</v>
      </c>
      <c r="C7366" s="2" t="s">
        <v>26</v>
      </c>
      <c r="D7366" s="2" t="s">
        <v>27</v>
      </c>
      <c r="E7366" s="4">
        <v>-31875</v>
      </c>
      <c r="F7366" s="3" t="s">
        <v>708</v>
      </c>
      <c r="G7366" s="3" t="s">
        <v>2058</v>
      </c>
      <c r="H7366" s="2" t="s">
        <v>21</v>
      </c>
      <c r="I7366" s="2" t="s">
        <v>18473</v>
      </c>
      <c r="J7366" s="3" t="str">
        <f>HYPERLINK("https://www.boe.es/gazeta/dias/1812/09/22/pdfs/GMR-1812-17.pdf#page=11","Abrir facsímil")</f>
        <v>Abrir facsímil</v>
      </c>
      <c r="K7366" s="3" t="s">
        <v>23</v>
      </c>
    </row>
    <row r="7367" spans="1:11" ht="42" customHeight="1">
      <c r="A7367" s="2" t="s">
        <v>18474</v>
      </c>
      <c r="B7367" s="2" t="s">
        <v>18474</v>
      </c>
      <c r="C7367" s="2" t="s">
        <v>17</v>
      </c>
      <c r="D7367" s="2" t="s">
        <v>27</v>
      </c>
      <c r="E7367" s="4">
        <v>-31826</v>
      </c>
      <c r="F7367" s="3" t="s">
        <v>7488</v>
      </c>
      <c r="G7367" s="3" t="s">
        <v>1631</v>
      </c>
      <c r="H7367" s="2" t="s">
        <v>21</v>
      </c>
      <c r="I7367" s="2" t="s">
        <v>18475</v>
      </c>
      <c r="J7367" s="3" t="str">
        <f>HYPERLINK("https://www.boe.es/gazeta/dias/1812/11/10/pdfs/GRE-1812-150.pdf#page=4","Abrir facsímil")</f>
        <v>Abrir facsímil</v>
      </c>
      <c r="K7367" s="3" t="s">
        <v>23</v>
      </c>
    </row>
    <row r="7368" spans="1:11" ht="42" customHeight="1">
      <c r="A7368" s="2" t="s">
        <v>18476</v>
      </c>
      <c r="B7368" s="2" t="s">
        <v>18477</v>
      </c>
      <c r="C7368" s="2" t="s">
        <v>26</v>
      </c>
      <c r="D7368" s="2" t="s">
        <v>27</v>
      </c>
      <c r="E7368" s="4">
        <v>-31826</v>
      </c>
      <c r="F7368" s="3" t="s">
        <v>7488</v>
      </c>
      <c r="G7368" s="3" t="s">
        <v>8941</v>
      </c>
      <c r="H7368" s="2" t="s">
        <v>21</v>
      </c>
      <c r="I7368" s="2" t="s">
        <v>18478</v>
      </c>
      <c r="J7368" s="3" t="str">
        <f>HYPERLINK("https://www.boe.es/gazeta/dias/1812/11/10/pdfs/GRE-1812-150.pdf#page=7","Abrir facsímil")</f>
        <v>Abrir facsímil</v>
      </c>
      <c r="K7368" s="3" t="s">
        <v>23</v>
      </c>
    </row>
    <row r="7369" spans="1:11" ht="42" customHeight="1">
      <c r="A7369" s="2" t="s">
        <v>18479</v>
      </c>
      <c r="B7369" s="2" t="s">
        <v>18480</v>
      </c>
      <c r="C7369" s="2" t="s">
        <v>17</v>
      </c>
      <c r="D7369" s="2" t="s">
        <v>18</v>
      </c>
      <c r="E7369" s="4">
        <v>-31951</v>
      </c>
      <c r="F7369" s="3" t="s">
        <v>1603</v>
      </c>
      <c r="G7369" s="3" t="s">
        <v>214</v>
      </c>
      <c r="H7369" s="2" t="s">
        <v>21</v>
      </c>
      <c r="I7369" s="2" t="s">
        <v>18481</v>
      </c>
      <c r="J7369" s="3" t="str">
        <f>HYPERLINK("https://www.boe.es/gazeta/dias/1812/07/08/pdfs/GMD-1812-190.pdf#page=4","Abrir facsímil")</f>
        <v>Abrir facsímil</v>
      </c>
      <c r="K7369" s="3" t="s">
        <v>23</v>
      </c>
    </row>
    <row r="7370" spans="1:11" ht="42" customHeight="1">
      <c r="A7370" s="2" t="s">
        <v>18482</v>
      </c>
      <c r="B7370" s="2" t="s">
        <v>18483</v>
      </c>
      <c r="C7370" s="2" t="s">
        <v>17</v>
      </c>
      <c r="D7370" s="2" t="s">
        <v>27</v>
      </c>
      <c r="E7370" s="4">
        <v>-31929</v>
      </c>
      <c r="F7370" s="3" t="s">
        <v>1148</v>
      </c>
      <c r="G7370" s="3" t="s">
        <v>404</v>
      </c>
      <c r="H7370" s="2" t="s">
        <v>21</v>
      </c>
      <c r="I7370" s="2" t="s">
        <v>18484</v>
      </c>
      <c r="J7370" s="3" t="str">
        <f>HYPERLINK("https://www.boe.es/gazeta/dias/1812/07/30/pdfs/GRE-1812-95.pdf#page=2","Abrir facsímil")</f>
        <v>Abrir facsímil</v>
      </c>
      <c r="K7370" s="3" t="s">
        <v>23</v>
      </c>
    </row>
    <row r="7371" spans="1:11" ht="42" customHeight="1">
      <c r="A7371" s="2" t="s">
        <v>18485</v>
      </c>
      <c r="B7371" s="2" t="s">
        <v>18485</v>
      </c>
      <c r="C7371" s="2" t="s">
        <v>186</v>
      </c>
      <c r="D7371" s="2" t="s">
        <v>27</v>
      </c>
      <c r="E7371" s="4">
        <v>-32030</v>
      </c>
      <c r="F7371" s="3" t="s">
        <v>2226</v>
      </c>
      <c r="G7371" s="3" t="s">
        <v>20</v>
      </c>
      <c r="H7371" s="2" t="s">
        <v>21</v>
      </c>
      <c r="I7371" s="2" t="s">
        <v>18486</v>
      </c>
      <c r="J7371" s="3" t="str">
        <f>HYPERLINK("https://www.boe.es/gazeta/dias/1812/04/20/pdfs/GMD-1812-111.pdf#page=4","Abrir facsímil")</f>
        <v>Abrir facsímil</v>
      </c>
      <c r="K7371" s="3" t="s">
        <v>23</v>
      </c>
    </row>
    <row r="7372" spans="1:11" ht="42" customHeight="1">
      <c r="A7372" s="2" t="s">
        <v>18485</v>
      </c>
      <c r="B7372" s="2" t="s">
        <v>18485</v>
      </c>
      <c r="C7372" s="2" t="s">
        <v>26</v>
      </c>
      <c r="D7372" s="2" t="s">
        <v>27</v>
      </c>
      <c r="E7372" s="4">
        <v>-32019</v>
      </c>
      <c r="F7372" s="3" t="s">
        <v>476</v>
      </c>
      <c r="G7372" s="3" t="s">
        <v>404</v>
      </c>
      <c r="H7372" s="2" t="s">
        <v>21</v>
      </c>
      <c r="I7372" s="2" t="s">
        <v>18487</v>
      </c>
      <c r="J7372" s="3" t="str">
        <f>HYPERLINK("https://www.boe.es/gazeta/dias/1812/05/01/pdfs/GMD-1812-122.pdf#page=3","Abrir facsímil")</f>
        <v>Abrir facsímil</v>
      </c>
      <c r="K7372" s="3" t="s">
        <v>23</v>
      </c>
    </row>
    <row r="7373" spans="1:11" ht="42" customHeight="1">
      <c r="A7373" s="2" t="s">
        <v>18485</v>
      </c>
      <c r="B7373" s="2" t="s">
        <v>18485</v>
      </c>
      <c r="C7373" s="2" t="s">
        <v>186</v>
      </c>
      <c r="D7373" s="2" t="s">
        <v>27</v>
      </c>
      <c r="E7373" s="4">
        <v>-31922</v>
      </c>
      <c r="F7373" s="3" t="s">
        <v>622</v>
      </c>
      <c r="G7373" s="3" t="s">
        <v>404</v>
      </c>
      <c r="H7373" s="2" t="s">
        <v>21</v>
      </c>
      <c r="I7373" s="2" t="s">
        <v>18488</v>
      </c>
      <c r="J7373" s="3" t="str">
        <f>HYPERLINK("https://www.boe.es/gazeta/dias/1812/08/06/pdfs/GMD-1812-219.pdf#page=2","Abrir facsímil")</f>
        <v>Abrir facsímil</v>
      </c>
      <c r="K7373" s="3" t="s">
        <v>23</v>
      </c>
    </row>
    <row r="7374" spans="1:11" ht="42" customHeight="1">
      <c r="A7374" s="2" t="s">
        <v>18489</v>
      </c>
      <c r="B7374" s="2" t="s">
        <v>18490</v>
      </c>
      <c r="C7374" s="2" t="s">
        <v>26</v>
      </c>
      <c r="D7374" s="2" t="s">
        <v>27</v>
      </c>
      <c r="E7374" s="4">
        <v>-31885</v>
      </c>
      <c r="F7374" s="3" t="s">
        <v>750</v>
      </c>
      <c r="G7374" s="3" t="s">
        <v>5613</v>
      </c>
      <c r="H7374" s="2" t="s">
        <v>21</v>
      </c>
      <c r="I7374" s="2" t="s">
        <v>18491</v>
      </c>
      <c r="J7374" s="3" t="str">
        <f>HYPERLINK("https://www.boe.es/gazeta/dias/1812/09/12/pdfs/GMR-1812-13.pdf#page=6","Abrir facsímil")</f>
        <v>Abrir facsímil</v>
      </c>
      <c r="K7374" s="3" t="s">
        <v>23</v>
      </c>
    </row>
    <row r="7375" spans="1:11" ht="42" customHeight="1">
      <c r="A7375" s="2" t="s">
        <v>18492</v>
      </c>
      <c r="B7375" s="2" t="s">
        <v>18493</v>
      </c>
      <c r="C7375" s="2" t="s">
        <v>26</v>
      </c>
      <c r="D7375" s="2" t="s">
        <v>27</v>
      </c>
      <c r="E7375" s="4">
        <v>-31938</v>
      </c>
      <c r="F7375" s="3" t="s">
        <v>370</v>
      </c>
      <c r="G7375" s="3" t="s">
        <v>371</v>
      </c>
      <c r="H7375" s="2" t="s">
        <v>21</v>
      </c>
      <c r="I7375" s="2" t="s">
        <v>18494</v>
      </c>
      <c r="J7375" s="3" t="str">
        <f>HYPERLINK("https://www.boe.es/gazeta/dias/1812/07/21/pdfs/GRE-1812-91.pdf#page=8","Abrir facsímil")</f>
        <v>Abrir facsímil</v>
      </c>
      <c r="K7375" s="3" t="s">
        <v>23</v>
      </c>
    </row>
    <row r="7376" spans="1:11" ht="42" customHeight="1">
      <c r="A7376" s="2" t="s">
        <v>18495</v>
      </c>
      <c r="B7376" s="2" t="s">
        <v>18496</v>
      </c>
      <c r="C7376" s="2" t="s">
        <v>26</v>
      </c>
      <c r="D7376" s="2" t="s">
        <v>27</v>
      </c>
      <c r="E7376" s="4">
        <v>-32139</v>
      </c>
      <c r="F7376" s="3" t="s">
        <v>518</v>
      </c>
      <c r="G7376" s="3" t="s">
        <v>20</v>
      </c>
      <c r="H7376" s="2" t="s">
        <v>21</v>
      </c>
      <c r="I7376" s="2" t="s">
        <v>18497</v>
      </c>
      <c r="J7376" s="3" t="str">
        <f>HYPERLINK("https://www.boe.es/gazeta/dias/1812/01/02/pdfs/GEI-1812-1.pdf#page=4","Abrir facsímil")</f>
        <v>Abrir facsímil</v>
      </c>
      <c r="K7376" s="3" t="s">
        <v>23</v>
      </c>
    </row>
    <row r="7377" spans="1:11" ht="42" customHeight="1">
      <c r="A7377" s="2" t="s">
        <v>18498</v>
      </c>
      <c r="B7377" s="2" t="s">
        <v>18499</v>
      </c>
      <c r="C7377" s="2" t="s">
        <v>26</v>
      </c>
      <c r="D7377" s="2" t="s">
        <v>27</v>
      </c>
      <c r="E7377" s="4">
        <v>-32060</v>
      </c>
      <c r="F7377" s="3" t="s">
        <v>1403</v>
      </c>
      <c r="G7377" s="3" t="s">
        <v>18500</v>
      </c>
      <c r="H7377" s="2" t="s">
        <v>21</v>
      </c>
      <c r="I7377" s="2" t="s">
        <v>18501</v>
      </c>
      <c r="J7377" s="3" t="str">
        <f>HYPERLINK("https://www.boe.es/gazeta/dias/1812/03/21/pdfs/GRE-1812-36.pdf#page=1","Abrir facsímil")</f>
        <v>Abrir facsímil</v>
      </c>
      <c r="K7377" s="3" t="s">
        <v>23</v>
      </c>
    </row>
    <row r="7378" spans="1:11" ht="42" customHeight="1">
      <c r="A7378" s="2" t="s">
        <v>18502</v>
      </c>
      <c r="B7378" s="2" t="s">
        <v>18503</v>
      </c>
      <c r="C7378" s="2" t="s">
        <v>17</v>
      </c>
      <c r="D7378" s="2" t="s">
        <v>18</v>
      </c>
      <c r="E7378" s="4">
        <v>-32112</v>
      </c>
      <c r="F7378" s="3" t="s">
        <v>2794</v>
      </c>
      <c r="G7378" s="3" t="s">
        <v>58</v>
      </c>
      <c r="H7378" s="2" t="s">
        <v>21</v>
      </c>
      <c r="I7378" s="2" t="s">
        <v>18504</v>
      </c>
      <c r="J7378" s="3" t="str">
        <f>HYPERLINK("https://www.boe.es/gazeta/dias/1812/01/29/pdfs/GMD-1812-29.pdf#page=4","Abrir facsímil")</f>
        <v>Abrir facsímil</v>
      </c>
      <c r="K7378" s="3" t="s">
        <v>23</v>
      </c>
    </row>
    <row r="7379" spans="1:11" ht="42" customHeight="1">
      <c r="A7379" s="2" t="s">
        <v>18505</v>
      </c>
      <c r="B7379" s="2" t="s">
        <v>18506</v>
      </c>
      <c r="C7379" s="2" t="s">
        <v>26</v>
      </c>
      <c r="D7379" s="2" t="s">
        <v>275</v>
      </c>
      <c r="E7379" s="4">
        <v>-31964</v>
      </c>
      <c r="F7379" s="3" t="s">
        <v>305</v>
      </c>
      <c r="G7379" s="3" t="s">
        <v>58</v>
      </c>
      <c r="H7379" s="2" t="s">
        <v>21</v>
      </c>
      <c r="I7379" s="2" t="s">
        <v>18507</v>
      </c>
      <c r="J7379" s="3" t="str">
        <f>HYPERLINK("https://www.boe.es/gazeta/dias/1812/06/25/pdfs/GMD-1812-177.pdf#page=2","Abrir facsímil")</f>
        <v>Abrir facsímil</v>
      </c>
      <c r="K7379" s="3" t="s">
        <v>23</v>
      </c>
    </row>
    <row r="7380" spans="1:11" ht="42" customHeight="1">
      <c r="A7380" s="2" t="s">
        <v>18508</v>
      </c>
      <c r="B7380" s="2" t="s">
        <v>18509</v>
      </c>
      <c r="C7380" s="2" t="s">
        <v>26</v>
      </c>
      <c r="D7380" s="2" t="s">
        <v>27</v>
      </c>
      <c r="E7380" s="4">
        <v>-31866</v>
      </c>
      <c r="F7380" s="3" t="s">
        <v>845</v>
      </c>
      <c r="G7380" s="3" t="s">
        <v>45</v>
      </c>
      <c r="H7380" s="2" t="s">
        <v>21</v>
      </c>
      <c r="I7380" s="2" t="s">
        <v>18510</v>
      </c>
      <c r="J7380" s="3" t="str">
        <f>HYPERLINK("https://www.boe.es/gazeta/dias/1812/10/01/pdfs/GRE-1812-133.pdf#page=8","Abrir facsímil")</f>
        <v>Abrir facsímil</v>
      </c>
      <c r="K7380" s="3" t="s">
        <v>23</v>
      </c>
    </row>
    <row r="7381" spans="1:11" ht="42" customHeight="1">
      <c r="A7381" s="2" t="s">
        <v>18511</v>
      </c>
      <c r="B7381" s="2" t="s">
        <v>18512</v>
      </c>
      <c r="C7381" s="2" t="s">
        <v>26</v>
      </c>
      <c r="D7381" s="2" t="s">
        <v>27</v>
      </c>
      <c r="E7381" s="4">
        <v>-32050</v>
      </c>
      <c r="F7381" s="3" t="s">
        <v>864</v>
      </c>
      <c r="G7381" s="3" t="s">
        <v>29</v>
      </c>
      <c r="H7381" s="2" t="s">
        <v>21</v>
      </c>
      <c r="I7381" s="2" t="s">
        <v>18513</v>
      </c>
      <c r="J7381" s="3" t="str">
        <f>HYPERLINK("https://www.boe.es/gazeta/dias/1812/03/31/pdfs/GRE-1812-40.pdf#page=8","Abrir facsímil")</f>
        <v>Abrir facsímil</v>
      </c>
      <c r="K7381" s="3" t="s">
        <v>23</v>
      </c>
    </row>
    <row r="7382" spans="1:11" ht="42" customHeight="1">
      <c r="A7382" s="2" t="s">
        <v>18514</v>
      </c>
      <c r="B7382" s="2" t="s">
        <v>18515</v>
      </c>
      <c r="C7382" s="2" t="s">
        <v>26</v>
      </c>
      <c r="D7382" s="2" t="s">
        <v>27</v>
      </c>
      <c r="E7382" s="4">
        <v>-32081</v>
      </c>
      <c r="F7382" s="3" t="s">
        <v>232</v>
      </c>
      <c r="G7382" s="3" t="s">
        <v>233</v>
      </c>
      <c r="H7382" s="2" t="s">
        <v>21</v>
      </c>
      <c r="I7382" s="2" t="s">
        <v>18516</v>
      </c>
      <c r="J7382" s="3" t="str">
        <f>HYPERLINK("https://www.boe.es/gazeta/dias/1812/02/29/pdfs/GRE-1812-27.pdf#page=8","Abrir facsímil")</f>
        <v>Abrir facsímil</v>
      </c>
      <c r="K7382" s="3" t="s">
        <v>23</v>
      </c>
    </row>
    <row r="7383" spans="1:11" ht="42" customHeight="1">
      <c r="A7383" s="2" t="s">
        <v>18517</v>
      </c>
      <c r="B7383" s="2" t="s">
        <v>18518</v>
      </c>
      <c r="C7383" s="2" t="s">
        <v>26</v>
      </c>
      <c r="D7383" s="2" t="s">
        <v>27</v>
      </c>
      <c r="E7383" s="4">
        <v>-32034</v>
      </c>
      <c r="F7383" s="3" t="s">
        <v>28</v>
      </c>
      <c r="G7383" s="3" t="s">
        <v>130</v>
      </c>
      <c r="H7383" s="2" t="s">
        <v>21</v>
      </c>
      <c r="I7383" s="2" t="s">
        <v>18519</v>
      </c>
      <c r="J7383" s="3" t="str">
        <f>HYPERLINK("https://www.boe.es/gazeta/dias/1812/04/16/pdfs/GMD-1812-107.pdf#page=4","Abrir facsímil")</f>
        <v>Abrir facsímil</v>
      </c>
      <c r="K7383" s="3" t="s">
        <v>23</v>
      </c>
    </row>
    <row r="7384" spans="1:11" ht="42" customHeight="1">
      <c r="A7384" s="2" t="s">
        <v>18520</v>
      </c>
      <c r="B7384" s="2" t="s">
        <v>18521</v>
      </c>
      <c r="C7384" s="2" t="s">
        <v>26</v>
      </c>
      <c r="D7384" s="2" t="s">
        <v>275</v>
      </c>
      <c r="E7384" s="4">
        <v>-31964</v>
      </c>
      <c r="F7384" s="3" t="s">
        <v>305</v>
      </c>
      <c r="G7384" s="3" t="s">
        <v>58</v>
      </c>
      <c r="H7384" s="2" t="s">
        <v>21</v>
      </c>
      <c r="I7384" s="2" t="s">
        <v>18522</v>
      </c>
      <c r="J7384" s="3" t="str">
        <f>HYPERLINK("https://www.boe.es/gazeta/dias/1812/06/25/pdfs/GMD-1812-177.pdf#page=2","Abrir facsímil")</f>
        <v>Abrir facsímil</v>
      </c>
      <c r="K7384" s="3" t="s">
        <v>23</v>
      </c>
    </row>
    <row r="7385" spans="1:11" ht="42" customHeight="1">
      <c r="A7385" s="2" t="s">
        <v>18523</v>
      </c>
      <c r="B7385" s="2" t="s">
        <v>18524</v>
      </c>
      <c r="C7385" s="2" t="s">
        <v>17</v>
      </c>
      <c r="D7385" s="2" t="s">
        <v>27</v>
      </c>
      <c r="E7385" s="4">
        <v>-32127</v>
      </c>
      <c r="F7385" s="3" t="s">
        <v>88</v>
      </c>
      <c r="G7385" s="3" t="s">
        <v>366</v>
      </c>
      <c r="H7385" s="2" t="s">
        <v>30</v>
      </c>
      <c r="I7385" s="2" t="s">
        <v>18525</v>
      </c>
      <c r="J7385" s="3" t="str">
        <f>HYPERLINK("https://www.boe.es/gazeta/dias/1812/01/14/pdfs/GEI-1812-6.pdf#page=5","Abrir facsímil")</f>
        <v>Abrir facsímil</v>
      </c>
      <c r="K7385" s="3" t="s">
        <v>32</v>
      </c>
    </row>
    <row r="7386" spans="1:11" ht="42" customHeight="1">
      <c r="A7386" s="2" t="s">
        <v>18526</v>
      </c>
      <c r="B7386" s="2" t="s">
        <v>18527</v>
      </c>
      <c r="C7386" s="2" t="s">
        <v>26</v>
      </c>
      <c r="D7386" s="2" t="s">
        <v>27</v>
      </c>
      <c r="E7386" s="4">
        <v>-31938</v>
      </c>
      <c r="F7386" s="3" t="s">
        <v>324</v>
      </c>
      <c r="G7386" s="3" t="s">
        <v>404</v>
      </c>
      <c r="H7386" s="2" t="s">
        <v>21</v>
      </c>
      <c r="I7386" s="2" t="s">
        <v>18528</v>
      </c>
      <c r="J7386" s="3" t="str">
        <f>HYPERLINK("https://www.boe.es/gazeta/dias/1812/07/21/pdfs/GMD-1812-203.pdf#page=4","Abrir facsímil")</f>
        <v>Abrir facsímil</v>
      </c>
      <c r="K7386" s="3" t="s">
        <v>23</v>
      </c>
    </row>
    <row r="7387" spans="1:11" ht="42" customHeight="1">
      <c r="A7387" s="2" t="s">
        <v>18529</v>
      </c>
      <c r="B7387" s="2" t="s">
        <v>18530</v>
      </c>
      <c r="C7387" s="2" t="s">
        <v>26</v>
      </c>
      <c r="D7387" s="2" t="s">
        <v>27</v>
      </c>
      <c r="E7387" s="4">
        <v>-31936</v>
      </c>
      <c r="F7387" s="3" t="s">
        <v>614</v>
      </c>
      <c r="G7387" s="3" t="s">
        <v>615</v>
      </c>
      <c r="H7387" s="2" t="s">
        <v>21</v>
      </c>
      <c r="I7387" s="2" t="s">
        <v>18531</v>
      </c>
      <c r="J7387" s="3" t="str">
        <f>HYPERLINK("https://www.boe.es/gazeta/dias/1812/07/23/pdfs/GRE-1812-92.pdf#page=8","Abrir facsímil")</f>
        <v>Abrir facsímil</v>
      </c>
      <c r="K7387" s="3" t="s">
        <v>23</v>
      </c>
    </row>
    <row r="7388" spans="1:11" ht="42" customHeight="1">
      <c r="A7388" s="2" t="s">
        <v>18532</v>
      </c>
      <c r="B7388" s="2" t="s">
        <v>18533</v>
      </c>
      <c r="C7388" s="2" t="s">
        <v>186</v>
      </c>
      <c r="D7388" s="2" t="s">
        <v>275</v>
      </c>
      <c r="E7388" s="4">
        <v>-31941</v>
      </c>
      <c r="F7388" s="3" t="s">
        <v>2048</v>
      </c>
      <c r="G7388" s="3" t="s">
        <v>20</v>
      </c>
      <c r="H7388" s="2" t="s">
        <v>21</v>
      </c>
      <c r="I7388" s="2" t="s">
        <v>18534</v>
      </c>
      <c r="J7388" s="3" t="str">
        <f>HYPERLINK("https://www.boe.es/gazeta/dias/1812/07/18/pdfs/GRE-1812-90.pdf#page=8","Abrir facsímil")</f>
        <v>Abrir facsímil</v>
      </c>
      <c r="K7388" s="3" t="s">
        <v>23</v>
      </c>
    </row>
    <row r="7389" spans="1:11" ht="42" customHeight="1">
      <c r="A7389" s="2" t="s">
        <v>18535</v>
      </c>
      <c r="B7389" s="2" t="s">
        <v>18536</v>
      </c>
      <c r="C7389" s="2" t="s">
        <v>17</v>
      </c>
      <c r="D7389" s="2" t="s">
        <v>27</v>
      </c>
      <c r="E7389" s="4">
        <v>-32018</v>
      </c>
      <c r="F7389" s="3" t="s">
        <v>365</v>
      </c>
      <c r="G7389" s="3" t="s">
        <v>366</v>
      </c>
      <c r="H7389" s="2" t="s">
        <v>21</v>
      </c>
      <c r="I7389" s="2" t="s">
        <v>18537</v>
      </c>
      <c r="J7389" s="3" t="str">
        <f>HYPERLINK("https://www.boe.es/gazeta/dias/1812/05/02/pdfs/GRE-1812-55.pdf#page=3","Abrir facsímil")</f>
        <v>Abrir facsímil</v>
      </c>
      <c r="K7389" s="3" t="s">
        <v>23</v>
      </c>
    </row>
    <row r="7390" spans="1:11" ht="42" customHeight="1">
      <c r="A7390" s="2" t="s">
        <v>18538</v>
      </c>
      <c r="B7390" s="2" t="s">
        <v>18539</v>
      </c>
      <c r="C7390" s="2" t="s">
        <v>26</v>
      </c>
      <c r="D7390" s="2" t="s">
        <v>27</v>
      </c>
      <c r="E7390" s="4">
        <v>-32055</v>
      </c>
      <c r="F7390" s="3" t="s">
        <v>1271</v>
      </c>
      <c r="G7390" s="3" t="s">
        <v>130</v>
      </c>
      <c r="H7390" s="2" t="s">
        <v>21</v>
      </c>
      <c r="I7390" s="2" t="s">
        <v>18540</v>
      </c>
      <c r="J7390" s="3" t="str">
        <f>HYPERLINK("https://www.boe.es/gazeta/dias/1812/03/26/pdfs/GMD-1812-86.pdf#page=4","Abrir facsímil")</f>
        <v>Abrir facsímil</v>
      </c>
      <c r="K7390" s="3" t="s">
        <v>23</v>
      </c>
    </row>
    <row r="7391" spans="1:11" ht="42" customHeight="1">
      <c r="A7391" s="2" t="s">
        <v>18541</v>
      </c>
      <c r="B7391" s="2" t="s">
        <v>18542</v>
      </c>
      <c r="C7391" s="2" t="s">
        <v>26</v>
      </c>
      <c r="D7391" s="2" t="s">
        <v>275</v>
      </c>
      <c r="E7391" s="4">
        <v>-32039</v>
      </c>
      <c r="F7391" s="3" t="s">
        <v>1910</v>
      </c>
      <c r="G7391" s="3" t="s">
        <v>13787</v>
      </c>
      <c r="H7391" s="2" t="s">
        <v>21</v>
      </c>
      <c r="I7391" s="2" t="s">
        <v>18543</v>
      </c>
      <c r="J7391" s="3" t="str">
        <f>HYPERLINK("https://www.boe.es/gazeta/dias/1812/04/11/pdfs/GRE-1812-46.pdf#page=6","Abrir facsímil")</f>
        <v>Abrir facsímil</v>
      </c>
      <c r="K7391" s="3" t="s">
        <v>23</v>
      </c>
    </row>
    <row r="7392" spans="1:11" ht="42" customHeight="1">
      <c r="A7392" s="2" t="s">
        <v>18544</v>
      </c>
      <c r="B7392" s="2" t="s">
        <v>18545</v>
      </c>
      <c r="C7392" s="2" t="s">
        <v>26</v>
      </c>
      <c r="D7392" s="2" t="s">
        <v>275</v>
      </c>
      <c r="E7392" s="4">
        <v>-32034</v>
      </c>
      <c r="F7392" s="3" t="s">
        <v>28</v>
      </c>
      <c r="G7392" s="3" t="s">
        <v>317</v>
      </c>
      <c r="H7392" s="2" t="s">
        <v>21</v>
      </c>
      <c r="I7392" s="2" t="s">
        <v>18546</v>
      </c>
      <c r="J7392" s="3" t="str">
        <f>HYPERLINK("https://www.boe.es/gazeta/dias/1812/04/16/pdfs/GMD-1812-107.pdf#page=6","Abrir facsímil")</f>
        <v>Abrir facsímil</v>
      </c>
      <c r="K7392" s="3" t="s">
        <v>23</v>
      </c>
    </row>
    <row r="7393" spans="1:11" ht="42" customHeight="1">
      <c r="A7393" s="2" t="s">
        <v>18544</v>
      </c>
      <c r="B7393" s="2" t="s">
        <v>18545</v>
      </c>
      <c r="C7393" s="2" t="s">
        <v>49</v>
      </c>
      <c r="D7393" s="2" t="s">
        <v>27</v>
      </c>
      <c r="E7393" s="4">
        <v>-31962</v>
      </c>
      <c r="F7393" s="3" t="s">
        <v>643</v>
      </c>
      <c r="G7393" s="3" t="s">
        <v>644</v>
      </c>
      <c r="H7393" s="2" t="s">
        <v>21</v>
      </c>
      <c r="I7393" s="2" t="s">
        <v>18547</v>
      </c>
      <c r="J7393" s="3" t="str">
        <f>HYPERLINK("https://www.boe.es/gazeta/dias/1812/06/27/pdfs/GMD-1812-179.pdf#page=2","Abrir facsímil")</f>
        <v>Abrir facsímil</v>
      </c>
      <c r="K7393" s="3" t="s">
        <v>23</v>
      </c>
    </row>
    <row r="7394" spans="1:11" ht="42" customHeight="1">
      <c r="A7394" s="2" t="s">
        <v>18548</v>
      </c>
      <c r="B7394" s="2" t="s">
        <v>18549</v>
      </c>
      <c r="C7394" s="2" t="s">
        <v>49</v>
      </c>
      <c r="D7394" s="2" t="s">
        <v>27</v>
      </c>
      <c r="E7394" s="4">
        <v>-32083</v>
      </c>
      <c r="F7394" s="3" t="s">
        <v>1496</v>
      </c>
      <c r="G7394" s="3" t="s">
        <v>237</v>
      </c>
      <c r="H7394" s="2" t="s">
        <v>21</v>
      </c>
      <c r="I7394" s="2" t="s">
        <v>18550</v>
      </c>
      <c r="J7394" s="3" t="str">
        <f>HYPERLINK("https://www.boe.es/gazeta/dias/1812/02/27/pdfs/GRE-1812-26.pdf#page=3","Abrir facsímil")</f>
        <v>Abrir facsímil</v>
      </c>
      <c r="K7394" s="3" t="s">
        <v>23</v>
      </c>
    </row>
    <row r="7395" spans="1:11" ht="42" customHeight="1">
      <c r="A7395" s="2" t="s">
        <v>18548</v>
      </c>
      <c r="B7395" s="2" t="s">
        <v>18549</v>
      </c>
      <c r="C7395" s="2" t="s">
        <v>26</v>
      </c>
      <c r="D7395" s="2" t="s">
        <v>27</v>
      </c>
      <c r="E7395" s="4">
        <v>-31936</v>
      </c>
      <c r="F7395" s="3" t="s">
        <v>614</v>
      </c>
      <c r="G7395" s="3" t="s">
        <v>615</v>
      </c>
      <c r="H7395" s="2" t="s">
        <v>21</v>
      </c>
      <c r="I7395" s="2" t="s">
        <v>18551</v>
      </c>
      <c r="J7395" s="3" t="str">
        <f>HYPERLINK("https://www.boe.es/gazeta/dias/1812/07/23/pdfs/GRE-1812-92.pdf#page=8","Abrir facsímil")</f>
        <v>Abrir facsímil</v>
      </c>
      <c r="K7395" s="3" t="s">
        <v>23</v>
      </c>
    </row>
    <row r="7396" spans="1:11" ht="42" customHeight="1">
      <c r="A7396" s="2" t="s">
        <v>18548</v>
      </c>
      <c r="B7396" s="2" t="s">
        <v>18549</v>
      </c>
      <c r="C7396" s="2" t="s">
        <v>26</v>
      </c>
      <c r="D7396" s="2" t="s">
        <v>27</v>
      </c>
      <c r="E7396" s="4">
        <v>-31833</v>
      </c>
      <c r="F7396" s="3" t="s">
        <v>267</v>
      </c>
      <c r="G7396" s="3" t="s">
        <v>268</v>
      </c>
      <c r="H7396" s="2" t="s">
        <v>21</v>
      </c>
      <c r="I7396" s="2" t="s">
        <v>18552</v>
      </c>
      <c r="J7396" s="3" t="str">
        <f>HYPERLINK("https://www.boe.es/gazeta/dias/1812/11/03/pdfs/GRE-1812-147.pdf#page=8","Abrir facsímil")</f>
        <v>Abrir facsímil</v>
      </c>
      <c r="K7396" s="3" t="s">
        <v>23</v>
      </c>
    </row>
    <row r="7397" spans="1:11" ht="42" customHeight="1">
      <c r="A7397" s="2" t="s">
        <v>18553</v>
      </c>
      <c r="B7397" s="2" t="s">
        <v>18554</v>
      </c>
      <c r="C7397" s="2" t="s">
        <v>26</v>
      </c>
      <c r="D7397" s="2" t="s">
        <v>27</v>
      </c>
      <c r="E7397" s="4">
        <v>-31864</v>
      </c>
      <c r="F7397" s="3" t="s">
        <v>3014</v>
      </c>
      <c r="G7397" s="3" t="s">
        <v>5929</v>
      </c>
      <c r="H7397" s="2" t="s">
        <v>30</v>
      </c>
      <c r="I7397" s="2" t="s">
        <v>18555</v>
      </c>
      <c r="J7397" s="3" t="str">
        <f>HYPERLINK("https://www.boe.es/gazeta/dias/1812/10/03/pdfs/GRE-1812-134.pdf#page=8","Abrir facsímil")</f>
        <v>Abrir facsímil</v>
      </c>
      <c r="K7397" s="3" t="s">
        <v>32</v>
      </c>
    </row>
    <row r="7398" spans="1:11" ht="42" customHeight="1">
      <c r="A7398" s="2" t="s">
        <v>18556</v>
      </c>
      <c r="B7398" s="2" t="s">
        <v>18557</v>
      </c>
      <c r="C7398" s="2" t="s">
        <v>26</v>
      </c>
      <c r="D7398" s="2" t="s">
        <v>27</v>
      </c>
      <c r="E7398" s="4">
        <v>-31816</v>
      </c>
      <c r="F7398" s="3" t="s">
        <v>270</v>
      </c>
      <c r="G7398" s="3" t="s">
        <v>271</v>
      </c>
      <c r="H7398" s="2" t="s">
        <v>21</v>
      </c>
      <c r="I7398" s="2" t="s">
        <v>18558</v>
      </c>
      <c r="J7398" s="3" t="str">
        <f>HYPERLINK("https://www.boe.es/gazeta/dias/1812/11/20/pdfs/GMR-1812-36.pdf#page=6","Abrir facsímil")</f>
        <v>Abrir facsímil</v>
      </c>
      <c r="K7398" s="3" t="s">
        <v>23</v>
      </c>
    </row>
    <row r="7399" spans="1:11" ht="42" customHeight="1">
      <c r="A7399" s="2" t="s">
        <v>18559</v>
      </c>
      <c r="B7399" s="2" t="s">
        <v>18560</v>
      </c>
      <c r="C7399" s="2" t="s">
        <v>26</v>
      </c>
      <c r="D7399" s="2" t="s">
        <v>27</v>
      </c>
      <c r="E7399" s="4">
        <v>-31964</v>
      </c>
      <c r="F7399" s="3" t="s">
        <v>305</v>
      </c>
      <c r="G7399" s="3" t="s">
        <v>58</v>
      </c>
      <c r="H7399" s="2" t="s">
        <v>21</v>
      </c>
      <c r="I7399" s="2" t="s">
        <v>18561</v>
      </c>
      <c r="J7399" s="3" t="str">
        <f>HYPERLINK("https://www.boe.es/gazeta/dias/1812/06/25/pdfs/GMD-1812-177.pdf#page=2","Abrir facsímil")</f>
        <v>Abrir facsímil</v>
      </c>
      <c r="K7399" s="3" t="s">
        <v>23</v>
      </c>
    </row>
    <row r="7400" spans="1:11" ht="42" customHeight="1">
      <c r="A7400" s="2" t="s">
        <v>18562</v>
      </c>
      <c r="B7400" s="2" t="s">
        <v>18563</v>
      </c>
      <c r="C7400" s="2" t="s">
        <v>17</v>
      </c>
      <c r="D7400" s="2" t="s">
        <v>18</v>
      </c>
      <c r="E7400" s="4">
        <v>-32123</v>
      </c>
      <c r="F7400" s="3" t="s">
        <v>2642</v>
      </c>
      <c r="G7400" s="3" t="s">
        <v>20</v>
      </c>
      <c r="H7400" s="2" t="s">
        <v>21</v>
      </c>
      <c r="I7400" s="2" t="s">
        <v>18564</v>
      </c>
      <c r="J7400" s="3" t="str">
        <f>HYPERLINK("https://www.boe.es/gazeta/dias/1812/01/18/pdfs/GMD-1812-18.pdf#page=4","Abrir facsímil")</f>
        <v>Abrir facsímil</v>
      </c>
      <c r="K7400" s="3" t="s">
        <v>23</v>
      </c>
    </row>
    <row r="7401" spans="1:11" ht="42" customHeight="1">
      <c r="A7401" s="2" t="s">
        <v>18565</v>
      </c>
      <c r="B7401" s="2" t="s">
        <v>18566</v>
      </c>
      <c r="C7401" s="2" t="s">
        <v>26</v>
      </c>
      <c r="D7401" s="2" t="s">
        <v>27</v>
      </c>
      <c r="E7401" s="4">
        <v>-32109</v>
      </c>
      <c r="F7401" s="3" t="s">
        <v>62</v>
      </c>
      <c r="G7401" s="3" t="s">
        <v>506</v>
      </c>
      <c r="H7401" s="2" t="s">
        <v>21</v>
      </c>
      <c r="I7401" s="2" t="s">
        <v>18567</v>
      </c>
      <c r="J7401" s="3" t="str">
        <f>HYPERLINK("https://www.boe.es/gazeta/dias/1812/02/01/pdfs/GRE-1812-14.pdf#page=2","Abrir facsímil")</f>
        <v>Abrir facsímil</v>
      </c>
      <c r="K7401" s="3" t="s">
        <v>23</v>
      </c>
    </row>
    <row r="7402" spans="1:11" ht="42" customHeight="1">
      <c r="A7402" s="2" t="s">
        <v>18565</v>
      </c>
      <c r="B7402" s="2" t="s">
        <v>18566</v>
      </c>
      <c r="C7402" s="2" t="s">
        <v>26</v>
      </c>
      <c r="D7402" s="2" t="s">
        <v>27</v>
      </c>
      <c r="E7402" s="4">
        <v>-32092</v>
      </c>
      <c r="F7402" s="3" t="s">
        <v>1621</v>
      </c>
      <c r="G7402" s="3" t="s">
        <v>18568</v>
      </c>
      <c r="H7402" s="2" t="s">
        <v>21</v>
      </c>
      <c r="I7402" s="2" t="s">
        <v>18569</v>
      </c>
      <c r="J7402" s="3" t="str">
        <f>HYPERLINK("https://www.boe.es/gazeta/dias/1812/02/18/pdfs/GRE-1812-21.pdf#page=6","Abrir facsímil")</f>
        <v>Abrir facsímil</v>
      </c>
      <c r="K7402" s="3" t="s">
        <v>23</v>
      </c>
    </row>
    <row r="7403" spans="1:11" ht="42" customHeight="1">
      <c r="A7403" s="2" t="s">
        <v>18565</v>
      </c>
      <c r="B7403" s="2" t="s">
        <v>18566</v>
      </c>
      <c r="C7403" s="2" t="s">
        <v>17</v>
      </c>
      <c r="D7403" s="2" t="s">
        <v>18</v>
      </c>
      <c r="E7403" s="4">
        <v>-32062</v>
      </c>
      <c r="F7403" s="3" t="s">
        <v>2168</v>
      </c>
      <c r="G7403" s="3" t="s">
        <v>8557</v>
      </c>
      <c r="H7403" s="2" t="s">
        <v>21</v>
      </c>
      <c r="I7403" s="2" t="s">
        <v>18570</v>
      </c>
      <c r="J7403" s="3" t="str">
        <f>HYPERLINK("https://www.boe.es/gazeta/dias/1812/03/19/pdfs/GRE-1812-35.pdf#page=3","Abrir facsímil")</f>
        <v>Abrir facsímil</v>
      </c>
      <c r="K7403" s="3" t="s">
        <v>23</v>
      </c>
    </row>
    <row r="7404" spans="1:11" ht="42" customHeight="1">
      <c r="A7404" s="2" t="s">
        <v>18565</v>
      </c>
      <c r="B7404" s="2" t="s">
        <v>18566</v>
      </c>
      <c r="C7404" s="2" t="s">
        <v>26</v>
      </c>
      <c r="D7404" s="2" t="s">
        <v>194</v>
      </c>
      <c r="E7404" s="4">
        <v>-32027</v>
      </c>
      <c r="F7404" s="3" t="s">
        <v>803</v>
      </c>
      <c r="G7404" s="3" t="s">
        <v>3906</v>
      </c>
      <c r="H7404" s="2" t="s">
        <v>21</v>
      </c>
      <c r="I7404" s="2" t="s">
        <v>18571</v>
      </c>
      <c r="J7404" s="3" t="str">
        <f>HYPERLINK("https://www.boe.es/gazeta/dias/1812/04/23/pdfs/GRE-1812-51.pdf#page=7","Abrir facsímil")</f>
        <v>Abrir facsímil</v>
      </c>
      <c r="K7404" s="3" t="s">
        <v>23</v>
      </c>
    </row>
    <row r="7405" spans="1:11" ht="42" customHeight="1">
      <c r="A7405" s="2" t="s">
        <v>18565</v>
      </c>
      <c r="B7405" s="2" t="s">
        <v>18566</v>
      </c>
      <c r="C7405" s="2" t="s">
        <v>105</v>
      </c>
      <c r="D7405" s="2" t="s">
        <v>27</v>
      </c>
      <c r="E7405" s="4">
        <v>-32020</v>
      </c>
      <c r="F7405" s="3" t="s">
        <v>2818</v>
      </c>
      <c r="G7405" s="3" t="s">
        <v>196</v>
      </c>
      <c r="H7405" s="2" t="s">
        <v>21</v>
      </c>
      <c r="I7405" s="2" t="s">
        <v>18572</v>
      </c>
      <c r="J7405" s="3" t="str">
        <f>HYPERLINK("https://www.boe.es/gazeta/dias/1812/04/30/pdfs/GRE-1812-54.pdf#page=1","Abrir facsímil")</f>
        <v>Abrir facsímil</v>
      </c>
      <c r="K7405" s="3" t="s">
        <v>23</v>
      </c>
    </row>
    <row r="7406" spans="1:11" ht="42" customHeight="1">
      <c r="A7406" s="2" t="s">
        <v>18565</v>
      </c>
      <c r="B7406" s="2" t="s">
        <v>18566</v>
      </c>
      <c r="C7406" s="2" t="s">
        <v>26</v>
      </c>
      <c r="D7406" s="2" t="s">
        <v>27</v>
      </c>
      <c r="E7406" s="4">
        <v>-32004</v>
      </c>
      <c r="F7406" s="3" t="s">
        <v>148</v>
      </c>
      <c r="G7406" s="3" t="s">
        <v>149</v>
      </c>
      <c r="H7406" s="2" t="s">
        <v>21</v>
      </c>
      <c r="I7406" s="2" t="s">
        <v>18573</v>
      </c>
      <c r="J7406" s="3" t="str">
        <f>HYPERLINK("https://www.boe.es/gazeta/dias/1812/05/16/pdfs/GRE-1812-61.pdf#page=3","Abrir facsímil")</f>
        <v>Abrir facsímil</v>
      </c>
      <c r="K7406" s="3" t="s">
        <v>23</v>
      </c>
    </row>
    <row r="7407" spans="1:11" ht="42" customHeight="1">
      <c r="A7407" s="2" t="s">
        <v>18565</v>
      </c>
      <c r="B7407" s="2" t="s">
        <v>18566</v>
      </c>
      <c r="C7407" s="2" t="s">
        <v>17</v>
      </c>
      <c r="D7407" s="2" t="s">
        <v>18</v>
      </c>
      <c r="E7407" s="4">
        <v>-31921</v>
      </c>
      <c r="F7407" s="3" t="s">
        <v>785</v>
      </c>
      <c r="G7407" s="3" t="s">
        <v>3256</v>
      </c>
      <c r="H7407" s="2" t="s">
        <v>21</v>
      </c>
      <c r="I7407" s="2" t="s">
        <v>18574</v>
      </c>
      <c r="J7407" s="3" t="str">
        <f>HYPERLINK("https://www.boe.es/gazeta/dias/1812/08/07/pdfs/GRE-1812-101E.pdf#page=8","Abrir facsímil")</f>
        <v>Abrir facsímil</v>
      </c>
      <c r="K7407" s="3" t="s">
        <v>23</v>
      </c>
    </row>
    <row r="7408" spans="1:11" ht="42" customHeight="1">
      <c r="A7408" s="2" t="s">
        <v>18565</v>
      </c>
      <c r="B7408" s="2" t="s">
        <v>18566</v>
      </c>
      <c r="C7408" s="2" t="s">
        <v>17</v>
      </c>
      <c r="D7408" s="2" t="s">
        <v>18</v>
      </c>
      <c r="E7408" s="4">
        <v>-31905</v>
      </c>
      <c r="F7408" s="3" t="s">
        <v>855</v>
      </c>
      <c r="G7408" s="3" t="s">
        <v>29</v>
      </c>
      <c r="H7408" s="2" t="s">
        <v>21</v>
      </c>
      <c r="I7408" s="2" t="s">
        <v>18575</v>
      </c>
      <c r="J7408" s="3" t="str">
        <f>HYPERLINK("https://www.boe.es/gazeta/dias/1812/08/23/pdfs/GMR-1812-4.pdf#page=8","Abrir facsímil")</f>
        <v>Abrir facsímil</v>
      </c>
      <c r="K7408" s="3" t="s">
        <v>23</v>
      </c>
    </row>
    <row r="7409" spans="1:11" ht="42" customHeight="1">
      <c r="A7409" s="2" t="s">
        <v>18565</v>
      </c>
      <c r="B7409" s="2" t="s">
        <v>18566</v>
      </c>
      <c r="C7409" s="2" t="s">
        <v>17</v>
      </c>
      <c r="D7409" s="2" t="s">
        <v>18</v>
      </c>
      <c r="E7409" s="4">
        <v>-31875</v>
      </c>
      <c r="F7409" s="3" t="s">
        <v>708</v>
      </c>
      <c r="G7409" s="3" t="s">
        <v>4694</v>
      </c>
      <c r="H7409" s="2" t="s">
        <v>21</v>
      </c>
      <c r="I7409" s="2" t="s">
        <v>18576</v>
      </c>
      <c r="J7409" s="3" t="str">
        <f>HYPERLINK("https://www.boe.es/gazeta/dias/1812/09/22/pdfs/GMR-1812-17.pdf#page=10","Abrir facsímil")</f>
        <v>Abrir facsímil</v>
      </c>
      <c r="K7409" s="3" t="s">
        <v>23</v>
      </c>
    </row>
    <row r="7410" spans="1:11" ht="42" customHeight="1">
      <c r="A7410" s="2" t="s">
        <v>18565</v>
      </c>
      <c r="B7410" s="2" t="s">
        <v>18566</v>
      </c>
      <c r="C7410" s="2" t="s">
        <v>115</v>
      </c>
      <c r="D7410" s="2" t="s">
        <v>27</v>
      </c>
      <c r="E7410" s="4">
        <v>-31808</v>
      </c>
      <c r="F7410" s="3" t="s">
        <v>416</v>
      </c>
      <c r="G7410" s="3" t="s">
        <v>237</v>
      </c>
      <c r="H7410" s="2" t="s">
        <v>21</v>
      </c>
      <c r="I7410" s="2" t="s">
        <v>18577</v>
      </c>
      <c r="J7410" s="3" t="str">
        <f>HYPERLINK("https://www.boe.es/gazeta/dias/1812/11/28/pdfs/GRE-1812-158.pdf#page=3","Abrir facsímil")</f>
        <v>Abrir facsímil</v>
      </c>
      <c r="K7410" s="3" t="s">
        <v>23</v>
      </c>
    </row>
    <row r="7411" spans="1:11" ht="42" customHeight="1">
      <c r="A7411" s="2" t="s">
        <v>18578</v>
      </c>
      <c r="B7411" s="2" t="s">
        <v>18579</v>
      </c>
      <c r="C7411" s="2" t="s">
        <v>49</v>
      </c>
      <c r="D7411" s="2" t="s">
        <v>27</v>
      </c>
      <c r="E7411" s="4">
        <v>-32075</v>
      </c>
      <c r="F7411" s="3" t="s">
        <v>301</v>
      </c>
      <c r="G7411" s="3" t="s">
        <v>20</v>
      </c>
      <c r="H7411" s="2" t="s">
        <v>21</v>
      </c>
      <c r="I7411" s="2" t="s">
        <v>18580</v>
      </c>
      <c r="J7411" s="3" t="str">
        <f>HYPERLINK("https://www.boe.es/gazeta/dias/1812/03/06/pdfs/GMD-1812-66.pdf#page=4","Abrir facsímil")</f>
        <v>Abrir facsímil</v>
      </c>
      <c r="K7411" s="3" t="s">
        <v>23</v>
      </c>
    </row>
    <row r="7412" spans="1:11" ht="42" customHeight="1">
      <c r="A7412" s="2" t="s">
        <v>18581</v>
      </c>
      <c r="B7412" s="2" t="s">
        <v>18582</v>
      </c>
      <c r="C7412" s="2" t="s">
        <v>17</v>
      </c>
      <c r="D7412" s="2" t="s">
        <v>27</v>
      </c>
      <c r="E7412" s="4">
        <v>-32003</v>
      </c>
      <c r="F7412" s="3" t="s">
        <v>585</v>
      </c>
      <c r="G7412" s="3" t="s">
        <v>404</v>
      </c>
      <c r="H7412" s="2" t="s">
        <v>21</v>
      </c>
      <c r="I7412" s="2" t="s">
        <v>18583</v>
      </c>
      <c r="J7412" s="3" t="str">
        <f>HYPERLINK("https://www.boe.es/gazeta/dias/1812/05/17/pdfs/GMD-1812-138.pdf#page=2","Abrir facsímil")</f>
        <v>Abrir facsímil</v>
      </c>
      <c r="K7412" s="3" t="s">
        <v>23</v>
      </c>
    </row>
    <row r="7413" spans="1:11" ht="42" customHeight="1">
      <c r="A7413" s="2" t="s">
        <v>18584</v>
      </c>
      <c r="B7413" s="2" t="s">
        <v>18585</v>
      </c>
      <c r="C7413" s="2" t="s">
        <v>26</v>
      </c>
      <c r="D7413" s="2" t="s">
        <v>134</v>
      </c>
      <c r="E7413" s="4">
        <v>-31955</v>
      </c>
      <c r="F7413" s="3" t="s">
        <v>135</v>
      </c>
      <c r="G7413" s="3" t="s">
        <v>514</v>
      </c>
      <c r="H7413" s="2" t="s">
        <v>21</v>
      </c>
      <c r="I7413" s="2" t="s">
        <v>18586</v>
      </c>
      <c r="J7413" s="3" t="str">
        <f>HYPERLINK("https://www.boe.es/gazeta/dias/1812/07/04/pdfs/GRE-F-1812-82.pdf#page=7","Abrir facsímil")</f>
        <v>Abrir facsímil</v>
      </c>
      <c r="K7413" s="3" t="s">
        <v>23</v>
      </c>
    </row>
    <row r="7414" spans="1:11" ht="42" customHeight="1">
      <c r="A7414" s="2" t="s">
        <v>18587</v>
      </c>
      <c r="B7414" s="2" t="s">
        <v>18588</v>
      </c>
      <c r="C7414" s="2" t="s">
        <v>26</v>
      </c>
      <c r="D7414" s="2" t="s">
        <v>27</v>
      </c>
      <c r="E7414" s="4">
        <v>-32081</v>
      </c>
      <c r="F7414" s="3" t="s">
        <v>232</v>
      </c>
      <c r="G7414" s="3" t="s">
        <v>233</v>
      </c>
      <c r="H7414" s="2" t="s">
        <v>21</v>
      </c>
      <c r="I7414" s="2" t="s">
        <v>18589</v>
      </c>
      <c r="J7414" s="3" t="str">
        <f>HYPERLINK("https://www.boe.es/gazeta/dias/1812/02/29/pdfs/GRE-1812-27.pdf#page=8","Abrir facsímil")</f>
        <v>Abrir facsímil</v>
      </c>
      <c r="K7414" s="3" t="s">
        <v>23</v>
      </c>
    </row>
    <row r="7415" spans="1:11" ht="42" customHeight="1">
      <c r="A7415" s="2" t="s">
        <v>18590</v>
      </c>
      <c r="B7415" s="2" t="s">
        <v>18591</v>
      </c>
      <c r="C7415" s="2" t="s">
        <v>17</v>
      </c>
      <c r="D7415" s="2" t="s">
        <v>27</v>
      </c>
      <c r="E7415" s="4">
        <v>-32127</v>
      </c>
      <c r="F7415" s="3" t="s">
        <v>88</v>
      </c>
      <c r="G7415" s="3" t="s">
        <v>1154</v>
      </c>
      <c r="H7415" s="2" t="s">
        <v>21</v>
      </c>
      <c r="I7415" s="2" t="s">
        <v>18592</v>
      </c>
      <c r="J7415" s="3" t="str">
        <f>HYPERLINK("https://www.boe.es/gazeta/dias/1812/01/14/pdfs/GEI-1812-6.pdf#page=7","Abrir facsímil")</f>
        <v>Abrir facsímil</v>
      </c>
      <c r="K7415" s="3" t="s">
        <v>23</v>
      </c>
    </row>
    <row r="7416" spans="1:11" ht="42" customHeight="1">
      <c r="A7416" s="2" t="s">
        <v>18593</v>
      </c>
      <c r="B7416" s="2" t="s">
        <v>18594</v>
      </c>
      <c r="C7416" s="2" t="s">
        <v>26</v>
      </c>
      <c r="D7416" s="2" t="s">
        <v>27</v>
      </c>
      <c r="E7416" s="4">
        <v>-31938</v>
      </c>
      <c r="F7416" s="3" t="s">
        <v>324</v>
      </c>
      <c r="G7416" s="3" t="s">
        <v>404</v>
      </c>
      <c r="H7416" s="2" t="s">
        <v>21</v>
      </c>
      <c r="I7416" s="2" t="s">
        <v>18595</v>
      </c>
      <c r="J7416" s="3" t="str">
        <f>HYPERLINK("https://www.boe.es/gazeta/dias/1812/07/21/pdfs/GMD-1812-203.pdf#page=4","Abrir facsímil")</f>
        <v>Abrir facsímil</v>
      </c>
      <c r="K7416" s="3" t="s">
        <v>23</v>
      </c>
    </row>
    <row r="7417" spans="1:11" ht="42" customHeight="1">
      <c r="A7417" s="2" t="s">
        <v>18596</v>
      </c>
      <c r="B7417" s="2" t="s">
        <v>18597</v>
      </c>
      <c r="C7417" s="2" t="s">
        <v>26</v>
      </c>
      <c r="D7417" s="2" t="s">
        <v>27</v>
      </c>
      <c r="E7417" s="4">
        <v>-32137</v>
      </c>
      <c r="F7417" s="3" t="s">
        <v>355</v>
      </c>
      <c r="G7417" s="3" t="s">
        <v>117</v>
      </c>
      <c r="H7417" s="2" t="s">
        <v>21</v>
      </c>
      <c r="I7417" s="2" t="s">
        <v>18598</v>
      </c>
      <c r="J7417" s="3" t="str">
        <f>HYPERLINK("https://www.boe.es/gazeta/dias/1812/01/04/pdfs/GEI-1812-2.pdf#page=8","Abrir facsímil")</f>
        <v>Abrir facsímil</v>
      </c>
      <c r="K7417" s="3" t="s">
        <v>23</v>
      </c>
    </row>
    <row r="7418" spans="1:11" ht="42" customHeight="1">
      <c r="A7418" s="2" t="s">
        <v>18599</v>
      </c>
      <c r="B7418" s="2" t="s">
        <v>18600</v>
      </c>
      <c r="C7418" s="2" t="s">
        <v>26</v>
      </c>
      <c r="D7418" s="2" t="s">
        <v>27</v>
      </c>
      <c r="E7418" s="4">
        <v>-32127</v>
      </c>
      <c r="F7418" s="3" t="s">
        <v>88</v>
      </c>
      <c r="G7418" s="3" t="s">
        <v>89</v>
      </c>
      <c r="H7418" s="2" t="s">
        <v>21</v>
      </c>
      <c r="I7418" s="2" t="s">
        <v>18601</v>
      </c>
      <c r="J7418" s="3" t="str">
        <f>HYPERLINK("https://www.boe.es/gazeta/dias/1812/01/14/pdfs/GEI-1812-6.pdf#page=8","Abrir facsímil")</f>
        <v>Abrir facsímil</v>
      </c>
      <c r="K7418" s="3" t="s">
        <v>23</v>
      </c>
    </row>
    <row r="7419" spans="1:11" ht="42" customHeight="1">
      <c r="A7419" s="2" t="s">
        <v>18599</v>
      </c>
      <c r="B7419" s="2" t="s">
        <v>18600</v>
      </c>
      <c r="C7419" s="2" t="s">
        <v>26</v>
      </c>
      <c r="D7419" s="2" t="s">
        <v>27</v>
      </c>
      <c r="E7419" s="4">
        <v>-31938</v>
      </c>
      <c r="F7419" s="3" t="s">
        <v>370</v>
      </c>
      <c r="G7419" s="3" t="s">
        <v>371</v>
      </c>
      <c r="H7419" s="2" t="s">
        <v>21</v>
      </c>
      <c r="I7419" s="2" t="s">
        <v>18602</v>
      </c>
      <c r="J7419" s="3" t="str">
        <f>HYPERLINK("https://www.boe.es/gazeta/dias/1812/07/21/pdfs/GRE-1812-91.pdf#page=8","Abrir facsímil")</f>
        <v>Abrir facsímil</v>
      </c>
      <c r="K7419" s="3" t="s">
        <v>23</v>
      </c>
    </row>
    <row r="7420" spans="1:11" ht="42" customHeight="1">
      <c r="A7420" s="2" t="s">
        <v>18599</v>
      </c>
      <c r="B7420" s="2" t="s">
        <v>18600</v>
      </c>
      <c r="C7420" s="2" t="s">
        <v>26</v>
      </c>
      <c r="D7420" s="2" t="s">
        <v>27</v>
      </c>
      <c r="E7420" s="4">
        <v>-31854</v>
      </c>
      <c r="F7420" s="3" t="s">
        <v>1574</v>
      </c>
      <c r="G7420" s="3" t="s">
        <v>1700</v>
      </c>
      <c r="H7420" s="2" t="s">
        <v>21</v>
      </c>
      <c r="I7420" s="2" t="s">
        <v>18603</v>
      </c>
      <c r="J7420" s="3" t="str">
        <f>HYPERLINK("https://www.boe.es/gazeta/dias/1812/10/13/pdfs/GMR-1812-26.pdf#page=4","Abrir facsímil")</f>
        <v>Abrir facsímil</v>
      </c>
      <c r="K7420" s="3" t="s">
        <v>23</v>
      </c>
    </row>
    <row r="7421" spans="1:11" ht="42" customHeight="1">
      <c r="A7421" s="2" t="s">
        <v>18604</v>
      </c>
      <c r="B7421" s="2" t="s">
        <v>18604</v>
      </c>
      <c r="C7421" s="2" t="s">
        <v>26</v>
      </c>
      <c r="D7421" s="2" t="s">
        <v>27</v>
      </c>
      <c r="E7421" s="4">
        <v>-31932</v>
      </c>
      <c r="F7421" s="3" t="s">
        <v>3710</v>
      </c>
      <c r="G7421" s="3" t="s">
        <v>36</v>
      </c>
      <c r="H7421" s="2" t="s">
        <v>21</v>
      </c>
      <c r="I7421" s="2" t="s">
        <v>18605</v>
      </c>
      <c r="J7421" s="3" t="str">
        <f>HYPERLINK("https://www.boe.es/gazeta/dias/1812/07/27/pdfs/GMD-1812-209.pdf#page=3","Abrir facsímil")</f>
        <v>Abrir facsímil</v>
      </c>
      <c r="K7421" s="3" t="s">
        <v>23</v>
      </c>
    </row>
    <row r="7422" spans="1:11" ht="42" customHeight="1">
      <c r="A7422" s="2" t="s">
        <v>18604</v>
      </c>
      <c r="B7422" s="2" t="s">
        <v>18604</v>
      </c>
      <c r="C7422" s="2" t="s">
        <v>105</v>
      </c>
      <c r="D7422" s="2" t="s">
        <v>27</v>
      </c>
      <c r="E7422" s="4">
        <v>-31850</v>
      </c>
      <c r="F7422" s="3" t="s">
        <v>2178</v>
      </c>
      <c r="G7422" s="3" t="s">
        <v>17810</v>
      </c>
      <c r="H7422" s="2" t="s">
        <v>21</v>
      </c>
      <c r="I7422" s="2" t="s">
        <v>18606</v>
      </c>
      <c r="J7422" s="3" t="str">
        <f>HYPERLINK("https://www.boe.es/gazeta/dias/1812/10/17/pdfs/GRE-1812-140.pdf#page=6","Abrir facsímil")</f>
        <v>Abrir facsímil</v>
      </c>
      <c r="K7422" s="3" t="s">
        <v>23</v>
      </c>
    </row>
    <row r="7423" spans="1:11" ht="42" customHeight="1">
      <c r="A7423" s="2" t="s">
        <v>18607</v>
      </c>
      <c r="B7423" s="2" t="s">
        <v>18608</v>
      </c>
      <c r="C7423" s="2" t="s">
        <v>17</v>
      </c>
      <c r="D7423" s="2" t="s">
        <v>18</v>
      </c>
      <c r="E7423" s="4">
        <v>-32039</v>
      </c>
      <c r="F7423" s="3" t="s">
        <v>1910</v>
      </c>
      <c r="G7423" s="3" t="s">
        <v>706</v>
      </c>
      <c r="H7423" s="2" t="s">
        <v>21</v>
      </c>
      <c r="I7423" s="2" t="s">
        <v>18609</v>
      </c>
      <c r="J7423" s="3" t="str">
        <f>HYPERLINK("https://www.boe.es/gazeta/dias/1812/04/11/pdfs/GRE-1812-46.pdf#page=1","Abrir facsímil")</f>
        <v>Abrir facsímil</v>
      </c>
      <c r="K7423" s="3" t="s">
        <v>23</v>
      </c>
    </row>
    <row r="7424" spans="1:11" ht="42" customHeight="1">
      <c r="A7424" s="2" t="s">
        <v>18607</v>
      </c>
      <c r="B7424" s="2" t="s">
        <v>18608</v>
      </c>
      <c r="C7424" s="2" t="s">
        <v>26</v>
      </c>
      <c r="D7424" s="2" t="s">
        <v>27</v>
      </c>
      <c r="E7424" s="4">
        <v>-31850</v>
      </c>
      <c r="F7424" s="3" t="s">
        <v>2178</v>
      </c>
      <c r="G7424" s="3" t="s">
        <v>10245</v>
      </c>
      <c r="H7424" s="2" t="s">
        <v>21</v>
      </c>
      <c r="I7424" s="2" t="s">
        <v>18610</v>
      </c>
      <c r="J7424" s="3" t="str">
        <f>HYPERLINK("https://www.boe.es/gazeta/dias/1812/10/17/pdfs/GRE-1812-140.pdf#page=5","Abrir facsímil")</f>
        <v>Abrir facsímil</v>
      </c>
      <c r="K7424" s="3" t="s">
        <v>23</v>
      </c>
    </row>
    <row r="7425" spans="1:11" ht="42" customHeight="1">
      <c r="A7425" s="2" t="s">
        <v>18611</v>
      </c>
      <c r="B7425" s="2" t="s">
        <v>18612</v>
      </c>
      <c r="C7425" s="2" t="s">
        <v>17</v>
      </c>
      <c r="D7425" s="2" t="s">
        <v>27</v>
      </c>
      <c r="E7425" s="4">
        <v>-31948</v>
      </c>
      <c r="F7425" s="3" t="s">
        <v>431</v>
      </c>
      <c r="G7425" s="3" t="s">
        <v>20</v>
      </c>
      <c r="H7425" s="2" t="s">
        <v>21</v>
      </c>
      <c r="I7425" s="2" t="s">
        <v>18613</v>
      </c>
      <c r="J7425" s="3" t="str">
        <f>HYPERLINK("https://www.boe.es/gazeta/dias/1812/07/11/pdfs/GRE-1812-86.pdf#page=4","Abrir facsímil")</f>
        <v>Abrir facsímil</v>
      </c>
      <c r="K7425" s="3" t="s">
        <v>23</v>
      </c>
    </row>
    <row r="7426" spans="1:11" ht="42" customHeight="1">
      <c r="A7426" s="2" t="s">
        <v>18614</v>
      </c>
      <c r="B7426" s="2" t="s">
        <v>18615</v>
      </c>
      <c r="C7426" s="2" t="s">
        <v>17</v>
      </c>
      <c r="D7426" s="2" t="s">
        <v>18</v>
      </c>
      <c r="E7426" s="4">
        <v>-31868</v>
      </c>
      <c r="F7426" s="3" t="s">
        <v>1833</v>
      </c>
      <c r="G7426" s="3" t="s">
        <v>20</v>
      </c>
      <c r="H7426" s="2" t="s">
        <v>21</v>
      </c>
      <c r="I7426" s="2" t="s">
        <v>18616</v>
      </c>
      <c r="J7426" s="3" t="str">
        <f>HYPERLINK("https://www.boe.es/gazeta/dias/1812/09/29/pdfs/GMR-1812-20.pdf#page=12","Abrir facsímil")</f>
        <v>Abrir facsímil</v>
      </c>
      <c r="K7426" s="3" t="s">
        <v>23</v>
      </c>
    </row>
    <row r="7427" spans="1:11" ht="42" customHeight="1">
      <c r="A7427" s="2" t="s">
        <v>18617</v>
      </c>
      <c r="B7427" s="2" t="s">
        <v>18618</v>
      </c>
      <c r="C7427" s="2" t="s">
        <v>17</v>
      </c>
      <c r="D7427" s="2" t="s">
        <v>18</v>
      </c>
      <c r="E7427" s="4">
        <v>-31950</v>
      </c>
      <c r="F7427" s="3" t="s">
        <v>1024</v>
      </c>
      <c r="G7427" s="3" t="s">
        <v>1740</v>
      </c>
      <c r="H7427" s="2" t="s">
        <v>21</v>
      </c>
      <c r="I7427" s="2" t="s">
        <v>18619</v>
      </c>
      <c r="J7427" s="3" t="str">
        <f>HYPERLINK("https://www.boe.es/gazeta/dias/1812/07/09/pdfs/GRE-1812-84.pdf#page=4","Abrir facsímil")</f>
        <v>Abrir facsímil</v>
      </c>
      <c r="K7427" s="3" t="s">
        <v>23</v>
      </c>
    </row>
    <row r="7428" spans="1:11" ht="42" customHeight="1">
      <c r="A7428" s="2" t="s">
        <v>18620</v>
      </c>
      <c r="B7428" s="2" t="s">
        <v>18620</v>
      </c>
      <c r="C7428" s="2" t="s">
        <v>17</v>
      </c>
      <c r="D7428" s="2" t="s">
        <v>18</v>
      </c>
      <c r="E7428" s="4">
        <v>-31775</v>
      </c>
      <c r="F7428" s="3" t="s">
        <v>660</v>
      </c>
      <c r="G7428" s="3" t="s">
        <v>1626</v>
      </c>
      <c r="H7428" s="2" t="s">
        <v>21</v>
      </c>
      <c r="I7428" s="2" t="s">
        <v>18621</v>
      </c>
      <c r="J7428" s="3" t="str">
        <f>HYPERLINK("https://www.boe.es/gazeta/dias/1812/12/31/pdfs/GRE-1812-172.pdf#page=5","Abrir facsímil")</f>
        <v>Abrir facsímil</v>
      </c>
      <c r="K7428" s="3" t="s">
        <v>23</v>
      </c>
    </row>
    <row r="7429" spans="1:11" ht="42" customHeight="1">
      <c r="A7429" s="2" t="s">
        <v>18622</v>
      </c>
      <c r="B7429" s="2" t="s">
        <v>18623</v>
      </c>
      <c r="C7429" s="2" t="s">
        <v>26</v>
      </c>
      <c r="D7429" s="2" t="s">
        <v>27</v>
      </c>
      <c r="E7429" s="4">
        <v>-32036</v>
      </c>
      <c r="F7429" s="3" t="s">
        <v>781</v>
      </c>
      <c r="G7429" s="3" t="s">
        <v>782</v>
      </c>
      <c r="H7429" s="2" t="s">
        <v>21</v>
      </c>
      <c r="I7429" s="2" t="s">
        <v>18624</v>
      </c>
      <c r="J7429" s="3" t="str">
        <f>HYPERLINK("https://www.boe.es/gazeta/dias/1812/04/14/pdfs/GRE-1812-47.pdf#page=8","Abrir facsímil")</f>
        <v>Abrir facsímil</v>
      </c>
      <c r="K7429" s="3" t="s">
        <v>23</v>
      </c>
    </row>
    <row r="7430" spans="1:11" ht="42" customHeight="1">
      <c r="A7430" s="2" t="s">
        <v>18625</v>
      </c>
      <c r="B7430" s="2" t="s">
        <v>18626</v>
      </c>
      <c r="C7430" s="2" t="s">
        <v>105</v>
      </c>
      <c r="D7430" s="2" t="s">
        <v>27</v>
      </c>
      <c r="E7430" s="4">
        <v>-32100</v>
      </c>
      <c r="F7430" s="3" t="s">
        <v>492</v>
      </c>
      <c r="G7430" s="3" t="s">
        <v>493</v>
      </c>
      <c r="H7430" s="2" t="s">
        <v>21</v>
      </c>
      <c r="I7430" s="2" t="s">
        <v>18627</v>
      </c>
      <c r="J7430" s="3" t="str">
        <f>HYPERLINK("https://www.boe.es/gazeta/dias/1812/02/10/pdfs/GRE-1812-31.pdf#page=8","Abrir facsímil")</f>
        <v>Abrir facsímil</v>
      </c>
      <c r="K7430" s="3" t="s">
        <v>23</v>
      </c>
    </row>
    <row r="7431" spans="1:11" ht="42" customHeight="1">
      <c r="A7431" s="2" t="s">
        <v>18625</v>
      </c>
      <c r="B7431" s="2" t="s">
        <v>18626</v>
      </c>
      <c r="C7431" s="2" t="s">
        <v>105</v>
      </c>
      <c r="D7431" s="2" t="s">
        <v>27</v>
      </c>
      <c r="E7431" s="4">
        <v>-32071</v>
      </c>
      <c r="F7431" s="3" t="s">
        <v>492</v>
      </c>
      <c r="G7431" s="3" t="s">
        <v>493</v>
      </c>
      <c r="H7431" s="2" t="s">
        <v>21</v>
      </c>
      <c r="I7431" s="2" t="s">
        <v>18627</v>
      </c>
      <c r="J7431" s="3" t="str">
        <f>HYPERLINK("https://www.boe.es/gazeta/dias/1812/03/10/pdfs/GRE-1812-31.pdf#page=8","Abrir facsímil")</f>
        <v>Abrir facsímil</v>
      </c>
      <c r="K7431" s="3" t="s">
        <v>23</v>
      </c>
    </row>
    <row r="7432" spans="1:11" ht="42" customHeight="1">
      <c r="A7432" s="2" t="s">
        <v>18628</v>
      </c>
      <c r="B7432" s="2" t="s">
        <v>18628</v>
      </c>
      <c r="C7432" s="2" t="s">
        <v>26</v>
      </c>
      <c r="D7432" s="2" t="s">
        <v>27</v>
      </c>
      <c r="E7432" s="4">
        <v>-32063</v>
      </c>
      <c r="F7432" s="3" t="s">
        <v>384</v>
      </c>
      <c r="G7432" s="3" t="s">
        <v>125</v>
      </c>
      <c r="H7432" s="2" t="s">
        <v>21</v>
      </c>
      <c r="I7432" s="2" t="s">
        <v>18629</v>
      </c>
      <c r="J7432" s="3" t="str">
        <f>HYPERLINK("https://www.boe.es/gazeta/dias/1812/03/18/pdfs/GMD-1812-78.pdf#page=3","Abrir facsímil")</f>
        <v>Abrir facsímil</v>
      </c>
      <c r="K7432" s="3" t="s">
        <v>23</v>
      </c>
    </row>
    <row r="7433" spans="1:11" ht="42" customHeight="1">
      <c r="A7433" s="2" t="s">
        <v>18628</v>
      </c>
      <c r="B7433" s="2" t="s">
        <v>18628</v>
      </c>
      <c r="C7433" s="2" t="s">
        <v>26</v>
      </c>
      <c r="D7433" s="2" t="s">
        <v>27</v>
      </c>
      <c r="E7433" s="4">
        <v>-32063</v>
      </c>
      <c r="F7433" s="3" t="s">
        <v>384</v>
      </c>
      <c r="G7433" s="3" t="s">
        <v>20</v>
      </c>
      <c r="H7433" s="2" t="s">
        <v>21</v>
      </c>
      <c r="I7433" s="2" t="s">
        <v>18630</v>
      </c>
      <c r="J7433" s="3" t="str">
        <f>HYPERLINK("https://www.boe.es/gazeta/dias/1812/03/18/pdfs/GMD-1812-78.pdf#page=4","Abrir facsímil")</f>
        <v>Abrir facsímil</v>
      </c>
      <c r="K7433" s="3" t="s">
        <v>23</v>
      </c>
    </row>
    <row r="7434" spans="1:11" ht="42" customHeight="1">
      <c r="A7434" s="2" t="s">
        <v>18628</v>
      </c>
      <c r="B7434" s="2" t="s">
        <v>18628</v>
      </c>
      <c r="C7434" s="2" t="s">
        <v>105</v>
      </c>
      <c r="D7434" s="2" t="s">
        <v>275</v>
      </c>
      <c r="E7434" s="4">
        <v>-31942</v>
      </c>
      <c r="F7434" s="3" t="s">
        <v>3065</v>
      </c>
      <c r="G7434" s="3" t="s">
        <v>3066</v>
      </c>
      <c r="H7434" s="2" t="s">
        <v>21</v>
      </c>
      <c r="I7434" s="2" t="s">
        <v>18631</v>
      </c>
      <c r="J7434" s="3" t="str">
        <f>HYPERLINK("https://www.boe.es/gazeta/dias/1812/07/17/pdfs/GMD-1812-199.pdf#page=3","Abrir facsímil")</f>
        <v>Abrir facsímil</v>
      </c>
      <c r="K7434" s="3" t="s">
        <v>23</v>
      </c>
    </row>
    <row r="7435" spans="1:11" ht="42" customHeight="1">
      <c r="A7435" s="2" t="s">
        <v>18628</v>
      </c>
      <c r="B7435" s="2" t="s">
        <v>18628</v>
      </c>
      <c r="C7435" s="2" t="s">
        <v>26</v>
      </c>
      <c r="D7435" s="2" t="s">
        <v>27</v>
      </c>
      <c r="E7435" s="4">
        <v>-31922</v>
      </c>
      <c r="F7435" s="3" t="s">
        <v>622</v>
      </c>
      <c r="G7435" s="3" t="s">
        <v>404</v>
      </c>
      <c r="H7435" s="2" t="s">
        <v>21</v>
      </c>
      <c r="I7435" s="2" t="s">
        <v>18632</v>
      </c>
      <c r="J7435" s="3" t="str">
        <f>HYPERLINK("https://www.boe.es/gazeta/dias/1812/08/06/pdfs/GMD-1812-219.pdf#page=2","Abrir facsímil")</f>
        <v>Abrir facsímil</v>
      </c>
      <c r="K7435" s="3" t="s">
        <v>23</v>
      </c>
    </row>
    <row r="7436" spans="1:11" ht="42" customHeight="1">
      <c r="A7436" s="2" t="s">
        <v>18633</v>
      </c>
      <c r="B7436" s="2" t="s">
        <v>18634</v>
      </c>
      <c r="C7436" s="2" t="s">
        <v>26</v>
      </c>
      <c r="D7436" s="2" t="s">
        <v>27</v>
      </c>
      <c r="E7436" s="4">
        <v>-31964</v>
      </c>
      <c r="F7436" s="3" t="s">
        <v>305</v>
      </c>
      <c r="G7436" s="3" t="s">
        <v>306</v>
      </c>
      <c r="H7436" s="2" t="s">
        <v>21</v>
      </c>
      <c r="I7436" s="2" t="s">
        <v>18635</v>
      </c>
      <c r="J7436" s="3" t="str">
        <f>HYPERLINK("https://www.boe.es/gazeta/dias/1812/06/25/pdfs/GMD-1812-177.pdf#page=3","Abrir facsímil")</f>
        <v>Abrir facsímil</v>
      </c>
      <c r="K7436" s="3" t="s">
        <v>23</v>
      </c>
    </row>
    <row r="7437" spans="1:11" ht="42" customHeight="1">
      <c r="A7437" s="2" t="s">
        <v>18636</v>
      </c>
      <c r="B7437" s="2" t="s">
        <v>18637</v>
      </c>
      <c r="C7437" s="2" t="s">
        <v>26</v>
      </c>
      <c r="D7437" s="2" t="s">
        <v>27</v>
      </c>
      <c r="E7437" s="4">
        <v>-31964</v>
      </c>
      <c r="F7437" s="3" t="s">
        <v>305</v>
      </c>
      <c r="G7437" s="3" t="s">
        <v>306</v>
      </c>
      <c r="H7437" s="2" t="s">
        <v>21</v>
      </c>
      <c r="I7437" s="2" t="s">
        <v>18638</v>
      </c>
      <c r="J7437" s="3" t="str">
        <f>HYPERLINK("https://www.boe.es/gazeta/dias/1812/06/25/pdfs/GMD-1812-177.pdf#page=3","Abrir facsímil")</f>
        <v>Abrir facsímil</v>
      </c>
      <c r="K7437" s="3" t="s">
        <v>23</v>
      </c>
    </row>
    <row r="7438" spans="1:11" ht="42" customHeight="1">
      <c r="A7438" s="2" t="s">
        <v>18639</v>
      </c>
      <c r="B7438" s="2" t="s">
        <v>18640</v>
      </c>
      <c r="C7438" s="2" t="s">
        <v>17</v>
      </c>
      <c r="D7438" s="2" t="s">
        <v>27</v>
      </c>
      <c r="E7438" s="4">
        <v>-32055</v>
      </c>
      <c r="F7438" s="3" t="s">
        <v>459</v>
      </c>
      <c r="G7438" s="3" t="s">
        <v>20</v>
      </c>
      <c r="H7438" s="2" t="s">
        <v>21</v>
      </c>
      <c r="I7438" s="2" t="s">
        <v>18641</v>
      </c>
      <c r="J7438" s="3" t="str">
        <f>HYPERLINK("https://www.boe.es/gazeta/dias/1812/03/26/pdfs/GRE-1812-38.pdf#page=8","Abrir facsímil")</f>
        <v>Abrir facsímil</v>
      </c>
      <c r="K7438" s="3" t="s">
        <v>23</v>
      </c>
    </row>
    <row r="7439" spans="1:11" ht="42" customHeight="1">
      <c r="A7439" s="2" t="s">
        <v>18642</v>
      </c>
      <c r="B7439" s="2" t="s">
        <v>18643</v>
      </c>
      <c r="C7439" s="2" t="s">
        <v>549</v>
      </c>
      <c r="D7439" s="2" t="s">
        <v>194</v>
      </c>
      <c r="E7439" s="4">
        <v>-31933</v>
      </c>
      <c r="F7439" s="3" t="s">
        <v>1946</v>
      </c>
      <c r="G7439" s="3" t="s">
        <v>6742</v>
      </c>
      <c r="H7439" s="2" t="s">
        <v>21</v>
      </c>
      <c r="I7439" s="2" t="s">
        <v>18644</v>
      </c>
      <c r="J7439" s="3" t="str">
        <f>HYPERLINK("https://www.boe.es/gazeta/dias/1812/07/26/pdfs/GMD-1812-208.pdf#page=4","Abrir facsímil")</f>
        <v>Abrir facsímil</v>
      </c>
      <c r="K7439" s="3" t="s">
        <v>23</v>
      </c>
    </row>
    <row r="7440" spans="1:11" ht="42" customHeight="1">
      <c r="A7440" s="2" t="s">
        <v>18645</v>
      </c>
      <c r="B7440" s="2" t="s">
        <v>18646</v>
      </c>
      <c r="C7440" s="2" t="s">
        <v>17</v>
      </c>
      <c r="D7440" s="2" t="s">
        <v>18</v>
      </c>
      <c r="E7440" s="4">
        <v>-32109</v>
      </c>
      <c r="F7440" s="3" t="s">
        <v>62</v>
      </c>
      <c r="G7440" s="3" t="s">
        <v>472</v>
      </c>
      <c r="H7440" s="2" t="s">
        <v>21</v>
      </c>
      <c r="I7440" s="2" t="s">
        <v>18647</v>
      </c>
      <c r="J7440" s="3" t="str">
        <f>HYPERLINK("https://www.boe.es/gazeta/dias/1812/02/01/pdfs/GRE-1812-14.pdf#page=12","Abrir facsímil")</f>
        <v>Abrir facsímil</v>
      </c>
      <c r="K7440" s="3" t="s">
        <v>23</v>
      </c>
    </row>
    <row r="7441" spans="1:11" ht="42" customHeight="1">
      <c r="A7441" s="2" t="s">
        <v>18648</v>
      </c>
      <c r="B7441" s="2" t="s">
        <v>18648</v>
      </c>
      <c r="C7441" s="2" t="s">
        <v>17</v>
      </c>
      <c r="D7441" s="2" t="s">
        <v>18</v>
      </c>
      <c r="E7441" s="4">
        <v>-31910</v>
      </c>
      <c r="F7441" s="3" t="s">
        <v>72</v>
      </c>
      <c r="G7441" s="3" t="s">
        <v>317</v>
      </c>
      <c r="H7441" s="2" t="s">
        <v>21</v>
      </c>
      <c r="I7441" s="2" t="s">
        <v>18649</v>
      </c>
      <c r="J7441" s="3" t="str">
        <f>HYPERLINK("https://www.boe.es/gazeta/dias/1812/08/18/pdfs/GRE-1812-106.pdf#page=6","Abrir facsímil")</f>
        <v>Abrir facsímil</v>
      </c>
      <c r="K7441" s="3" t="s">
        <v>23</v>
      </c>
    </row>
    <row r="7442" spans="1:11" ht="42" customHeight="1">
      <c r="A7442" s="2" t="s">
        <v>18648</v>
      </c>
      <c r="B7442" s="2" t="s">
        <v>18648</v>
      </c>
      <c r="C7442" s="2" t="s">
        <v>26</v>
      </c>
      <c r="D7442" s="2" t="s">
        <v>27</v>
      </c>
      <c r="E7442" s="4">
        <v>-31910</v>
      </c>
      <c r="F7442" s="3" t="s">
        <v>72</v>
      </c>
      <c r="G7442" s="3" t="s">
        <v>404</v>
      </c>
      <c r="H7442" s="2" t="s">
        <v>21</v>
      </c>
      <c r="I7442" s="2" t="s">
        <v>18650</v>
      </c>
      <c r="J7442" s="3" t="str">
        <f>HYPERLINK("https://www.boe.es/gazeta/dias/1812/08/18/pdfs/GRE-1812-106.pdf#page=7","Abrir facsímil")</f>
        <v>Abrir facsímil</v>
      </c>
      <c r="K7442" s="3" t="s">
        <v>23</v>
      </c>
    </row>
    <row r="7443" spans="1:11" ht="42" customHeight="1">
      <c r="A7443" s="2" t="s">
        <v>18651</v>
      </c>
      <c r="B7443" s="2" t="s">
        <v>18651</v>
      </c>
      <c r="C7443" s="2" t="s">
        <v>17</v>
      </c>
      <c r="D7443" s="2" t="s">
        <v>27</v>
      </c>
      <c r="E7443" s="4">
        <v>-31957</v>
      </c>
      <c r="F7443" s="3" t="s">
        <v>2173</v>
      </c>
      <c r="G7443" s="3" t="s">
        <v>2174</v>
      </c>
      <c r="H7443" s="2" t="s">
        <v>21</v>
      </c>
      <c r="I7443" s="2" t="s">
        <v>18652</v>
      </c>
      <c r="J7443" s="3" t="str">
        <f>HYPERLINK("https://www.boe.es/gazeta/dias/1812/07/02/pdfs/GRE-1812-81.pdf#page=6","Abrir facsímil")</f>
        <v>Abrir facsímil</v>
      </c>
      <c r="K7443" s="3" t="s">
        <v>23</v>
      </c>
    </row>
    <row r="7444" spans="1:11" ht="42" customHeight="1">
      <c r="A7444" s="2" t="s">
        <v>18653</v>
      </c>
      <c r="B7444" s="2" t="s">
        <v>18654</v>
      </c>
      <c r="C7444" s="2" t="s">
        <v>26</v>
      </c>
      <c r="D7444" s="2" t="s">
        <v>27</v>
      </c>
      <c r="E7444" s="4">
        <v>-32034</v>
      </c>
      <c r="F7444" s="3" t="s">
        <v>28</v>
      </c>
      <c r="G7444" s="3" t="s">
        <v>130</v>
      </c>
      <c r="H7444" s="2" t="s">
        <v>21</v>
      </c>
      <c r="I7444" s="2" t="s">
        <v>18655</v>
      </c>
      <c r="J7444" s="3" t="str">
        <f>HYPERLINK("https://www.boe.es/gazeta/dias/1812/04/16/pdfs/GMD-1812-107.pdf#page=4","Abrir facsímil")</f>
        <v>Abrir facsímil</v>
      </c>
      <c r="K7444" s="3" t="s">
        <v>23</v>
      </c>
    </row>
    <row r="7445" spans="1:11" ht="42" customHeight="1">
      <c r="A7445" s="2" t="s">
        <v>18656</v>
      </c>
      <c r="B7445" s="2" t="s">
        <v>18656</v>
      </c>
      <c r="C7445" s="2" t="s">
        <v>17</v>
      </c>
      <c r="D7445" s="2" t="s">
        <v>18</v>
      </c>
      <c r="E7445" s="4">
        <v>-31938</v>
      </c>
      <c r="F7445" s="3" t="s">
        <v>370</v>
      </c>
      <c r="G7445" s="3" t="s">
        <v>9029</v>
      </c>
      <c r="H7445" s="2" t="s">
        <v>21</v>
      </c>
      <c r="I7445" s="2" t="s">
        <v>18657</v>
      </c>
      <c r="J7445" s="3" t="str">
        <f>HYPERLINK("https://www.boe.es/gazeta/dias/1812/07/21/pdfs/GRE-1812-91.pdf#page=7","Abrir facsímil")</f>
        <v>Abrir facsímil</v>
      </c>
      <c r="K7445" s="3" t="s">
        <v>23</v>
      </c>
    </row>
    <row r="7446" spans="1:11" ht="42" customHeight="1">
      <c r="A7446" s="2" t="s">
        <v>18658</v>
      </c>
      <c r="B7446" s="2" t="s">
        <v>18658</v>
      </c>
      <c r="C7446" s="2" t="s">
        <v>17</v>
      </c>
      <c r="D7446" s="2" t="s">
        <v>18</v>
      </c>
      <c r="E7446" s="4">
        <v>-31915</v>
      </c>
      <c r="F7446" s="3" t="s">
        <v>2827</v>
      </c>
      <c r="G7446" s="3" t="s">
        <v>3869</v>
      </c>
      <c r="H7446" s="2" t="s">
        <v>21</v>
      </c>
      <c r="I7446" s="2" t="s">
        <v>18659</v>
      </c>
      <c r="J7446" s="3" t="str">
        <f>HYPERLINK("https://www.boe.es/gazeta/dias/1812/08/13/pdfs/GRE-F-1812-104.pdf#page=2","Abrir facsímil")</f>
        <v>Abrir facsímil</v>
      </c>
      <c r="K7446" s="3" t="s">
        <v>23</v>
      </c>
    </row>
    <row r="7447" spans="1:11" ht="42" customHeight="1">
      <c r="A7447" s="2" t="s">
        <v>18658</v>
      </c>
      <c r="B7447" s="2" t="s">
        <v>18658</v>
      </c>
      <c r="C7447" s="2" t="s">
        <v>17</v>
      </c>
      <c r="D7447" s="2" t="s">
        <v>18</v>
      </c>
      <c r="E7447" s="4">
        <v>-31895</v>
      </c>
      <c r="F7447" s="3" t="s">
        <v>3980</v>
      </c>
      <c r="G7447" s="3" t="s">
        <v>874</v>
      </c>
      <c r="H7447" s="2" t="s">
        <v>21</v>
      </c>
      <c r="I7447" s="2" t="s">
        <v>18660</v>
      </c>
      <c r="J7447" s="3" t="str">
        <f>HYPERLINK("https://www.boe.es/gazeta/dias/1812/09/02/pdfs/GRE-1812-118E.pdf#page=2","Abrir facsímil")</f>
        <v>Abrir facsímil</v>
      </c>
      <c r="K7447" s="3" t="s">
        <v>23</v>
      </c>
    </row>
    <row r="7448" spans="1:11" ht="42" customHeight="1">
      <c r="A7448" s="2" t="s">
        <v>18658</v>
      </c>
      <c r="B7448" s="2" t="s">
        <v>18658</v>
      </c>
      <c r="C7448" s="2" t="s">
        <v>17</v>
      </c>
      <c r="D7448" s="2" t="s">
        <v>18</v>
      </c>
      <c r="E7448" s="4">
        <v>-31882</v>
      </c>
      <c r="F7448" s="3" t="s">
        <v>1798</v>
      </c>
      <c r="G7448" s="3" t="s">
        <v>5578</v>
      </c>
      <c r="H7448" s="2" t="s">
        <v>21</v>
      </c>
      <c r="I7448" s="2" t="s">
        <v>18661</v>
      </c>
      <c r="J7448" s="3" t="str">
        <f>HYPERLINK("https://www.boe.es/gazeta/dias/1812/09/15/pdfs/GMR-1812-14.pdf#page=13","Abrir facsímil")</f>
        <v>Abrir facsímil</v>
      </c>
      <c r="K7448" s="3" t="s">
        <v>23</v>
      </c>
    </row>
    <row r="7449" spans="1:11" ht="42" customHeight="1">
      <c r="A7449" s="2" t="s">
        <v>18662</v>
      </c>
      <c r="B7449" s="2" t="s">
        <v>18662</v>
      </c>
      <c r="C7449" s="2" t="s">
        <v>17</v>
      </c>
      <c r="D7449" s="2" t="s">
        <v>573</v>
      </c>
      <c r="E7449" s="4">
        <v>-31898</v>
      </c>
      <c r="F7449" s="3" t="s">
        <v>1952</v>
      </c>
      <c r="G7449" s="3" t="s">
        <v>13203</v>
      </c>
      <c r="H7449" s="2" t="s">
        <v>21</v>
      </c>
      <c r="I7449" s="2" t="s">
        <v>18663</v>
      </c>
      <c r="J7449" s="3" t="str">
        <f>HYPERLINK("https://www.boe.es/gazeta/dias/1812/08/30/pdfs/GRE-1812-116E.pdf#page=4","Abrir facsímil")</f>
        <v>Abrir facsímil</v>
      </c>
      <c r="K7449" s="3" t="s">
        <v>23</v>
      </c>
    </row>
    <row r="7450" spans="1:11" ht="42" customHeight="1">
      <c r="A7450" s="2" t="s">
        <v>18664</v>
      </c>
      <c r="B7450" s="2" t="s">
        <v>18665</v>
      </c>
      <c r="C7450" s="2" t="s">
        <v>105</v>
      </c>
      <c r="D7450" s="2" t="s">
        <v>27</v>
      </c>
      <c r="E7450" s="4">
        <v>-32114</v>
      </c>
      <c r="F7450" s="3" t="s">
        <v>480</v>
      </c>
      <c r="G7450" s="3" t="s">
        <v>481</v>
      </c>
      <c r="H7450" s="2" t="s">
        <v>21</v>
      </c>
      <c r="I7450" s="2" t="s">
        <v>18666</v>
      </c>
      <c r="J7450" s="3" t="str">
        <f>HYPERLINK("https://www.boe.es/gazeta/dias/1812/01/27/pdfs/GMD-1812-27.pdf#page=4","Abrir facsímil")</f>
        <v>Abrir facsímil</v>
      </c>
      <c r="K7450" s="3" t="s">
        <v>23</v>
      </c>
    </row>
    <row r="7451" spans="1:11" ht="42" customHeight="1">
      <c r="A7451" s="2" t="s">
        <v>18667</v>
      </c>
      <c r="B7451" s="2" t="s">
        <v>18668</v>
      </c>
      <c r="C7451" s="2" t="s">
        <v>105</v>
      </c>
      <c r="D7451" s="2" t="s">
        <v>134</v>
      </c>
      <c r="E7451" s="4">
        <v>-31955</v>
      </c>
      <c r="F7451" s="3" t="s">
        <v>135</v>
      </c>
      <c r="G7451" s="3" t="s">
        <v>136</v>
      </c>
      <c r="H7451" s="2" t="s">
        <v>21</v>
      </c>
      <c r="I7451" s="2" t="s">
        <v>18669</v>
      </c>
      <c r="J7451" s="3" t="str">
        <f>HYPERLINK("https://www.boe.es/gazeta/dias/1812/07/04/pdfs/GRE-F-1812-82.pdf#page=8","Abrir facsímil")</f>
        <v>Abrir facsímil</v>
      </c>
      <c r="K7451" s="3" t="s">
        <v>23</v>
      </c>
    </row>
    <row r="7452" spans="1:11" ht="42" customHeight="1">
      <c r="A7452" s="2" t="s">
        <v>18670</v>
      </c>
      <c r="B7452" s="2" t="s">
        <v>18671</v>
      </c>
      <c r="C7452" s="2" t="s">
        <v>26</v>
      </c>
      <c r="D7452" s="2" t="s">
        <v>27</v>
      </c>
      <c r="E7452" s="4">
        <v>-31922</v>
      </c>
      <c r="F7452" s="3" t="s">
        <v>622</v>
      </c>
      <c r="G7452" s="3" t="s">
        <v>623</v>
      </c>
      <c r="H7452" s="2" t="s">
        <v>21</v>
      </c>
      <c r="I7452" s="2" t="s">
        <v>18672</v>
      </c>
      <c r="J7452" s="3" t="str">
        <f>HYPERLINK("https://www.boe.es/gazeta/dias/1812/08/06/pdfs/GMD-1812-219.pdf#page=1","Abrir facsímil")</f>
        <v>Abrir facsímil</v>
      </c>
      <c r="K7452" s="3" t="s">
        <v>23</v>
      </c>
    </row>
    <row r="7453" spans="1:11" ht="42" customHeight="1">
      <c r="A7453" s="2" t="s">
        <v>18673</v>
      </c>
      <c r="B7453" s="2" t="s">
        <v>18674</v>
      </c>
      <c r="C7453" s="2" t="s">
        <v>115</v>
      </c>
      <c r="D7453" s="2" t="s">
        <v>573</v>
      </c>
      <c r="E7453" s="4">
        <v>-31900</v>
      </c>
      <c r="F7453" s="3" t="s">
        <v>276</v>
      </c>
      <c r="G7453" s="3" t="s">
        <v>277</v>
      </c>
      <c r="H7453" s="2" t="s">
        <v>21</v>
      </c>
      <c r="I7453" s="2" t="s">
        <v>18675</v>
      </c>
      <c r="J7453" s="3" t="str">
        <f>HYPERLINK("https://www.boe.es/gazeta/dias/1812/08/28/pdfs/GRE-1812-113E.pdf#page=8","Abrir facsímil")</f>
        <v>Abrir facsímil</v>
      </c>
      <c r="K7453" s="3" t="s">
        <v>23</v>
      </c>
    </row>
    <row r="7454" spans="1:11" ht="42" customHeight="1">
      <c r="A7454" s="2" t="s">
        <v>18676</v>
      </c>
      <c r="B7454" s="2" t="s">
        <v>18677</v>
      </c>
      <c r="C7454" s="2" t="s">
        <v>26</v>
      </c>
      <c r="D7454" s="2" t="s">
        <v>27</v>
      </c>
      <c r="E7454" s="4">
        <v>-32031</v>
      </c>
      <c r="F7454" s="3" t="s">
        <v>1343</v>
      </c>
      <c r="G7454" s="3" t="s">
        <v>514</v>
      </c>
      <c r="H7454" s="2" t="s">
        <v>21</v>
      </c>
      <c r="I7454" s="2" t="s">
        <v>18678</v>
      </c>
      <c r="J7454" s="3" t="str">
        <f>HYPERLINK("https://www.boe.es/gazeta/dias/1812/04/19/pdfs/GMD-1812-110.pdf#page=4","Abrir facsímil")</f>
        <v>Abrir facsímil</v>
      </c>
      <c r="K7454" s="3" t="s">
        <v>23</v>
      </c>
    </row>
    <row r="7455" spans="1:11" ht="42" customHeight="1">
      <c r="A7455" s="2" t="s">
        <v>18676</v>
      </c>
      <c r="B7455" s="2" t="s">
        <v>18677</v>
      </c>
      <c r="C7455" s="2" t="s">
        <v>26</v>
      </c>
      <c r="D7455" s="2" t="s">
        <v>27</v>
      </c>
      <c r="E7455" s="4">
        <v>-32006</v>
      </c>
      <c r="F7455" s="3" t="s">
        <v>1153</v>
      </c>
      <c r="G7455" s="3" t="s">
        <v>12631</v>
      </c>
      <c r="H7455" s="2" t="s">
        <v>21</v>
      </c>
      <c r="I7455" s="2" t="s">
        <v>18679</v>
      </c>
      <c r="J7455" s="3" t="str">
        <f>HYPERLINK("https://www.boe.es/gazeta/dias/1812/05/14/pdfs/GMD-1812-135.pdf#page=4","Abrir facsímil")</f>
        <v>Abrir facsímil</v>
      </c>
      <c r="K7455" s="3" t="s">
        <v>23</v>
      </c>
    </row>
    <row r="7456" spans="1:11" ht="42" customHeight="1">
      <c r="A7456" s="2" t="s">
        <v>18680</v>
      </c>
      <c r="B7456" s="2" t="s">
        <v>18681</v>
      </c>
      <c r="C7456" s="2" t="s">
        <v>26</v>
      </c>
      <c r="D7456" s="2" t="s">
        <v>27</v>
      </c>
      <c r="E7456" s="4">
        <v>-32137</v>
      </c>
      <c r="F7456" s="3" t="s">
        <v>355</v>
      </c>
      <c r="G7456" s="3" t="s">
        <v>117</v>
      </c>
      <c r="H7456" s="2" t="s">
        <v>21</v>
      </c>
      <c r="I7456" s="2" t="s">
        <v>18682</v>
      </c>
      <c r="J7456" s="3" t="str">
        <f>HYPERLINK("https://www.boe.es/gazeta/dias/1812/01/04/pdfs/GEI-1812-2.pdf#page=8","Abrir facsímil")</f>
        <v>Abrir facsímil</v>
      </c>
      <c r="K7456" s="3" t="s">
        <v>23</v>
      </c>
    </row>
    <row r="7457" spans="1:11" ht="42" customHeight="1">
      <c r="A7457" s="2" t="s">
        <v>18683</v>
      </c>
      <c r="B7457" s="2" t="s">
        <v>18684</v>
      </c>
      <c r="C7457" s="2" t="s">
        <v>17</v>
      </c>
      <c r="D7457" s="2" t="s">
        <v>18</v>
      </c>
      <c r="E7457" s="4">
        <v>-32017</v>
      </c>
      <c r="F7457" s="3" t="s">
        <v>3446</v>
      </c>
      <c r="G7457" s="3" t="s">
        <v>404</v>
      </c>
      <c r="H7457" s="2" t="s">
        <v>21</v>
      </c>
      <c r="I7457" s="2" t="s">
        <v>18685</v>
      </c>
      <c r="J7457" s="3" t="str">
        <f>HYPERLINK("https://www.boe.es/gazeta/dias/1812/05/03/pdfs/GMD-1812-124.pdf#page=3","Abrir facsímil")</f>
        <v>Abrir facsímil</v>
      </c>
      <c r="K7457" s="3" t="s">
        <v>23</v>
      </c>
    </row>
    <row r="7458" spans="1:11" ht="42" customHeight="1">
      <c r="A7458" s="2" t="s">
        <v>18686</v>
      </c>
      <c r="B7458" s="2" t="s">
        <v>18686</v>
      </c>
      <c r="C7458" s="2" t="s">
        <v>17</v>
      </c>
      <c r="D7458" s="2" t="s">
        <v>27</v>
      </c>
      <c r="E7458" s="4">
        <v>-32123</v>
      </c>
      <c r="F7458" s="3" t="s">
        <v>3501</v>
      </c>
      <c r="G7458" s="3" t="s">
        <v>14460</v>
      </c>
      <c r="H7458" s="2" t="s">
        <v>21</v>
      </c>
      <c r="I7458" s="2" t="s">
        <v>18687</v>
      </c>
      <c r="J7458" s="3" t="str">
        <f>HYPERLINK("https://www.boe.es/gazeta/dias/1812/01/18/pdfs/GEI-1812-8.pdf#page=4","Abrir facsímil")</f>
        <v>Abrir facsímil</v>
      </c>
      <c r="K7458" s="3" t="s">
        <v>23</v>
      </c>
    </row>
    <row r="7459" spans="1:11" ht="42" customHeight="1">
      <c r="A7459" s="2" t="s">
        <v>18688</v>
      </c>
      <c r="B7459" s="2" t="s">
        <v>18689</v>
      </c>
      <c r="C7459" s="2" t="s">
        <v>17</v>
      </c>
      <c r="D7459" s="2" t="s">
        <v>27</v>
      </c>
      <c r="E7459" s="4">
        <v>-31838</v>
      </c>
      <c r="F7459" s="3" t="s">
        <v>1452</v>
      </c>
      <c r="G7459" s="3" t="s">
        <v>29</v>
      </c>
      <c r="H7459" s="2" t="s">
        <v>21</v>
      </c>
      <c r="I7459" s="2" t="s">
        <v>18690</v>
      </c>
      <c r="J7459" s="3" t="str">
        <f>HYPERLINK("https://www.boe.es/gazeta/dias/1812/10/29/pdfs/GMR-1812-33.pdf#page=8","Abrir facsímil")</f>
        <v>Abrir facsímil</v>
      </c>
      <c r="K7459" s="3" t="s">
        <v>23</v>
      </c>
    </row>
    <row r="7460" spans="1:11" ht="42" customHeight="1">
      <c r="A7460" s="2" t="s">
        <v>18691</v>
      </c>
      <c r="B7460" s="2" t="s">
        <v>18692</v>
      </c>
      <c r="C7460" s="2" t="s">
        <v>186</v>
      </c>
      <c r="D7460" s="2" t="s">
        <v>275</v>
      </c>
      <c r="E7460" s="4">
        <v>-32002</v>
      </c>
      <c r="F7460" s="3" t="s">
        <v>619</v>
      </c>
      <c r="G7460" s="3" t="s">
        <v>20</v>
      </c>
      <c r="H7460" s="2" t="s">
        <v>21</v>
      </c>
      <c r="I7460" s="2" t="s">
        <v>18693</v>
      </c>
      <c r="J7460" s="3" t="str">
        <f>HYPERLINK("https://www.boe.es/gazeta/dias/1812/05/18/pdfs/GMD-1812-139.pdf#page=3","Abrir facsímil")</f>
        <v>Abrir facsímil</v>
      </c>
      <c r="K7460" s="3" t="s">
        <v>23</v>
      </c>
    </row>
    <row r="7461" spans="1:11" ht="42" customHeight="1">
      <c r="A7461" s="2" t="s">
        <v>18694</v>
      </c>
      <c r="B7461" s="2" t="s">
        <v>18694</v>
      </c>
      <c r="C7461" s="2" t="s">
        <v>26</v>
      </c>
      <c r="D7461" s="2" t="s">
        <v>27</v>
      </c>
      <c r="E7461" s="4">
        <v>-32060</v>
      </c>
      <c r="F7461" s="3" t="s">
        <v>399</v>
      </c>
      <c r="G7461" s="3" t="s">
        <v>136</v>
      </c>
      <c r="H7461" s="2" t="s">
        <v>21</v>
      </c>
      <c r="I7461" s="2" t="s">
        <v>18695</v>
      </c>
      <c r="J7461" s="3" t="str">
        <f>HYPERLINK("https://www.boe.es/gazeta/dias/1812/03/21/pdfs/GMD-1812-81.pdf#page=4","Abrir facsímil")</f>
        <v>Abrir facsímil</v>
      </c>
      <c r="K7461" s="3" t="s">
        <v>23</v>
      </c>
    </row>
    <row r="7462" spans="1:11" ht="42" customHeight="1">
      <c r="A7462" s="2" t="s">
        <v>18694</v>
      </c>
      <c r="B7462" s="2" t="s">
        <v>18694</v>
      </c>
      <c r="C7462" s="2" t="s">
        <v>17</v>
      </c>
      <c r="D7462" s="2" t="s">
        <v>18</v>
      </c>
      <c r="E7462" s="4">
        <v>-32022</v>
      </c>
      <c r="F7462" s="3" t="s">
        <v>1186</v>
      </c>
      <c r="G7462" s="3" t="s">
        <v>15913</v>
      </c>
      <c r="H7462" s="2" t="s">
        <v>21</v>
      </c>
      <c r="I7462" s="2" t="s">
        <v>18696</v>
      </c>
      <c r="J7462" s="3" t="str">
        <f>HYPERLINK("https://www.boe.es/gazeta/dias/1812/04/28/pdfs/GRE-1812-53.pdf#page=1","Abrir facsímil")</f>
        <v>Abrir facsímil</v>
      </c>
      <c r="K7462" s="3" t="s">
        <v>23</v>
      </c>
    </row>
    <row r="7463" spans="1:11" ht="42" customHeight="1">
      <c r="A7463" s="2" t="s">
        <v>18697</v>
      </c>
      <c r="B7463" s="2" t="s">
        <v>18697</v>
      </c>
      <c r="C7463" s="2" t="s">
        <v>17</v>
      </c>
      <c r="D7463" s="2" t="s">
        <v>27</v>
      </c>
      <c r="E7463" s="4">
        <v>-31927</v>
      </c>
      <c r="F7463" s="3" t="s">
        <v>1160</v>
      </c>
      <c r="G7463" s="3" t="s">
        <v>20</v>
      </c>
      <c r="H7463" s="2" t="s">
        <v>21</v>
      </c>
      <c r="I7463" s="2" t="s">
        <v>18698</v>
      </c>
      <c r="J7463" s="3" t="str">
        <f>HYPERLINK("https://www.boe.es/gazeta/dias/1812/08/01/pdfs/GRE-1812-97.pdf#page=6","Abrir facsímil")</f>
        <v>Abrir facsímil</v>
      </c>
      <c r="K7463" s="3" t="s">
        <v>23</v>
      </c>
    </row>
    <row r="7464" spans="1:11" ht="42" customHeight="1">
      <c r="A7464" s="2" t="s">
        <v>18699</v>
      </c>
      <c r="B7464" s="2" t="s">
        <v>18700</v>
      </c>
      <c r="C7464" s="2" t="s">
        <v>26</v>
      </c>
      <c r="D7464" s="2" t="s">
        <v>27</v>
      </c>
      <c r="E7464" s="4">
        <v>-32066</v>
      </c>
      <c r="F7464" s="3" t="s">
        <v>291</v>
      </c>
      <c r="G7464" s="3" t="s">
        <v>125</v>
      </c>
      <c r="H7464" s="2" t="s">
        <v>21</v>
      </c>
      <c r="I7464" s="2" t="s">
        <v>18701</v>
      </c>
      <c r="J7464" s="3" t="str">
        <f>HYPERLINK("https://www.boe.es/gazeta/dias/1812/03/15/pdfs/GMD-1812-75.pdf#page=4","Abrir facsímil")</f>
        <v>Abrir facsímil</v>
      </c>
      <c r="K7464" s="3" t="s">
        <v>23</v>
      </c>
    </row>
    <row r="7465" spans="1:11" ht="42" customHeight="1">
      <c r="A7465" s="2" t="s">
        <v>18702</v>
      </c>
      <c r="B7465" s="2" t="s">
        <v>18702</v>
      </c>
      <c r="C7465" s="2" t="s">
        <v>17</v>
      </c>
      <c r="D7465" s="2" t="s">
        <v>27</v>
      </c>
      <c r="E7465" s="4">
        <v>-31836</v>
      </c>
      <c r="F7465" s="3" t="s">
        <v>729</v>
      </c>
      <c r="G7465" s="3" t="s">
        <v>11190</v>
      </c>
      <c r="H7465" s="2" t="s">
        <v>21</v>
      </c>
      <c r="I7465" s="2" t="s">
        <v>18703</v>
      </c>
      <c r="J7465" s="3" t="str">
        <f>HYPERLINK("https://www.boe.es/gazeta/dias/1812/10/31/pdfs/GRE-1812-146.pdf#page=3","Abrir facsímil")</f>
        <v>Abrir facsímil</v>
      </c>
      <c r="K7465" s="3" t="s">
        <v>23</v>
      </c>
    </row>
    <row r="7466" spans="1:11" ht="42" customHeight="1">
      <c r="A7466" s="2" t="s">
        <v>18704</v>
      </c>
      <c r="B7466" s="2" t="s">
        <v>18705</v>
      </c>
      <c r="C7466" s="2" t="s">
        <v>26</v>
      </c>
      <c r="D7466" s="2" t="s">
        <v>27</v>
      </c>
      <c r="E7466" s="4">
        <v>-32006</v>
      </c>
      <c r="F7466" s="3" t="s">
        <v>1153</v>
      </c>
      <c r="G7466" s="3" t="s">
        <v>1154</v>
      </c>
      <c r="H7466" s="2" t="s">
        <v>21</v>
      </c>
      <c r="I7466" s="2" t="s">
        <v>18706</v>
      </c>
      <c r="J7466" s="3" t="str">
        <f>HYPERLINK("https://www.boe.es/gazeta/dias/1812/05/14/pdfs/GMD-1812-135.pdf#page=3","Abrir facsímil")</f>
        <v>Abrir facsímil</v>
      </c>
      <c r="K7466" s="3" t="s">
        <v>23</v>
      </c>
    </row>
    <row r="7467" spans="1:11" ht="42" customHeight="1">
      <c r="A7467" s="2" t="s">
        <v>18707</v>
      </c>
      <c r="B7467" s="2" t="s">
        <v>18707</v>
      </c>
      <c r="C7467" s="2" t="s">
        <v>17</v>
      </c>
      <c r="D7467" s="2" t="s">
        <v>27</v>
      </c>
      <c r="E7467" s="4">
        <v>-31787</v>
      </c>
      <c r="F7467" s="3" t="s">
        <v>1560</v>
      </c>
      <c r="G7467" s="3" t="s">
        <v>1820</v>
      </c>
      <c r="H7467" s="2" t="s">
        <v>21</v>
      </c>
      <c r="I7467" s="2" t="s">
        <v>18708</v>
      </c>
      <c r="J7467" s="3" t="str">
        <f>HYPERLINK("https://www.boe.es/gazeta/dias/1812/12/19/pdfs/GRE-1812-167.pdf#page=2","Abrir facsímil")</f>
        <v>Abrir facsímil</v>
      </c>
      <c r="K7467" s="3" t="s">
        <v>23</v>
      </c>
    </row>
    <row r="7468" spans="1:11" ht="42" customHeight="1">
      <c r="A7468" s="2" t="s">
        <v>18709</v>
      </c>
      <c r="B7468" s="2" t="s">
        <v>18710</v>
      </c>
      <c r="C7468" s="2" t="s">
        <v>26</v>
      </c>
      <c r="D7468" s="2" t="s">
        <v>27</v>
      </c>
      <c r="E7468" s="4">
        <v>-31922</v>
      </c>
      <c r="F7468" s="3" t="s">
        <v>622</v>
      </c>
      <c r="G7468" s="3" t="s">
        <v>623</v>
      </c>
      <c r="H7468" s="2" t="s">
        <v>21</v>
      </c>
      <c r="I7468" s="2" t="s">
        <v>18711</v>
      </c>
      <c r="J7468" s="3" t="str">
        <f>HYPERLINK("https://www.boe.es/gazeta/dias/1812/08/06/pdfs/GMD-1812-219.pdf#page=1","Abrir facsímil")</f>
        <v>Abrir facsímil</v>
      </c>
      <c r="K7468" s="3" t="s">
        <v>23</v>
      </c>
    </row>
    <row r="7469" spans="1:11" ht="42" customHeight="1">
      <c r="A7469" s="2" t="s">
        <v>18712</v>
      </c>
      <c r="B7469" s="2" t="s">
        <v>18713</v>
      </c>
      <c r="C7469" s="2" t="s">
        <v>186</v>
      </c>
      <c r="D7469" s="2" t="s">
        <v>27</v>
      </c>
      <c r="E7469" s="4">
        <v>-32090</v>
      </c>
      <c r="F7469" s="3" t="s">
        <v>142</v>
      </c>
      <c r="G7469" s="3" t="s">
        <v>29</v>
      </c>
      <c r="H7469" s="2" t="s">
        <v>21</v>
      </c>
      <c r="I7469" s="2" t="s">
        <v>18714</v>
      </c>
      <c r="J7469" s="3" t="str">
        <f>HYPERLINK("https://www.boe.es/gazeta/dias/1812/02/20/pdfs/GRE-1812-22.pdf#page=8","Abrir facsímil")</f>
        <v>Abrir facsímil</v>
      </c>
      <c r="K7469" s="3" t="s">
        <v>23</v>
      </c>
    </row>
    <row r="7470" spans="1:11" ht="42" customHeight="1">
      <c r="A7470" s="2" t="s">
        <v>18715</v>
      </c>
      <c r="B7470" s="2" t="s">
        <v>18715</v>
      </c>
      <c r="C7470" s="2" t="s">
        <v>17</v>
      </c>
      <c r="D7470" s="2" t="s">
        <v>194</v>
      </c>
      <c r="E7470" s="4">
        <v>-31845</v>
      </c>
      <c r="F7470" s="3" t="s">
        <v>723</v>
      </c>
      <c r="G7470" s="3" t="s">
        <v>125</v>
      </c>
      <c r="H7470" s="2" t="s">
        <v>21</v>
      </c>
      <c r="I7470" s="2" t="s">
        <v>18716</v>
      </c>
      <c r="J7470" s="3" t="str">
        <f>HYPERLINK("https://www.boe.es/gazeta/dias/1812/10/22/pdfs/GMR-1812-30.pdf#page=2","Abrir facsímil")</f>
        <v>Abrir facsímil</v>
      </c>
      <c r="K7470" s="3" t="s">
        <v>23</v>
      </c>
    </row>
    <row r="7471" spans="1:11" ht="42" customHeight="1">
      <c r="A7471" s="2" t="s">
        <v>18717</v>
      </c>
      <c r="B7471" s="2" t="s">
        <v>18717</v>
      </c>
      <c r="C7471" s="2" t="s">
        <v>17</v>
      </c>
      <c r="D7471" s="2" t="s">
        <v>27</v>
      </c>
      <c r="E7471" s="4">
        <v>-31780</v>
      </c>
      <c r="F7471" s="3" t="s">
        <v>3317</v>
      </c>
      <c r="G7471" s="3" t="s">
        <v>58</v>
      </c>
      <c r="H7471" s="2" t="s">
        <v>21</v>
      </c>
      <c r="I7471" s="2" t="s">
        <v>18718</v>
      </c>
      <c r="J7471" s="3" t="str">
        <f>HYPERLINK("https://www.boe.es/gazeta/dias/1812/12/26/pdfs/GRE-1812-170.pdf#page=7","Abrir facsímil")</f>
        <v>Abrir facsímil</v>
      </c>
      <c r="K7471" s="3" t="s">
        <v>23</v>
      </c>
    </row>
    <row r="7472" spans="1:11" ht="42" customHeight="1">
      <c r="A7472" s="2" t="s">
        <v>18719</v>
      </c>
      <c r="B7472" s="2" t="s">
        <v>18720</v>
      </c>
      <c r="C7472" s="2" t="s">
        <v>67</v>
      </c>
      <c r="D7472" s="2" t="s">
        <v>27</v>
      </c>
      <c r="E7472" s="4">
        <v>-32033</v>
      </c>
      <c r="F7472" s="3" t="s">
        <v>771</v>
      </c>
      <c r="G7472" s="3" t="s">
        <v>130</v>
      </c>
      <c r="H7472" s="2" t="s">
        <v>21</v>
      </c>
      <c r="I7472" s="2" t="s">
        <v>18721</v>
      </c>
      <c r="J7472" s="3" t="str">
        <f>HYPERLINK("https://www.boe.es/gazeta/dias/1812/04/17/pdfs/GMD-1812-108.pdf#page=4","Abrir facsímil")</f>
        <v>Abrir facsímil</v>
      </c>
      <c r="K7472" s="3" t="s">
        <v>23</v>
      </c>
    </row>
    <row r="7473" spans="1:11" ht="42" customHeight="1">
      <c r="A7473" s="2" t="s">
        <v>18722</v>
      </c>
      <c r="B7473" s="2" t="s">
        <v>18722</v>
      </c>
      <c r="C7473" s="2" t="s">
        <v>17</v>
      </c>
      <c r="D7473" s="2" t="s">
        <v>194</v>
      </c>
      <c r="E7473" s="4">
        <v>-31866</v>
      </c>
      <c r="F7473" s="3" t="s">
        <v>845</v>
      </c>
      <c r="G7473" s="3" t="s">
        <v>846</v>
      </c>
      <c r="H7473" s="2" t="s">
        <v>21</v>
      </c>
      <c r="I7473" s="2" t="s">
        <v>18723</v>
      </c>
      <c r="J7473" s="3" t="str">
        <f>HYPERLINK("https://www.boe.es/gazeta/dias/1812/10/01/pdfs/GRE-1812-133.pdf#page=1","Abrir facsímil")</f>
        <v>Abrir facsímil</v>
      </c>
      <c r="K7473" s="3" t="s">
        <v>23</v>
      </c>
    </row>
    <row r="7474" spans="1:11" ht="42" customHeight="1">
      <c r="A7474" s="2" t="s">
        <v>18722</v>
      </c>
      <c r="B7474" s="2" t="s">
        <v>18722</v>
      </c>
      <c r="C7474" s="2" t="s">
        <v>17</v>
      </c>
      <c r="D7474" s="2" t="s">
        <v>18</v>
      </c>
      <c r="E7474" s="4">
        <v>-31857</v>
      </c>
      <c r="F7474" s="3" t="s">
        <v>2176</v>
      </c>
      <c r="G7474" s="3" t="s">
        <v>1611</v>
      </c>
      <c r="H7474" s="2" t="s">
        <v>21</v>
      </c>
      <c r="I7474" s="2" t="s">
        <v>18724</v>
      </c>
      <c r="J7474" s="3" t="str">
        <f>HYPERLINK("https://www.boe.es/gazeta/dias/1812/10/10/pdfs/GMR-1812-25.pdf#page=2","Abrir facsímil")</f>
        <v>Abrir facsímil</v>
      </c>
      <c r="K7474" s="3" t="s">
        <v>23</v>
      </c>
    </row>
    <row r="7475" spans="1:11" ht="42" customHeight="1">
      <c r="A7475" s="2" t="s">
        <v>18722</v>
      </c>
      <c r="B7475" s="2" t="s">
        <v>18722</v>
      </c>
      <c r="C7475" s="2" t="s">
        <v>17</v>
      </c>
      <c r="D7475" s="2" t="s">
        <v>27</v>
      </c>
      <c r="E7475" s="4">
        <v>-31829</v>
      </c>
      <c r="F7475" s="3" t="s">
        <v>3229</v>
      </c>
      <c r="G7475" s="3" t="s">
        <v>18725</v>
      </c>
      <c r="H7475" s="2" t="s">
        <v>21</v>
      </c>
      <c r="I7475" s="2" t="s">
        <v>18726</v>
      </c>
      <c r="J7475" s="3" t="str">
        <f>HYPERLINK("https://www.boe.es/gazeta/dias/1812/11/07/pdfs/GRE-1812-149.pdf#page=1","Abrir facsímil")</f>
        <v>Abrir facsímil</v>
      </c>
      <c r="K7475" s="3" t="s">
        <v>23</v>
      </c>
    </row>
    <row r="7476" spans="1:11" ht="42" customHeight="1">
      <c r="A7476" s="2" t="s">
        <v>18727</v>
      </c>
      <c r="B7476" s="2" t="s">
        <v>18728</v>
      </c>
      <c r="C7476" s="2" t="s">
        <v>17</v>
      </c>
      <c r="D7476" s="2" t="s">
        <v>27</v>
      </c>
      <c r="E7476" s="4">
        <v>-31936</v>
      </c>
      <c r="F7476" s="3" t="s">
        <v>614</v>
      </c>
      <c r="G7476" s="3" t="s">
        <v>615</v>
      </c>
      <c r="H7476" s="2" t="s">
        <v>21</v>
      </c>
      <c r="I7476" s="2" t="s">
        <v>18729</v>
      </c>
      <c r="J7476" s="3" t="str">
        <f>HYPERLINK("https://www.boe.es/gazeta/dias/1812/07/23/pdfs/GRE-1812-92.pdf#page=8","Abrir facsímil")</f>
        <v>Abrir facsímil</v>
      </c>
      <c r="K7476" s="3" t="s">
        <v>23</v>
      </c>
    </row>
    <row r="7477" spans="1:11" ht="42" customHeight="1">
      <c r="A7477" s="2" t="s">
        <v>18730</v>
      </c>
      <c r="B7477" s="2" t="s">
        <v>18731</v>
      </c>
      <c r="C7477" s="2" t="s">
        <v>17</v>
      </c>
      <c r="D7477" s="2" t="s">
        <v>18</v>
      </c>
      <c r="E7477" s="4">
        <v>-32050</v>
      </c>
      <c r="F7477" s="3" t="s">
        <v>864</v>
      </c>
      <c r="G7477" s="3" t="s">
        <v>29</v>
      </c>
      <c r="H7477" s="2" t="s">
        <v>21</v>
      </c>
      <c r="I7477" s="2" t="s">
        <v>18732</v>
      </c>
      <c r="J7477" s="3" t="str">
        <f>HYPERLINK("https://www.boe.es/gazeta/dias/1812/03/31/pdfs/GRE-1812-40.pdf#page=8","Abrir facsímil")</f>
        <v>Abrir facsímil</v>
      </c>
      <c r="K7477" s="3" t="s">
        <v>23</v>
      </c>
    </row>
    <row r="7478" spans="1:11" ht="42" customHeight="1">
      <c r="A7478" s="2" t="s">
        <v>18733</v>
      </c>
      <c r="B7478" s="2" t="s">
        <v>18734</v>
      </c>
      <c r="C7478" s="2" t="s">
        <v>26</v>
      </c>
      <c r="D7478" s="2" t="s">
        <v>27</v>
      </c>
      <c r="E7478" s="4">
        <v>-32139</v>
      </c>
      <c r="F7478" s="3" t="s">
        <v>518</v>
      </c>
      <c r="G7478" s="3" t="s">
        <v>125</v>
      </c>
      <c r="H7478" s="2" t="s">
        <v>21</v>
      </c>
      <c r="I7478" s="2" t="s">
        <v>18735</v>
      </c>
      <c r="J7478" s="3" t="str">
        <f>HYPERLINK("https://www.boe.es/gazeta/dias/1812/01/02/pdfs/GEI-1812-1.pdf#page=8","Abrir facsímil")</f>
        <v>Abrir facsímil</v>
      </c>
      <c r="K7478" s="3" t="s">
        <v>23</v>
      </c>
    </row>
    <row r="7479" spans="1:11" ht="42" customHeight="1">
      <c r="A7479" s="2" t="s">
        <v>18736</v>
      </c>
      <c r="B7479" s="2" t="s">
        <v>18736</v>
      </c>
      <c r="C7479" s="2" t="s">
        <v>17</v>
      </c>
      <c r="D7479" s="2" t="s">
        <v>18</v>
      </c>
      <c r="E7479" s="4">
        <v>-32041</v>
      </c>
      <c r="F7479" s="3" t="s">
        <v>35</v>
      </c>
      <c r="G7479" s="3" t="s">
        <v>2871</v>
      </c>
      <c r="H7479" s="2" t="s">
        <v>21</v>
      </c>
      <c r="I7479" s="2" t="s">
        <v>18737</v>
      </c>
      <c r="J7479" s="3" t="str">
        <f>HYPERLINK("https://www.boe.es/gazeta/dias/1812/04/09/pdfs/GRE-1812-44.pdf#page=5","Abrir facsímil")</f>
        <v>Abrir facsímil</v>
      </c>
      <c r="K7479" s="3" t="s">
        <v>23</v>
      </c>
    </row>
    <row r="7480" spans="1:11" ht="42" customHeight="1">
      <c r="A7480" s="2" t="s">
        <v>18738</v>
      </c>
      <c r="B7480" s="2" t="s">
        <v>18738</v>
      </c>
      <c r="C7480" s="2" t="s">
        <v>17</v>
      </c>
      <c r="D7480" s="2" t="s">
        <v>18</v>
      </c>
      <c r="E7480" s="4">
        <v>-31959</v>
      </c>
      <c r="F7480" s="3" t="s">
        <v>1035</v>
      </c>
      <c r="G7480" s="3" t="s">
        <v>4321</v>
      </c>
      <c r="H7480" s="2" t="s">
        <v>21</v>
      </c>
      <c r="I7480" s="2" t="s">
        <v>18739</v>
      </c>
      <c r="J7480" s="3" t="str">
        <f>HYPERLINK("https://www.boe.es/gazeta/dias/1812/06/30/pdfs/GRE-1812-80.pdf#page=5","Abrir facsímil")</f>
        <v>Abrir facsímil</v>
      </c>
      <c r="K7480" s="3" t="s">
        <v>23</v>
      </c>
    </row>
    <row r="7481" spans="1:11" ht="42" customHeight="1">
      <c r="A7481" s="2" t="s">
        <v>18740</v>
      </c>
      <c r="B7481" s="2" t="s">
        <v>18740</v>
      </c>
      <c r="C7481" s="2" t="s">
        <v>17</v>
      </c>
      <c r="D7481" s="2" t="s">
        <v>18</v>
      </c>
      <c r="E7481" s="4">
        <v>-32022</v>
      </c>
      <c r="F7481" s="3" t="s">
        <v>1186</v>
      </c>
      <c r="G7481" s="3" t="s">
        <v>125</v>
      </c>
      <c r="H7481" s="2" t="s">
        <v>21</v>
      </c>
      <c r="I7481" s="2" t="s">
        <v>18741</v>
      </c>
      <c r="J7481" s="3" t="str">
        <f>HYPERLINK("https://www.boe.es/gazeta/dias/1812/04/28/pdfs/GRE-1812-53.pdf#page=3","Abrir facsímil")</f>
        <v>Abrir facsímil</v>
      </c>
      <c r="K7481" s="3" t="s">
        <v>23</v>
      </c>
    </row>
    <row r="7482" spans="1:11" ht="42" customHeight="1">
      <c r="A7482" s="2" t="s">
        <v>18742</v>
      </c>
      <c r="B7482" s="2" t="s">
        <v>18742</v>
      </c>
      <c r="C7482" s="2" t="s">
        <v>26</v>
      </c>
      <c r="D7482" s="2" t="s">
        <v>27</v>
      </c>
      <c r="E7482" s="4">
        <v>-32095</v>
      </c>
      <c r="F7482" s="3" t="s">
        <v>284</v>
      </c>
      <c r="G7482" s="3" t="s">
        <v>1961</v>
      </c>
      <c r="H7482" s="2" t="s">
        <v>21</v>
      </c>
      <c r="I7482" s="2" t="s">
        <v>18743</v>
      </c>
      <c r="J7482" s="3" t="str">
        <f>HYPERLINK("https://www.boe.es/gazeta/dias/1812/02/15/pdfs/GRE-1812-20.pdf#page=2","Abrir facsímil")</f>
        <v>Abrir facsímil</v>
      </c>
      <c r="K7482" s="3" t="s">
        <v>23</v>
      </c>
    </row>
    <row r="7483" spans="1:11" ht="42" customHeight="1">
      <c r="A7483" s="2" t="s">
        <v>18744</v>
      </c>
      <c r="B7483" s="2" t="s">
        <v>18744</v>
      </c>
      <c r="C7483" s="2" t="s">
        <v>26</v>
      </c>
      <c r="D7483" s="2" t="s">
        <v>27</v>
      </c>
      <c r="E7483" s="4">
        <v>-32095</v>
      </c>
      <c r="F7483" s="3" t="s">
        <v>284</v>
      </c>
      <c r="G7483" s="3" t="s">
        <v>36</v>
      </c>
      <c r="H7483" s="2" t="s">
        <v>21</v>
      </c>
      <c r="I7483" s="2" t="s">
        <v>18745</v>
      </c>
      <c r="J7483" s="3" t="str">
        <f>HYPERLINK("https://www.boe.es/gazeta/dias/1812/02/15/pdfs/GRE-1812-20.pdf#page=3","Abrir facsímil")</f>
        <v>Abrir facsímil</v>
      </c>
      <c r="K7483" s="3" t="s">
        <v>23</v>
      </c>
    </row>
    <row r="7484" spans="1:11" ht="42" customHeight="1">
      <c r="A7484" s="2" t="s">
        <v>18746</v>
      </c>
      <c r="B7484" s="2" t="s">
        <v>18747</v>
      </c>
      <c r="C7484" s="2" t="s">
        <v>26</v>
      </c>
      <c r="D7484" s="2" t="s">
        <v>27</v>
      </c>
      <c r="E7484" s="4">
        <v>-32102</v>
      </c>
      <c r="F7484" s="3" t="s">
        <v>1783</v>
      </c>
      <c r="G7484" s="3" t="s">
        <v>514</v>
      </c>
      <c r="H7484" s="2" t="s">
        <v>30</v>
      </c>
      <c r="I7484" s="2" t="s">
        <v>18748</v>
      </c>
      <c r="J7484" s="3" t="str">
        <f>HYPERLINK("https://www.boe.es/gazeta/dias/1812/02/08/pdfs/GRE-1812-17.pdf#page=3","Abrir facsímil")</f>
        <v>Abrir facsímil</v>
      </c>
      <c r="K7484" s="3" t="s">
        <v>32</v>
      </c>
    </row>
    <row r="7485" spans="1:11" ht="42" customHeight="1">
      <c r="A7485" s="2" t="s">
        <v>18749</v>
      </c>
      <c r="B7485" s="2" t="s">
        <v>18750</v>
      </c>
      <c r="C7485" s="2" t="s">
        <v>26</v>
      </c>
      <c r="D7485" s="2" t="s">
        <v>275</v>
      </c>
      <c r="E7485" s="4">
        <v>-31988</v>
      </c>
      <c r="F7485" s="3" t="s">
        <v>1094</v>
      </c>
      <c r="G7485" s="3" t="s">
        <v>1095</v>
      </c>
      <c r="H7485" s="2" t="s">
        <v>21</v>
      </c>
      <c r="I7485" s="2" t="s">
        <v>18751</v>
      </c>
      <c r="J7485" s="3" t="str">
        <f>HYPERLINK("https://www.boe.es/gazeta/dias/1812/06/01/pdfs/GMD-1812-153.pdf#page=2","Abrir facsímil")</f>
        <v>Abrir facsímil</v>
      </c>
      <c r="K7485" s="3" t="s">
        <v>23</v>
      </c>
    </row>
    <row r="7486" spans="1:11" ht="42" customHeight="1">
      <c r="A7486" s="2" t="s">
        <v>18752</v>
      </c>
      <c r="B7486" s="2" t="s">
        <v>18752</v>
      </c>
      <c r="C7486" s="2" t="s">
        <v>17</v>
      </c>
      <c r="D7486" s="2" t="s">
        <v>18</v>
      </c>
      <c r="E7486" s="4">
        <v>-32077</v>
      </c>
      <c r="F7486" s="3" t="s">
        <v>639</v>
      </c>
      <c r="G7486" s="3" t="s">
        <v>742</v>
      </c>
      <c r="H7486" s="2" t="s">
        <v>21</v>
      </c>
      <c r="I7486" s="2" t="s">
        <v>18753</v>
      </c>
      <c r="J7486" s="3" t="str">
        <f>HYPERLINK("https://www.boe.es/gazeta/dias/1812/03/04/pdfs/GMD-1812-64.pdf#page=1","Abrir facsímil")</f>
        <v>Abrir facsímil</v>
      </c>
      <c r="K7486" s="3" t="s">
        <v>23</v>
      </c>
    </row>
    <row r="7487" spans="1:11" ht="42" customHeight="1">
      <c r="A7487" s="2" t="s">
        <v>18752</v>
      </c>
      <c r="B7487" s="2" t="s">
        <v>18752</v>
      </c>
      <c r="C7487" s="2" t="s">
        <v>17</v>
      </c>
      <c r="D7487" s="2" t="s">
        <v>18</v>
      </c>
      <c r="E7487" s="4">
        <v>-32020</v>
      </c>
      <c r="F7487" s="3" t="s">
        <v>1860</v>
      </c>
      <c r="G7487" s="3" t="s">
        <v>10431</v>
      </c>
      <c r="H7487" s="2" t="s">
        <v>21</v>
      </c>
      <c r="I7487" s="2" t="s">
        <v>18754</v>
      </c>
      <c r="J7487" s="3" t="str">
        <f>HYPERLINK("https://www.boe.es/gazeta/dias/1812/04/30/pdfs/GMD-1812-121.pdf#page=1","Abrir facsímil")</f>
        <v>Abrir facsímil</v>
      </c>
      <c r="K7487" s="3" t="s">
        <v>23</v>
      </c>
    </row>
    <row r="7488" spans="1:11" ht="42" customHeight="1">
      <c r="A7488" s="2" t="s">
        <v>18755</v>
      </c>
      <c r="B7488" s="2" t="s">
        <v>18756</v>
      </c>
      <c r="C7488" s="2" t="s">
        <v>17</v>
      </c>
      <c r="D7488" s="2" t="s">
        <v>27</v>
      </c>
      <c r="E7488" s="4">
        <v>-31917</v>
      </c>
      <c r="F7488" s="3" t="s">
        <v>946</v>
      </c>
      <c r="G7488" s="3" t="s">
        <v>947</v>
      </c>
      <c r="H7488" s="2" t="s">
        <v>21</v>
      </c>
      <c r="I7488" s="2" t="s">
        <v>18757</v>
      </c>
      <c r="J7488" s="3" t="str">
        <f>HYPERLINK("https://www.boe.es/gazeta/dias/1812/08/11/pdfs/GRE-1812-103.pdf#page=8","Abrir facsímil")</f>
        <v>Abrir facsímil</v>
      </c>
      <c r="K7488" s="3" t="s">
        <v>23</v>
      </c>
    </row>
    <row r="7489" spans="1:11" ht="42" customHeight="1">
      <c r="A7489" s="2" t="s">
        <v>18758</v>
      </c>
      <c r="B7489" s="2" t="s">
        <v>18758</v>
      </c>
      <c r="C7489" s="2" t="s">
        <v>17</v>
      </c>
      <c r="D7489" s="2" t="s">
        <v>27</v>
      </c>
      <c r="E7489" s="4">
        <v>-31875</v>
      </c>
      <c r="F7489" s="3" t="s">
        <v>110</v>
      </c>
      <c r="G7489" s="3" t="s">
        <v>1503</v>
      </c>
      <c r="H7489" s="2" t="s">
        <v>21</v>
      </c>
      <c r="I7489" s="2" t="s">
        <v>18759</v>
      </c>
      <c r="J7489" s="3" t="str">
        <f>HYPERLINK("https://www.boe.es/gazeta/dias/1812/09/22/pdfs/GRE-1812-128.pdf#page=4","Abrir facsímil")</f>
        <v>Abrir facsímil</v>
      </c>
      <c r="K7489" s="3" t="s">
        <v>23</v>
      </c>
    </row>
    <row r="7490" spans="1:11" ht="42" customHeight="1">
      <c r="A7490" s="2" t="s">
        <v>18760</v>
      </c>
      <c r="B7490" s="2" t="s">
        <v>18761</v>
      </c>
      <c r="C7490" s="2" t="s">
        <v>26</v>
      </c>
      <c r="D7490" s="2" t="s">
        <v>27</v>
      </c>
      <c r="E7490" s="4">
        <v>-31857</v>
      </c>
      <c r="F7490" s="3" t="s">
        <v>2176</v>
      </c>
      <c r="G7490" s="3" t="s">
        <v>217</v>
      </c>
      <c r="H7490" s="2" t="s">
        <v>21</v>
      </c>
      <c r="I7490" s="2" t="s">
        <v>18762</v>
      </c>
      <c r="J7490" s="3" t="str">
        <f>HYPERLINK("https://www.boe.es/gazeta/dias/1812/10/10/pdfs/GMR-1812-25.pdf#page=7","Abrir facsímil")</f>
        <v>Abrir facsímil</v>
      </c>
      <c r="K7490" s="3" t="s">
        <v>23</v>
      </c>
    </row>
    <row r="7491" spans="1:11" ht="42" customHeight="1">
      <c r="A7491" s="2" t="s">
        <v>18763</v>
      </c>
      <c r="B7491" s="2" t="s">
        <v>18763</v>
      </c>
      <c r="C7491" s="2" t="s">
        <v>17</v>
      </c>
      <c r="D7491" s="2" t="s">
        <v>27</v>
      </c>
      <c r="E7491" s="4">
        <v>-31991</v>
      </c>
      <c r="F7491" s="3" t="s">
        <v>663</v>
      </c>
      <c r="G7491" s="3" t="s">
        <v>404</v>
      </c>
      <c r="H7491" s="2" t="s">
        <v>21</v>
      </c>
      <c r="I7491" s="2" t="s">
        <v>18764</v>
      </c>
      <c r="J7491" s="3" t="str">
        <f>HYPERLINK("https://www.boe.es/gazeta/dias/1812/05/29/pdfs/GMD-1812-150.pdf#page=4","Abrir facsímil")</f>
        <v>Abrir facsímil</v>
      </c>
      <c r="K7491" s="3" t="s">
        <v>23</v>
      </c>
    </row>
    <row r="7492" spans="1:11" ht="42" customHeight="1">
      <c r="A7492" s="2" t="s">
        <v>18763</v>
      </c>
      <c r="B7492" s="2" t="s">
        <v>18763</v>
      </c>
      <c r="C7492" s="2" t="s">
        <v>26</v>
      </c>
      <c r="D7492" s="2" t="s">
        <v>27</v>
      </c>
      <c r="E7492" s="4">
        <v>-31955</v>
      </c>
      <c r="F7492" s="3" t="s">
        <v>1195</v>
      </c>
      <c r="G7492" s="3" t="s">
        <v>45</v>
      </c>
      <c r="H7492" s="2" t="s">
        <v>21</v>
      </c>
      <c r="I7492" s="2" t="s">
        <v>18765</v>
      </c>
      <c r="J7492" s="3" t="str">
        <f>HYPERLINK("https://www.boe.es/gazeta/dias/1812/07/04/pdfs/GMD-1812-186.pdf#page=2","Abrir facsímil")</f>
        <v>Abrir facsímil</v>
      </c>
      <c r="K7492" s="3" t="s">
        <v>23</v>
      </c>
    </row>
    <row r="7493" spans="1:11" ht="42" customHeight="1">
      <c r="A7493" s="2" t="s">
        <v>18766</v>
      </c>
      <c r="B7493" s="2" t="s">
        <v>18767</v>
      </c>
      <c r="C7493" s="2" t="s">
        <v>17</v>
      </c>
      <c r="D7493" s="2" t="s">
        <v>27</v>
      </c>
      <c r="E7493" s="4">
        <v>-32127</v>
      </c>
      <c r="F7493" s="3" t="s">
        <v>88</v>
      </c>
      <c r="G7493" s="3" t="s">
        <v>89</v>
      </c>
      <c r="H7493" s="2" t="s">
        <v>21</v>
      </c>
      <c r="I7493" s="2" t="s">
        <v>18768</v>
      </c>
      <c r="J7493" s="3" t="str">
        <f>HYPERLINK("https://www.boe.es/gazeta/dias/1812/01/14/pdfs/GEI-1812-6.pdf#page=8","Abrir facsímil")</f>
        <v>Abrir facsímil</v>
      </c>
      <c r="K7493" s="3" t="s">
        <v>23</v>
      </c>
    </row>
    <row r="7494" spans="1:11" ht="42" customHeight="1">
      <c r="A7494" s="2" t="s">
        <v>18769</v>
      </c>
      <c r="B7494" s="2" t="s">
        <v>18770</v>
      </c>
      <c r="C7494" s="2" t="s">
        <v>17</v>
      </c>
      <c r="D7494" s="2" t="s">
        <v>18</v>
      </c>
      <c r="E7494" s="4">
        <v>-32011</v>
      </c>
      <c r="F7494" s="3" t="s">
        <v>1233</v>
      </c>
      <c r="G7494" s="3" t="s">
        <v>965</v>
      </c>
      <c r="H7494" s="2" t="s">
        <v>21</v>
      </c>
      <c r="I7494" s="2" t="s">
        <v>18771</v>
      </c>
      <c r="J7494" s="3" t="str">
        <f>HYPERLINK("https://www.boe.es/gazeta/dias/1812/05/09/pdfs/GRE-1812-58.pdf#page=3","Abrir facsímil")</f>
        <v>Abrir facsímil</v>
      </c>
      <c r="K7494" s="3" t="s">
        <v>23</v>
      </c>
    </row>
    <row r="7495" spans="1:11" ht="42" customHeight="1">
      <c r="A7495" s="2" t="s">
        <v>18772</v>
      </c>
      <c r="B7495" s="2" t="s">
        <v>18773</v>
      </c>
      <c r="C7495" s="2" t="s">
        <v>17</v>
      </c>
      <c r="D7495" s="2" t="s">
        <v>18</v>
      </c>
      <c r="E7495" s="4">
        <v>-32069</v>
      </c>
      <c r="F7495" s="3" t="s">
        <v>569</v>
      </c>
      <c r="G7495" s="3" t="s">
        <v>182</v>
      </c>
      <c r="H7495" s="2" t="s">
        <v>21</v>
      </c>
      <c r="I7495" s="2" t="s">
        <v>18774</v>
      </c>
      <c r="J7495" s="3" t="str">
        <f>HYPERLINK("https://www.boe.es/gazeta/dias/1812/03/12/pdfs/GMD-1812-72.pdf#page=4","Abrir facsímil")</f>
        <v>Abrir facsímil</v>
      </c>
      <c r="K7495" s="3" t="s">
        <v>23</v>
      </c>
    </row>
    <row r="7496" spans="1:11" ht="42" customHeight="1">
      <c r="A7496" s="2" t="s">
        <v>18775</v>
      </c>
      <c r="B7496" s="2" t="s">
        <v>18776</v>
      </c>
      <c r="C7496" s="2" t="s">
        <v>17</v>
      </c>
      <c r="D7496" s="2" t="s">
        <v>18</v>
      </c>
      <c r="E7496" s="4">
        <v>-31992</v>
      </c>
      <c r="F7496" s="3" t="s">
        <v>1292</v>
      </c>
      <c r="G7496" s="3" t="s">
        <v>1424</v>
      </c>
      <c r="H7496" s="2" t="s">
        <v>21</v>
      </c>
      <c r="I7496" s="2" t="s">
        <v>18777</v>
      </c>
      <c r="J7496" s="3" t="str">
        <f>HYPERLINK("https://www.boe.es/gazeta/dias/1812/05/28/pdfs/GRE-1812-66.pdf#page=5","Abrir facsímil")</f>
        <v>Abrir facsímil</v>
      </c>
      <c r="K7496" s="3" t="s">
        <v>23</v>
      </c>
    </row>
    <row r="7497" spans="1:11" ht="42" customHeight="1">
      <c r="A7497" s="2" t="s">
        <v>18778</v>
      </c>
      <c r="B7497" s="2" t="s">
        <v>18779</v>
      </c>
      <c r="C7497" s="2" t="s">
        <v>17</v>
      </c>
      <c r="D7497" s="2" t="s">
        <v>27</v>
      </c>
      <c r="E7497" s="4">
        <v>-31829</v>
      </c>
      <c r="F7497" s="3" t="s">
        <v>3229</v>
      </c>
      <c r="G7497" s="3" t="s">
        <v>3230</v>
      </c>
      <c r="H7497" s="2" t="s">
        <v>21</v>
      </c>
      <c r="I7497" s="2" t="s">
        <v>18780</v>
      </c>
      <c r="J7497" s="3" t="str">
        <f>HYPERLINK("https://www.boe.es/gazeta/dias/1812/11/07/pdfs/GRE-1812-149.pdf#page=5","Abrir facsímil")</f>
        <v>Abrir facsímil</v>
      </c>
      <c r="K7497" s="3" t="s">
        <v>23</v>
      </c>
    </row>
    <row r="7498" spans="1:11" ht="42" customHeight="1">
      <c r="A7498" s="2" t="s">
        <v>18781</v>
      </c>
      <c r="B7498" s="2" t="s">
        <v>18782</v>
      </c>
      <c r="C7498" s="2" t="s">
        <v>17</v>
      </c>
      <c r="D7498" s="2" t="s">
        <v>27</v>
      </c>
      <c r="E7498" s="4">
        <v>-31945</v>
      </c>
      <c r="F7498" s="3" t="s">
        <v>1485</v>
      </c>
      <c r="G7498" s="3" t="s">
        <v>1486</v>
      </c>
      <c r="H7498" s="2" t="s">
        <v>21</v>
      </c>
      <c r="I7498" s="2" t="s">
        <v>18783</v>
      </c>
      <c r="J7498" s="3" t="str">
        <f>HYPERLINK("https://www.boe.es/gazeta/dias/1812/07/14/pdfs/GRE-1812-88.pdf#page=1","Abrir facsímil")</f>
        <v>Abrir facsímil</v>
      </c>
      <c r="K7498" s="3" t="s">
        <v>23</v>
      </c>
    </row>
    <row r="7499" spans="1:11" ht="42" customHeight="1">
      <c r="A7499" s="2" t="s">
        <v>18784</v>
      </c>
      <c r="B7499" s="2" t="s">
        <v>18784</v>
      </c>
      <c r="C7499" s="2" t="s">
        <v>49</v>
      </c>
      <c r="D7499" s="2" t="s">
        <v>27</v>
      </c>
      <c r="E7499" s="4">
        <v>-31781</v>
      </c>
      <c r="F7499" s="3" t="s">
        <v>2414</v>
      </c>
      <c r="G7499" s="3" t="s">
        <v>18785</v>
      </c>
      <c r="H7499" s="2" t="s">
        <v>21</v>
      </c>
      <c r="I7499" s="2" t="s">
        <v>18786</v>
      </c>
      <c r="J7499" s="3" t="str">
        <f>HYPERLINK("https://www.boe.es/gazeta/dias/1812/12/25/pdfs/GMD-1812-248.pdf#page=1","Abrir facsímil")</f>
        <v>Abrir facsímil</v>
      </c>
      <c r="K7499" s="3" t="s">
        <v>23</v>
      </c>
    </row>
    <row r="7500" spans="1:11" ht="42" customHeight="1">
      <c r="A7500" s="2" t="s">
        <v>18787</v>
      </c>
      <c r="B7500" s="2" t="s">
        <v>18787</v>
      </c>
      <c r="C7500" s="2" t="s">
        <v>17</v>
      </c>
      <c r="D7500" s="2" t="s">
        <v>18</v>
      </c>
      <c r="E7500" s="4">
        <v>-31787</v>
      </c>
      <c r="F7500" s="3" t="s">
        <v>1560</v>
      </c>
      <c r="G7500" s="3" t="s">
        <v>1820</v>
      </c>
      <c r="H7500" s="2" t="s">
        <v>21</v>
      </c>
      <c r="I7500" s="2" t="s">
        <v>18788</v>
      </c>
      <c r="J7500" s="3" t="str">
        <f>HYPERLINK("https://www.boe.es/gazeta/dias/1812/12/19/pdfs/GRE-1812-167.pdf#page=2","Abrir facsímil")</f>
        <v>Abrir facsímil</v>
      </c>
      <c r="K7500" s="3" t="s">
        <v>23</v>
      </c>
    </row>
    <row r="7501" spans="1:11" ht="42" customHeight="1">
      <c r="A7501" s="2" t="s">
        <v>18789</v>
      </c>
      <c r="B7501" s="2" t="s">
        <v>18789</v>
      </c>
      <c r="C7501" s="2" t="s">
        <v>26</v>
      </c>
      <c r="D7501" s="2" t="s">
        <v>134</v>
      </c>
      <c r="E7501" s="4">
        <v>-31896</v>
      </c>
      <c r="F7501" s="3" t="s">
        <v>2506</v>
      </c>
      <c r="G7501" s="3" t="s">
        <v>196</v>
      </c>
      <c r="H7501" s="2" t="s">
        <v>21</v>
      </c>
      <c r="I7501" s="2" t="s">
        <v>18790</v>
      </c>
      <c r="J7501" s="3" t="str">
        <f>HYPERLINK("https://www.boe.es/gazeta/dias/1812/09/01/pdfs/GRE-F-1812-117.pdf#page=1","Abrir facsímil")</f>
        <v>Abrir facsímil</v>
      </c>
      <c r="K7501" s="3" t="s">
        <v>23</v>
      </c>
    </row>
    <row r="7502" spans="1:11" ht="42" customHeight="1">
      <c r="A7502" s="2" t="s">
        <v>18791</v>
      </c>
      <c r="B7502" s="2" t="s">
        <v>18791</v>
      </c>
      <c r="C7502" s="2" t="s">
        <v>26</v>
      </c>
      <c r="D7502" s="2" t="s">
        <v>27</v>
      </c>
      <c r="E7502" s="4">
        <v>-31784</v>
      </c>
      <c r="F7502" s="3" t="s">
        <v>6524</v>
      </c>
      <c r="G7502" s="3" t="s">
        <v>167</v>
      </c>
      <c r="H7502" s="2" t="s">
        <v>21</v>
      </c>
      <c r="I7502" s="2" t="s">
        <v>18792</v>
      </c>
      <c r="J7502" s="3" t="str">
        <f>HYPERLINK("https://www.boe.es/gazeta/dias/1812/12/22/pdfs/GRE-1812-168.pdf#page=1","Abrir facsímil")</f>
        <v>Abrir facsímil</v>
      </c>
      <c r="K7502" s="3" t="s">
        <v>23</v>
      </c>
    </row>
    <row r="7503" spans="1:11" ht="42" customHeight="1">
      <c r="A7503" s="2" t="s">
        <v>18791</v>
      </c>
      <c r="B7503" s="2" t="s">
        <v>18791</v>
      </c>
      <c r="C7503" s="2" t="s">
        <v>17</v>
      </c>
      <c r="D7503" s="2" t="s">
        <v>18</v>
      </c>
      <c r="E7503" s="4">
        <v>-31784</v>
      </c>
      <c r="F7503" s="3" t="s">
        <v>6524</v>
      </c>
      <c r="G7503" s="3" t="s">
        <v>45</v>
      </c>
      <c r="H7503" s="2" t="s">
        <v>21</v>
      </c>
      <c r="I7503" s="2" t="s">
        <v>18793</v>
      </c>
      <c r="J7503" s="3" t="str">
        <f>HYPERLINK("https://www.boe.es/gazeta/dias/1812/12/22/pdfs/GRE-1812-168.pdf#page=2","Abrir facsímil")</f>
        <v>Abrir facsímil</v>
      </c>
      <c r="K7503" s="3" t="s">
        <v>23</v>
      </c>
    </row>
    <row r="7504" spans="1:11" ht="42" customHeight="1">
      <c r="A7504" s="2" t="s">
        <v>18794</v>
      </c>
      <c r="B7504" s="2" t="s">
        <v>18794</v>
      </c>
      <c r="C7504" s="2" t="s">
        <v>17</v>
      </c>
      <c r="D7504" s="2" t="s">
        <v>27</v>
      </c>
      <c r="E7504" s="4">
        <v>-32007</v>
      </c>
      <c r="F7504" s="3" t="s">
        <v>11855</v>
      </c>
      <c r="G7504" s="3" t="s">
        <v>140</v>
      </c>
      <c r="H7504" s="2" t="s">
        <v>21</v>
      </c>
      <c r="I7504" s="2" t="s">
        <v>18795</v>
      </c>
      <c r="J7504" s="3" t="str">
        <f>HYPERLINK("https://www.boe.es/gazeta/dias/1812/05/13/pdfs/GMD-1812-134.pdf#page=2","Abrir facsímil")</f>
        <v>Abrir facsímil</v>
      </c>
      <c r="K7504" s="3" t="s">
        <v>23</v>
      </c>
    </row>
    <row r="7505" spans="1:11" ht="42" customHeight="1">
      <c r="A7505" s="2" t="s">
        <v>18796</v>
      </c>
      <c r="B7505" s="2" t="s">
        <v>18796</v>
      </c>
      <c r="C7505" s="2" t="s">
        <v>17</v>
      </c>
      <c r="D7505" s="2" t="s">
        <v>27</v>
      </c>
      <c r="E7505" s="4">
        <v>-31899</v>
      </c>
      <c r="F7505" s="3" t="s">
        <v>1396</v>
      </c>
      <c r="G7505" s="3" t="s">
        <v>1805</v>
      </c>
      <c r="H7505" s="2" t="s">
        <v>21</v>
      </c>
      <c r="I7505" s="2" t="s">
        <v>18797</v>
      </c>
      <c r="J7505" s="3" t="str">
        <f>HYPERLINK("https://www.boe.es/gazeta/dias/1812/08/29/pdfs/GMR-1812-7.pdf#page=1","Abrir facsímil")</f>
        <v>Abrir facsímil</v>
      </c>
      <c r="K7505" s="3" t="s">
        <v>23</v>
      </c>
    </row>
    <row r="7506" spans="1:11" ht="42" customHeight="1">
      <c r="A7506" s="2" t="s">
        <v>18798</v>
      </c>
      <c r="B7506" s="2" t="s">
        <v>18798</v>
      </c>
      <c r="C7506" s="2" t="s">
        <v>17</v>
      </c>
      <c r="D7506" s="2" t="s">
        <v>27</v>
      </c>
      <c r="E7506" s="4">
        <v>-31829</v>
      </c>
      <c r="F7506" s="3" t="s">
        <v>328</v>
      </c>
      <c r="G7506" s="3" t="s">
        <v>217</v>
      </c>
      <c r="H7506" s="2" t="s">
        <v>21</v>
      </c>
      <c r="I7506" s="2" t="s">
        <v>18799</v>
      </c>
      <c r="J7506" s="3" t="str">
        <f>HYPERLINK("https://www.boe.es/gazeta/dias/1812/11/07/pdfs/GMD-1812-227.pdf#page=2","Abrir facsímil")</f>
        <v>Abrir facsímil</v>
      </c>
      <c r="K7506" s="3" t="s">
        <v>23</v>
      </c>
    </row>
    <row r="7507" spans="1:11" ht="42" customHeight="1">
      <c r="A7507" s="2" t="s">
        <v>18800</v>
      </c>
      <c r="B7507" s="2" t="s">
        <v>18800</v>
      </c>
      <c r="C7507" s="2" t="s">
        <v>26</v>
      </c>
      <c r="D7507" s="2" t="s">
        <v>27</v>
      </c>
      <c r="E7507" s="4">
        <v>-32035</v>
      </c>
      <c r="F7507" s="3" t="s">
        <v>2646</v>
      </c>
      <c r="G7507" s="3" t="s">
        <v>1176</v>
      </c>
      <c r="H7507" s="2" t="s">
        <v>21</v>
      </c>
      <c r="I7507" s="2" t="s">
        <v>18801</v>
      </c>
      <c r="J7507" s="3" t="str">
        <f>HYPERLINK("https://www.boe.es/gazeta/dias/1812/04/15/pdfs/GMD-1812-106.pdf#page=2","Abrir facsímil")</f>
        <v>Abrir facsímil</v>
      </c>
      <c r="K7507" s="3" t="s">
        <v>23</v>
      </c>
    </row>
    <row r="7508" spans="1:11" ht="42" customHeight="1">
      <c r="A7508" s="2" t="s">
        <v>18802</v>
      </c>
      <c r="B7508" s="2" t="s">
        <v>18802</v>
      </c>
      <c r="C7508" s="2" t="s">
        <v>17</v>
      </c>
      <c r="D7508" s="2" t="s">
        <v>27</v>
      </c>
      <c r="E7508" s="4">
        <v>-31901</v>
      </c>
      <c r="F7508" s="3" t="s">
        <v>2199</v>
      </c>
      <c r="G7508" s="3" t="s">
        <v>2919</v>
      </c>
      <c r="H7508" s="2" t="s">
        <v>21</v>
      </c>
      <c r="I7508" s="2" t="s">
        <v>18803</v>
      </c>
      <c r="J7508" s="3" t="str">
        <f>HYPERLINK("https://www.boe.es/gazeta/dias/1812/08/27/pdfs/GRE-1812-111.pdf#page=2","Abrir facsímil")</f>
        <v>Abrir facsímil</v>
      </c>
      <c r="K7508" s="3" t="s">
        <v>23</v>
      </c>
    </row>
    <row r="7509" spans="1:11" ht="42" customHeight="1">
      <c r="A7509" s="2" t="s">
        <v>18804</v>
      </c>
      <c r="B7509" s="2" t="s">
        <v>18804</v>
      </c>
      <c r="C7509" s="2" t="s">
        <v>17</v>
      </c>
      <c r="D7509" s="2" t="s">
        <v>27</v>
      </c>
      <c r="E7509" s="4">
        <v>-31798</v>
      </c>
      <c r="F7509" s="3" t="s">
        <v>1849</v>
      </c>
      <c r="G7509" s="3" t="s">
        <v>237</v>
      </c>
      <c r="H7509" s="2" t="s">
        <v>21</v>
      </c>
      <c r="I7509" s="2" t="s">
        <v>18805</v>
      </c>
      <c r="J7509" s="3" t="str">
        <f>HYPERLINK("https://www.boe.es/gazeta/dias/1812/12/08/pdfs/GMD-1812-231.pdf#page=2","Abrir facsímil")</f>
        <v>Abrir facsímil</v>
      </c>
      <c r="K7509" s="3" t="s">
        <v>23</v>
      </c>
    </row>
    <row r="7510" spans="1:11" ht="42" customHeight="1">
      <c r="A7510" s="2" t="s">
        <v>18806</v>
      </c>
      <c r="B7510" s="2" t="s">
        <v>18806</v>
      </c>
      <c r="C7510" s="2" t="s">
        <v>67</v>
      </c>
      <c r="D7510" s="2" t="s">
        <v>27</v>
      </c>
      <c r="E7510" s="4">
        <v>-31792</v>
      </c>
      <c r="F7510" s="3" t="s">
        <v>744</v>
      </c>
      <c r="G7510" s="3" t="s">
        <v>140</v>
      </c>
      <c r="H7510" s="2" t="s">
        <v>21</v>
      </c>
      <c r="I7510" s="2" t="s">
        <v>18807</v>
      </c>
      <c r="J7510" s="3" t="str">
        <f>HYPERLINK("https://www.boe.es/gazeta/dias/1812/12/14/pdfs/GMD-1812-237.pdf#page=2","Abrir facsímil")</f>
        <v>Abrir facsímil</v>
      </c>
      <c r="K7510" s="3" t="s">
        <v>23</v>
      </c>
    </row>
    <row r="7511" spans="1:11" ht="42" customHeight="1">
      <c r="A7511" s="2" t="s">
        <v>18808</v>
      </c>
      <c r="B7511" s="2" t="s">
        <v>18808</v>
      </c>
      <c r="C7511" s="2" t="s">
        <v>26</v>
      </c>
      <c r="D7511" s="2" t="s">
        <v>27</v>
      </c>
      <c r="E7511" s="4">
        <v>-32000</v>
      </c>
      <c r="F7511" s="3" t="s">
        <v>878</v>
      </c>
      <c r="G7511" s="3" t="s">
        <v>514</v>
      </c>
      <c r="H7511" s="2" t="s">
        <v>21</v>
      </c>
      <c r="I7511" s="2" t="s">
        <v>18809</v>
      </c>
      <c r="J7511" s="3" t="str">
        <f>HYPERLINK("https://www.boe.es/gazeta/dias/1812/05/20/pdfs/GMD-1812-141.pdf#page=1","Abrir facsímil")</f>
        <v>Abrir facsímil</v>
      </c>
      <c r="K7511" s="3" t="s">
        <v>23</v>
      </c>
    </row>
    <row r="7512" spans="1:11" ht="42" customHeight="1">
      <c r="A7512" s="2" t="s">
        <v>18810</v>
      </c>
      <c r="B7512" s="2" t="s">
        <v>18810</v>
      </c>
      <c r="C7512" s="2" t="s">
        <v>17</v>
      </c>
      <c r="D7512" s="2" t="s">
        <v>18</v>
      </c>
      <c r="E7512" s="4">
        <v>-31854</v>
      </c>
      <c r="F7512" s="3" t="s">
        <v>1574</v>
      </c>
      <c r="G7512" s="3" t="s">
        <v>874</v>
      </c>
      <c r="H7512" s="2" t="s">
        <v>21</v>
      </c>
      <c r="I7512" s="2" t="s">
        <v>18811</v>
      </c>
      <c r="J7512" s="3" t="str">
        <f>HYPERLINK("https://www.boe.es/gazeta/dias/1812/10/13/pdfs/GMR-1812-26.pdf#page=2","Abrir facsímil")</f>
        <v>Abrir facsímil</v>
      </c>
      <c r="K7512" s="3" t="s">
        <v>23</v>
      </c>
    </row>
    <row r="7513" spans="1:11" ht="42" customHeight="1">
      <c r="A7513" s="2" t="s">
        <v>18812</v>
      </c>
      <c r="B7513" s="2" t="s">
        <v>18812</v>
      </c>
      <c r="C7513" s="2" t="s">
        <v>17</v>
      </c>
      <c r="D7513" s="2" t="s">
        <v>18</v>
      </c>
      <c r="E7513" s="4">
        <v>-31859</v>
      </c>
      <c r="F7513" s="3" t="s">
        <v>158</v>
      </c>
      <c r="G7513" s="3" t="s">
        <v>58</v>
      </c>
      <c r="H7513" s="2" t="s">
        <v>21</v>
      </c>
      <c r="I7513" s="2" t="s">
        <v>18813</v>
      </c>
      <c r="J7513" s="3" t="str">
        <f>HYPERLINK("https://www.boe.es/gazeta/dias/1812/10/08/pdfs/GMR-1812-24.pdf#page=2","Abrir facsímil")</f>
        <v>Abrir facsímil</v>
      </c>
      <c r="K7513" s="3" t="s">
        <v>23</v>
      </c>
    </row>
    <row r="7514" spans="1:11" ht="42" customHeight="1">
      <c r="A7514" s="2" t="s">
        <v>18812</v>
      </c>
      <c r="B7514" s="2" t="s">
        <v>18812</v>
      </c>
      <c r="C7514" s="2" t="s">
        <v>17</v>
      </c>
      <c r="D7514" s="2" t="s">
        <v>27</v>
      </c>
      <c r="E7514" s="4">
        <v>-31854</v>
      </c>
      <c r="F7514" s="3" t="s">
        <v>1574</v>
      </c>
      <c r="G7514" s="3" t="s">
        <v>874</v>
      </c>
      <c r="H7514" s="2" t="s">
        <v>21</v>
      </c>
      <c r="I7514" s="2" t="s">
        <v>18814</v>
      </c>
      <c r="J7514" s="3" t="str">
        <f>HYPERLINK("https://www.boe.es/gazeta/dias/1812/10/13/pdfs/GMR-1812-26.pdf#page=2","Abrir facsímil")</f>
        <v>Abrir facsímil</v>
      </c>
      <c r="K7514" s="3" t="s">
        <v>23</v>
      </c>
    </row>
    <row r="7515" spans="1:11" ht="42" customHeight="1">
      <c r="A7515" s="2" t="s">
        <v>18815</v>
      </c>
      <c r="B7515" s="2" t="s">
        <v>18815</v>
      </c>
      <c r="C7515" s="2" t="s">
        <v>26</v>
      </c>
      <c r="D7515" s="2" t="s">
        <v>27</v>
      </c>
      <c r="E7515" s="4">
        <v>-31840</v>
      </c>
      <c r="F7515" s="3" t="s">
        <v>2181</v>
      </c>
      <c r="G7515" s="3" t="s">
        <v>18816</v>
      </c>
      <c r="H7515" s="2" t="s">
        <v>21</v>
      </c>
      <c r="I7515" s="2" t="s">
        <v>18817</v>
      </c>
      <c r="J7515" s="3" t="str">
        <f>HYPERLINK("https://www.boe.es/gazeta/dias/1812/10/27/pdfs/GMR-1812-32.pdf#page=2","Abrir facsímil")</f>
        <v>Abrir facsímil</v>
      </c>
      <c r="K7515" s="3" t="s">
        <v>23</v>
      </c>
    </row>
    <row r="7516" spans="1:11" ht="42" customHeight="1">
      <c r="A7516" s="2" t="s">
        <v>18818</v>
      </c>
      <c r="B7516" s="2" t="s">
        <v>18818</v>
      </c>
      <c r="C7516" s="2" t="s">
        <v>26</v>
      </c>
      <c r="D7516" s="2" t="s">
        <v>27</v>
      </c>
      <c r="E7516" s="4">
        <v>-32084</v>
      </c>
      <c r="F7516" s="3" t="s">
        <v>6994</v>
      </c>
      <c r="G7516" s="3" t="s">
        <v>11882</v>
      </c>
      <c r="H7516" s="2" t="s">
        <v>21</v>
      </c>
      <c r="I7516" s="2" t="s">
        <v>18819</v>
      </c>
      <c r="J7516" s="3" t="str">
        <f>HYPERLINK("https://www.boe.es/gazeta/dias/1812/02/26/pdfs/GMD-1812-57.pdf#page=2","Abrir facsímil")</f>
        <v>Abrir facsímil</v>
      </c>
      <c r="K7516" s="3" t="s">
        <v>23</v>
      </c>
    </row>
    <row r="7517" spans="1:11" ht="42" customHeight="1">
      <c r="A7517" s="2" t="s">
        <v>18820</v>
      </c>
      <c r="B7517" s="2" t="s">
        <v>18820</v>
      </c>
      <c r="C7517" s="2" t="s">
        <v>26</v>
      </c>
      <c r="D7517" s="2" t="s">
        <v>27</v>
      </c>
      <c r="E7517" s="4">
        <v>-31798</v>
      </c>
      <c r="F7517" s="3" t="s">
        <v>1849</v>
      </c>
      <c r="G7517" s="3" t="s">
        <v>1850</v>
      </c>
      <c r="H7517" s="2" t="s">
        <v>21</v>
      </c>
      <c r="I7517" s="2" t="s">
        <v>18821</v>
      </c>
      <c r="J7517" s="3" t="str">
        <f>HYPERLINK("https://www.boe.es/gazeta/dias/1812/12/08/pdfs/GMD-1812-231.pdf#page=3","Abrir facsímil")</f>
        <v>Abrir facsímil</v>
      </c>
      <c r="K7517" s="3" t="s">
        <v>23</v>
      </c>
    </row>
    <row r="7518" spans="1:11" ht="42" customHeight="1">
      <c r="A7518" s="2" t="s">
        <v>18820</v>
      </c>
      <c r="B7518" s="2" t="s">
        <v>18820</v>
      </c>
      <c r="C7518" s="2" t="s">
        <v>17</v>
      </c>
      <c r="D7518" s="2" t="s">
        <v>18</v>
      </c>
      <c r="E7518" s="4">
        <v>-31794</v>
      </c>
      <c r="F7518" s="3" t="s">
        <v>254</v>
      </c>
      <c r="G7518" s="3" t="s">
        <v>36</v>
      </c>
      <c r="H7518" s="2" t="s">
        <v>21</v>
      </c>
      <c r="I7518" s="2" t="s">
        <v>18822</v>
      </c>
      <c r="J7518" s="3" t="str">
        <f>HYPERLINK("https://www.boe.es/gazeta/dias/1812/12/12/pdfs/GMD-1812-235.pdf#page=3","Abrir facsímil")</f>
        <v>Abrir facsímil</v>
      </c>
      <c r="K7518" s="3" t="s">
        <v>23</v>
      </c>
    </row>
    <row r="7519" spans="1:11" ht="42" customHeight="1">
      <c r="A7519" s="2" t="s">
        <v>18820</v>
      </c>
      <c r="B7519" s="2" t="s">
        <v>18820</v>
      </c>
      <c r="C7519" s="2" t="s">
        <v>17</v>
      </c>
      <c r="D7519" s="2" t="s">
        <v>27</v>
      </c>
      <c r="E7519" s="4">
        <v>-31793</v>
      </c>
      <c r="F7519" s="3" t="s">
        <v>2570</v>
      </c>
      <c r="G7519" s="3" t="s">
        <v>217</v>
      </c>
      <c r="H7519" s="2" t="s">
        <v>21</v>
      </c>
      <c r="I7519" s="2" t="s">
        <v>18823</v>
      </c>
      <c r="J7519" s="3" t="str">
        <f>HYPERLINK("https://www.boe.es/gazeta/dias/1812/12/13/pdfs/GMD-1812-236.pdf#page=4","Abrir facsímil")</f>
        <v>Abrir facsímil</v>
      </c>
      <c r="K7519" s="3" t="s">
        <v>23</v>
      </c>
    </row>
    <row r="7520" spans="1:11" ht="42" customHeight="1">
      <c r="A7520" s="2" t="s">
        <v>18820</v>
      </c>
      <c r="B7520" s="2" t="s">
        <v>18820</v>
      </c>
      <c r="C7520" s="2" t="s">
        <v>26</v>
      </c>
      <c r="D7520" s="2" t="s">
        <v>27</v>
      </c>
      <c r="E7520" s="4">
        <v>-31792</v>
      </c>
      <c r="F7520" s="3" t="s">
        <v>744</v>
      </c>
      <c r="G7520" s="3" t="s">
        <v>45</v>
      </c>
      <c r="H7520" s="2" t="s">
        <v>21</v>
      </c>
      <c r="I7520" s="2" t="s">
        <v>18824</v>
      </c>
      <c r="J7520" s="3" t="str">
        <f>HYPERLINK("https://www.boe.es/gazeta/dias/1812/12/14/pdfs/GMD-1812-237.pdf#page=3","Abrir facsímil")</f>
        <v>Abrir facsímil</v>
      </c>
      <c r="K7520" s="3" t="s">
        <v>23</v>
      </c>
    </row>
    <row r="7521" spans="1:11" ht="42" customHeight="1">
      <c r="A7521" s="2" t="s">
        <v>18825</v>
      </c>
      <c r="B7521" s="2" t="s">
        <v>18825</v>
      </c>
      <c r="C7521" s="2" t="s">
        <v>26</v>
      </c>
      <c r="D7521" s="2" t="s">
        <v>27</v>
      </c>
      <c r="E7521" s="4">
        <v>-32063</v>
      </c>
      <c r="F7521" s="3" t="s">
        <v>384</v>
      </c>
      <c r="G7521" s="3" t="s">
        <v>125</v>
      </c>
      <c r="H7521" s="2" t="s">
        <v>21</v>
      </c>
      <c r="I7521" s="2" t="s">
        <v>18826</v>
      </c>
      <c r="J7521" s="3" t="str">
        <f>HYPERLINK("https://www.boe.es/gazeta/dias/1812/03/18/pdfs/GMD-1812-78.pdf#page=1","Abrir facsímil")</f>
        <v>Abrir facsímil</v>
      </c>
      <c r="K7521" s="3" t="s">
        <v>23</v>
      </c>
    </row>
    <row r="7522" spans="1:11" ht="42" customHeight="1">
      <c r="A7522" s="2" t="s">
        <v>18827</v>
      </c>
      <c r="B7522" s="2" t="s">
        <v>18827</v>
      </c>
      <c r="C7522" s="2" t="s">
        <v>17</v>
      </c>
      <c r="D7522" s="2" t="s">
        <v>27</v>
      </c>
      <c r="E7522" s="4">
        <v>-31850</v>
      </c>
      <c r="F7522" s="3" t="s">
        <v>2178</v>
      </c>
      <c r="G7522" s="3" t="s">
        <v>196</v>
      </c>
      <c r="H7522" s="2" t="s">
        <v>21</v>
      </c>
      <c r="I7522" s="2" t="s">
        <v>18828</v>
      </c>
      <c r="J7522" s="3" t="str">
        <f>HYPERLINK("https://www.boe.es/gazeta/dias/1812/10/17/pdfs/GRE-1812-140.pdf#page=1","Abrir facsímil")</f>
        <v>Abrir facsímil</v>
      </c>
      <c r="K7522" s="3" t="s">
        <v>23</v>
      </c>
    </row>
    <row r="7523" spans="1:11" ht="42" customHeight="1">
      <c r="A7523" s="2" t="s">
        <v>18829</v>
      </c>
      <c r="B7523" s="2" t="s">
        <v>18829</v>
      </c>
      <c r="C7523" s="2" t="s">
        <v>49</v>
      </c>
      <c r="D7523" s="2" t="s">
        <v>27</v>
      </c>
      <c r="E7523" s="4">
        <v>-31801</v>
      </c>
      <c r="F7523" s="3" t="s">
        <v>1914</v>
      </c>
      <c r="G7523" s="3" t="s">
        <v>196</v>
      </c>
      <c r="H7523" s="2" t="s">
        <v>21</v>
      </c>
      <c r="I7523" s="2" t="s">
        <v>18830</v>
      </c>
      <c r="J7523" s="3" t="str">
        <f>HYPERLINK("https://www.boe.es/gazeta/dias/1812/12/05/pdfs/GRE-1812-161.pdf#page=1","Abrir facsímil")</f>
        <v>Abrir facsímil</v>
      </c>
      <c r="K7523" s="3" t="s">
        <v>23</v>
      </c>
    </row>
    <row r="7524" spans="1:11" ht="42" customHeight="1">
      <c r="A7524" s="2" t="s">
        <v>18831</v>
      </c>
      <c r="B7524" s="2" t="s">
        <v>18831</v>
      </c>
      <c r="C7524" s="2" t="s">
        <v>17</v>
      </c>
      <c r="D7524" s="2" t="s">
        <v>18</v>
      </c>
      <c r="E7524" s="4">
        <v>-31896</v>
      </c>
      <c r="F7524" s="3" t="s">
        <v>1808</v>
      </c>
      <c r="G7524" s="3" t="s">
        <v>130</v>
      </c>
      <c r="H7524" s="2" t="s">
        <v>21</v>
      </c>
      <c r="I7524" s="2" t="s">
        <v>18832</v>
      </c>
      <c r="J7524" s="3" t="str">
        <f>HYPERLINK("https://www.boe.es/gazeta/dias/1812/09/01/pdfs/GMR-1812-8.pdf#page=4","Abrir facsímil")</f>
        <v>Abrir facsímil</v>
      </c>
      <c r="K7524" s="3" t="s">
        <v>23</v>
      </c>
    </row>
    <row r="7525" spans="1:11" ht="42" customHeight="1">
      <c r="A7525" s="2" t="s">
        <v>18833</v>
      </c>
      <c r="B7525" s="2" t="s">
        <v>18834</v>
      </c>
      <c r="C7525" s="2" t="s">
        <v>26</v>
      </c>
      <c r="D7525" s="2" t="s">
        <v>27</v>
      </c>
      <c r="E7525" s="4">
        <v>-31980</v>
      </c>
      <c r="F7525" s="3" t="s">
        <v>40</v>
      </c>
      <c r="G7525" s="3" t="s">
        <v>41</v>
      </c>
      <c r="H7525" s="2" t="s">
        <v>21</v>
      </c>
      <c r="I7525" s="2" t="s">
        <v>18835</v>
      </c>
      <c r="J7525" s="3" t="str">
        <f>HYPERLINK("https://www.boe.es/gazeta/dias/1812/06/09/pdfs/GRE-1812-71.pdf#page=6","Abrir facsímil")</f>
        <v>Abrir facsímil</v>
      </c>
      <c r="K7525" s="3" t="s">
        <v>23</v>
      </c>
    </row>
    <row r="7526" spans="1:11" ht="42" customHeight="1">
      <c r="A7526" s="2" t="s">
        <v>18836</v>
      </c>
      <c r="B7526" s="2" t="s">
        <v>18836</v>
      </c>
      <c r="C7526" s="2" t="s">
        <v>26</v>
      </c>
      <c r="D7526" s="2" t="s">
        <v>275</v>
      </c>
      <c r="E7526" s="4">
        <v>-31896</v>
      </c>
      <c r="F7526" s="3" t="s">
        <v>2506</v>
      </c>
      <c r="G7526" s="3" t="s">
        <v>196</v>
      </c>
      <c r="H7526" s="2" t="s">
        <v>21</v>
      </c>
      <c r="I7526" s="2" t="s">
        <v>18837</v>
      </c>
      <c r="J7526" s="3" t="str">
        <f>HYPERLINK("https://www.boe.es/gazeta/dias/1812/09/01/pdfs/GRE-F-1812-117.pdf#page=1","Abrir facsímil")</f>
        <v>Abrir facsímil</v>
      </c>
      <c r="K7526" s="3" t="s">
        <v>23</v>
      </c>
    </row>
    <row r="7527" spans="1:11" ht="42" customHeight="1">
      <c r="A7527" s="2" t="s">
        <v>18838</v>
      </c>
      <c r="B7527" s="2" t="s">
        <v>18838</v>
      </c>
      <c r="C7527" s="2" t="s">
        <v>26</v>
      </c>
      <c r="D7527" s="2" t="s">
        <v>27</v>
      </c>
      <c r="E7527" s="4">
        <v>-31781</v>
      </c>
      <c r="F7527" s="3" t="s">
        <v>2414</v>
      </c>
      <c r="G7527" s="3" t="s">
        <v>18785</v>
      </c>
      <c r="H7527" s="2" t="s">
        <v>21</v>
      </c>
      <c r="I7527" s="2" t="s">
        <v>18839</v>
      </c>
      <c r="J7527" s="3" t="str">
        <f>HYPERLINK("https://www.boe.es/gazeta/dias/1812/12/25/pdfs/GMD-1812-248.pdf#page=1","Abrir facsímil")</f>
        <v>Abrir facsímil</v>
      </c>
      <c r="K7527" s="3" t="s">
        <v>23</v>
      </c>
    </row>
    <row r="7528" spans="1:11" ht="42" customHeight="1">
      <c r="A7528" s="2" t="s">
        <v>18840</v>
      </c>
      <c r="B7528" s="2" t="s">
        <v>18840</v>
      </c>
      <c r="C7528" s="2" t="s">
        <v>186</v>
      </c>
      <c r="D7528" s="2" t="s">
        <v>194</v>
      </c>
      <c r="E7528" s="4">
        <v>-31945</v>
      </c>
      <c r="F7528" s="3" t="s">
        <v>9880</v>
      </c>
      <c r="G7528" s="3" t="s">
        <v>620</v>
      </c>
      <c r="H7528" s="2" t="s">
        <v>21</v>
      </c>
      <c r="I7528" s="2" t="s">
        <v>18841</v>
      </c>
      <c r="J7528" s="3" t="str">
        <f>HYPERLINK("https://www.boe.es/gazeta/dias/1812/07/14/pdfs/GMD-1812-196.pdf#page=3","Abrir facsímil")</f>
        <v>Abrir facsímil</v>
      </c>
      <c r="K7528" s="3" t="s">
        <v>23</v>
      </c>
    </row>
    <row r="7529" spans="1:11" ht="42" customHeight="1">
      <c r="A7529" s="2" t="s">
        <v>18842</v>
      </c>
      <c r="B7529" s="2" t="s">
        <v>18843</v>
      </c>
      <c r="C7529" s="2" t="s">
        <v>26</v>
      </c>
      <c r="D7529" s="2" t="s">
        <v>134</v>
      </c>
      <c r="E7529" s="4">
        <v>-31880</v>
      </c>
      <c r="F7529" s="3" t="s">
        <v>9383</v>
      </c>
      <c r="G7529" s="3" t="s">
        <v>18844</v>
      </c>
      <c r="H7529" s="2" t="s">
        <v>30</v>
      </c>
      <c r="I7529" s="2" t="s">
        <v>18845</v>
      </c>
      <c r="J7529" s="3" t="str">
        <f>HYPERLINK("https://www.boe.es/gazeta/dias/1812/09/17/pdfs/GRE-F-1812-126.pdf#page=1","Abrir facsímil")</f>
        <v>Abrir facsímil</v>
      </c>
      <c r="K7529" s="3" t="s">
        <v>32</v>
      </c>
    </row>
    <row r="7530" spans="1:11" ht="42" customHeight="1">
      <c r="A7530" s="2" t="s">
        <v>18846</v>
      </c>
      <c r="B7530" s="2" t="s">
        <v>18847</v>
      </c>
      <c r="C7530" s="2" t="s">
        <v>26</v>
      </c>
      <c r="D7530" s="2" t="s">
        <v>194</v>
      </c>
      <c r="E7530" s="4">
        <v>-31963</v>
      </c>
      <c r="F7530" s="3" t="s">
        <v>171</v>
      </c>
      <c r="G7530" s="3" t="s">
        <v>1653</v>
      </c>
      <c r="H7530" s="2" t="s">
        <v>21</v>
      </c>
      <c r="I7530" s="2" t="s">
        <v>18848</v>
      </c>
      <c r="J7530" s="3" t="str">
        <f>HYPERLINK("https://www.boe.es/gazeta/dias/1812/06/26/pdfs/GMD-1812-178.pdf#page=2","Abrir facsímil")</f>
        <v>Abrir facsímil</v>
      </c>
      <c r="K7530" s="3" t="s">
        <v>23</v>
      </c>
    </row>
    <row r="7531" spans="1:11" ht="42" customHeight="1">
      <c r="A7531" s="2" t="s">
        <v>18849</v>
      </c>
      <c r="B7531" s="2" t="s">
        <v>18850</v>
      </c>
      <c r="C7531" s="2" t="s">
        <v>17</v>
      </c>
      <c r="D7531" s="2" t="s">
        <v>27</v>
      </c>
      <c r="E7531" s="4">
        <v>-32112</v>
      </c>
      <c r="F7531" s="3" t="s">
        <v>2794</v>
      </c>
      <c r="G7531" s="3" t="s">
        <v>20</v>
      </c>
      <c r="H7531" s="2" t="s">
        <v>21</v>
      </c>
      <c r="I7531" s="2" t="s">
        <v>18851</v>
      </c>
      <c r="J7531" s="3" t="str">
        <f>HYPERLINK("https://www.boe.es/gazeta/dias/1812/01/29/pdfs/GMD-1812-29.pdf#page=2","Abrir facsímil")</f>
        <v>Abrir facsímil</v>
      </c>
      <c r="K7531" s="3" t="s">
        <v>23</v>
      </c>
    </row>
    <row r="7532" spans="1:11" ht="42" customHeight="1">
      <c r="A7532" s="2" t="s">
        <v>18852</v>
      </c>
      <c r="B7532" s="2" t="s">
        <v>18852</v>
      </c>
      <c r="C7532" s="2" t="s">
        <v>105</v>
      </c>
      <c r="D7532" s="2" t="s">
        <v>27</v>
      </c>
      <c r="E7532" s="4">
        <v>-32076</v>
      </c>
      <c r="F7532" s="3" t="s">
        <v>1610</v>
      </c>
      <c r="G7532" s="3" t="s">
        <v>36</v>
      </c>
      <c r="H7532" s="2" t="s">
        <v>21</v>
      </c>
      <c r="I7532" s="2" t="s">
        <v>18853</v>
      </c>
      <c r="J7532" s="3" t="str">
        <f>HYPERLINK("https://www.boe.es/gazeta/dias/1812/03/05/pdfs/GMD-1812-65.pdf#page=3","Abrir facsímil")</f>
        <v>Abrir facsímil</v>
      </c>
      <c r="K7532" s="3" t="s">
        <v>23</v>
      </c>
    </row>
    <row r="7533" spans="1:11" ht="42" customHeight="1">
      <c r="A7533" s="2" t="s">
        <v>18852</v>
      </c>
      <c r="B7533" s="2" t="s">
        <v>18852</v>
      </c>
      <c r="C7533" s="2" t="s">
        <v>17</v>
      </c>
      <c r="D7533" s="2" t="s">
        <v>27</v>
      </c>
      <c r="E7533" s="4">
        <v>-32030</v>
      </c>
      <c r="F7533" s="3" t="s">
        <v>2226</v>
      </c>
      <c r="G7533" s="3" t="s">
        <v>20</v>
      </c>
      <c r="H7533" s="2" t="s">
        <v>21</v>
      </c>
      <c r="I7533" s="2" t="s">
        <v>18854</v>
      </c>
      <c r="J7533" s="3" t="str">
        <f>HYPERLINK("https://www.boe.es/gazeta/dias/1812/04/20/pdfs/GMD-1812-111.pdf#page=4","Abrir facsímil")</f>
        <v>Abrir facsímil</v>
      </c>
      <c r="K7533" s="3" t="s">
        <v>23</v>
      </c>
    </row>
    <row r="7534" spans="1:11" ht="42" customHeight="1">
      <c r="A7534" s="2" t="s">
        <v>18852</v>
      </c>
      <c r="B7534" s="2" t="s">
        <v>18852</v>
      </c>
      <c r="C7534" s="2" t="s">
        <v>17</v>
      </c>
      <c r="D7534" s="2" t="s">
        <v>27</v>
      </c>
      <c r="E7534" s="4">
        <v>-31938</v>
      </c>
      <c r="F7534" s="3" t="s">
        <v>370</v>
      </c>
      <c r="G7534" s="3" t="s">
        <v>371</v>
      </c>
      <c r="H7534" s="2" t="s">
        <v>21</v>
      </c>
      <c r="I7534" s="2" t="s">
        <v>18855</v>
      </c>
      <c r="J7534" s="3" t="str">
        <f>HYPERLINK("https://www.boe.es/gazeta/dias/1812/07/21/pdfs/GRE-1812-91.pdf#page=8","Abrir facsímil")</f>
        <v>Abrir facsímil</v>
      </c>
      <c r="K7534" s="3" t="s">
        <v>23</v>
      </c>
    </row>
    <row r="7535" spans="1:11" ht="42" customHeight="1">
      <c r="A7535" s="2" t="s">
        <v>18856</v>
      </c>
      <c r="B7535" s="2" t="s">
        <v>18856</v>
      </c>
      <c r="C7535" s="2" t="s">
        <v>17</v>
      </c>
      <c r="D7535" s="2" t="s">
        <v>27</v>
      </c>
      <c r="E7535" s="4">
        <v>-31861</v>
      </c>
      <c r="F7535" s="3" t="s">
        <v>1080</v>
      </c>
      <c r="G7535" s="3" t="s">
        <v>3975</v>
      </c>
      <c r="H7535" s="2" t="s">
        <v>21</v>
      </c>
      <c r="I7535" s="2" t="s">
        <v>18857</v>
      </c>
      <c r="J7535" s="3" t="str">
        <f>HYPERLINK("https://www.boe.es/gazeta/dias/1812/10/06/pdfs/GMR-1812-23.pdf#page=9","Abrir facsímil")</f>
        <v>Abrir facsímil</v>
      </c>
      <c r="K7535" s="3" t="s">
        <v>23</v>
      </c>
    </row>
    <row r="7536" spans="1:11" ht="42" customHeight="1">
      <c r="A7536" s="2" t="s">
        <v>18858</v>
      </c>
      <c r="B7536" s="2" t="s">
        <v>18858</v>
      </c>
      <c r="C7536" s="2" t="s">
        <v>17</v>
      </c>
      <c r="D7536" s="2" t="s">
        <v>27</v>
      </c>
      <c r="E7536" s="4">
        <v>-31781</v>
      </c>
      <c r="F7536" s="3" t="s">
        <v>2414</v>
      </c>
      <c r="G7536" s="3" t="s">
        <v>36</v>
      </c>
      <c r="H7536" s="2" t="s">
        <v>21</v>
      </c>
      <c r="I7536" s="2" t="s">
        <v>18859</v>
      </c>
      <c r="J7536" s="3" t="str">
        <f>HYPERLINK("https://www.boe.es/gazeta/dias/1812/12/25/pdfs/GMD-1812-248.pdf#page=3","Abrir facsímil")</f>
        <v>Abrir facsímil</v>
      </c>
      <c r="K7536" s="3" t="s">
        <v>23</v>
      </c>
    </row>
    <row r="7537" spans="1:11" ht="42" customHeight="1">
      <c r="A7537" s="2" t="s">
        <v>18860</v>
      </c>
      <c r="B7537" s="2" t="s">
        <v>18860</v>
      </c>
      <c r="C7537" s="2" t="s">
        <v>26</v>
      </c>
      <c r="D7537" s="2" t="s">
        <v>27</v>
      </c>
      <c r="E7537" s="4">
        <v>-32125</v>
      </c>
      <c r="F7537" s="3" t="s">
        <v>335</v>
      </c>
      <c r="G7537" s="3" t="s">
        <v>336</v>
      </c>
      <c r="H7537" s="2" t="s">
        <v>21</v>
      </c>
      <c r="I7537" s="2" t="s">
        <v>18861</v>
      </c>
      <c r="J7537" s="3" t="str">
        <f>HYPERLINK("https://www.boe.es/gazeta/dias/1812/01/16/pdfs/GEI-1812-7.pdf#page=8","Abrir facsímil")</f>
        <v>Abrir facsímil</v>
      </c>
      <c r="K7537" s="3" t="s">
        <v>23</v>
      </c>
    </row>
    <row r="7538" spans="1:11" ht="42" customHeight="1">
      <c r="A7538" s="2" t="s">
        <v>18860</v>
      </c>
      <c r="B7538" s="2" t="s">
        <v>18860</v>
      </c>
      <c r="C7538" s="2" t="s">
        <v>17</v>
      </c>
      <c r="D7538" s="2" t="s">
        <v>194</v>
      </c>
      <c r="E7538" s="4">
        <v>-32060</v>
      </c>
      <c r="F7538" s="3" t="s">
        <v>1403</v>
      </c>
      <c r="G7538" s="3" t="s">
        <v>1432</v>
      </c>
      <c r="H7538" s="2" t="s">
        <v>21</v>
      </c>
      <c r="I7538" s="2" t="s">
        <v>18862</v>
      </c>
      <c r="J7538" s="3" t="str">
        <f>HYPERLINK("https://www.boe.es/gazeta/dias/1812/03/21/pdfs/GRE-1812-36.pdf#page=2","Abrir facsímil")</f>
        <v>Abrir facsímil</v>
      </c>
      <c r="K7538" s="3" t="s">
        <v>23</v>
      </c>
    </row>
    <row r="7539" spans="1:11" ht="42" customHeight="1">
      <c r="A7539" s="2" t="s">
        <v>18860</v>
      </c>
      <c r="B7539" s="2" t="s">
        <v>18860</v>
      </c>
      <c r="C7539" s="2" t="s">
        <v>26</v>
      </c>
      <c r="D7539" s="2" t="s">
        <v>27</v>
      </c>
      <c r="E7539" s="4">
        <v>-32010</v>
      </c>
      <c r="F7539" s="3" t="s">
        <v>243</v>
      </c>
      <c r="G7539" s="3" t="s">
        <v>620</v>
      </c>
      <c r="H7539" s="2" t="s">
        <v>21</v>
      </c>
      <c r="I7539" s="2" t="s">
        <v>18863</v>
      </c>
      <c r="J7539" s="3" t="str">
        <f>HYPERLINK("https://www.boe.es/gazeta/dias/1812/05/10/pdfs/GMD-1812-131.pdf#page=2","Abrir facsímil")</f>
        <v>Abrir facsímil</v>
      </c>
      <c r="K7539" s="3" t="s">
        <v>23</v>
      </c>
    </row>
    <row r="7540" spans="1:11" ht="42" customHeight="1">
      <c r="A7540" s="2" t="s">
        <v>18860</v>
      </c>
      <c r="B7540" s="2" t="s">
        <v>18860</v>
      </c>
      <c r="C7540" s="2" t="s">
        <v>17</v>
      </c>
      <c r="D7540" s="2" t="s">
        <v>27</v>
      </c>
      <c r="E7540" s="4">
        <v>-31991</v>
      </c>
      <c r="F7540" s="3" t="s">
        <v>663</v>
      </c>
      <c r="G7540" s="3" t="s">
        <v>404</v>
      </c>
      <c r="H7540" s="2" t="s">
        <v>21</v>
      </c>
      <c r="I7540" s="2" t="s">
        <v>18864</v>
      </c>
      <c r="J7540" s="3" t="str">
        <f>HYPERLINK("https://www.boe.es/gazeta/dias/1812/05/29/pdfs/GMD-1812-150.pdf#page=4","Abrir facsímil")</f>
        <v>Abrir facsímil</v>
      </c>
      <c r="K7540" s="3" t="s">
        <v>23</v>
      </c>
    </row>
    <row r="7541" spans="1:11" ht="42" customHeight="1">
      <c r="A7541" s="2" t="s">
        <v>18860</v>
      </c>
      <c r="B7541" s="2" t="s">
        <v>18860</v>
      </c>
      <c r="C7541" s="2" t="s">
        <v>17</v>
      </c>
      <c r="D7541" s="2" t="s">
        <v>27</v>
      </c>
      <c r="E7541" s="4">
        <v>-31803</v>
      </c>
      <c r="F7541" s="3" t="s">
        <v>221</v>
      </c>
      <c r="G7541" s="3" t="s">
        <v>36</v>
      </c>
      <c r="H7541" s="2" t="s">
        <v>21</v>
      </c>
      <c r="I7541" s="2" t="s">
        <v>18865</v>
      </c>
      <c r="J7541" s="3" t="str">
        <f>HYPERLINK("https://www.boe.es/gazeta/dias/1812/12/03/pdfs/GRE-1812-160.pdf#page=3","Abrir facsímil")</f>
        <v>Abrir facsímil</v>
      </c>
      <c r="K7541" s="3" t="s">
        <v>23</v>
      </c>
    </row>
    <row r="7542" spans="1:11" ht="42" customHeight="1">
      <c r="A7542" s="2" t="s">
        <v>18860</v>
      </c>
      <c r="B7542" s="2" t="s">
        <v>18860</v>
      </c>
      <c r="C7542" s="2" t="s">
        <v>17</v>
      </c>
      <c r="D7542" s="2" t="s">
        <v>18</v>
      </c>
      <c r="E7542" s="4">
        <v>-31799</v>
      </c>
      <c r="F7542" s="3" t="s">
        <v>736</v>
      </c>
      <c r="G7542" s="3" t="s">
        <v>18866</v>
      </c>
      <c r="H7542" s="2" t="s">
        <v>21</v>
      </c>
      <c r="I7542" s="2" t="s">
        <v>18867</v>
      </c>
      <c r="J7542" s="3" t="str">
        <f>HYPERLINK("https://www.boe.es/gazeta/dias/1812/12/07/pdfs/GMD-1812-230.pdf#page=1","Abrir facsímil")</f>
        <v>Abrir facsímil</v>
      </c>
      <c r="K7542" s="3" t="s">
        <v>23</v>
      </c>
    </row>
    <row r="7543" spans="1:11" ht="42" customHeight="1">
      <c r="A7543" s="2" t="s">
        <v>18860</v>
      </c>
      <c r="B7543" s="2" t="s">
        <v>18860</v>
      </c>
      <c r="C7543" s="2" t="s">
        <v>17</v>
      </c>
      <c r="D7543" s="2" t="s">
        <v>18</v>
      </c>
      <c r="E7543" s="4">
        <v>-31786</v>
      </c>
      <c r="F7543" s="3" t="s">
        <v>7690</v>
      </c>
      <c r="G7543" s="3" t="s">
        <v>11920</v>
      </c>
      <c r="H7543" s="2" t="s">
        <v>21</v>
      </c>
      <c r="I7543" s="2" t="s">
        <v>18868</v>
      </c>
      <c r="J7543" s="3" t="str">
        <f>HYPERLINK("https://www.boe.es/gazeta/dias/1812/12/20/pdfs/GMD-1812-243.pdf#page=3","Abrir facsímil")</f>
        <v>Abrir facsímil</v>
      </c>
      <c r="K7543" s="3" t="s">
        <v>23</v>
      </c>
    </row>
    <row r="7544" spans="1:11" ht="42" customHeight="1">
      <c r="A7544" s="2" t="s">
        <v>18869</v>
      </c>
      <c r="B7544" s="2" t="s">
        <v>18869</v>
      </c>
      <c r="C7544" s="2" t="s">
        <v>17</v>
      </c>
      <c r="D7544" s="2" t="s">
        <v>27</v>
      </c>
      <c r="E7544" s="4">
        <v>-31887</v>
      </c>
      <c r="F7544" s="3" t="s">
        <v>701</v>
      </c>
      <c r="G7544" s="3" t="s">
        <v>514</v>
      </c>
      <c r="H7544" s="2" t="s">
        <v>21</v>
      </c>
      <c r="I7544" s="2" t="s">
        <v>18870</v>
      </c>
      <c r="J7544" s="3" t="str">
        <f>HYPERLINK("https://www.boe.es/gazeta/dias/1812/09/10/pdfs/GMR-1812-12.pdf#page=4","Abrir facsímil")</f>
        <v>Abrir facsímil</v>
      </c>
      <c r="K7544" s="3" t="s">
        <v>23</v>
      </c>
    </row>
    <row r="7545" spans="1:11" ht="42" customHeight="1">
      <c r="A7545" s="2" t="s">
        <v>18869</v>
      </c>
      <c r="B7545" s="2" t="s">
        <v>18869</v>
      </c>
      <c r="C7545" s="2" t="s">
        <v>17</v>
      </c>
      <c r="D7545" s="2" t="s">
        <v>27</v>
      </c>
      <c r="E7545" s="4">
        <v>-31787</v>
      </c>
      <c r="F7545" s="3" t="s">
        <v>7656</v>
      </c>
      <c r="G7545" s="3" t="s">
        <v>45</v>
      </c>
      <c r="H7545" s="2" t="s">
        <v>21</v>
      </c>
      <c r="I7545" s="2" t="s">
        <v>18871</v>
      </c>
      <c r="J7545" s="3" t="str">
        <f>HYPERLINK("https://www.boe.es/gazeta/dias/1812/12/19/pdfs/GMD-1812-242.pdf#page=2","Abrir facsímil")</f>
        <v>Abrir facsímil</v>
      </c>
      <c r="K7545" s="3" t="s">
        <v>23</v>
      </c>
    </row>
    <row r="7546" spans="1:11" ht="42" customHeight="1">
      <c r="A7546" s="2" t="s">
        <v>18869</v>
      </c>
      <c r="B7546" s="2" t="s">
        <v>18869</v>
      </c>
      <c r="C7546" s="2" t="s">
        <v>17</v>
      </c>
      <c r="D7546" s="2" t="s">
        <v>27</v>
      </c>
      <c r="E7546" s="4">
        <v>-31784</v>
      </c>
      <c r="F7546" s="3" t="s">
        <v>6524</v>
      </c>
      <c r="G7546" s="3" t="s">
        <v>706</v>
      </c>
      <c r="H7546" s="2" t="s">
        <v>21</v>
      </c>
      <c r="I7546" s="2" t="s">
        <v>18872</v>
      </c>
      <c r="J7546" s="3" t="str">
        <f>HYPERLINK("https://www.boe.es/gazeta/dias/1812/12/22/pdfs/GRE-1812-168.pdf#page=3","Abrir facsímil")</f>
        <v>Abrir facsímil</v>
      </c>
      <c r="K7546" s="3" t="s">
        <v>23</v>
      </c>
    </row>
    <row r="7547" spans="1:11" ht="42" customHeight="1">
      <c r="A7547" s="2" t="s">
        <v>18873</v>
      </c>
      <c r="B7547" s="2" t="s">
        <v>18873</v>
      </c>
      <c r="C7547" s="2" t="s">
        <v>17</v>
      </c>
      <c r="D7547" s="2" t="s">
        <v>18</v>
      </c>
      <c r="E7547" s="4">
        <v>-31885</v>
      </c>
      <c r="F7547" s="3" t="s">
        <v>609</v>
      </c>
      <c r="G7547" s="3" t="s">
        <v>13739</v>
      </c>
      <c r="H7547" s="2" t="s">
        <v>21</v>
      </c>
      <c r="I7547" s="2" t="s">
        <v>18874</v>
      </c>
      <c r="J7547" s="3" t="str">
        <f>HYPERLINK("https://www.boe.es/gazeta/dias/1812/09/12/pdfs/GRE-1812-124.pdf#page=3","Abrir facsímil")</f>
        <v>Abrir facsímil</v>
      </c>
      <c r="K7547" s="3" t="s">
        <v>23</v>
      </c>
    </row>
    <row r="7548" spans="1:11" ht="42" customHeight="1">
      <c r="A7548" s="2" t="s">
        <v>18875</v>
      </c>
      <c r="B7548" s="2" t="s">
        <v>18876</v>
      </c>
      <c r="C7548" s="2" t="s">
        <v>17</v>
      </c>
      <c r="D7548" s="2" t="s">
        <v>18</v>
      </c>
      <c r="E7548" s="4">
        <v>-31942</v>
      </c>
      <c r="F7548" s="3" t="s">
        <v>3065</v>
      </c>
      <c r="G7548" s="3" t="s">
        <v>20</v>
      </c>
      <c r="H7548" s="2" t="s">
        <v>21</v>
      </c>
      <c r="I7548" s="2" t="s">
        <v>18877</v>
      </c>
      <c r="J7548" s="3" t="str">
        <f>HYPERLINK("https://www.boe.es/gazeta/dias/1812/07/17/pdfs/GMD-1812-199.pdf#page=4","Abrir facsímil")</f>
        <v>Abrir facsímil</v>
      </c>
      <c r="K7548" s="3" t="s">
        <v>23</v>
      </c>
    </row>
    <row r="7549" spans="1:11" ht="42" customHeight="1">
      <c r="A7549" s="2" t="s">
        <v>18878</v>
      </c>
      <c r="B7549" s="2" t="s">
        <v>18878</v>
      </c>
      <c r="C7549" s="2" t="s">
        <v>17</v>
      </c>
      <c r="D7549" s="2" t="s">
        <v>27</v>
      </c>
      <c r="E7549" s="4">
        <v>-31857</v>
      </c>
      <c r="F7549" s="3" t="s">
        <v>2176</v>
      </c>
      <c r="G7549" s="3" t="s">
        <v>1611</v>
      </c>
      <c r="H7549" s="2" t="s">
        <v>21</v>
      </c>
      <c r="I7549" s="2" t="s">
        <v>18879</v>
      </c>
      <c r="J7549" s="3" t="str">
        <f>HYPERLINK("https://www.boe.es/gazeta/dias/1812/10/10/pdfs/GMR-1812-25.pdf#page=2","Abrir facsímil")</f>
        <v>Abrir facsímil</v>
      </c>
      <c r="K7549" s="3" t="s">
        <v>23</v>
      </c>
    </row>
    <row r="7550" spans="1:11" ht="42" customHeight="1">
      <c r="A7550" s="2" t="s">
        <v>18880</v>
      </c>
      <c r="B7550" s="2" t="s">
        <v>18881</v>
      </c>
      <c r="C7550" s="2" t="s">
        <v>17</v>
      </c>
      <c r="D7550" s="2" t="s">
        <v>27</v>
      </c>
      <c r="E7550" s="4">
        <v>-32138</v>
      </c>
      <c r="F7550" s="3" t="s">
        <v>2714</v>
      </c>
      <c r="G7550" s="3" t="s">
        <v>196</v>
      </c>
      <c r="H7550" s="2" t="s">
        <v>21</v>
      </c>
      <c r="I7550" s="2" t="s">
        <v>18882</v>
      </c>
      <c r="J7550" s="3" t="str">
        <f>HYPERLINK("https://www.boe.es/gazeta/dias/1812/01/03/pdfs/GMD-1812-3.pdf#page=1","Abrir facsímil")</f>
        <v>Abrir facsímil</v>
      </c>
      <c r="K7550" s="3" t="s">
        <v>23</v>
      </c>
    </row>
    <row r="7551" spans="1:11" ht="42" customHeight="1">
      <c r="A7551" s="2" t="s">
        <v>18883</v>
      </c>
      <c r="B7551" s="2" t="s">
        <v>18883</v>
      </c>
      <c r="C7551" s="2" t="s">
        <v>26</v>
      </c>
      <c r="D7551" s="2" t="s">
        <v>27</v>
      </c>
      <c r="E7551" s="4">
        <v>-31859</v>
      </c>
      <c r="F7551" s="3" t="s">
        <v>3024</v>
      </c>
      <c r="G7551" s="3" t="s">
        <v>18884</v>
      </c>
      <c r="H7551" s="2" t="s">
        <v>21</v>
      </c>
      <c r="I7551" s="2" t="s">
        <v>18885</v>
      </c>
      <c r="J7551" s="3" t="str">
        <f>HYPERLINK("https://www.boe.es/gazeta/dias/1812/10/08/pdfs/GRE-1812-136.pdf#page=8","Abrir facsímil")</f>
        <v>Abrir facsímil</v>
      </c>
      <c r="K7551" s="3" t="s">
        <v>23</v>
      </c>
    </row>
    <row r="7552" spans="1:11" ht="42" customHeight="1">
      <c r="A7552" s="2" t="s">
        <v>18886</v>
      </c>
      <c r="B7552" s="2" t="s">
        <v>18887</v>
      </c>
      <c r="C7552" s="2" t="s">
        <v>17</v>
      </c>
      <c r="D7552" s="2" t="s">
        <v>27</v>
      </c>
      <c r="E7552" s="4">
        <v>-31901</v>
      </c>
      <c r="F7552" s="3" t="s">
        <v>2199</v>
      </c>
      <c r="G7552" s="3" t="s">
        <v>2919</v>
      </c>
      <c r="H7552" s="2" t="s">
        <v>21</v>
      </c>
      <c r="I7552" s="2" t="s">
        <v>18888</v>
      </c>
      <c r="J7552" s="3" t="str">
        <f>HYPERLINK("https://www.boe.es/gazeta/dias/1812/08/27/pdfs/GRE-1812-111.pdf#page=2","Abrir facsímil")</f>
        <v>Abrir facsímil</v>
      </c>
      <c r="K7552" s="3" t="s">
        <v>23</v>
      </c>
    </row>
    <row r="7553" spans="1:11" ht="42" customHeight="1">
      <c r="A7553" s="2" t="s">
        <v>18889</v>
      </c>
      <c r="B7553" s="2" t="s">
        <v>18890</v>
      </c>
      <c r="C7553" s="2" t="s">
        <v>17</v>
      </c>
      <c r="D7553" s="2" t="s">
        <v>27</v>
      </c>
      <c r="E7553" s="4">
        <v>-31775</v>
      </c>
      <c r="F7553" s="3" t="s">
        <v>660</v>
      </c>
      <c r="G7553" s="3" t="s">
        <v>2138</v>
      </c>
      <c r="H7553" s="2" t="s">
        <v>21</v>
      </c>
      <c r="I7553" s="2" t="s">
        <v>18891</v>
      </c>
      <c r="J7553" s="3" t="str">
        <f>HYPERLINK("https://www.boe.es/gazeta/dias/1812/12/31/pdfs/GRE-1812-172.pdf#page=8","Abrir facsímil")</f>
        <v>Abrir facsímil</v>
      </c>
      <c r="K7553" s="3" t="s">
        <v>23</v>
      </c>
    </row>
    <row r="7554" spans="1:11" ht="42" customHeight="1">
      <c r="A7554" s="2" t="s">
        <v>18892</v>
      </c>
      <c r="B7554" s="2" t="s">
        <v>18893</v>
      </c>
      <c r="C7554" s="2" t="s">
        <v>26</v>
      </c>
      <c r="D7554" s="2" t="s">
        <v>27</v>
      </c>
      <c r="E7554" s="4">
        <v>-32015</v>
      </c>
      <c r="F7554" s="3" t="s">
        <v>77</v>
      </c>
      <c r="G7554" s="3" t="s">
        <v>78</v>
      </c>
      <c r="H7554" s="2" t="s">
        <v>21</v>
      </c>
      <c r="I7554" s="2" t="s">
        <v>18894</v>
      </c>
      <c r="J7554" s="3" t="str">
        <f>HYPERLINK("https://www.boe.es/gazeta/dias/1812/05/05/pdfs/GRE-1812-56.pdf#page=8","Abrir facsímil")</f>
        <v>Abrir facsímil</v>
      </c>
      <c r="K7554" s="3" t="s">
        <v>23</v>
      </c>
    </row>
    <row r="7555" spans="1:11" ht="42" customHeight="1">
      <c r="A7555" s="2" t="s">
        <v>18895</v>
      </c>
      <c r="B7555" s="2" t="s">
        <v>18895</v>
      </c>
      <c r="C7555" s="2" t="s">
        <v>17</v>
      </c>
      <c r="D7555" s="2" t="s">
        <v>27</v>
      </c>
      <c r="E7555" s="4">
        <v>-31903</v>
      </c>
      <c r="F7555" s="3" t="s">
        <v>2720</v>
      </c>
      <c r="G7555" s="3" t="s">
        <v>2955</v>
      </c>
      <c r="H7555" s="2" t="s">
        <v>21</v>
      </c>
      <c r="I7555" s="2" t="s">
        <v>18896</v>
      </c>
      <c r="J7555" s="3" t="str">
        <f>HYPERLINK("https://www.boe.es/gazeta/dias/1812/08/25/pdfs/GRE-1812-110.pdf#page=8","Abrir facsímil")</f>
        <v>Abrir facsímil</v>
      </c>
      <c r="K7555" s="3" t="s">
        <v>23</v>
      </c>
    </row>
    <row r="7556" spans="1:11" ht="42" customHeight="1">
      <c r="A7556" s="2" t="s">
        <v>18897</v>
      </c>
      <c r="B7556" s="2" t="s">
        <v>18898</v>
      </c>
      <c r="C7556" s="2" t="s">
        <v>186</v>
      </c>
      <c r="D7556" s="2" t="s">
        <v>275</v>
      </c>
      <c r="E7556" s="4">
        <v>-31968</v>
      </c>
      <c r="F7556" s="3" t="s">
        <v>4011</v>
      </c>
      <c r="G7556" s="3" t="s">
        <v>237</v>
      </c>
      <c r="H7556" s="2" t="s">
        <v>21</v>
      </c>
      <c r="I7556" s="2" t="s">
        <v>18899</v>
      </c>
      <c r="J7556" s="3" t="str">
        <f>HYPERLINK("https://www.boe.es/gazeta/dias/1812/06/21/pdfs/GMD-1812-173.pdf#page=4","Abrir facsímil")</f>
        <v>Abrir facsímil</v>
      </c>
      <c r="K7556" s="3" t="s">
        <v>23</v>
      </c>
    </row>
    <row r="7557" spans="1:11" ht="42" customHeight="1">
      <c r="A7557" s="2" t="s">
        <v>18900</v>
      </c>
      <c r="B7557" s="2" t="s">
        <v>18901</v>
      </c>
      <c r="C7557" s="2" t="s">
        <v>17</v>
      </c>
      <c r="D7557" s="2" t="s">
        <v>27</v>
      </c>
      <c r="E7557" s="4">
        <v>-32022</v>
      </c>
      <c r="F7557" s="3" t="s">
        <v>1186</v>
      </c>
      <c r="G7557" s="3" t="s">
        <v>336</v>
      </c>
      <c r="H7557" s="2" t="s">
        <v>21</v>
      </c>
      <c r="I7557" s="2" t="s">
        <v>18902</v>
      </c>
      <c r="J7557" s="3" t="str">
        <f>HYPERLINK("https://www.boe.es/gazeta/dias/1812/04/28/pdfs/GRE-1812-53.pdf#page=8","Abrir facsímil")</f>
        <v>Abrir facsímil</v>
      </c>
      <c r="K7557" s="3" t="s">
        <v>23</v>
      </c>
    </row>
    <row r="7558" spans="1:11" ht="42" customHeight="1">
      <c r="A7558" s="2" t="s">
        <v>18903</v>
      </c>
      <c r="B7558" s="2" t="s">
        <v>18903</v>
      </c>
      <c r="C7558" s="2" t="s">
        <v>17</v>
      </c>
      <c r="D7558" s="2" t="s">
        <v>27</v>
      </c>
      <c r="E7558" s="4">
        <v>-31781</v>
      </c>
      <c r="F7558" s="3" t="s">
        <v>2414</v>
      </c>
      <c r="G7558" s="3" t="s">
        <v>136</v>
      </c>
      <c r="H7558" s="2" t="s">
        <v>21</v>
      </c>
      <c r="I7558" s="2" t="s">
        <v>18904</v>
      </c>
      <c r="J7558" s="3" t="str">
        <f>HYPERLINK("https://www.boe.es/gazeta/dias/1812/12/25/pdfs/GMD-1812-248.pdf#page=2","Abrir facsímil")</f>
        <v>Abrir facsímil</v>
      </c>
      <c r="K7558" s="3" t="s">
        <v>23</v>
      </c>
    </row>
    <row r="7559" spans="1:11" ht="42" customHeight="1">
      <c r="A7559" s="2" t="s">
        <v>18905</v>
      </c>
      <c r="B7559" s="2" t="s">
        <v>18905</v>
      </c>
      <c r="C7559" s="2" t="s">
        <v>26</v>
      </c>
      <c r="D7559" s="2" t="s">
        <v>27</v>
      </c>
      <c r="E7559" s="4">
        <v>-32047</v>
      </c>
      <c r="F7559" s="3" t="s">
        <v>9070</v>
      </c>
      <c r="G7559" s="3" t="s">
        <v>706</v>
      </c>
      <c r="H7559" s="2" t="s">
        <v>21</v>
      </c>
      <c r="I7559" s="2" t="s">
        <v>18906</v>
      </c>
      <c r="J7559" s="3" t="str">
        <f>HYPERLINK("https://www.boe.es/gazeta/dias/1812/04/03/pdfs/GMD-1812-94.pdf#page=2","Abrir facsímil")</f>
        <v>Abrir facsímil</v>
      </c>
      <c r="K7559" s="3" t="s">
        <v>23</v>
      </c>
    </row>
    <row r="7560" spans="1:11" ht="42" customHeight="1">
      <c r="A7560" s="2" t="s">
        <v>18907</v>
      </c>
      <c r="B7560" s="2" t="s">
        <v>18908</v>
      </c>
      <c r="C7560" s="2" t="s">
        <v>26</v>
      </c>
      <c r="D7560" s="2" t="s">
        <v>275</v>
      </c>
      <c r="E7560" s="4">
        <v>-31961</v>
      </c>
      <c r="F7560" s="3" t="s">
        <v>1193</v>
      </c>
      <c r="G7560" s="3" t="s">
        <v>644</v>
      </c>
      <c r="H7560" s="2" t="s">
        <v>21</v>
      </c>
      <c r="I7560" s="2" t="s">
        <v>18909</v>
      </c>
      <c r="J7560" s="3" t="str">
        <f>HYPERLINK("https://www.boe.es/gazeta/dias/1812/06/28/pdfs/GMD-1812-180.pdf#page=3","Abrir facsímil")</f>
        <v>Abrir facsímil</v>
      </c>
      <c r="K7560" s="3" t="s">
        <v>23</v>
      </c>
    </row>
    <row r="7561" spans="1:11" ht="42" customHeight="1">
      <c r="A7561" s="2" t="s">
        <v>18910</v>
      </c>
      <c r="B7561" s="2" t="s">
        <v>18910</v>
      </c>
      <c r="C7561" s="2" t="s">
        <v>26</v>
      </c>
      <c r="D7561" s="2" t="s">
        <v>27</v>
      </c>
      <c r="E7561" s="4">
        <v>-32068</v>
      </c>
      <c r="F7561" s="3" t="s">
        <v>2608</v>
      </c>
      <c r="G7561" s="3" t="s">
        <v>130</v>
      </c>
      <c r="H7561" s="2" t="s">
        <v>21</v>
      </c>
      <c r="I7561" s="2" t="s">
        <v>18911</v>
      </c>
      <c r="J7561" s="3" t="str">
        <f>HYPERLINK("https://www.boe.es/gazeta/dias/1812/03/13/pdfs/GMD-1812-73.pdf#page=4","Abrir facsímil")</f>
        <v>Abrir facsímil</v>
      </c>
      <c r="K7561" s="3" t="s">
        <v>23</v>
      </c>
    </row>
    <row r="7562" spans="1:11" ht="42" customHeight="1">
      <c r="A7562" s="2" t="s">
        <v>18912</v>
      </c>
      <c r="B7562" s="2" t="s">
        <v>18913</v>
      </c>
      <c r="C7562" s="2" t="s">
        <v>17</v>
      </c>
      <c r="D7562" s="2" t="s">
        <v>27</v>
      </c>
      <c r="E7562" s="4">
        <v>-32109</v>
      </c>
      <c r="F7562" s="3" t="s">
        <v>62</v>
      </c>
      <c r="G7562" s="3" t="s">
        <v>63</v>
      </c>
      <c r="H7562" s="2" t="s">
        <v>21</v>
      </c>
      <c r="I7562" s="2" t="s">
        <v>18914</v>
      </c>
      <c r="J7562" s="3" t="str">
        <f>HYPERLINK("https://www.boe.es/gazeta/dias/1812/02/01/pdfs/GRE-1812-14.pdf#page=10","Abrir facsímil")</f>
        <v>Abrir facsímil</v>
      </c>
      <c r="K7562" s="3" t="s">
        <v>23</v>
      </c>
    </row>
    <row r="7563" spans="1:11" ht="42" customHeight="1">
      <c r="A7563" s="2" t="s">
        <v>18915</v>
      </c>
      <c r="B7563" s="2" t="s">
        <v>18916</v>
      </c>
      <c r="C7563" s="2" t="s">
        <v>17</v>
      </c>
      <c r="D7563" s="2" t="s">
        <v>27</v>
      </c>
      <c r="E7563" s="4">
        <v>-32067</v>
      </c>
      <c r="F7563" s="3" t="s">
        <v>199</v>
      </c>
      <c r="G7563" s="3" t="s">
        <v>237</v>
      </c>
      <c r="H7563" s="2" t="s">
        <v>21</v>
      </c>
      <c r="I7563" s="2" t="s">
        <v>18917</v>
      </c>
      <c r="J7563" s="3" t="str">
        <f>HYPERLINK("https://www.boe.es/gazeta/dias/1812/03/14/pdfs/GRE-1812-33.pdf#page=8","Abrir facsímil")</f>
        <v>Abrir facsímil</v>
      </c>
      <c r="K7563" s="3" t="s">
        <v>23</v>
      </c>
    </row>
    <row r="7564" spans="1:11" ht="42" customHeight="1">
      <c r="A7564" s="2" t="s">
        <v>18918</v>
      </c>
      <c r="B7564" s="2" t="s">
        <v>18919</v>
      </c>
      <c r="C7564" s="2" t="s">
        <v>26</v>
      </c>
      <c r="D7564" s="2" t="s">
        <v>27</v>
      </c>
      <c r="E7564" s="4">
        <v>-31938</v>
      </c>
      <c r="F7564" s="3" t="s">
        <v>370</v>
      </c>
      <c r="G7564" s="3" t="s">
        <v>371</v>
      </c>
      <c r="H7564" s="2" t="s">
        <v>21</v>
      </c>
      <c r="I7564" s="2" t="s">
        <v>18920</v>
      </c>
      <c r="J7564" s="3" t="str">
        <f>HYPERLINK("https://www.boe.es/gazeta/dias/1812/07/21/pdfs/GRE-1812-91.pdf#page=8","Abrir facsímil")</f>
        <v>Abrir facsímil</v>
      </c>
      <c r="K7564" s="3" t="s">
        <v>23</v>
      </c>
    </row>
    <row r="7565" spans="1:11" ht="42" customHeight="1">
      <c r="A7565" s="2" t="s">
        <v>18921</v>
      </c>
      <c r="B7565" s="2" t="s">
        <v>18922</v>
      </c>
      <c r="C7565" s="2" t="s">
        <v>549</v>
      </c>
      <c r="D7565" s="2" t="s">
        <v>27</v>
      </c>
      <c r="E7565" s="4">
        <v>-31955</v>
      </c>
      <c r="F7565" s="3" t="s">
        <v>789</v>
      </c>
      <c r="G7565" s="3" t="s">
        <v>237</v>
      </c>
      <c r="H7565" s="2" t="s">
        <v>21</v>
      </c>
      <c r="I7565" s="2" t="s">
        <v>18923</v>
      </c>
      <c r="J7565" s="3" t="str">
        <f>HYPERLINK("https://www.boe.es/gazeta/dias/1812/07/04/pdfs/GRE-1812-82.pdf#page=8","Abrir facsímil")</f>
        <v>Abrir facsímil</v>
      </c>
      <c r="K7565" s="3" t="s">
        <v>23</v>
      </c>
    </row>
    <row r="7566" spans="1:11" ht="42" customHeight="1">
      <c r="A7566" s="2" t="s">
        <v>18924</v>
      </c>
      <c r="B7566" s="2" t="s">
        <v>18925</v>
      </c>
      <c r="C7566" s="2" t="s">
        <v>26</v>
      </c>
      <c r="D7566" s="2" t="s">
        <v>27</v>
      </c>
      <c r="E7566" s="4">
        <v>-32114</v>
      </c>
      <c r="F7566" s="3" t="s">
        <v>480</v>
      </c>
      <c r="G7566" s="3" t="s">
        <v>481</v>
      </c>
      <c r="H7566" s="2" t="s">
        <v>21</v>
      </c>
      <c r="I7566" s="2" t="s">
        <v>18926</v>
      </c>
      <c r="J7566" s="3" t="str">
        <f>HYPERLINK("https://www.boe.es/gazeta/dias/1812/01/27/pdfs/GMD-1812-27.pdf#page=4","Abrir facsímil")</f>
        <v>Abrir facsímil</v>
      </c>
      <c r="K7566" s="3" t="s">
        <v>23</v>
      </c>
    </row>
    <row r="7567" spans="1:11" ht="42" customHeight="1">
      <c r="A7567" s="2" t="s">
        <v>18927</v>
      </c>
      <c r="B7567" s="2" t="s">
        <v>18928</v>
      </c>
      <c r="C7567" s="2" t="s">
        <v>17</v>
      </c>
      <c r="D7567" s="2" t="s">
        <v>27</v>
      </c>
      <c r="E7567" s="4">
        <v>-32116</v>
      </c>
      <c r="F7567" s="3" t="s">
        <v>382</v>
      </c>
      <c r="G7567" s="3" t="s">
        <v>136</v>
      </c>
      <c r="H7567" s="2" t="s">
        <v>21</v>
      </c>
      <c r="I7567" s="2" t="s">
        <v>18929</v>
      </c>
      <c r="J7567" s="3" t="str">
        <f>HYPERLINK("https://www.boe.es/gazeta/dias/1812/01/25/pdfs/GMD-1812-25.pdf#page=4","Abrir facsímil")</f>
        <v>Abrir facsímil</v>
      </c>
      <c r="K7567" s="3" t="s">
        <v>23</v>
      </c>
    </row>
    <row r="7568" spans="1:11" ht="42" customHeight="1">
      <c r="A7568" s="2" t="s">
        <v>18930</v>
      </c>
      <c r="B7568" s="2" t="s">
        <v>18931</v>
      </c>
      <c r="C7568" s="2" t="s">
        <v>17</v>
      </c>
      <c r="D7568" s="2" t="s">
        <v>27</v>
      </c>
      <c r="E7568" s="4">
        <v>-31922</v>
      </c>
      <c r="F7568" s="3" t="s">
        <v>375</v>
      </c>
      <c r="G7568" s="3" t="s">
        <v>5327</v>
      </c>
      <c r="H7568" s="2" t="s">
        <v>21</v>
      </c>
      <c r="I7568" s="2" t="s">
        <v>18932</v>
      </c>
      <c r="J7568" s="3" t="str">
        <f>HYPERLINK("https://www.boe.es/gazeta/dias/1812/08/06/pdfs/GRE-1812-100.pdf#page=3","Abrir facsímil")</f>
        <v>Abrir facsímil</v>
      </c>
      <c r="K7568" s="3" t="s">
        <v>23</v>
      </c>
    </row>
    <row r="7569" spans="1:11" ht="42" customHeight="1">
      <c r="A7569" s="2" t="s">
        <v>18933</v>
      </c>
      <c r="B7569" s="2" t="s">
        <v>18934</v>
      </c>
      <c r="C7569" s="2" t="s">
        <v>186</v>
      </c>
      <c r="D7569" s="2" t="s">
        <v>27</v>
      </c>
      <c r="E7569" s="4">
        <v>-32088</v>
      </c>
      <c r="F7569" s="3" t="s">
        <v>1217</v>
      </c>
      <c r="G7569" s="3" t="s">
        <v>1218</v>
      </c>
      <c r="H7569" s="2" t="s">
        <v>21</v>
      </c>
      <c r="I7569" s="2" t="s">
        <v>18935</v>
      </c>
      <c r="J7569" s="3" t="str">
        <f>HYPERLINK("https://www.boe.es/gazeta/dias/1812/02/22/pdfs/GMD-1812-53.pdf#page=4","Abrir facsímil")</f>
        <v>Abrir facsímil</v>
      </c>
      <c r="K7569" s="3" t="s">
        <v>23</v>
      </c>
    </row>
    <row r="7570" spans="1:11" ht="42" customHeight="1">
      <c r="A7570" s="2" t="s">
        <v>18933</v>
      </c>
      <c r="B7570" s="2" t="s">
        <v>18934</v>
      </c>
      <c r="C7570" s="2" t="s">
        <v>26</v>
      </c>
      <c r="D7570" s="2" t="s">
        <v>27</v>
      </c>
      <c r="E7570" s="4">
        <v>-31939</v>
      </c>
      <c r="F7570" s="3" t="s">
        <v>408</v>
      </c>
      <c r="G7570" s="3" t="s">
        <v>20</v>
      </c>
      <c r="H7570" s="2" t="s">
        <v>21</v>
      </c>
      <c r="I7570" s="2" t="s">
        <v>18936</v>
      </c>
      <c r="J7570" s="3" t="str">
        <f>HYPERLINK("https://www.boe.es/gazeta/dias/1812/07/20/pdfs/GMD-1812-202.pdf#page=4","Abrir facsímil")</f>
        <v>Abrir facsímil</v>
      </c>
      <c r="K7570" s="3" t="s">
        <v>23</v>
      </c>
    </row>
    <row r="7571" spans="1:11" ht="42" customHeight="1">
      <c r="A7571" s="2" t="s">
        <v>18937</v>
      </c>
      <c r="B7571" s="2" t="s">
        <v>18938</v>
      </c>
      <c r="C7571" s="2" t="s">
        <v>26</v>
      </c>
      <c r="D7571" s="2" t="s">
        <v>275</v>
      </c>
      <c r="E7571" s="4">
        <v>-32123</v>
      </c>
      <c r="F7571" s="3" t="s">
        <v>2642</v>
      </c>
      <c r="G7571" s="3" t="s">
        <v>20</v>
      </c>
      <c r="H7571" s="2" t="s">
        <v>21</v>
      </c>
      <c r="I7571" s="2" t="s">
        <v>18939</v>
      </c>
      <c r="J7571" s="3" t="str">
        <f>HYPERLINK("https://www.boe.es/gazeta/dias/1812/01/18/pdfs/GMD-1812-18.pdf#page=4","Abrir facsímil")</f>
        <v>Abrir facsímil</v>
      </c>
      <c r="K7571" s="3" t="s">
        <v>23</v>
      </c>
    </row>
    <row r="7572" spans="1:11" ht="42" customHeight="1">
      <c r="A7572" s="2" t="s">
        <v>18937</v>
      </c>
      <c r="B7572" s="2" t="s">
        <v>18938</v>
      </c>
      <c r="C7572" s="2" t="s">
        <v>26</v>
      </c>
      <c r="D7572" s="2" t="s">
        <v>27</v>
      </c>
      <c r="E7572" s="4">
        <v>-31988</v>
      </c>
      <c r="F7572" s="3" t="s">
        <v>1094</v>
      </c>
      <c r="G7572" s="3" t="s">
        <v>1095</v>
      </c>
      <c r="H7572" s="2" t="s">
        <v>21</v>
      </c>
      <c r="I7572" s="2" t="s">
        <v>18940</v>
      </c>
      <c r="J7572" s="3" t="str">
        <f>HYPERLINK("https://www.boe.es/gazeta/dias/1812/06/01/pdfs/GMD-1812-153.pdf#page=2","Abrir facsímil")</f>
        <v>Abrir facsímil</v>
      </c>
      <c r="K7572" s="3" t="s">
        <v>23</v>
      </c>
    </row>
    <row r="7573" spans="1:11" ht="42" customHeight="1">
      <c r="A7573" s="2" t="s">
        <v>18941</v>
      </c>
      <c r="B7573" s="2" t="s">
        <v>18942</v>
      </c>
      <c r="C7573" s="2" t="s">
        <v>26</v>
      </c>
      <c r="D7573" s="2" t="s">
        <v>27</v>
      </c>
      <c r="E7573" s="4">
        <v>-31938</v>
      </c>
      <c r="F7573" s="3" t="s">
        <v>324</v>
      </c>
      <c r="G7573" s="3" t="s">
        <v>497</v>
      </c>
      <c r="H7573" s="2" t="s">
        <v>21</v>
      </c>
      <c r="I7573" s="2" t="s">
        <v>18943</v>
      </c>
      <c r="J7573" s="3" t="str">
        <f>HYPERLINK("https://www.boe.es/gazeta/dias/1812/07/21/pdfs/GMD-1812-203.pdf#page=3","Abrir facsímil")</f>
        <v>Abrir facsímil</v>
      </c>
      <c r="K7573" s="3" t="s">
        <v>23</v>
      </c>
    </row>
    <row r="7574" spans="1:11" ht="42" customHeight="1">
      <c r="A7574" s="2" t="s">
        <v>18944</v>
      </c>
      <c r="B7574" s="2" t="s">
        <v>18945</v>
      </c>
      <c r="C7574" s="2" t="s">
        <v>26</v>
      </c>
      <c r="D7574" s="2" t="s">
        <v>27</v>
      </c>
      <c r="E7574" s="4">
        <v>-31938</v>
      </c>
      <c r="F7574" s="3" t="s">
        <v>324</v>
      </c>
      <c r="G7574" s="3" t="s">
        <v>497</v>
      </c>
      <c r="H7574" s="2" t="s">
        <v>21</v>
      </c>
      <c r="I7574" s="2" t="s">
        <v>18946</v>
      </c>
      <c r="J7574" s="3" t="str">
        <f>HYPERLINK("https://www.boe.es/gazeta/dias/1812/07/21/pdfs/GMD-1812-203.pdf#page=3","Abrir facsímil")</f>
        <v>Abrir facsímil</v>
      </c>
      <c r="K7574" s="3" t="s">
        <v>23</v>
      </c>
    </row>
    <row r="7575" spans="1:11" ht="42" customHeight="1">
      <c r="A7575" s="2" t="s">
        <v>18947</v>
      </c>
      <c r="B7575" s="2" t="s">
        <v>18948</v>
      </c>
      <c r="C7575" s="2" t="s">
        <v>26</v>
      </c>
      <c r="D7575" s="2" t="s">
        <v>27</v>
      </c>
      <c r="E7575" s="4">
        <v>-31964</v>
      </c>
      <c r="F7575" s="3" t="s">
        <v>305</v>
      </c>
      <c r="G7575" s="3" t="s">
        <v>306</v>
      </c>
      <c r="H7575" s="2" t="s">
        <v>21</v>
      </c>
      <c r="I7575" s="2" t="s">
        <v>18949</v>
      </c>
      <c r="J7575" s="3" t="str">
        <f>HYPERLINK("https://www.boe.es/gazeta/dias/1812/06/25/pdfs/GMD-1812-177.pdf#page=3","Abrir facsímil")</f>
        <v>Abrir facsímil</v>
      </c>
      <c r="K7575" s="3" t="s">
        <v>23</v>
      </c>
    </row>
    <row r="7576" spans="1:11" ht="42" customHeight="1">
      <c r="A7576" s="2" t="s">
        <v>18950</v>
      </c>
      <c r="B7576" s="2" t="s">
        <v>18951</v>
      </c>
      <c r="C7576" s="2" t="s">
        <v>26</v>
      </c>
      <c r="D7576" s="2" t="s">
        <v>27</v>
      </c>
      <c r="E7576" s="4">
        <v>-31938</v>
      </c>
      <c r="F7576" s="3" t="s">
        <v>324</v>
      </c>
      <c r="G7576" s="3" t="s">
        <v>497</v>
      </c>
      <c r="H7576" s="2" t="s">
        <v>21</v>
      </c>
      <c r="I7576" s="2" t="s">
        <v>18952</v>
      </c>
      <c r="J7576" s="3" t="str">
        <f>HYPERLINK("https://www.boe.es/gazeta/dias/1812/07/21/pdfs/GMD-1812-203.pdf#page=3","Abrir facsímil")</f>
        <v>Abrir facsímil</v>
      </c>
      <c r="K7576" s="3" t="s">
        <v>23</v>
      </c>
    </row>
    <row r="7577" spans="1:11" ht="42" customHeight="1">
      <c r="A7577" s="2" t="s">
        <v>18953</v>
      </c>
      <c r="B7577" s="2" t="s">
        <v>18954</v>
      </c>
      <c r="C7577" s="2" t="s">
        <v>26</v>
      </c>
      <c r="D7577" s="2" t="s">
        <v>27</v>
      </c>
      <c r="E7577" s="4">
        <v>-31938</v>
      </c>
      <c r="F7577" s="3" t="s">
        <v>324</v>
      </c>
      <c r="G7577" s="3" t="s">
        <v>497</v>
      </c>
      <c r="H7577" s="2" t="s">
        <v>21</v>
      </c>
      <c r="I7577" s="2" t="s">
        <v>18955</v>
      </c>
      <c r="J7577" s="3" t="str">
        <f>HYPERLINK("https://www.boe.es/gazeta/dias/1812/07/21/pdfs/GMD-1812-203.pdf#page=3","Abrir facsímil")</f>
        <v>Abrir facsímil</v>
      </c>
      <c r="K7577" s="3" t="s">
        <v>23</v>
      </c>
    </row>
    <row r="7578" spans="1:11" ht="42" customHeight="1">
      <c r="A7578" s="2" t="s">
        <v>18956</v>
      </c>
      <c r="B7578" s="2" t="s">
        <v>18957</v>
      </c>
      <c r="C7578" s="2" t="s">
        <v>17</v>
      </c>
      <c r="D7578" s="2" t="s">
        <v>27</v>
      </c>
      <c r="E7578" s="4">
        <v>-32017</v>
      </c>
      <c r="F7578" s="3" t="s">
        <v>3446</v>
      </c>
      <c r="G7578" s="3" t="s">
        <v>404</v>
      </c>
      <c r="H7578" s="2" t="s">
        <v>21</v>
      </c>
      <c r="I7578" s="2" t="s">
        <v>18958</v>
      </c>
      <c r="J7578" s="3" t="str">
        <f>HYPERLINK("https://www.boe.es/gazeta/dias/1812/05/03/pdfs/GMD-1812-124.pdf#page=3","Abrir facsímil")</f>
        <v>Abrir facsímil</v>
      </c>
      <c r="K7578" s="3" t="s">
        <v>23</v>
      </c>
    </row>
    <row r="7579" spans="1:11" ht="42" customHeight="1">
      <c r="A7579" s="2" t="s">
        <v>18959</v>
      </c>
      <c r="B7579" s="2" t="s">
        <v>18959</v>
      </c>
      <c r="C7579" s="2" t="s">
        <v>17</v>
      </c>
      <c r="D7579" s="2" t="s">
        <v>18</v>
      </c>
      <c r="E7579" s="4">
        <v>-31831</v>
      </c>
      <c r="F7579" s="3" t="s">
        <v>11847</v>
      </c>
      <c r="G7579" s="3" t="s">
        <v>20</v>
      </c>
      <c r="H7579" s="2" t="s">
        <v>21</v>
      </c>
      <c r="I7579" s="2" t="s">
        <v>18960</v>
      </c>
      <c r="J7579" s="3" t="str">
        <f>HYPERLINK("https://www.boe.es/gazeta/dias/1812/11/05/pdfs/GMD-1812-225.pdf#page=2","Abrir facsímil")</f>
        <v>Abrir facsímil</v>
      </c>
      <c r="K7579" s="3" t="s">
        <v>23</v>
      </c>
    </row>
    <row r="7580" spans="1:11" ht="42" customHeight="1">
      <c r="A7580" s="2" t="s">
        <v>18961</v>
      </c>
      <c r="B7580" s="2" t="s">
        <v>18962</v>
      </c>
      <c r="C7580" s="2" t="s">
        <v>26</v>
      </c>
      <c r="D7580" s="2" t="s">
        <v>275</v>
      </c>
      <c r="E7580" s="4">
        <v>-32034</v>
      </c>
      <c r="F7580" s="3" t="s">
        <v>28</v>
      </c>
      <c r="G7580" s="3" t="s">
        <v>317</v>
      </c>
      <c r="H7580" s="2" t="s">
        <v>21</v>
      </c>
      <c r="I7580" s="2" t="s">
        <v>18963</v>
      </c>
      <c r="J7580" s="3" t="str">
        <f>HYPERLINK("https://www.boe.es/gazeta/dias/1812/04/16/pdfs/GMD-1812-107.pdf#page=6","Abrir facsímil")</f>
        <v>Abrir facsímil</v>
      </c>
      <c r="K7580" s="3" t="s">
        <v>23</v>
      </c>
    </row>
    <row r="7581" spans="1:11" ht="42" customHeight="1">
      <c r="A7581" s="2" t="s">
        <v>18964</v>
      </c>
      <c r="B7581" s="2" t="s">
        <v>18965</v>
      </c>
      <c r="C7581" s="2" t="s">
        <v>26</v>
      </c>
      <c r="D7581" s="2" t="s">
        <v>275</v>
      </c>
      <c r="E7581" s="4">
        <v>-31964</v>
      </c>
      <c r="F7581" s="3" t="s">
        <v>305</v>
      </c>
      <c r="G7581" s="3" t="s">
        <v>58</v>
      </c>
      <c r="H7581" s="2" t="s">
        <v>21</v>
      </c>
      <c r="I7581" s="2" t="s">
        <v>18966</v>
      </c>
      <c r="J7581" s="3" t="str">
        <f>HYPERLINK("https://www.boe.es/gazeta/dias/1812/06/25/pdfs/GMD-1812-177.pdf#page=2","Abrir facsímil")</f>
        <v>Abrir facsímil</v>
      </c>
      <c r="K7581" s="3" t="s">
        <v>23</v>
      </c>
    </row>
    <row r="7582" spans="1:11" ht="42" customHeight="1">
      <c r="A7582" s="2" t="s">
        <v>18967</v>
      </c>
      <c r="B7582" s="2" t="s">
        <v>18967</v>
      </c>
      <c r="C7582" s="2" t="s">
        <v>26</v>
      </c>
      <c r="D7582" s="2" t="s">
        <v>27</v>
      </c>
      <c r="E7582" s="4">
        <v>-31929</v>
      </c>
      <c r="F7582" s="3" t="s">
        <v>2786</v>
      </c>
      <c r="G7582" s="3" t="s">
        <v>36</v>
      </c>
      <c r="H7582" s="2" t="s">
        <v>21</v>
      </c>
      <c r="I7582" s="2" t="s">
        <v>18968</v>
      </c>
      <c r="J7582" s="3" t="str">
        <f>HYPERLINK("https://www.boe.es/gazeta/dias/1812/07/30/pdfs/GMD-1812-212.pdf#page=3","Abrir facsímil")</f>
        <v>Abrir facsímil</v>
      </c>
      <c r="K7582" s="3" t="s">
        <v>23</v>
      </c>
    </row>
    <row r="7583" spans="1:11" ht="42" customHeight="1">
      <c r="A7583" s="2" t="s">
        <v>18969</v>
      </c>
      <c r="B7583" s="2" t="s">
        <v>18969</v>
      </c>
      <c r="C7583" s="2" t="s">
        <v>26</v>
      </c>
      <c r="D7583" s="2" t="s">
        <v>27</v>
      </c>
      <c r="E7583" s="4">
        <v>-32133</v>
      </c>
      <c r="F7583" s="3" t="s">
        <v>139</v>
      </c>
      <c r="G7583" s="3" t="s">
        <v>140</v>
      </c>
      <c r="H7583" s="2" t="s">
        <v>21</v>
      </c>
      <c r="I7583" s="2" t="s">
        <v>18970</v>
      </c>
      <c r="J7583" s="3" t="str">
        <f>HYPERLINK("https://www.boe.es/gazeta/dias/1812/01/08/pdfs/GMD-1812-8.pdf#page=2","Abrir facsímil")</f>
        <v>Abrir facsímil</v>
      </c>
      <c r="K7583" s="3" t="s">
        <v>23</v>
      </c>
    </row>
    <row r="7584" spans="1:11" ht="42" customHeight="1">
      <c r="A7584" s="2" t="s">
        <v>18971</v>
      </c>
      <c r="B7584" s="2" t="s">
        <v>18972</v>
      </c>
      <c r="C7584" s="2" t="s">
        <v>26</v>
      </c>
      <c r="D7584" s="2" t="s">
        <v>27</v>
      </c>
      <c r="E7584" s="4">
        <v>-31988</v>
      </c>
      <c r="F7584" s="3" t="s">
        <v>1094</v>
      </c>
      <c r="G7584" s="3" t="s">
        <v>1095</v>
      </c>
      <c r="H7584" s="2" t="s">
        <v>21</v>
      </c>
      <c r="I7584" s="2" t="s">
        <v>18973</v>
      </c>
      <c r="J7584" s="3" t="str">
        <f>HYPERLINK("https://www.boe.es/gazeta/dias/1812/06/01/pdfs/GMD-1812-153.pdf#page=2","Abrir facsímil")</f>
        <v>Abrir facsímil</v>
      </c>
      <c r="K7584" s="3" t="s">
        <v>23</v>
      </c>
    </row>
    <row r="7585" spans="1:11" ht="42" customHeight="1">
      <c r="A7585" s="2" t="s">
        <v>18974</v>
      </c>
      <c r="B7585" s="2" t="s">
        <v>18975</v>
      </c>
      <c r="C7585" s="2" t="s">
        <v>26</v>
      </c>
      <c r="D7585" s="2" t="s">
        <v>27</v>
      </c>
      <c r="E7585" s="4">
        <v>-32095</v>
      </c>
      <c r="F7585" s="3" t="s">
        <v>284</v>
      </c>
      <c r="G7585" s="3" t="s">
        <v>29</v>
      </c>
      <c r="H7585" s="2" t="s">
        <v>21</v>
      </c>
      <c r="I7585" s="2" t="s">
        <v>18976</v>
      </c>
      <c r="J7585" s="3" t="str">
        <f>HYPERLINK("https://www.boe.es/gazeta/dias/1812/02/15/pdfs/GRE-1812-20.pdf#page=8","Abrir facsímil")</f>
        <v>Abrir facsímil</v>
      </c>
      <c r="K7585" s="3" t="s">
        <v>23</v>
      </c>
    </row>
    <row r="7586" spans="1:11" ht="42" customHeight="1">
      <c r="A7586" s="2" t="s">
        <v>18977</v>
      </c>
      <c r="B7586" s="2" t="s">
        <v>18978</v>
      </c>
      <c r="C7586" s="2" t="s">
        <v>49</v>
      </c>
      <c r="D7586" s="2" t="s">
        <v>27</v>
      </c>
      <c r="E7586" s="4">
        <v>-31903</v>
      </c>
      <c r="F7586" s="3" t="s">
        <v>2720</v>
      </c>
      <c r="G7586" s="3" t="s">
        <v>794</v>
      </c>
      <c r="H7586" s="2" t="s">
        <v>21</v>
      </c>
      <c r="I7586" s="2" t="s">
        <v>18979</v>
      </c>
      <c r="J7586" s="3" t="str">
        <f>HYPERLINK("https://www.boe.es/gazeta/dias/1812/08/25/pdfs/GRE-1812-110.pdf#page=7","Abrir facsímil")</f>
        <v>Abrir facsímil</v>
      </c>
      <c r="K7586" s="3" t="s">
        <v>23</v>
      </c>
    </row>
    <row r="7587" spans="1:11" ht="42" customHeight="1">
      <c r="A7587" s="2" t="s">
        <v>18980</v>
      </c>
      <c r="B7587" s="2" t="s">
        <v>18981</v>
      </c>
      <c r="C7587" s="2" t="s">
        <v>26</v>
      </c>
      <c r="D7587" s="2" t="s">
        <v>27</v>
      </c>
      <c r="E7587" s="4">
        <v>-32011</v>
      </c>
      <c r="F7587" s="3" t="s">
        <v>1656</v>
      </c>
      <c r="G7587" s="3" t="s">
        <v>777</v>
      </c>
      <c r="H7587" s="2" t="s">
        <v>21</v>
      </c>
      <c r="I7587" s="2" t="s">
        <v>18982</v>
      </c>
      <c r="J7587" s="3" t="str">
        <f>HYPERLINK("https://www.boe.es/gazeta/dias/1812/05/09/pdfs/GMD-1812-130.pdf#page=2","Abrir facsímil")</f>
        <v>Abrir facsímil</v>
      </c>
      <c r="K7587" s="3" t="s">
        <v>23</v>
      </c>
    </row>
    <row r="7588" spans="1:11" ht="42" customHeight="1">
      <c r="A7588" s="2" t="s">
        <v>18983</v>
      </c>
      <c r="B7588" s="2" t="s">
        <v>18984</v>
      </c>
      <c r="C7588" s="2" t="s">
        <v>26</v>
      </c>
      <c r="D7588" s="2" t="s">
        <v>27</v>
      </c>
      <c r="E7588" s="4">
        <v>-31942</v>
      </c>
      <c r="F7588" s="3" t="s">
        <v>3065</v>
      </c>
      <c r="G7588" s="3" t="s">
        <v>3066</v>
      </c>
      <c r="H7588" s="2" t="s">
        <v>21</v>
      </c>
      <c r="I7588" s="2" t="s">
        <v>18985</v>
      </c>
      <c r="J7588" s="3" t="str">
        <f>HYPERLINK("https://www.boe.es/gazeta/dias/1812/07/17/pdfs/GMD-1812-199.pdf#page=3","Abrir facsímil")</f>
        <v>Abrir facsímil</v>
      </c>
      <c r="K7588" s="3" t="s">
        <v>23</v>
      </c>
    </row>
    <row r="7589" spans="1:11" ht="42" customHeight="1">
      <c r="A7589" s="2" t="s">
        <v>18986</v>
      </c>
      <c r="B7589" s="2" t="s">
        <v>18986</v>
      </c>
      <c r="C7589" s="2" t="s">
        <v>105</v>
      </c>
      <c r="D7589" s="2" t="s">
        <v>27</v>
      </c>
      <c r="E7589" s="4">
        <v>-32026</v>
      </c>
      <c r="F7589" s="3" t="s">
        <v>7845</v>
      </c>
      <c r="G7589" s="3" t="s">
        <v>514</v>
      </c>
      <c r="H7589" s="2" t="s">
        <v>21</v>
      </c>
      <c r="I7589" s="2" t="s">
        <v>18987</v>
      </c>
      <c r="J7589" s="3" t="str">
        <f>HYPERLINK("https://www.boe.es/gazeta/dias/1812/04/24/pdfs/GMD-1812-115.pdf#page=3","Abrir facsímil")</f>
        <v>Abrir facsímil</v>
      </c>
      <c r="K7589" s="3" t="s">
        <v>23</v>
      </c>
    </row>
    <row r="7590" spans="1:11" ht="42" customHeight="1">
      <c r="A7590" s="2" t="s">
        <v>18988</v>
      </c>
      <c r="B7590" s="2" t="s">
        <v>18988</v>
      </c>
      <c r="C7590" s="2" t="s">
        <v>26</v>
      </c>
      <c r="D7590" s="2" t="s">
        <v>27</v>
      </c>
      <c r="E7590" s="4">
        <v>-31782</v>
      </c>
      <c r="F7590" s="3" t="s">
        <v>4408</v>
      </c>
      <c r="G7590" s="3" t="s">
        <v>6808</v>
      </c>
      <c r="H7590" s="2" t="s">
        <v>21</v>
      </c>
      <c r="I7590" s="2" t="s">
        <v>18989</v>
      </c>
      <c r="J7590" s="3" t="str">
        <f>HYPERLINK("https://www.boe.es/gazeta/dias/1812/12/24/pdfs/GMD-1812-247.pdf#page=1","Abrir facsímil")</f>
        <v>Abrir facsímil</v>
      </c>
      <c r="K7590" s="3" t="s">
        <v>23</v>
      </c>
    </row>
    <row r="7591" spans="1:11" ht="42" customHeight="1">
      <c r="A7591" s="2" t="s">
        <v>18990</v>
      </c>
      <c r="B7591" s="2" t="s">
        <v>18991</v>
      </c>
      <c r="C7591" s="2" t="s">
        <v>26</v>
      </c>
      <c r="D7591" s="2" t="s">
        <v>27</v>
      </c>
      <c r="E7591" s="4">
        <v>-32034</v>
      </c>
      <c r="F7591" s="3" t="s">
        <v>28</v>
      </c>
      <c r="G7591" s="3" t="s">
        <v>20</v>
      </c>
      <c r="H7591" s="2" t="s">
        <v>21</v>
      </c>
      <c r="I7591" s="2" t="s">
        <v>18992</v>
      </c>
      <c r="J7591" s="3" t="str">
        <f>HYPERLINK("https://www.boe.es/gazeta/dias/1812/04/16/pdfs/GMD-1812-107.pdf#page=3","Abrir facsímil")</f>
        <v>Abrir facsímil</v>
      </c>
      <c r="K7591" s="3" t="s">
        <v>23</v>
      </c>
    </row>
    <row r="7592" spans="1:11" ht="42" customHeight="1">
      <c r="A7592" s="2" t="s">
        <v>18993</v>
      </c>
      <c r="B7592" s="2" t="s">
        <v>18994</v>
      </c>
      <c r="C7592" s="2" t="s">
        <v>26</v>
      </c>
      <c r="D7592" s="2" t="s">
        <v>27</v>
      </c>
      <c r="E7592" s="4">
        <v>-32125</v>
      </c>
      <c r="F7592" s="3" t="s">
        <v>335</v>
      </c>
      <c r="G7592" s="3" t="s">
        <v>674</v>
      </c>
      <c r="H7592" s="2" t="s">
        <v>21</v>
      </c>
      <c r="I7592" s="2" t="s">
        <v>18995</v>
      </c>
      <c r="J7592" s="3" t="str">
        <f>HYPERLINK("https://www.boe.es/gazeta/dias/1812/01/16/pdfs/GEI-1812-7.pdf#page=6","Abrir facsímil")</f>
        <v>Abrir facsímil</v>
      </c>
      <c r="K7592" s="3" t="s">
        <v>23</v>
      </c>
    </row>
    <row r="7593" spans="1:11" ht="42" customHeight="1">
      <c r="A7593" s="2" t="s">
        <v>18996</v>
      </c>
      <c r="B7593" s="2" t="s">
        <v>18997</v>
      </c>
      <c r="C7593" s="2" t="s">
        <v>26</v>
      </c>
      <c r="D7593" s="2" t="s">
        <v>275</v>
      </c>
      <c r="E7593" s="4">
        <v>-32034</v>
      </c>
      <c r="F7593" s="3" t="s">
        <v>1008</v>
      </c>
      <c r="G7593" s="3" t="s">
        <v>1009</v>
      </c>
      <c r="H7593" s="2" t="s">
        <v>21</v>
      </c>
      <c r="I7593" s="2" t="s">
        <v>18998</v>
      </c>
      <c r="J7593" s="3" t="str">
        <f>HYPERLINK("https://www.boe.es/gazeta/dias/1812/04/16/pdfs/GRE-1812-48.pdf#page=8","Abrir facsímil")</f>
        <v>Abrir facsímil</v>
      </c>
      <c r="K7593" s="3" t="s">
        <v>23</v>
      </c>
    </row>
    <row r="7594" spans="1:11" ht="42" customHeight="1">
      <c r="A7594" s="2" t="s">
        <v>18999</v>
      </c>
      <c r="B7594" s="2" t="s">
        <v>19000</v>
      </c>
      <c r="C7594" s="2" t="s">
        <v>186</v>
      </c>
      <c r="D7594" s="2" t="s">
        <v>27</v>
      </c>
      <c r="E7594" s="4">
        <v>-32139</v>
      </c>
      <c r="F7594" s="3" t="s">
        <v>288</v>
      </c>
      <c r="G7594" s="3" t="s">
        <v>20</v>
      </c>
      <c r="H7594" s="2" t="s">
        <v>21</v>
      </c>
      <c r="I7594" s="2" t="s">
        <v>19001</v>
      </c>
      <c r="J7594" s="3" t="str">
        <f>HYPERLINK("https://www.boe.es/gazeta/dias/1812/01/02/pdfs/GMD-1812-2.pdf#page=3","Abrir facsímil")</f>
        <v>Abrir facsímil</v>
      </c>
      <c r="K7594" s="3" t="s">
        <v>23</v>
      </c>
    </row>
    <row r="7595" spans="1:11" ht="42" customHeight="1">
      <c r="A7595" s="2" t="s">
        <v>19002</v>
      </c>
      <c r="B7595" s="2" t="s">
        <v>19002</v>
      </c>
      <c r="C7595" s="2" t="s">
        <v>17</v>
      </c>
      <c r="D7595" s="2" t="s">
        <v>27</v>
      </c>
      <c r="E7595" s="4">
        <v>-32126</v>
      </c>
      <c r="F7595" s="3" t="s">
        <v>5107</v>
      </c>
      <c r="G7595" s="3" t="s">
        <v>20</v>
      </c>
      <c r="H7595" s="2" t="s">
        <v>21</v>
      </c>
      <c r="I7595" s="2" t="s">
        <v>19003</v>
      </c>
      <c r="J7595" s="3" t="str">
        <f>HYPERLINK("https://www.boe.es/gazeta/dias/1812/01/15/pdfs/GMD-1812-15.pdf#page=1","Abrir facsímil")</f>
        <v>Abrir facsímil</v>
      </c>
      <c r="K7595" s="3" t="s">
        <v>23</v>
      </c>
    </row>
    <row r="7596" spans="1:11" ht="42" customHeight="1">
      <c r="A7596" s="2" t="s">
        <v>19004</v>
      </c>
      <c r="B7596" s="2" t="s">
        <v>19004</v>
      </c>
      <c r="C7596" s="2" t="s">
        <v>17</v>
      </c>
      <c r="D7596" s="2" t="s">
        <v>194</v>
      </c>
      <c r="E7596" s="4">
        <v>-31938</v>
      </c>
      <c r="F7596" s="3" t="s">
        <v>370</v>
      </c>
      <c r="G7596" s="3" t="s">
        <v>9029</v>
      </c>
      <c r="H7596" s="2" t="s">
        <v>21</v>
      </c>
      <c r="I7596" s="2" t="s">
        <v>19005</v>
      </c>
      <c r="J7596" s="3" t="str">
        <f>HYPERLINK("https://www.boe.es/gazeta/dias/1812/07/21/pdfs/GRE-1812-91.pdf#page=7","Abrir facsímil")</f>
        <v>Abrir facsímil</v>
      </c>
      <c r="K7596" s="3" t="s">
        <v>23</v>
      </c>
    </row>
    <row r="7597" spans="1:11" ht="42" customHeight="1">
      <c r="A7597" s="2" t="s">
        <v>19006</v>
      </c>
      <c r="B7597" s="2" t="s">
        <v>19006</v>
      </c>
      <c r="C7597" s="2" t="s">
        <v>186</v>
      </c>
      <c r="D7597" s="2" t="s">
        <v>27</v>
      </c>
      <c r="E7597" s="4">
        <v>-32139</v>
      </c>
      <c r="F7597" s="3" t="s">
        <v>288</v>
      </c>
      <c r="G7597" s="3" t="s">
        <v>20</v>
      </c>
      <c r="H7597" s="2" t="s">
        <v>21</v>
      </c>
      <c r="I7597" s="2" t="s">
        <v>19007</v>
      </c>
      <c r="J7597" s="3" t="str">
        <f>HYPERLINK("https://www.boe.es/gazeta/dias/1812/01/02/pdfs/GMD-1812-2.pdf#page=3","Abrir facsímil")</f>
        <v>Abrir facsímil</v>
      </c>
      <c r="K7597" s="3" t="s">
        <v>23</v>
      </c>
    </row>
    <row r="7598" spans="1:11" ht="42" customHeight="1">
      <c r="A7598" s="2" t="s">
        <v>19008</v>
      </c>
      <c r="B7598" s="2" t="s">
        <v>19009</v>
      </c>
      <c r="C7598" s="2" t="s">
        <v>26</v>
      </c>
      <c r="D7598" s="2" t="s">
        <v>27</v>
      </c>
      <c r="E7598" s="4">
        <v>-31833</v>
      </c>
      <c r="F7598" s="3" t="s">
        <v>267</v>
      </c>
      <c r="G7598" s="3" t="s">
        <v>268</v>
      </c>
      <c r="H7598" s="2" t="s">
        <v>21</v>
      </c>
      <c r="I7598" s="2" t="s">
        <v>19010</v>
      </c>
      <c r="J7598" s="3" t="str">
        <f>HYPERLINK("https://www.boe.es/gazeta/dias/1812/11/03/pdfs/GRE-1812-147.pdf#page=8","Abrir facsímil")</f>
        <v>Abrir facsímil</v>
      </c>
      <c r="K7598" s="3" t="s">
        <v>23</v>
      </c>
    </row>
    <row r="7599" spans="1:11" ht="42" customHeight="1">
      <c r="A7599" s="2" t="s">
        <v>19011</v>
      </c>
      <c r="B7599" s="2" t="s">
        <v>19012</v>
      </c>
      <c r="C7599" s="2" t="s">
        <v>26</v>
      </c>
      <c r="D7599" s="2" t="s">
        <v>27</v>
      </c>
      <c r="E7599" s="4">
        <v>-31816</v>
      </c>
      <c r="F7599" s="3" t="s">
        <v>270</v>
      </c>
      <c r="G7599" s="3" t="s">
        <v>271</v>
      </c>
      <c r="H7599" s="2" t="s">
        <v>21</v>
      </c>
      <c r="I7599" s="2" t="s">
        <v>19013</v>
      </c>
      <c r="J7599" s="3" t="str">
        <f>HYPERLINK("https://www.boe.es/gazeta/dias/1812/11/20/pdfs/GMR-1812-36.pdf#page=6","Abrir facsímil")</f>
        <v>Abrir facsímil</v>
      </c>
      <c r="K7599" s="3" t="s">
        <v>23</v>
      </c>
    </row>
    <row r="7600" spans="1:11" ht="42" customHeight="1">
      <c r="A7600" s="2" t="s">
        <v>19014</v>
      </c>
      <c r="B7600" s="2" t="s">
        <v>19015</v>
      </c>
      <c r="C7600" s="2" t="s">
        <v>186</v>
      </c>
      <c r="D7600" s="2" t="s">
        <v>27</v>
      </c>
      <c r="E7600" s="4">
        <v>-31829</v>
      </c>
      <c r="F7600" s="3" t="s">
        <v>328</v>
      </c>
      <c r="G7600" s="3" t="s">
        <v>20</v>
      </c>
      <c r="H7600" s="2" t="s">
        <v>21</v>
      </c>
      <c r="I7600" s="2" t="s">
        <v>19016</v>
      </c>
      <c r="J7600" s="3" t="str">
        <f>HYPERLINK("https://www.boe.es/gazeta/dias/1812/11/07/pdfs/GMD-1812-227.pdf#page=4","Abrir facsímil")</f>
        <v>Abrir facsímil</v>
      </c>
      <c r="K7600" s="3" t="s">
        <v>23</v>
      </c>
    </row>
    <row r="7601" spans="1:11" ht="42" customHeight="1">
      <c r="A7601" s="2" t="s">
        <v>19017</v>
      </c>
      <c r="B7601" s="2" t="s">
        <v>19017</v>
      </c>
      <c r="C7601" s="2" t="s">
        <v>17</v>
      </c>
      <c r="D7601" s="2" t="s">
        <v>27</v>
      </c>
      <c r="E7601" s="4">
        <v>-32004</v>
      </c>
      <c r="F7601" s="3" t="s">
        <v>148</v>
      </c>
      <c r="G7601" s="3" t="s">
        <v>214</v>
      </c>
      <c r="H7601" s="2" t="s">
        <v>21</v>
      </c>
      <c r="I7601" s="2" t="s">
        <v>19018</v>
      </c>
      <c r="J7601" s="3" t="str">
        <f>HYPERLINK("https://www.boe.es/gazeta/dias/1812/05/16/pdfs/GRE-1812-61.pdf#page=5","Abrir facsímil")</f>
        <v>Abrir facsímil</v>
      </c>
      <c r="K7601" s="3" t="s">
        <v>23</v>
      </c>
    </row>
    <row r="7602" spans="1:11" ht="42" customHeight="1">
      <c r="A7602" s="2" t="s">
        <v>19019</v>
      </c>
      <c r="B7602" s="2" t="s">
        <v>19020</v>
      </c>
      <c r="C7602" s="2" t="s">
        <v>26</v>
      </c>
      <c r="D7602" s="2" t="s">
        <v>27</v>
      </c>
      <c r="E7602" s="4">
        <v>-32081</v>
      </c>
      <c r="F7602" s="3" t="s">
        <v>232</v>
      </c>
      <c r="G7602" s="3" t="s">
        <v>233</v>
      </c>
      <c r="H7602" s="2" t="s">
        <v>21</v>
      </c>
      <c r="I7602" s="2" t="s">
        <v>19021</v>
      </c>
      <c r="J7602" s="3" t="str">
        <f>HYPERLINK("https://www.boe.es/gazeta/dias/1812/02/29/pdfs/GRE-1812-27.pdf#page=8","Abrir facsímil")</f>
        <v>Abrir facsímil</v>
      </c>
      <c r="K7602" s="3" t="s">
        <v>23</v>
      </c>
    </row>
    <row r="7603" spans="1:11" ht="42" customHeight="1">
      <c r="A7603" s="2" t="s">
        <v>19022</v>
      </c>
      <c r="B7603" s="2" t="s">
        <v>19022</v>
      </c>
      <c r="C7603" s="2" t="s">
        <v>17</v>
      </c>
      <c r="D7603" s="2" t="s">
        <v>18</v>
      </c>
      <c r="E7603" s="4">
        <v>-32069</v>
      </c>
      <c r="F7603" s="3" t="s">
        <v>445</v>
      </c>
      <c r="G7603" s="3" t="s">
        <v>404</v>
      </c>
      <c r="H7603" s="2" t="s">
        <v>21</v>
      </c>
      <c r="I7603" s="2" t="s">
        <v>19023</v>
      </c>
      <c r="J7603" s="3" t="str">
        <f>HYPERLINK("https://www.boe.es/gazeta/dias/1812/03/12/pdfs/GRE-1812-32.pdf#page=6","Abrir facsímil")</f>
        <v>Abrir facsímil</v>
      </c>
      <c r="K7603" s="3" t="s">
        <v>23</v>
      </c>
    </row>
    <row r="7604" spans="1:11" ht="42" customHeight="1">
      <c r="A7604" s="2" t="s">
        <v>19024</v>
      </c>
      <c r="B7604" s="2" t="s">
        <v>19024</v>
      </c>
      <c r="C7604" s="2" t="s">
        <v>26</v>
      </c>
      <c r="D7604" s="2" t="s">
        <v>27</v>
      </c>
      <c r="E7604" s="4">
        <v>-31903</v>
      </c>
      <c r="F7604" s="3" t="s">
        <v>626</v>
      </c>
      <c r="G7604" s="3" t="s">
        <v>11266</v>
      </c>
      <c r="H7604" s="2" t="s">
        <v>21</v>
      </c>
      <c r="I7604" s="2" t="s">
        <v>19025</v>
      </c>
      <c r="J7604" s="3" t="str">
        <f>HYPERLINK("https://www.boe.es/gazeta/dias/1812/08/25/pdfs/GMR-1812-5.pdf#page=11","Abrir facsímil")</f>
        <v>Abrir facsímil</v>
      </c>
      <c r="K7604" s="3" t="s">
        <v>23</v>
      </c>
    </row>
    <row r="7605" spans="1:11" ht="42" customHeight="1">
      <c r="A7605" s="2" t="s">
        <v>19026</v>
      </c>
      <c r="B7605" s="2" t="s">
        <v>19027</v>
      </c>
      <c r="C7605" s="2" t="s">
        <v>17</v>
      </c>
      <c r="D7605" s="2" t="s">
        <v>27</v>
      </c>
      <c r="E7605" s="4">
        <v>-31798</v>
      </c>
      <c r="F7605" s="3" t="s">
        <v>1849</v>
      </c>
      <c r="G7605" s="3" t="s">
        <v>2280</v>
      </c>
      <c r="H7605" s="2" t="s">
        <v>21</v>
      </c>
      <c r="I7605" s="2" t="s">
        <v>19028</v>
      </c>
      <c r="J7605" s="3" t="str">
        <f>HYPERLINK("https://www.boe.es/gazeta/dias/1812/12/08/pdfs/GMD-1812-231.pdf#page=4","Abrir facsímil")</f>
        <v>Abrir facsímil</v>
      </c>
      <c r="K7605" s="3" t="s">
        <v>23</v>
      </c>
    </row>
    <row r="7606" spans="1:11" ht="42" customHeight="1">
      <c r="A7606" s="2" t="s">
        <v>19029</v>
      </c>
      <c r="B7606" s="2" t="s">
        <v>19029</v>
      </c>
      <c r="C7606" s="2" t="s">
        <v>17</v>
      </c>
      <c r="D7606" s="2" t="s">
        <v>27</v>
      </c>
      <c r="E7606" s="4">
        <v>-32127</v>
      </c>
      <c r="F7606" s="3" t="s">
        <v>88</v>
      </c>
      <c r="G7606" s="3" t="s">
        <v>89</v>
      </c>
      <c r="H7606" s="2" t="s">
        <v>21</v>
      </c>
      <c r="I7606" s="2" t="s">
        <v>19030</v>
      </c>
      <c r="J7606" s="3" t="str">
        <f>HYPERLINK("https://www.boe.es/gazeta/dias/1812/01/14/pdfs/GEI-1812-6.pdf#page=8","Abrir facsímil")</f>
        <v>Abrir facsímil</v>
      </c>
      <c r="K7606" s="3" t="s">
        <v>23</v>
      </c>
    </row>
    <row r="7607" spans="1:11" ht="42" customHeight="1">
      <c r="A7607" s="2" t="s">
        <v>19031</v>
      </c>
      <c r="B7607" s="2" t="s">
        <v>19032</v>
      </c>
      <c r="C7607" s="2" t="s">
        <v>26</v>
      </c>
      <c r="D7607" s="2" t="s">
        <v>27</v>
      </c>
      <c r="E7607" s="4">
        <v>-32085</v>
      </c>
      <c r="F7607" s="3" t="s">
        <v>1877</v>
      </c>
      <c r="G7607" s="3" t="s">
        <v>4321</v>
      </c>
      <c r="H7607" s="2" t="s">
        <v>21</v>
      </c>
      <c r="I7607" s="2" t="s">
        <v>19033</v>
      </c>
      <c r="J7607" s="3" t="str">
        <f>HYPERLINK("https://www.boe.es/gazeta/dias/1812/02/25/pdfs/GMD-1812-56.pdf#page=2","Abrir facsímil")</f>
        <v>Abrir facsímil</v>
      </c>
      <c r="K7607" s="3" t="s">
        <v>23</v>
      </c>
    </row>
    <row r="7608" spans="1:11" ht="42" customHeight="1">
      <c r="A7608" s="2" t="s">
        <v>19034</v>
      </c>
      <c r="B7608" s="2" t="s">
        <v>19034</v>
      </c>
      <c r="C7608" s="2" t="s">
        <v>17</v>
      </c>
      <c r="D7608" s="2" t="s">
        <v>18</v>
      </c>
      <c r="E7608" s="4">
        <v>-32090</v>
      </c>
      <c r="F7608" s="3" t="s">
        <v>142</v>
      </c>
      <c r="G7608" s="3" t="s">
        <v>20</v>
      </c>
      <c r="H7608" s="2" t="s">
        <v>21</v>
      </c>
      <c r="I7608" s="2" t="s">
        <v>19035</v>
      </c>
      <c r="J7608" s="3" t="str">
        <f>HYPERLINK("https://www.boe.es/gazeta/dias/1812/02/20/pdfs/GRE-1812-22.pdf#page=1","Abrir facsímil")</f>
        <v>Abrir facsímil</v>
      </c>
      <c r="K7608" s="3" t="s">
        <v>23</v>
      </c>
    </row>
    <row r="7609" spans="1:11" ht="42" customHeight="1">
      <c r="A7609" s="2" t="s">
        <v>19034</v>
      </c>
      <c r="B7609" s="2" t="s">
        <v>19034</v>
      </c>
      <c r="C7609" s="2" t="s">
        <v>17</v>
      </c>
      <c r="D7609" s="2" t="s">
        <v>18</v>
      </c>
      <c r="E7609" s="4">
        <v>-32063</v>
      </c>
      <c r="F7609" s="3" t="s">
        <v>384</v>
      </c>
      <c r="G7609" s="3" t="s">
        <v>125</v>
      </c>
      <c r="H7609" s="2" t="s">
        <v>21</v>
      </c>
      <c r="I7609" s="2" t="s">
        <v>19036</v>
      </c>
      <c r="J7609" s="3" t="str">
        <f>HYPERLINK("https://www.boe.es/gazeta/dias/1812/03/18/pdfs/GMD-1812-78.pdf#page=3","Abrir facsímil")</f>
        <v>Abrir facsímil</v>
      </c>
      <c r="K7609" s="3" t="s">
        <v>23</v>
      </c>
    </row>
    <row r="7610" spans="1:11" ht="42" customHeight="1">
      <c r="A7610" s="2" t="s">
        <v>19034</v>
      </c>
      <c r="B7610" s="2" t="s">
        <v>19034</v>
      </c>
      <c r="C7610" s="2" t="s">
        <v>26</v>
      </c>
      <c r="D7610" s="2" t="s">
        <v>27</v>
      </c>
      <c r="E7610" s="4">
        <v>-31847</v>
      </c>
      <c r="F7610" s="3" t="s">
        <v>4133</v>
      </c>
      <c r="G7610" s="3" t="s">
        <v>125</v>
      </c>
      <c r="H7610" s="2" t="s">
        <v>21</v>
      </c>
      <c r="I7610" s="2" t="s">
        <v>19037</v>
      </c>
      <c r="J7610" s="3" t="str">
        <f>HYPERLINK("https://www.boe.es/gazeta/dias/1812/10/20/pdfs/GMR-1812-29.pdf#page=5","Abrir facsímil")</f>
        <v>Abrir facsímil</v>
      </c>
      <c r="K7610" s="3" t="s">
        <v>23</v>
      </c>
    </row>
    <row r="7611" spans="1:11" ht="42" customHeight="1">
      <c r="A7611" s="2" t="s">
        <v>19038</v>
      </c>
      <c r="B7611" s="2" t="s">
        <v>19038</v>
      </c>
      <c r="C7611" s="2" t="s">
        <v>26</v>
      </c>
      <c r="D7611" s="2" t="s">
        <v>27</v>
      </c>
      <c r="E7611" s="4">
        <v>-32021</v>
      </c>
      <c r="F7611" s="3" t="s">
        <v>2236</v>
      </c>
      <c r="G7611" s="3" t="s">
        <v>2237</v>
      </c>
      <c r="H7611" s="2" t="s">
        <v>21</v>
      </c>
      <c r="I7611" s="2" t="s">
        <v>19039</v>
      </c>
      <c r="J7611" s="3" t="str">
        <f>HYPERLINK("https://www.boe.es/gazeta/dias/1812/04/29/pdfs/GMD-1812-120.pdf#page=4","Abrir facsímil")</f>
        <v>Abrir facsímil</v>
      </c>
      <c r="K7611" s="3" t="s">
        <v>23</v>
      </c>
    </row>
    <row r="7612" spans="1:11" ht="42" customHeight="1">
      <c r="A7612" s="2" t="s">
        <v>19040</v>
      </c>
      <c r="B7612" s="2" t="s">
        <v>19041</v>
      </c>
      <c r="C7612" s="2" t="s">
        <v>17</v>
      </c>
      <c r="D7612" s="2" t="s">
        <v>27</v>
      </c>
      <c r="E7612" s="4">
        <v>-32067</v>
      </c>
      <c r="F7612" s="3" t="s">
        <v>199</v>
      </c>
      <c r="G7612" s="3" t="s">
        <v>237</v>
      </c>
      <c r="H7612" s="2" t="s">
        <v>21</v>
      </c>
      <c r="I7612" s="2" t="s">
        <v>19042</v>
      </c>
      <c r="J7612" s="3" t="str">
        <f>HYPERLINK("https://www.boe.es/gazeta/dias/1812/03/14/pdfs/GRE-1812-33.pdf#page=8","Abrir facsímil")</f>
        <v>Abrir facsímil</v>
      </c>
      <c r="K7612" s="3" t="s">
        <v>23</v>
      </c>
    </row>
    <row r="7613" spans="1:11" ht="42" customHeight="1">
      <c r="A7613" s="2" t="s">
        <v>19043</v>
      </c>
      <c r="B7613" s="2" t="s">
        <v>19044</v>
      </c>
      <c r="C7613" s="2" t="s">
        <v>26</v>
      </c>
      <c r="D7613" s="2" t="s">
        <v>27</v>
      </c>
      <c r="E7613" s="4">
        <v>-32012</v>
      </c>
      <c r="F7613" s="3" t="s">
        <v>1090</v>
      </c>
      <c r="G7613" s="3" t="s">
        <v>45</v>
      </c>
      <c r="H7613" s="2" t="s">
        <v>21</v>
      </c>
      <c r="I7613" s="2" t="s">
        <v>19045</v>
      </c>
      <c r="J7613" s="3" t="str">
        <f>HYPERLINK("https://www.boe.es/gazeta/dias/1812/05/08/pdfs/GMD-1812-129.pdf#page=4","Abrir facsímil")</f>
        <v>Abrir facsímil</v>
      </c>
      <c r="K7613" s="3" t="s">
        <v>23</v>
      </c>
    </row>
    <row r="7614" spans="1:11" ht="42" customHeight="1">
      <c r="A7614" s="2" t="s">
        <v>19046</v>
      </c>
      <c r="B7614" s="2" t="s">
        <v>19047</v>
      </c>
      <c r="C7614" s="2" t="s">
        <v>26</v>
      </c>
      <c r="D7614" s="2" t="s">
        <v>27</v>
      </c>
      <c r="E7614" s="4">
        <v>-32004</v>
      </c>
      <c r="F7614" s="3" t="s">
        <v>5305</v>
      </c>
      <c r="G7614" s="3" t="s">
        <v>140</v>
      </c>
      <c r="H7614" s="2" t="s">
        <v>21</v>
      </c>
      <c r="I7614" s="2" t="s">
        <v>19048</v>
      </c>
      <c r="J7614" s="3" t="str">
        <f>HYPERLINK("https://www.boe.es/gazeta/dias/1812/05/16/pdfs/GMD-1812-137.pdf#page=2","Abrir facsímil")</f>
        <v>Abrir facsímil</v>
      </c>
      <c r="K7614" s="3" t="s">
        <v>23</v>
      </c>
    </row>
    <row r="7615" spans="1:11" ht="42" customHeight="1">
      <c r="A7615" s="2" t="s">
        <v>19049</v>
      </c>
      <c r="B7615" s="2" t="s">
        <v>19049</v>
      </c>
      <c r="C7615" s="2" t="s">
        <v>17</v>
      </c>
      <c r="D7615" s="2" t="s">
        <v>18</v>
      </c>
      <c r="E7615" s="4">
        <v>-32086</v>
      </c>
      <c r="F7615" s="3" t="s">
        <v>2067</v>
      </c>
      <c r="G7615" s="3" t="s">
        <v>404</v>
      </c>
      <c r="H7615" s="2" t="s">
        <v>21</v>
      </c>
      <c r="I7615" s="2" t="s">
        <v>19050</v>
      </c>
      <c r="J7615" s="3" t="str">
        <f>HYPERLINK("https://www.boe.es/gazeta/dias/1812/02/24/pdfs/GMD-1812-55.pdf#page=3","Abrir facsímil")</f>
        <v>Abrir facsímil</v>
      </c>
      <c r="K7615" s="3" t="s">
        <v>23</v>
      </c>
    </row>
    <row r="7616" spans="1:11" ht="42" customHeight="1">
      <c r="A7616" s="2" t="s">
        <v>19051</v>
      </c>
      <c r="B7616" s="2" t="s">
        <v>19051</v>
      </c>
      <c r="C7616" s="2" t="s">
        <v>17</v>
      </c>
      <c r="D7616" s="2" t="s">
        <v>27</v>
      </c>
      <c r="E7616" s="4">
        <v>-32127</v>
      </c>
      <c r="F7616" s="3" t="s">
        <v>88</v>
      </c>
      <c r="G7616" s="3" t="s">
        <v>1154</v>
      </c>
      <c r="H7616" s="2" t="s">
        <v>21</v>
      </c>
      <c r="I7616" s="2" t="s">
        <v>19052</v>
      </c>
      <c r="J7616" s="3" t="str">
        <f>HYPERLINK("https://www.boe.es/gazeta/dias/1812/01/14/pdfs/GEI-1812-6.pdf#page=7","Abrir facsímil")</f>
        <v>Abrir facsímil</v>
      </c>
      <c r="K7616" s="3" t="s">
        <v>23</v>
      </c>
    </row>
    <row r="7617" spans="1:11" ht="42" customHeight="1">
      <c r="A7617" s="2" t="s">
        <v>19053</v>
      </c>
      <c r="B7617" s="2" t="s">
        <v>19053</v>
      </c>
      <c r="C7617" s="2" t="s">
        <v>17</v>
      </c>
      <c r="D7617" s="2" t="s">
        <v>27</v>
      </c>
      <c r="E7617" s="4">
        <v>-32127</v>
      </c>
      <c r="F7617" s="3" t="s">
        <v>88</v>
      </c>
      <c r="G7617" s="3" t="s">
        <v>1154</v>
      </c>
      <c r="H7617" s="2" t="s">
        <v>21</v>
      </c>
      <c r="I7617" s="2" t="s">
        <v>19054</v>
      </c>
      <c r="J7617" s="3" t="str">
        <f>HYPERLINK("https://www.boe.es/gazeta/dias/1812/01/14/pdfs/GEI-1812-6.pdf#page=7","Abrir facsímil")</f>
        <v>Abrir facsímil</v>
      </c>
      <c r="K7617" s="3" t="s">
        <v>23</v>
      </c>
    </row>
    <row r="7618" spans="1:11" ht="42" customHeight="1">
      <c r="A7618" s="2" t="s">
        <v>19053</v>
      </c>
      <c r="B7618" s="2" t="s">
        <v>19053</v>
      </c>
      <c r="C7618" s="2" t="s">
        <v>17</v>
      </c>
      <c r="D7618" s="2" t="s">
        <v>18</v>
      </c>
      <c r="E7618" s="4">
        <v>-32089</v>
      </c>
      <c r="F7618" s="3" t="s">
        <v>1918</v>
      </c>
      <c r="G7618" s="3" t="s">
        <v>1919</v>
      </c>
      <c r="H7618" s="2" t="s">
        <v>21</v>
      </c>
      <c r="I7618" s="2" t="s">
        <v>19055</v>
      </c>
      <c r="J7618" s="3" t="str">
        <f>HYPERLINK("https://www.boe.es/gazeta/dias/1812/02/21/pdfs/GMD-1812-52.pdf#page=3","Abrir facsímil")</f>
        <v>Abrir facsímil</v>
      </c>
      <c r="K7618" s="3" t="s">
        <v>23</v>
      </c>
    </row>
    <row r="7619" spans="1:11" ht="42" customHeight="1">
      <c r="A7619" s="2" t="s">
        <v>19056</v>
      </c>
      <c r="B7619" s="2" t="s">
        <v>19056</v>
      </c>
      <c r="C7619" s="2" t="s">
        <v>17</v>
      </c>
      <c r="D7619" s="2" t="s">
        <v>18</v>
      </c>
      <c r="E7619" s="4">
        <v>-32127</v>
      </c>
      <c r="F7619" s="3" t="s">
        <v>88</v>
      </c>
      <c r="G7619" s="3" t="s">
        <v>1154</v>
      </c>
      <c r="H7619" s="2" t="s">
        <v>21</v>
      </c>
      <c r="I7619" s="2" t="s">
        <v>19057</v>
      </c>
      <c r="J7619" s="3" t="str">
        <f>HYPERLINK("https://www.boe.es/gazeta/dias/1812/01/14/pdfs/GEI-1812-6.pdf#page=7","Abrir facsímil")</f>
        <v>Abrir facsímil</v>
      </c>
      <c r="K7619" s="3" t="s">
        <v>23</v>
      </c>
    </row>
    <row r="7620" spans="1:11" ht="42" customHeight="1">
      <c r="A7620" s="2" t="s">
        <v>19056</v>
      </c>
      <c r="B7620" s="2" t="s">
        <v>19056</v>
      </c>
      <c r="C7620" s="2" t="s">
        <v>17</v>
      </c>
      <c r="D7620" s="2" t="s">
        <v>27</v>
      </c>
      <c r="E7620" s="4">
        <v>-32089</v>
      </c>
      <c r="F7620" s="3" t="s">
        <v>1918</v>
      </c>
      <c r="G7620" s="3" t="s">
        <v>1919</v>
      </c>
      <c r="H7620" s="2" t="s">
        <v>21</v>
      </c>
      <c r="I7620" s="2" t="s">
        <v>19058</v>
      </c>
      <c r="J7620" s="3" t="str">
        <f>HYPERLINK("https://www.boe.es/gazeta/dias/1812/02/21/pdfs/GMD-1812-52.pdf#page=3","Abrir facsímil")</f>
        <v>Abrir facsímil</v>
      </c>
      <c r="K7620" s="3" t="s">
        <v>23</v>
      </c>
    </row>
    <row r="7621" spans="1:11" ht="42" customHeight="1">
      <c r="A7621" s="2" t="s">
        <v>19059</v>
      </c>
      <c r="B7621" s="2" t="s">
        <v>19059</v>
      </c>
      <c r="C7621" s="2" t="s">
        <v>17</v>
      </c>
      <c r="D7621" s="2" t="s">
        <v>18</v>
      </c>
      <c r="E7621" s="4">
        <v>-31878</v>
      </c>
      <c r="F7621" s="3" t="s">
        <v>2891</v>
      </c>
      <c r="G7621" s="3" t="s">
        <v>4308</v>
      </c>
      <c r="H7621" s="2" t="s">
        <v>21</v>
      </c>
      <c r="I7621" s="2" t="s">
        <v>19060</v>
      </c>
      <c r="J7621" s="3" t="str">
        <f>HYPERLINK("https://www.boe.es/gazeta/dias/1812/09/19/pdfs/GRE-1812-127.pdf#page=8","Abrir facsímil")</f>
        <v>Abrir facsímil</v>
      </c>
      <c r="K7621" s="3" t="s">
        <v>23</v>
      </c>
    </row>
    <row r="7622" spans="1:11" ht="42" customHeight="1">
      <c r="A7622" s="2" t="s">
        <v>19059</v>
      </c>
      <c r="B7622" s="2" t="s">
        <v>19059</v>
      </c>
      <c r="C7622" s="2" t="s">
        <v>17</v>
      </c>
      <c r="D7622" s="2" t="s">
        <v>27</v>
      </c>
      <c r="E7622" s="4">
        <v>-31805</v>
      </c>
      <c r="F7622" s="3" t="s">
        <v>4346</v>
      </c>
      <c r="G7622" s="3" t="s">
        <v>45</v>
      </c>
      <c r="H7622" s="2" t="s">
        <v>21</v>
      </c>
      <c r="I7622" s="2" t="s">
        <v>19061</v>
      </c>
      <c r="J7622" s="3" t="str">
        <f>HYPERLINK("https://www.boe.es/gazeta/dias/1812/12/01/pdfs/GRE-1812-159.pdf#page=4","Abrir facsímil")</f>
        <v>Abrir facsímil</v>
      </c>
      <c r="K7622" s="3" t="s">
        <v>23</v>
      </c>
    </row>
    <row r="7623" spans="1:11" ht="42" customHeight="1">
      <c r="A7623" s="2" t="s">
        <v>19062</v>
      </c>
      <c r="B7623" s="2" t="s">
        <v>19062</v>
      </c>
      <c r="C7623" s="2" t="s">
        <v>17</v>
      </c>
      <c r="D7623" s="2" t="s">
        <v>18</v>
      </c>
      <c r="E7623" s="4">
        <v>-31938</v>
      </c>
      <c r="F7623" s="3" t="s">
        <v>370</v>
      </c>
      <c r="G7623" s="3" t="s">
        <v>5298</v>
      </c>
      <c r="H7623" s="2" t="s">
        <v>21</v>
      </c>
      <c r="I7623" s="2" t="s">
        <v>19063</v>
      </c>
      <c r="J7623" s="3" t="str">
        <f>HYPERLINK("https://www.boe.es/gazeta/dias/1812/07/21/pdfs/GRE-1812-91.pdf#page=1","Abrir facsímil")</f>
        <v>Abrir facsímil</v>
      </c>
      <c r="K7623" s="3" t="s">
        <v>23</v>
      </c>
    </row>
    <row r="7624" spans="1:11" ht="42" customHeight="1">
      <c r="A7624" s="2" t="s">
        <v>19064</v>
      </c>
      <c r="B7624" s="2" t="s">
        <v>19064</v>
      </c>
      <c r="C7624" s="2" t="s">
        <v>17</v>
      </c>
      <c r="D7624" s="2" t="s">
        <v>27</v>
      </c>
      <c r="E7624" s="4">
        <v>-31789</v>
      </c>
      <c r="F7624" s="3" t="s">
        <v>873</v>
      </c>
      <c r="G7624" s="3" t="s">
        <v>1883</v>
      </c>
      <c r="H7624" s="2" t="s">
        <v>21</v>
      </c>
      <c r="I7624" s="2" t="s">
        <v>19065</v>
      </c>
      <c r="J7624" s="3" t="str">
        <f>HYPERLINK("https://www.boe.es/gazeta/dias/1812/12/17/pdfs/GMD-1812-240.pdf#page=2","Abrir facsímil")</f>
        <v>Abrir facsímil</v>
      </c>
      <c r="K7624" s="3" t="s">
        <v>23</v>
      </c>
    </row>
    <row r="7625" spans="1:11" ht="42" customHeight="1">
      <c r="A7625" s="2" t="s">
        <v>19066</v>
      </c>
      <c r="B7625" s="2" t="s">
        <v>19066</v>
      </c>
      <c r="C7625" s="2" t="s">
        <v>26</v>
      </c>
      <c r="D7625" s="2" t="s">
        <v>27</v>
      </c>
      <c r="E7625" s="4">
        <v>-31798</v>
      </c>
      <c r="F7625" s="3" t="s">
        <v>1849</v>
      </c>
      <c r="G7625" s="3" t="s">
        <v>1850</v>
      </c>
      <c r="H7625" s="2" t="s">
        <v>21</v>
      </c>
      <c r="I7625" s="2" t="s">
        <v>19067</v>
      </c>
      <c r="J7625" s="3" t="str">
        <f>HYPERLINK("https://www.boe.es/gazeta/dias/1812/12/08/pdfs/GMD-1812-231.pdf#page=3","Abrir facsímil")</f>
        <v>Abrir facsímil</v>
      </c>
      <c r="K7625" s="3" t="s">
        <v>23</v>
      </c>
    </row>
    <row r="7626" spans="1:11" ht="42" customHeight="1">
      <c r="A7626" s="2" t="s">
        <v>19068</v>
      </c>
      <c r="B7626" s="2" t="s">
        <v>19069</v>
      </c>
      <c r="C7626" s="2" t="s">
        <v>17</v>
      </c>
      <c r="D7626" s="2" t="s">
        <v>18</v>
      </c>
      <c r="E7626" s="4">
        <v>-31992</v>
      </c>
      <c r="F7626" s="3" t="s">
        <v>1292</v>
      </c>
      <c r="G7626" s="3" t="s">
        <v>678</v>
      </c>
      <c r="H7626" s="2" t="s">
        <v>21</v>
      </c>
      <c r="I7626" s="2" t="s">
        <v>19070</v>
      </c>
      <c r="J7626" s="3" t="str">
        <f>HYPERLINK("https://www.boe.es/gazeta/dias/1812/05/28/pdfs/GRE-1812-66.pdf#page=6","Abrir facsímil")</f>
        <v>Abrir facsímil</v>
      </c>
      <c r="K7626" s="3" t="s">
        <v>23</v>
      </c>
    </row>
    <row r="7627" spans="1:11" ht="42" customHeight="1">
      <c r="A7627" s="2" t="s">
        <v>19071</v>
      </c>
      <c r="B7627" s="2" t="s">
        <v>19072</v>
      </c>
      <c r="C7627" s="2" t="s">
        <v>26</v>
      </c>
      <c r="D7627" s="2" t="s">
        <v>27</v>
      </c>
      <c r="E7627" s="4">
        <v>-32109</v>
      </c>
      <c r="F7627" s="3" t="s">
        <v>62</v>
      </c>
      <c r="G7627" s="3" t="s">
        <v>106</v>
      </c>
      <c r="H7627" s="2" t="s">
        <v>21</v>
      </c>
      <c r="I7627" s="2" t="s">
        <v>19073</v>
      </c>
      <c r="J7627" s="3" t="str">
        <f>HYPERLINK("https://www.boe.es/gazeta/dias/1812/02/01/pdfs/GRE-1812-14.pdf#page=11","Abrir facsímil")</f>
        <v>Abrir facsímil</v>
      </c>
      <c r="K7627" s="3" t="s">
        <v>23</v>
      </c>
    </row>
    <row r="7628" spans="1:11" ht="42" customHeight="1">
      <c r="A7628" s="2" t="s">
        <v>19074</v>
      </c>
      <c r="B7628" s="2" t="s">
        <v>19074</v>
      </c>
      <c r="C7628" s="2" t="s">
        <v>17</v>
      </c>
      <c r="D7628" s="2" t="s">
        <v>18</v>
      </c>
      <c r="E7628" s="4">
        <v>-31843</v>
      </c>
      <c r="F7628" s="3" t="s">
        <v>3493</v>
      </c>
      <c r="G7628" s="3" t="s">
        <v>1980</v>
      </c>
      <c r="H7628" s="2" t="s">
        <v>21</v>
      </c>
      <c r="I7628" s="2" t="s">
        <v>19075</v>
      </c>
      <c r="J7628" s="3" t="str">
        <f>HYPERLINK("https://www.boe.es/gazeta/dias/1812/10/24/pdfs/GMR-1812-31.pdf#page=5","Abrir facsímil")</f>
        <v>Abrir facsímil</v>
      </c>
      <c r="K7628" s="3" t="s">
        <v>23</v>
      </c>
    </row>
    <row r="7629" spans="1:11" ht="42" customHeight="1">
      <c r="A7629" s="2" t="s">
        <v>19076</v>
      </c>
      <c r="B7629" s="2" t="s">
        <v>19076</v>
      </c>
      <c r="C7629" s="2" t="s">
        <v>17</v>
      </c>
      <c r="D7629" s="2" t="s">
        <v>18</v>
      </c>
      <c r="E7629" s="4">
        <v>-31833</v>
      </c>
      <c r="F7629" s="3" t="s">
        <v>267</v>
      </c>
      <c r="G7629" s="3" t="s">
        <v>14416</v>
      </c>
      <c r="H7629" s="2" t="s">
        <v>21</v>
      </c>
      <c r="I7629" s="2" t="s">
        <v>19077</v>
      </c>
      <c r="J7629" s="3" t="str">
        <f>HYPERLINK("https://www.boe.es/gazeta/dias/1812/11/03/pdfs/GRE-1812-147.pdf#page=3","Abrir facsímil")</f>
        <v>Abrir facsímil</v>
      </c>
      <c r="K7629" s="3" t="s">
        <v>23</v>
      </c>
    </row>
    <row r="7630" spans="1:11" ht="42" customHeight="1">
      <c r="A7630" s="2" t="s">
        <v>19078</v>
      </c>
      <c r="B7630" s="2" t="s">
        <v>19078</v>
      </c>
      <c r="C7630" s="2" t="s">
        <v>26</v>
      </c>
      <c r="D7630" s="2" t="s">
        <v>27</v>
      </c>
      <c r="E7630" s="4">
        <v>-31945</v>
      </c>
      <c r="F7630" s="3" t="s">
        <v>1485</v>
      </c>
      <c r="G7630" s="3" t="s">
        <v>1486</v>
      </c>
      <c r="H7630" s="2" t="s">
        <v>21</v>
      </c>
      <c r="I7630" s="2" t="s">
        <v>19079</v>
      </c>
      <c r="J7630" s="3" t="str">
        <f>HYPERLINK("https://www.boe.es/gazeta/dias/1812/07/14/pdfs/GRE-1812-88.pdf#page=1","Abrir facsímil")</f>
        <v>Abrir facsímil</v>
      </c>
      <c r="K7630" s="3" t="s">
        <v>23</v>
      </c>
    </row>
    <row r="7631" spans="1:11" ht="42" customHeight="1">
      <c r="A7631" s="2" t="s">
        <v>19080</v>
      </c>
      <c r="B7631" s="2" t="s">
        <v>19081</v>
      </c>
      <c r="C7631" s="2" t="s">
        <v>17</v>
      </c>
      <c r="D7631" s="2" t="s">
        <v>18</v>
      </c>
      <c r="E7631" s="4">
        <v>-31822</v>
      </c>
      <c r="F7631" s="3" t="s">
        <v>541</v>
      </c>
      <c r="G7631" s="3" t="s">
        <v>214</v>
      </c>
      <c r="H7631" s="2" t="s">
        <v>21</v>
      </c>
      <c r="I7631" s="2" t="s">
        <v>19082</v>
      </c>
      <c r="J7631" s="3" t="str">
        <f>HYPERLINK("https://www.boe.es/gazeta/dias/1812/11/14/pdfs/GRE-1812-152.pdf#page=3","Abrir facsímil")</f>
        <v>Abrir facsímil</v>
      </c>
      <c r="K7631" s="3" t="s">
        <v>23</v>
      </c>
    </row>
    <row r="7632" spans="1:11" ht="42" customHeight="1">
      <c r="A7632" s="2" t="s">
        <v>19083</v>
      </c>
      <c r="B7632" s="2" t="s">
        <v>19084</v>
      </c>
      <c r="C7632" s="2" t="s">
        <v>17</v>
      </c>
      <c r="D7632" s="2" t="s">
        <v>18</v>
      </c>
      <c r="E7632" s="4">
        <v>-31819</v>
      </c>
      <c r="F7632" s="3" t="s">
        <v>1770</v>
      </c>
      <c r="G7632" s="3" t="s">
        <v>1771</v>
      </c>
      <c r="H7632" s="2" t="s">
        <v>21</v>
      </c>
      <c r="I7632" s="2" t="s">
        <v>19085</v>
      </c>
      <c r="J7632" s="3" t="str">
        <f>HYPERLINK("https://www.boe.es/gazeta/dias/1812/11/17/pdfs/GRE-1812-153.pdf#page=4","Abrir facsímil")</f>
        <v>Abrir facsímil</v>
      </c>
      <c r="K7632" s="3" t="s">
        <v>23</v>
      </c>
    </row>
    <row r="7633" spans="1:11" ht="42" customHeight="1">
      <c r="A7633" s="2" t="s">
        <v>19086</v>
      </c>
      <c r="B7633" s="2" t="s">
        <v>19087</v>
      </c>
      <c r="C7633" s="2" t="s">
        <v>186</v>
      </c>
      <c r="D7633" s="2" t="s">
        <v>27</v>
      </c>
      <c r="E7633" s="4">
        <v>-31945</v>
      </c>
      <c r="F7633" s="3" t="s">
        <v>1485</v>
      </c>
      <c r="G7633" s="3" t="s">
        <v>159</v>
      </c>
      <c r="H7633" s="2" t="s">
        <v>21</v>
      </c>
      <c r="I7633" s="2" t="s">
        <v>19088</v>
      </c>
      <c r="J7633" s="3" t="str">
        <f>HYPERLINK("https://www.boe.es/gazeta/dias/1812/07/14/pdfs/GRE-1812-88.pdf#page=5","Abrir facsímil")</f>
        <v>Abrir facsímil</v>
      </c>
      <c r="K7633" s="3" t="s">
        <v>23</v>
      </c>
    </row>
    <row r="7634" spans="1:11" ht="42" customHeight="1">
      <c r="A7634" s="2" t="s">
        <v>19089</v>
      </c>
      <c r="B7634" s="2" t="s">
        <v>19090</v>
      </c>
      <c r="C7634" s="2" t="s">
        <v>17</v>
      </c>
      <c r="D7634" s="2" t="s">
        <v>18</v>
      </c>
      <c r="E7634" s="4">
        <v>-32018</v>
      </c>
      <c r="F7634" s="3" t="s">
        <v>365</v>
      </c>
      <c r="G7634" s="3" t="s">
        <v>392</v>
      </c>
      <c r="H7634" s="2" t="s">
        <v>21</v>
      </c>
      <c r="I7634" s="2" t="s">
        <v>19091</v>
      </c>
      <c r="J7634" s="3" t="str">
        <f>HYPERLINK("https://www.boe.es/gazeta/dias/1812/05/02/pdfs/GRE-1812-55.pdf#page=2","Abrir facsímil")</f>
        <v>Abrir facsímil</v>
      </c>
      <c r="K7634" s="3" t="s">
        <v>23</v>
      </c>
    </row>
    <row r="7635" spans="1:11" ht="42" customHeight="1">
      <c r="A7635" s="2" t="s">
        <v>19092</v>
      </c>
      <c r="B7635" s="2" t="s">
        <v>19093</v>
      </c>
      <c r="C7635" s="2" t="s">
        <v>26</v>
      </c>
      <c r="D7635" s="2" t="s">
        <v>275</v>
      </c>
      <c r="E7635" s="4">
        <v>-32114</v>
      </c>
      <c r="F7635" s="3" t="s">
        <v>480</v>
      </c>
      <c r="G7635" s="3" t="s">
        <v>481</v>
      </c>
      <c r="H7635" s="2" t="s">
        <v>21</v>
      </c>
      <c r="I7635" s="2" t="s">
        <v>19094</v>
      </c>
      <c r="J7635" s="3" t="str">
        <f>HYPERLINK("https://www.boe.es/gazeta/dias/1812/01/27/pdfs/GMD-1812-27.pdf#page=4","Abrir facsímil")</f>
        <v>Abrir facsímil</v>
      </c>
      <c r="K7635" s="3" t="s">
        <v>23</v>
      </c>
    </row>
    <row r="7636" spans="1:11" ht="42" customHeight="1">
      <c r="A7636" s="2" t="s">
        <v>19095</v>
      </c>
      <c r="B7636" s="2" t="s">
        <v>19095</v>
      </c>
      <c r="C7636" s="2" t="s">
        <v>186</v>
      </c>
      <c r="D7636" s="2" t="s">
        <v>27</v>
      </c>
      <c r="E7636" s="4">
        <v>-32093</v>
      </c>
      <c r="F7636" s="3" t="s">
        <v>4503</v>
      </c>
      <c r="G7636" s="3" t="s">
        <v>217</v>
      </c>
      <c r="H7636" s="2" t="s">
        <v>21</v>
      </c>
      <c r="I7636" s="2" t="s">
        <v>19096</v>
      </c>
      <c r="J7636" s="3" t="str">
        <f>HYPERLINK("https://www.boe.es/gazeta/dias/1812/02/17/pdfs/GMD-1812-48.pdf#page=1","Abrir facsímil")</f>
        <v>Abrir facsímil</v>
      </c>
      <c r="K7636" s="3" t="s">
        <v>23</v>
      </c>
    </row>
    <row r="7637" spans="1:11" ht="42" customHeight="1">
      <c r="A7637" s="2" t="s">
        <v>19097</v>
      </c>
      <c r="B7637" s="2" t="s">
        <v>19098</v>
      </c>
      <c r="C7637" s="2" t="s">
        <v>26</v>
      </c>
      <c r="D7637" s="2" t="s">
        <v>27</v>
      </c>
      <c r="E7637" s="4">
        <v>-31859</v>
      </c>
      <c r="F7637" s="3" t="s">
        <v>158</v>
      </c>
      <c r="G7637" s="3" t="s">
        <v>159</v>
      </c>
      <c r="H7637" s="2" t="s">
        <v>21</v>
      </c>
      <c r="I7637" s="2" t="s">
        <v>19099</v>
      </c>
      <c r="J7637" s="3" t="str">
        <f>HYPERLINK("https://www.boe.es/gazeta/dias/1812/10/08/pdfs/GMR-1812-24.pdf#page=9","Abrir facsímil")</f>
        <v>Abrir facsímil</v>
      </c>
      <c r="K7637" s="3" t="s">
        <v>23</v>
      </c>
    </row>
    <row r="7638" spans="1:11" ht="42" customHeight="1">
      <c r="A7638" s="2" t="s">
        <v>19100</v>
      </c>
      <c r="B7638" s="2" t="s">
        <v>19101</v>
      </c>
      <c r="C7638" s="2" t="s">
        <v>26</v>
      </c>
      <c r="D7638" s="2" t="s">
        <v>27</v>
      </c>
      <c r="E7638" s="4">
        <v>-32034</v>
      </c>
      <c r="F7638" s="3" t="s">
        <v>28</v>
      </c>
      <c r="G7638" s="3" t="s">
        <v>794</v>
      </c>
      <c r="H7638" s="2" t="s">
        <v>21</v>
      </c>
      <c r="I7638" s="2" t="s">
        <v>19102</v>
      </c>
      <c r="J7638" s="3" t="str">
        <f>HYPERLINK("https://www.boe.es/gazeta/dias/1812/04/16/pdfs/GMD-1812-107.pdf#page=7","Abrir facsímil")</f>
        <v>Abrir facsímil</v>
      </c>
      <c r="K7638" s="3" t="s">
        <v>23</v>
      </c>
    </row>
    <row r="7639" spans="1:11" ht="42" customHeight="1">
      <c r="A7639" s="2" t="s">
        <v>19103</v>
      </c>
      <c r="B7639" s="2" t="s">
        <v>19103</v>
      </c>
      <c r="C7639" s="2" t="s">
        <v>17</v>
      </c>
      <c r="D7639" s="2" t="s">
        <v>27</v>
      </c>
      <c r="E7639" s="4">
        <v>-32097</v>
      </c>
      <c r="F7639" s="3" t="s">
        <v>3797</v>
      </c>
      <c r="G7639" s="3" t="s">
        <v>3798</v>
      </c>
      <c r="H7639" s="2" t="s">
        <v>21</v>
      </c>
      <c r="I7639" s="2" t="s">
        <v>19104</v>
      </c>
      <c r="J7639" s="3" t="str">
        <f>HYPERLINK("https://www.boe.es/gazeta/dias/1812/02/13/pdfs/GRE-1812-19.pdf#page=3","Abrir facsímil")</f>
        <v>Abrir facsímil</v>
      </c>
      <c r="K7639" s="3" t="s">
        <v>23</v>
      </c>
    </row>
    <row r="7640" spans="1:11" ht="42" customHeight="1">
      <c r="A7640" s="2" t="s">
        <v>19105</v>
      </c>
      <c r="B7640" s="2" t="s">
        <v>19106</v>
      </c>
      <c r="C7640" s="2" t="s">
        <v>26</v>
      </c>
      <c r="D7640" s="2" t="s">
        <v>27</v>
      </c>
      <c r="E7640" s="4">
        <v>-31940</v>
      </c>
      <c r="F7640" s="3" t="s">
        <v>187</v>
      </c>
      <c r="G7640" s="3" t="s">
        <v>404</v>
      </c>
      <c r="H7640" s="2" t="s">
        <v>21</v>
      </c>
      <c r="I7640" s="2" t="s">
        <v>19107</v>
      </c>
      <c r="J7640" s="3" t="str">
        <f>HYPERLINK("https://www.boe.es/gazeta/dias/1812/07/19/pdfs/GMD-1812-201.pdf#page=3","Abrir facsímil")</f>
        <v>Abrir facsímil</v>
      </c>
      <c r="K7640" s="3" t="s">
        <v>23</v>
      </c>
    </row>
    <row r="7641" spans="1:11" ht="42" customHeight="1">
      <c r="A7641" s="2" t="s">
        <v>19108</v>
      </c>
      <c r="B7641" s="2" t="s">
        <v>19109</v>
      </c>
      <c r="C7641" s="2" t="s">
        <v>105</v>
      </c>
      <c r="D7641" s="2" t="s">
        <v>27</v>
      </c>
      <c r="E7641" s="4">
        <v>-32060</v>
      </c>
      <c r="F7641" s="3" t="s">
        <v>399</v>
      </c>
      <c r="G7641" s="3" t="s">
        <v>136</v>
      </c>
      <c r="H7641" s="2" t="s">
        <v>21</v>
      </c>
      <c r="I7641" s="2" t="s">
        <v>19110</v>
      </c>
      <c r="J7641" s="3" t="str">
        <f>HYPERLINK("https://www.boe.es/gazeta/dias/1812/03/21/pdfs/GMD-1812-81.pdf#page=4","Abrir facsímil")</f>
        <v>Abrir facsímil</v>
      </c>
      <c r="K7641" s="3" t="s">
        <v>23</v>
      </c>
    </row>
    <row r="7642" spans="1:11" ht="42" customHeight="1">
      <c r="A7642" s="2" t="s">
        <v>19111</v>
      </c>
      <c r="B7642" s="2" t="s">
        <v>19112</v>
      </c>
      <c r="C7642" s="2" t="s">
        <v>105</v>
      </c>
      <c r="D7642" s="2" t="s">
        <v>27</v>
      </c>
      <c r="E7642" s="4">
        <v>-32010</v>
      </c>
      <c r="F7642" s="3" t="s">
        <v>243</v>
      </c>
      <c r="G7642" s="3" t="s">
        <v>620</v>
      </c>
      <c r="H7642" s="2" t="s">
        <v>21</v>
      </c>
      <c r="I7642" s="2" t="s">
        <v>19113</v>
      </c>
      <c r="J7642" s="3" t="str">
        <f>HYPERLINK("https://www.boe.es/gazeta/dias/1812/05/10/pdfs/GMD-1812-131.pdf#page=2","Abrir facsímil")</f>
        <v>Abrir facsímil</v>
      </c>
      <c r="K7642" s="3" t="s">
        <v>23</v>
      </c>
    </row>
    <row r="7643" spans="1:11" ht="42" customHeight="1">
      <c r="A7643" s="2" t="s">
        <v>19114</v>
      </c>
      <c r="B7643" s="2" t="s">
        <v>19115</v>
      </c>
      <c r="C7643" s="2" t="s">
        <v>17</v>
      </c>
      <c r="D7643" s="2" t="s">
        <v>27</v>
      </c>
      <c r="E7643" s="4">
        <v>-32118</v>
      </c>
      <c r="F7643" s="3" t="s">
        <v>964</v>
      </c>
      <c r="G7643" s="3" t="s">
        <v>965</v>
      </c>
      <c r="H7643" s="2" t="s">
        <v>21</v>
      </c>
      <c r="I7643" s="2" t="s">
        <v>19116</v>
      </c>
      <c r="J7643" s="3" t="str">
        <f>HYPERLINK("https://www.boe.es/gazeta/dias/1812/01/23/pdfs/GEI-H-1812-10.pdf#page=4","Abrir facsímil")</f>
        <v>Abrir facsímil</v>
      </c>
      <c r="K7643" s="3" t="s">
        <v>23</v>
      </c>
    </row>
    <row r="7644" spans="1:11" ht="42" customHeight="1">
      <c r="A7644" s="2" t="s">
        <v>19117</v>
      </c>
      <c r="B7644" s="2" t="s">
        <v>19118</v>
      </c>
      <c r="C7644" s="2" t="s">
        <v>26</v>
      </c>
      <c r="D7644" s="2" t="s">
        <v>27</v>
      </c>
      <c r="E7644" s="4">
        <v>-32137</v>
      </c>
      <c r="F7644" s="3" t="s">
        <v>355</v>
      </c>
      <c r="G7644" s="3" t="s">
        <v>117</v>
      </c>
      <c r="H7644" s="2" t="s">
        <v>21</v>
      </c>
      <c r="I7644" s="2" t="s">
        <v>19119</v>
      </c>
      <c r="J7644" s="3" t="str">
        <f>HYPERLINK("https://www.boe.es/gazeta/dias/1812/01/04/pdfs/GEI-1812-2.pdf#page=8","Abrir facsímil")</f>
        <v>Abrir facsímil</v>
      </c>
      <c r="K7644" s="3" t="s">
        <v>23</v>
      </c>
    </row>
    <row r="7645" spans="1:11" ht="42" customHeight="1">
      <c r="A7645" s="2" t="s">
        <v>19120</v>
      </c>
      <c r="B7645" s="2" t="s">
        <v>19121</v>
      </c>
      <c r="C7645" s="2" t="s">
        <v>26</v>
      </c>
      <c r="D7645" s="2" t="s">
        <v>27</v>
      </c>
      <c r="E7645" s="4">
        <v>-32100</v>
      </c>
      <c r="F7645" s="3" t="s">
        <v>492</v>
      </c>
      <c r="G7645" s="3" t="s">
        <v>493</v>
      </c>
      <c r="H7645" s="2" t="s">
        <v>21</v>
      </c>
      <c r="I7645" s="2" t="s">
        <v>19122</v>
      </c>
      <c r="J7645" s="3" t="str">
        <f>HYPERLINK("https://www.boe.es/gazeta/dias/1812/02/10/pdfs/GRE-1812-31.pdf#page=8","Abrir facsímil")</f>
        <v>Abrir facsímil</v>
      </c>
      <c r="K7645" s="3" t="s">
        <v>23</v>
      </c>
    </row>
    <row r="7646" spans="1:11" ht="42" customHeight="1">
      <c r="A7646" s="2" t="s">
        <v>19120</v>
      </c>
      <c r="B7646" s="2" t="s">
        <v>19121</v>
      </c>
      <c r="C7646" s="2" t="s">
        <v>26</v>
      </c>
      <c r="D7646" s="2" t="s">
        <v>27</v>
      </c>
      <c r="E7646" s="4">
        <v>-32071</v>
      </c>
      <c r="F7646" s="3" t="s">
        <v>492</v>
      </c>
      <c r="G7646" s="3" t="s">
        <v>493</v>
      </c>
      <c r="H7646" s="2" t="s">
        <v>21</v>
      </c>
      <c r="I7646" s="2" t="s">
        <v>19122</v>
      </c>
      <c r="J7646" s="3" t="str">
        <f>HYPERLINK("https://www.boe.es/gazeta/dias/1812/03/10/pdfs/GRE-1812-31.pdf#page=8","Abrir facsímil")</f>
        <v>Abrir facsímil</v>
      </c>
      <c r="K7646" s="3" t="s">
        <v>23</v>
      </c>
    </row>
    <row r="7647" spans="1:11" ht="42" customHeight="1">
      <c r="A7647" s="2" t="s">
        <v>19123</v>
      </c>
      <c r="B7647" s="2" t="s">
        <v>19124</v>
      </c>
      <c r="C7647" s="2" t="s">
        <v>26</v>
      </c>
      <c r="D7647" s="2" t="s">
        <v>27</v>
      </c>
      <c r="E7647" s="4">
        <v>-32034</v>
      </c>
      <c r="F7647" s="3" t="s">
        <v>28</v>
      </c>
      <c r="G7647" s="3" t="s">
        <v>45</v>
      </c>
      <c r="H7647" s="2" t="s">
        <v>21</v>
      </c>
      <c r="I7647" s="2" t="s">
        <v>19125</v>
      </c>
      <c r="J7647" s="3" t="str">
        <f>HYPERLINK("https://www.boe.es/gazeta/dias/1812/04/16/pdfs/GMD-1812-107.pdf#page=5","Abrir facsímil")</f>
        <v>Abrir facsímil</v>
      </c>
      <c r="K7647" s="3" t="s">
        <v>23</v>
      </c>
    </row>
    <row r="7648" spans="1:11" ht="42" customHeight="1">
      <c r="A7648" s="2" t="s">
        <v>19126</v>
      </c>
      <c r="B7648" s="2" t="s">
        <v>19127</v>
      </c>
      <c r="C7648" s="2" t="s">
        <v>26</v>
      </c>
      <c r="D7648" s="2" t="s">
        <v>27</v>
      </c>
      <c r="E7648" s="4">
        <v>-31938</v>
      </c>
      <c r="F7648" s="3" t="s">
        <v>324</v>
      </c>
      <c r="G7648" s="3" t="s">
        <v>404</v>
      </c>
      <c r="H7648" s="2" t="s">
        <v>21</v>
      </c>
      <c r="I7648" s="2" t="s">
        <v>19128</v>
      </c>
      <c r="J7648" s="3" t="str">
        <f>HYPERLINK("https://www.boe.es/gazeta/dias/1812/07/21/pdfs/GMD-1812-203.pdf#page=4","Abrir facsímil")</f>
        <v>Abrir facsímil</v>
      </c>
      <c r="K7648" s="3" t="s">
        <v>23</v>
      </c>
    </row>
    <row r="7649" spans="1:11" ht="42" customHeight="1">
      <c r="A7649" s="2" t="s">
        <v>19129</v>
      </c>
      <c r="B7649" s="2" t="s">
        <v>19130</v>
      </c>
      <c r="C7649" s="2" t="s">
        <v>17</v>
      </c>
      <c r="D7649" s="2" t="s">
        <v>27</v>
      </c>
      <c r="E7649" s="4">
        <v>-32139</v>
      </c>
      <c r="F7649" s="3" t="s">
        <v>288</v>
      </c>
      <c r="G7649" s="3" t="s">
        <v>130</v>
      </c>
      <c r="H7649" s="2" t="s">
        <v>21</v>
      </c>
      <c r="I7649" s="2" t="s">
        <v>19131</v>
      </c>
      <c r="J7649" s="3" t="str">
        <f>HYPERLINK("https://www.boe.es/gazeta/dias/1812/01/02/pdfs/GMD-1812-2.pdf#page=4","Abrir facsímil")</f>
        <v>Abrir facsímil</v>
      </c>
      <c r="K7649" s="3" t="s">
        <v>23</v>
      </c>
    </row>
    <row r="7650" spans="1:11" ht="42" customHeight="1">
      <c r="A7650" s="2" t="s">
        <v>19132</v>
      </c>
      <c r="B7650" s="2" t="s">
        <v>19132</v>
      </c>
      <c r="C7650" s="2" t="s">
        <v>105</v>
      </c>
      <c r="D7650" s="2" t="s">
        <v>275</v>
      </c>
      <c r="E7650" s="4">
        <v>-32032</v>
      </c>
      <c r="F7650" s="3" t="s">
        <v>421</v>
      </c>
      <c r="G7650" s="3" t="s">
        <v>16711</v>
      </c>
      <c r="H7650" s="2" t="s">
        <v>21</v>
      </c>
      <c r="I7650" s="2" t="s">
        <v>19133</v>
      </c>
      <c r="J7650" s="3" t="str">
        <f>HYPERLINK("https://www.boe.es/gazeta/dias/1812/04/18/pdfs/GRE-1812-49.pdf#page=8","Abrir facsímil")</f>
        <v>Abrir facsímil</v>
      </c>
      <c r="K7650" s="3" t="s">
        <v>23</v>
      </c>
    </row>
    <row r="7651" spans="1:11" ht="42" customHeight="1">
      <c r="A7651" s="2" t="s">
        <v>19132</v>
      </c>
      <c r="B7651" s="2" t="s">
        <v>19132</v>
      </c>
      <c r="C7651" s="2" t="s">
        <v>105</v>
      </c>
      <c r="D7651" s="2" t="s">
        <v>275</v>
      </c>
      <c r="E7651" s="4">
        <v>-32011</v>
      </c>
      <c r="F7651" s="3" t="s">
        <v>1233</v>
      </c>
      <c r="G7651" s="3" t="s">
        <v>58</v>
      </c>
      <c r="H7651" s="2" t="s">
        <v>21</v>
      </c>
      <c r="I7651" s="2" t="s">
        <v>19134</v>
      </c>
      <c r="J7651" s="3" t="str">
        <f>HYPERLINK("https://www.boe.es/gazeta/dias/1812/05/09/pdfs/GRE-1812-58.pdf#page=8","Abrir facsímil")</f>
        <v>Abrir facsímil</v>
      </c>
      <c r="K7651" s="3" t="s">
        <v>23</v>
      </c>
    </row>
    <row r="7652" spans="1:11" ht="42" customHeight="1">
      <c r="A7652" s="2" t="s">
        <v>19135</v>
      </c>
      <c r="B7652" s="2" t="s">
        <v>19136</v>
      </c>
      <c r="C7652" s="2" t="s">
        <v>26</v>
      </c>
      <c r="D7652" s="2" t="s">
        <v>27</v>
      </c>
      <c r="E7652" s="4">
        <v>-31964</v>
      </c>
      <c r="F7652" s="3" t="s">
        <v>93</v>
      </c>
      <c r="G7652" s="3" t="s">
        <v>2548</v>
      </c>
      <c r="H7652" s="2" t="s">
        <v>21</v>
      </c>
      <c r="I7652" s="2" t="s">
        <v>19137</v>
      </c>
      <c r="J7652" s="3" t="str">
        <f>HYPERLINK("https://www.boe.es/gazeta/dias/1812/06/25/pdfs/GRE-1812-78.pdf#page=5","Abrir facsímil")</f>
        <v>Abrir facsímil</v>
      </c>
      <c r="K7652" s="3" t="s">
        <v>23</v>
      </c>
    </row>
    <row r="7653" spans="1:11" ht="42" customHeight="1">
      <c r="A7653" s="2" t="s">
        <v>19135</v>
      </c>
      <c r="B7653" s="2" t="s">
        <v>19136</v>
      </c>
      <c r="C7653" s="2" t="s">
        <v>17</v>
      </c>
      <c r="D7653" s="2" t="s">
        <v>27</v>
      </c>
      <c r="E7653" s="4">
        <v>-31964</v>
      </c>
      <c r="F7653" s="3" t="s">
        <v>93</v>
      </c>
      <c r="G7653" s="3" t="s">
        <v>4894</v>
      </c>
      <c r="H7653" s="2" t="s">
        <v>21</v>
      </c>
      <c r="I7653" s="2" t="s">
        <v>19138</v>
      </c>
      <c r="J7653" s="3" t="str">
        <f>HYPERLINK("https://www.boe.es/gazeta/dias/1812/06/25/pdfs/GRE-1812-78.pdf#page=6","Abrir facsímil")</f>
        <v>Abrir facsímil</v>
      </c>
      <c r="K7653" s="3" t="s">
        <v>23</v>
      </c>
    </row>
    <row r="7654" spans="1:11" ht="42" customHeight="1">
      <c r="A7654" s="2" t="s">
        <v>19139</v>
      </c>
      <c r="B7654" s="2" t="s">
        <v>19140</v>
      </c>
      <c r="C7654" s="2" t="s">
        <v>49</v>
      </c>
      <c r="D7654" s="2" t="s">
        <v>573</v>
      </c>
      <c r="E7654" s="4">
        <v>-32088</v>
      </c>
      <c r="F7654" s="3" t="s">
        <v>13518</v>
      </c>
      <c r="G7654" s="3" t="s">
        <v>1943</v>
      </c>
      <c r="H7654" s="2" t="s">
        <v>21</v>
      </c>
      <c r="I7654" s="2" t="s">
        <v>19141</v>
      </c>
      <c r="J7654" s="3" t="str">
        <f>HYPERLINK("https://www.boe.es/gazeta/dias/1812/02/22/pdfs/GRE-1812-24E.pdf#page=2","Abrir facsímil")</f>
        <v>Abrir facsímil</v>
      </c>
      <c r="K7654" s="3" t="s">
        <v>23</v>
      </c>
    </row>
    <row r="7655" spans="1:11" ht="42" customHeight="1">
      <c r="A7655" s="2" t="s">
        <v>19142</v>
      </c>
      <c r="B7655" s="2" t="s">
        <v>19142</v>
      </c>
      <c r="C7655" s="2" t="s">
        <v>17</v>
      </c>
      <c r="D7655" s="2" t="s">
        <v>194</v>
      </c>
      <c r="E7655" s="4">
        <v>-31843</v>
      </c>
      <c r="F7655" s="3" t="s">
        <v>3493</v>
      </c>
      <c r="G7655" s="3" t="s">
        <v>1980</v>
      </c>
      <c r="H7655" s="2" t="s">
        <v>21</v>
      </c>
      <c r="I7655" s="2" t="s">
        <v>19143</v>
      </c>
      <c r="J7655" s="3" t="str">
        <f>HYPERLINK("https://www.boe.es/gazeta/dias/1812/10/24/pdfs/GMR-1812-31.pdf#page=5","Abrir facsímil")</f>
        <v>Abrir facsímil</v>
      </c>
      <c r="K7655" s="3" t="s">
        <v>23</v>
      </c>
    </row>
    <row r="7656" spans="1:11" ht="42" customHeight="1">
      <c r="A7656" s="2" t="s">
        <v>19144</v>
      </c>
      <c r="B7656" s="2" t="s">
        <v>19145</v>
      </c>
      <c r="C7656" s="2" t="s">
        <v>26</v>
      </c>
      <c r="D7656" s="2" t="s">
        <v>27</v>
      </c>
      <c r="E7656" s="4">
        <v>-32132</v>
      </c>
      <c r="F7656" s="3" t="s">
        <v>484</v>
      </c>
      <c r="G7656" s="3" t="s">
        <v>485</v>
      </c>
      <c r="H7656" s="2" t="s">
        <v>21</v>
      </c>
      <c r="I7656" s="2" t="s">
        <v>19146</v>
      </c>
      <c r="J7656" s="3" t="str">
        <f>HYPERLINK("https://www.boe.es/gazeta/dias/1812/01/09/pdfs/GEI-1812-4.pdf#page=8","Abrir facsímil")</f>
        <v>Abrir facsímil</v>
      </c>
      <c r="K7656" s="3" t="s">
        <v>23</v>
      </c>
    </row>
    <row r="7657" spans="1:11" ht="42" customHeight="1">
      <c r="A7657" s="2" t="s">
        <v>19147</v>
      </c>
      <c r="B7657" s="2" t="s">
        <v>19148</v>
      </c>
      <c r="C7657" s="2" t="s">
        <v>26</v>
      </c>
      <c r="D7657" s="2" t="s">
        <v>27</v>
      </c>
      <c r="E7657" s="4">
        <v>-31906</v>
      </c>
      <c r="F7657" s="3" t="s">
        <v>124</v>
      </c>
      <c r="G7657" s="3" t="s">
        <v>7833</v>
      </c>
      <c r="H7657" s="2" t="s">
        <v>21</v>
      </c>
      <c r="I7657" s="2" t="s">
        <v>19149</v>
      </c>
      <c r="J7657" s="3" t="str">
        <f>HYPERLINK("https://www.boe.es/gazeta/dias/1812/08/22/pdfs/GRE-1812-109.pdf#page=3","Abrir facsímil")</f>
        <v>Abrir facsímil</v>
      </c>
      <c r="K7657" s="3" t="s">
        <v>23</v>
      </c>
    </row>
    <row r="7658" spans="1:11" ht="42" customHeight="1">
      <c r="A7658" s="2" t="s">
        <v>19150</v>
      </c>
      <c r="B7658" s="2" t="s">
        <v>19151</v>
      </c>
      <c r="C7658" s="2" t="s">
        <v>26</v>
      </c>
      <c r="D7658" s="2" t="s">
        <v>27</v>
      </c>
      <c r="E7658" s="4">
        <v>-32137</v>
      </c>
      <c r="F7658" s="3" t="s">
        <v>355</v>
      </c>
      <c r="G7658" s="3" t="s">
        <v>117</v>
      </c>
      <c r="H7658" s="2" t="s">
        <v>21</v>
      </c>
      <c r="I7658" s="2" t="s">
        <v>19152</v>
      </c>
      <c r="J7658" s="3" t="str">
        <f>HYPERLINK("https://www.boe.es/gazeta/dias/1812/01/04/pdfs/GEI-1812-2.pdf#page=8","Abrir facsímil")</f>
        <v>Abrir facsímil</v>
      </c>
      <c r="K7658" s="3" t="s">
        <v>23</v>
      </c>
    </row>
    <row r="7659" spans="1:11" ht="42" customHeight="1">
      <c r="A7659" s="2" t="s">
        <v>19153</v>
      </c>
      <c r="B7659" s="2" t="s">
        <v>19153</v>
      </c>
      <c r="C7659" s="2" t="s">
        <v>17</v>
      </c>
      <c r="D7659" s="2" t="s">
        <v>18</v>
      </c>
      <c r="E7659" s="4">
        <v>-32081</v>
      </c>
      <c r="F7659" s="3" t="s">
        <v>232</v>
      </c>
      <c r="G7659" s="3" t="s">
        <v>19154</v>
      </c>
      <c r="H7659" s="2" t="s">
        <v>21</v>
      </c>
      <c r="I7659" s="2" t="s">
        <v>19155</v>
      </c>
      <c r="J7659" s="3" t="str">
        <f>HYPERLINK("https://www.boe.es/gazeta/dias/1812/02/29/pdfs/GRE-1812-27.pdf#page=5","Abrir facsímil")</f>
        <v>Abrir facsímil</v>
      </c>
      <c r="K7659" s="3" t="s">
        <v>23</v>
      </c>
    </row>
    <row r="7660" spans="1:11" ht="42" customHeight="1">
      <c r="A7660" s="2" t="s">
        <v>19156</v>
      </c>
      <c r="B7660" s="2" t="s">
        <v>19157</v>
      </c>
      <c r="C7660" s="2" t="s">
        <v>186</v>
      </c>
      <c r="D7660" s="2" t="s">
        <v>275</v>
      </c>
      <c r="E7660" s="4">
        <v>-32074</v>
      </c>
      <c r="F7660" s="3" t="s">
        <v>816</v>
      </c>
      <c r="G7660" s="3" t="s">
        <v>777</v>
      </c>
      <c r="H7660" s="2" t="s">
        <v>21</v>
      </c>
      <c r="I7660" s="2" t="s">
        <v>19158</v>
      </c>
      <c r="J7660" s="3" t="str">
        <f>HYPERLINK("https://www.boe.es/gazeta/dias/1812/03/07/pdfs/GRE-1812-30.pdf#page=8","Abrir facsímil")</f>
        <v>Abrir facsímil</v>
      </c>
      <c r="K7660" s="3" t="s">
        <v>23</v>
      </c>
    </row>
    <row r="7661" spans="1:11" ht="42" customHeight="1">
      <c r="A7661" s="2" t="s">
        <v>19159</v>
      </c>
      <c r="B7661" s="2" t="s">
        <v>19160</v>
      </c>
      <c r="C7661" s="2" t="s">
        <v>26</v>
      </c>
      <c r="D7661" s="2" t="s">
        <v>27</v>
      </c>
      <c r="E7661" s="4">
        <v>-32034</v>
      </c>
      <c r="F7661" s="3" t="s">
        <v>28</v>
      </c>
      <c r="G7661" s="3" t="s">
        <v>317</v>
      </c>
      <c r="H7661" s="2" t="s">
        <v>21</v>
      </c>
      <c r="I7661" s="2" t="s">
        <v>19161</v>
      </c>
      <c r="J7661" s="3" t="str">
        <f>HYPERLINK("https://www.boe.es/gazeta/dias/1812/04/16/pdfs/GMD-1812-107.pdf#page=6","Abrir facsímil")</f>
        <v>Abrir facsímil</v>
      </c>
      <c r="K7661" s="3" t="s">
        <v>23</v>
      </c>
    </row>
    <row r="7662" spans="1:11" ht="42" customHeight="1">
      <c r="A7662" s="2" t="s">
        <v>19162</v>
      </c>
      <c r="B7662" s="2" t="s">
        <v>19163</v>
      </c>
      <c r="C7662" s="2" t="s">
        <v>105</v>
      </c>
      <c r="D7662" s="2" t="s">
        <v>27</v>
      </c>
      <c r="E7662" s="4">
        <v>-32013</v>
      </c>
      <c r="F7662" s="3" t="s">
        <v>849</v>
      </c>
      <c r="G7662" s="3" t="s">
        <v>6818</v>
      </c>
      <c r="H7662" s="2" t="s">
        <v>21</v>
      </c>
      <c r="I7662" s="2" t="s">
        <v>19164</v>
      </c>
      <c r="J7662" s="3" t="str">
        <f>HYPERLINK("https://www.boe.es/gazeta/dias/1812/05/07/pdfs/GRE-1812-57.pdf#page=8","Abrir facsímil")</f>
        <v>Abrir facsímil</v>
      </c>
      <c r="K7662" s="3" t="s">
        <v>23</v>
      </c>
    </row>
    <row r="7663" spans="1:11" ht="42" customHeight="1">
      <c r="A7663" s="2" t="s">
        <v>19165</v>
      </c>
      <c r="B7663" s="2" t="s">
        <v>19165</v>
      </c>
      <c r="C7663" s="2" t="s">
        <v>17</v>
      </c>
      <c r="D7663" s="2" t="s">
        <v>27</v>
      </c>
      <c r="E7663" s="4">
        <v>-31829</v>
      </c>
      <c r="F7663" s="3" t="s">
        <v>3229</v>
      </c>
      <c r="G7663" s="3" t="s">
        <v>965</v>
      </c>
      <c r="H7663" s="2" t="s">
        <v>21</v>
      </c>
      <c r="I7663" s="2" t="s">
        <v>19166</v>
      </c>
      <c r="J7663" s="3" t="str">
        <f>HYPERLINK("https://www.boe.es/gazeta/dias/1812/11/07/pdfs/GRE-1812-149.pdf#page=6","Abrir facsímil")</f>
        <v>Abrir facsímil</v>
      </c>
      <c r="K7663" s="3" t="s">
        <v>23</v>
      </c>
    </row>
    <row r="7664" spans="1:11" ht="42" customHeight="1">
      <c r="A7664" s="2" t="s">
        <v>19167</v>
      </c>
      <c r="B7664" s="2" t="s">
        <v>19168</v>
      </c>
      <c r="C7664" s="2" t="s">
        <v>26</v>
      </c>
      <c r="D7664" s="2" t="s">
        <v>27</v>
      </c>
      <c r="E7664" s="4">
        <v>-32018</v>
      </c>
      <c r="F7664" s="3" t="s">
        <v>365</v>
      </c>
      <c r="G7664" s="3" t="s">
        <v>366</v>
      </c>
      <c r="H7664" s="2" t="s">
        <v>21</v>
      </c>
      <c r="I7664" s="2" t="s">
        <v>19169</v>
      </c>
      <c r="J7664" s="3" t="str">
        <f>HYPERLINK("https://www.boe.es/gazeta/dias/1812/05/02/pdfs/GRE-1812-55.pdf#page=3","Abrir facsímil")</f>
        <v>Abrir facsímil</v>
      </c>
      <c r="K7664" s="3" t="s">
        <v>23</v>
      </c>
    </row>
    <row r="7665" spans="1:11" ht="42" customHeight="1">
      <c r="A7665" s="2" t="s">
        <v>19170</v>
      </c>
      <c r="B7665" s="2" t="s">
        <v>19171</v>
      </c>
      <c r="C7665" s="2" t="s">
        <v>26</v>
      </c>
      <c r="D7665" s="2" t="s">
        <v>27</v>
      </c>
      <c r="E7665" s="4">
        <v>-31940</v>
      </c>
      <c r="F7665" s="3" t="s">
        <v>187</v>
      </c>
      <c r="G7665" s="3" t="s">
        <v>404</v>
      </c>
      <c r="H7665" s="2" t="s">
        <v>21</v>
      </c>
      <c r="I7665" s="2" t="s">
        <v>19172</v>
      </c>
      <c r="J7665" s="3" t="str">
        <f>HYPERLINK("https://www.boe.es/gazeta/dias/1812/07/19/pdfs/GMD-1812-201.pdf#page=4","Abrir facsímil")</f>
        <v>Abrir facsímil</v>
      </c>
      <c r="K7665" s="3" t="s">
        <v>23</v>
      </c>
    </row>
    <row r="7666" spans="1:11" ht="42" customHeight="1">
      <c r="A7666" s="2" t="s">
        <v>19173</v>
      </c>
      <c r="B7666" s="2" t="s">
        <v>19174</v>
      </c>
      <c r="C7666" s="2" t="s">
        <v>26</v>
      </c>
      <c r="D7666" s="2" t="s">
        <v>275</v>
      </c>
      <c r="E7666" s="4">
        <v>-31901</v>
      </c>
      <c r="F7666" s="3" t="s">
        <v>590</v>
      </c>
      <c r="G7666" s="3" t="s">
        <v>674</v>
      </c>
      <c r="H7666" s="2" t="s">
        <v>21</v>
      </c>
      <c r="I7666" s="2" t="s">
        <v>19175</v>
      </c>
      <c r="J7666" s="3" t="str">
        <f>HYPERLINK("https://www.boe.es/gazeta/dias/1812/08/27/pdfs/GMR-1812-6.pdf#page=6","Abrir facsímil")</f>
        <v>Abrir facsímil</v>
      </c>
      <c r="K7666" s="3" t="s">
        <v>23</v>
      </c>
    </row>
    <row r="7667" spans="1:11" ht="42" customHeight="1">
      <c r="A7667" s="2" t="s">
        <v>19176</v>
      </c>
      <c r="B7667" s="2" t="s">
        <v>19176</v>
      </c>
      <c r="C7667" s="2" t="s">
        <v>17</v>
      </c>
      <c r="D7667" s="2" t="s">
        <v>27</v>
      </c>
      <c r="E7667" s="4">
        <v>-32046</v>
      </c>
      <c r="F7667" s="3" t="s">
        <v>1013</v>
      </c>
      <c r="G7667" s="3" t="s">
        <v>3970</v>
      </c>
      <c r="H7667" s="2" t="s">
        <v>21</v>
      </c>
      <c r="I7667" s="2" t="s">
        <v>19177</v>
      </c>
      <c r="J7667" s="3" t="str">
        <f>HYPERLINK("https://www.boe.es/gazeta/dias/1812/04/04/pdfs/GRE-1812-42.pdf#page=3","Abrir facsímil")</f>
        <v>Abrir facsímil</v>
      </c>
      <c r="K7667" s="3" t="s">
        <v>23</v>
      </c>
    </row>
    <row r="7668" spans="1:11" ht="42" customHeight="1">
      <c r="A7668" s="2" t="s">
        <v>19178</v>
      </c>
      <c r="B7668" s="2" t="s">
        <v>19179</v>
      </c>
      <c r="C7668" s="2" t="s">
        <v>26</v>
      </c>
      <c r="D7668" s="2" t="s">
        <v>27</v>
      </c>
      <c r="E7668" s="4">
        <v>-32034</v>
      </c>
      <c r="F7668" s="3" t="s">
        <v>1008</v>
      </c>
      <c r="G7668" s="3" t="s">
        <v>1009</v>
      </c>
      <c r="H7668" s="2" t="s">
        <v>21</v>
      </c>
      <c r="I7668" s="2" t="s">
        <v>19180</v>
      </c>
      <c r="J7668" s="3" t="str">
        <f>HYPERLINK("https://www.boe.es/gazeta/dias/1812/04/16/pdfs/GRE-1812-48.pdf#page=8","Abrir facsímil")</f>
        <v>Abrir facsímil</v>
      </c>
      <c r="K7668" s="3" t="s">
        <v>23</v>
      </c>
    </row>
    <row r="7669" spans="1:11" ht="42" customHeight="1">
      <c r="A7669" s="2" t="s">
        <v>19181</v>
      </c>
      <c r="B7669" s="2" t="s">
        <v>19182</v>
      </c>
      <c r="C7669" s="2" t="s">
        <v>17</v>
      </c>
      <c r="D7669" s="2" t="s">
        <v>134</v>
      </c>
      <c r="E7669" s="4">
        <v>-31955</v>
      </c>
      <c r="F7669" s="3" t="s">
        <v>135</v>
      </c>
      <c r="G7669" s="3" t="s">
        <v>136</v>
      </c>
      <c r="H7669" s="2" t="s">
        <v>21</v>
      </c>
      <c r="I7669" s="2" t="s">
        <v>19183</v>
      </c>
      <c r="J7669" s="3" t="str">
        <f>HYPERLINK("https://www.boe.es/gazeta/dias/1812/07/04/pdfs/GRE-F-1812-82.pdf#page=8","Abrir facsímil")</f>
        <v>Abrir facsímil</v>
      </c>
      <c r="K7669" s="3" t="s">
        <v>23</v>
      </c>
    </row>
    <row r="7670" spans="1:11" ht="42" customHeight="1">
      <c r="A7670" s="2" t="s">
        <v>19184</v>
      </c>
      <c r="B7670" s="2" t="s">
        <v>19185</v>
      </c>
      <c r="C7670" s="2" t="s">
        <v>105</v>
      </c>
      <c r="D7670" s="2" t="s">
        <v>275</v>
      </c>
      <c r="E7670" s="4">
        <v>-32011</v>
      </c>
      <c r="F7670" s="3" t="s">
        <v>1656</v>
      </c>
      <c r="G7670" s="3" t="s">
        <v>777</v>
      </c>
      <c r="H7670" s="2" t="s">
        <v>21</v>
      </c>
      <c r="I7670" s="2" t="s">
        <v>19186</v>
      </c>
      <c r="J7670" s="3" t="str">
        <f>HYPERLINK("https://www.boe.es/gazeta/dias/1812/05/09/pdfs/GMD-1812-130.pdf#page=2","Abrir facsímil")</f>
        <v>Abrir facsímil</v>
      </c>
      <c r="K7670" s="3" t="s">
        <v>23</v>
      </c>
    </row>
    <row r="7671" spans="1:11" ht="42" customHeight="1">
      <c r="A7671" s="2" t="s">
        <v>19187</v>
      </c>
      <c r="B7671" s="2" t="s">
        <v>19188</v>
      </c>
      <c r="C7671" s="2" t="s">
        <v>26</v>
      </c>
      <c r="D7671" s="2" t="s">
        <v>27</v>
      </c>
      <c r="E7671" s="4">
        <v>-32134</v>
      </c>
      <c r="F7671" s="3" t="s">
        <v>50</v>
      </c>
      <c r="G7671" s="3" t="s">
        <v>233</v>
      </c>
      <c r="H7671" s="2" t="s">
        <v>21</v>
      </c>
      <c r="I7671" s="2" t="s">
        <v>19189</v>
      </c>
      <c r="J7671" s="3" t="str">
        <f>HYPERLINK("https://www.boe.es/gazeta/dias/1812/01/07/pdfs/GEI-1812-3.pdf#page=8","Abrir facsímil")</f>
        <v>Abrir facsímil</v>
      </c>
      <c r="K7671" s="3" t="s">
        <v>23</v>
      </c>
    </row>
    <row r="7672" spans="1:11" ht="42" customHeight="1">
      <c r="A7672" s="2" t="s">
        <v>19190</v>
      </c>
      <c r="B7672" s="2" t="s">
        <v>19191</v>
      </c>
      <c r="C7672" s="2" t="s">
        <v>17</v>
      </c>
      <c r="D7672" s="2" t="s">
        <v>18</v>
      </c>
      <c r="E7672" s="4">
        <v>-32022</v>
      </c>
      <c r="F7672" s="3" t="s">
        <v>1186</v>
      </c>
      <c r="G7672" s="3" t="s">
        <v>336</v>
      </c>
      <c r="H7672" s="2" t="s">
        <v>21</v>
      </c>
      <c r="I7672" s="2" t="s">
        <v>19192</v>
      </c>
      <c r="J7672" s="3" t="str">
        <f>HYPERLINK("https://www.boe.es/gazeta/dias/1812/04/28/pdfs/GRE-1812-53.pdf#page=8","Abrir facsímil")</f>
        <v>Abrir facsímil</v>
      </c>
      <c r="K7672" s="3" t="s">
        <v>23</v>
      </c>
    </row>
    <row r="7673" spans="1:11" ht="42" customHeight="1">
      <c r="A7673" s="2" t="s">
        <v>19193</v>
      </c>
      <c r="B7673" s="2" t="s">
        <v>19194</v>
      </c>
      <c r="C7673" s="2" t="s">
        <v>49</v>
      </c>
      <c r="D7673" s="2" t="s">
        <v>27</v>
      </c>
      <c r="E7673" s="4">
        <v>-31957</v>
      </c>
      <c r="F7673" s="3" t="s">
        <v>2173</v>
      </c>
      <c r="G7673" s="3" t="s">
        <v>3034</v>
      </c>
      <c r="H7673" s="2" t="s">
        <v>21</v>
      </c>
      <c r="I7673" s="2" t="s">
        <v>19195</v>
      </c>
      <c r="J7673" s="3" t="str">
        <f>HYPERLINK("https://www.boe.es/gazeta/dias/1812/07/02/pdfs/GRE-1812-81.pdf#page=5","Abrir facsímil")</f>
        <v>Abrir facsímil</v>
      </c>
      <c r="K7673" s="3" t="s">
        <v>23</v>
      </c>
    </row>
    <row r="7674" spans="1:11" ht="42" customHeight="1">
      <c r="A7674" s="2" t="s">
        <v>19196</v>
      </c>
      <c r="B7674" s="2" t="s">
        <v>19197</v>
      </c>
      <c r="C7674" s="2" t="s">
        <v>186</v>
      </c>
      <c r="D7674" s="2" t="s">
        <v>275</v>
      </c>
      <c r="E7674" s="4">
        <v>-32036</v>
      </c>
      <c r="F7674" s="3" t="s">
        <v>781</v>
      </c>
      <c r="G7674" s="3" t="s">
        <v>782</v>
      </c>
      <c r="H7674" s="2" t="s">
        <v>21</v>
      </c>
      <c r="I7674" s="2" t="s">
        <v>19198</v>
      </c>
      <c r="J7674" s="3" t="str">
        <f>HYPERLINK("https://www.boe.es/gazeta/dias/1812/04/14/pdfs/GRE-1812-47.pdf#page=8","Abrir facsímil")</f>
        <v>Abrir facsímil</v>
      </c>
      <c r="K7674" s="3" t="s">
        <v>23</v>
      </c>
    </row>
    <row r="7675" spans="1:11" ht="42" customHeight="1">
      <c r="A7675" s="2" t="s">
        <v>19199</v>
      </c>
      <c r="B7675" s="2" t="s">
        <v>19200</v>
      </c>
      <c r="C7675" s="2" t="s">
        <v>17</v>
      </c>
      <c r="D7675" s="2" t="s">
        <v>18</v>
      </c>
      <c r="E7675" s="4">
        <v>-32109</v>
      </c>
      <c r="F7675" s="3" t="s">
        <v>62</v>
      </c>
      <c r="G7675" s="3" t="s">
        <v>472</v>
      </c>
      <c r="H7675" s="2" t="s">
        <v>21</v>
      </c>
      <c r="I7675" s="2" t="s">
        <v>19201</v>
      </c>
      <c r="J7675" s="3" t="str">
        <f>HYPERLINK("https://www.boe.es/gazeta/dias/1812/02/01/pdfs/GRE-1812-14.pdf#page=12","Abrir facsímil")</f>
        <v>Abrir facsímil</v>
      </c>
      <c r="K7675" s="3" t="s">
        <v>23</v>
      </c>
    </row>
    <row r="7676" spans="1:11" ht="42" customHeight="1">
      <c r="A7676" s="2" t="s">
        <v>19202</v>
      </c>
      <c r="B7676" s="2" t="s">
        <v>19202</v>
      </c>
      <c r="C7676" s="2" t="s">
        <v>26</v>
      </c>
      <c r="D7676" s="2" t="s">
        <v>134</v>
      </c>
      <c r="E7676" s="4">
        <v>-31896</v>
      </c>
      <c r="F7676" s="3" t="s">
        <v>2506</v>
      </c>
      <c r="G7676" s="3" t="s">
        <v>196</v>
      </c>
      <c r="H7676" s="2" t="s">
        <v>21</v>
      </c>
      <c r="I7676" s="2" t="s">
        <v>19203</v>
      </c>
      <c r="J7676" s="3" t="str">
        <f>HYPERLINK("https://www.boe.es/gazeta/dias/1812/09/01/pdfs/GRE-F-1812-117.pdf#page=1","Abrir facsímil")</f>
        <v>Abrir facsímil</v>
      </c>
      <c r="K7676" s="3" t="s">
        <v>23</v>
      </c>
    </row>
    <row r="7677" spans="1:11" ht="42" customHeight="1">
      <c r="A7677" s="2" t="s">
        <v>19204</v>
      </c>
      <c r="B7677" s="2" t="s">
        <v>19204</v>
      </c>
      <c r="C7677" s="2" t="s">
        <v>17</v>
      </c>
      <c r="D7677" s="2" t="s">
        <v>27</v>
      </c>
      <c r="E7677" s="4">
        <v>-31861</v>
      </c>
      <c r="F7677" s="3" t="s">
        <v>1080</v>
      </c>
      <c r="G7677" s="3" t="s">
        <v>233</v>
      </c>
      <c r="H7677" s="2" t="s">
        <v>21</v>
      </c>
      <c r="I7677" s="2" t="s">
        <v>19205</v>
      </c>
      <c r="J7677" s="3" t="str">
        <f>HYPERLINK("https://www.boe.es/gazeta/dias/1812/10/06/pdfs/GMR-1812-23.pdf#page=12","Abrir facsímil")</f>
        <v>Abrir facsímil</v>
      </c>
      <c r="K7677" s="3" t="s">
        <v>23</v>
      </c>
    </row>
    <row r="7678" spans="1:11" ht="42" customHeight="1">
      <c r="A7678" s="2" t="s">
        <v>19206</v>
      </c>
      <c r="B7678" s="2" t="s">
        <v>19206</v>
      </c>
      <c r="C7678" s="2" t="s">
        <v>17</v>
      </c>
      <c r="D7678" s="2" t="s">
        <v>27</v>
      </c>
      <c r="E7678" s="4">
        <v>-32139</v>
      </c>
      <c r="F7678" s="3" t="s">
        <v>518</v>
      </c>
      <c r="G7678" s="3" t="s">
        <v>125</v>
      </c>
      <c r="H7678" s="2" t="s">
        <v>21</v>
      </c>
      <c r="I7678" s="2" t="s">
        <v>19207</v>
      </c>
      <c r="J7678" s="3" t="str">
        <f>HYPERLINK("https://www.boe.es/gazeta/dias/1812/01/02/pdfs/GEI-1812-1.pdf#page=3","Abrir facsímil")</f>
        <v>Abrir facsímil</v>
      </c>
      <c r="K7678" s="3" t="s">
        <v>23</v>
      </c>
    </row>
    <row r="7679" spans="1:11" ht="42" customHeight="1">
      <c r="A7679" s="2" t="s">
        <v>19206</v>
      </c>
      <c r="B7679" s="2" t="s">
        <v>19206</v>
      </c>
      <c r="C7679" s="2" t="s">
        <v>17</v>
      </c>
      <c r="D7679" s="2" t="s">
        <v>18</v>
      </c>
      <c r="E7679" s="4">
        <v>-32046</v>
      </c>
      <c r="F7679" s="3" t="s">
        <v>1013</v>
      </c>
      <c r="G7679" s="3" t="s">
        <v>2998</v>
      </c>
      <c r="H7679" s="2" t="s">
        <v>21</v>
      </c>
      <c r="I7679" s="2" t="s">
        <v>19208</v>
      </c>
      <c r="J7679" s="3" t="str">
        <f>HYPERLINK("https://www.boe.es/gazeta/dias/1812/04/04/pdfs/GRE-1812-42.pdf#page=1","Abrir facsímil")</f>
        <v>Abrir facsímil</v>
      </c>
      <c r="K7679" s="3" t="s">
        <v>23</v>
      </c>
    </row>
    <row r="7680" spans="1:11" ht="42" customHeight="1">
      <c r="A7680" s="2" t="s">
        <v>19209</v>
      </c>
      <c r="B7680" s="2" t="s">
        <v>19209</v>
      </c>
      <c r="C7680" s="2" t="s">
        <v>17</v>
      </c>
      <c r="D7680" s="2" t="s">
        <v>194</v>
      </c>
      <c r="E7680" s="4">
        <v>-31801</v>
      </c>
      <c r="F7680" s="3" t="s">
        <v>1914</v>
      </c>
      <c r="G7680" s="3" t="s">
        <v>8150</v>
      </c>
      <c r="H7680" s="2" t="s">
        <v>21</v>
      </c>
      <c r="I7680" s="2" t="s">
        <v>19210</v>
      </c>
      <c r="J7680" s="3" t="str">
        <f>HYPERLINK("https://www.boe.es/gazeta/dias/1812/12/05/pdfs/GRE-1812-161.pdf#page=6","Abrir facsímil")</f>
        <v>Abrir facsímil</v>
      </c>
      <c r="K7680" s="3" t="s">
        <v>23</v>
      </c>
    </row>
    <row r="7681" spans="1:11" ht="42" customHeight="1">
      <c r="A7681" s="2" t="s">
        <v>19211</v>
      </c>
      <c r="B7681" s="2" t="s">
        <v>19211</v>
      </c>
      <c r="C7681" s="2" t="s">
        <v>17</v>
      </c>
      <c r="D7681" s="2" t="s">
        <v>18</v>
      </c>
      <c r="E7681" s="4">
        <v>-31896</v>
      </c>
      <c r="F7681" s="3" t="s">
        <v>2506</v>
      </c>
      <c r="G7681" s="3" t="s">
        <v>196</v>
      </c>
      <c r="H7681" s="2" t="s">
        <v>21</v>
      </c>
      <c r="I7681" s="2" t="s">
        <v>19212</v>
      </c>
      <c r="J7681" s="3" t="str">
        <f>HYPERLINK("https://www.boe.es/gazeta/dias/1812/09/01/pdfs/GRE-F-1812-117.pdf#page=1","Abrir facsímil")</f>
        <v>Abrir facsímil</v>
      </c>
      <c r="K7681" s="3" t="s">
        <v>23</v>
      </c>
    </row>
    <row r="7682" spans="1:11" ht="42" customHeight="1">
      <c r="A7682" s="2" t="s">
        <v>19213</v>
      </c>
      <c r="B7682" s="2" t="s">
        <v>19213</v>
      </c>
      <c r="C7682" s="2" t="s">
        <v>17</v>
      </c>
      <c r="D7682" s="2" t="s">
        <v>27</v>
      </c>
      <c r="E7682" s="4">
        <v>-31838</v>
      </c>
      <c r="F7682" s="3" t="s">
        <v>1960</v>
      </c>
      <c r="G7682" s="3" t="s">
        <v>11232</v>
      </c>
      <c r="H7682" s="2" t="s">
        <v>21</v>
      </c>
      <c r="I7682" s="2" t="s">
        <v>19214</v>
      </c>
      <c r="J7682" s="3" t="str">
        <f>HYPERLINK("https://www.boe.es/gazeta/dias/1812/10/29/pdfs/GRE-1812-145.pdf#page=3","Abrir facsímil")</f>
        <v>Abrir facsímil</v>
      </c>
      <c r="K7682" s="3" t="s">
        <v>23</v>
      </c>
    </row>
    <row r="7683" spans="1:11" ht="42" customHeight="1">
      <c r="A7683" s="2" t="s">
        <v>19215</v>
      </c>
      <c r="B7683" s="2" t="s">
        <v>19215</v>
      </c>
      <c r="C7683" s="2" t="s">
        <v>17</v>
      </c>
      <c r="D7683" s="2" t="s">
        <v>18</v>
      </c>
      <c r="E7683" s="4">
        <v>-32046</v>
      </c>
      <c r="F7683" s="3" t="s">
        <v>1013</v>
      </c>
      <c r="G7683" s="3" t="s">
        <v>1014</v>
      </c>
      <c r="H7683" s="2" t="s">
        <v>21</v>
      </c>
      <c r="I7683" s="2" t="s">
        <v>19216</v>
      </c>
      <c r="J7683" s="3" t="str">
        <f>HYPERLINK("https://www.boe.es/gazeta/dias/1812/04/04/pdfs/GRE-1812-42.pdf#page=4","Abrir facsímil")</f>
        <v>Abrir facsímil</v>
      </c>
      <c r="K7683" s="3" t="s">
        <v>23</v>
      </c>
    </row>
    <row r="7684" spans="1:11" ht="42" customHeight="1">
      <c r="A7684" s="2" t="s">
        <v>19215</v>
      </c>
      <c r="B7684" s="2" t="s">
        <v>19215</v>
      </c>
      <c r="C7684" s="2" t="s">
        <v>17</v>
      </c>
      <c r="D7684" s="2" t="s">
        <v>27</v>
      </c>
      <c r="E7684" s="4">
        <v>-31875</v>
      </c>
      <c r="F7684" s="3" t="s">
        <v>110</v>
      </c>
      <c r="G7684" s="3" t="s">
        <v>111</v>
      </c>
      <c r="H7684" s="2" t="s">
        <v>21</v>
      </c>
      <c r="I7684" s="2" t="s">
        <v>19217</v>
      </c>
      <c r="J7684" s="3" t="str">
        <f>HYPERLINK("https://www.boe.es/gazeta/dias/1812/09/22/pdfs/GRE-1812-128.pdf#page=6","Abrir facsímil")</f>
        <v>Abrir facsímil</v>
      </c>
      <c r="K7684" s="3" t="s">
        <v>23</v>
      </c>
    </row>
    <row r="7685" spans="1:11" ht="42" customHeight="1">
      <c r="A7685" s="2" t="s">
        <v>19218</v>
      </c>
      <c r="B7685" s="2" t="s">
        <v>19218</v>
      </c>
      <c r="C7685" s="2" t="s">
        <v>17</v>
      </c>
      <c r="D7685" s="2" t="s">
        <v>27</v>
      </c>
      <c r="E7685" s="4">
        <v>-32078</v>
      </c>
      <c r="F7685" s="3" t="s">
        <v>4438</v>
      </c>
      <c r="G7685" s="3" t="s">
        <v>130</v>
      </c>
      <c r="H7685" s="2" t="s">
        <v>21</v>
      </c>
      <c r="I7685" s="2" t="s">
        <v>19219</v>
      </c>
      <c r="J7685" s="3" t="str">
        <f>HYPERLINK("https://www.boe.es/gazeta/dias/1812/03/03/pdfs/GMD-1812-63.pdf#page=4","Abrir facsímil")</f>
        <v>Abrir facsímil</v>
      </c>
      <c r="K7685" s="3" t="s">
        <v>23</v>
      </c>
    </row>
    <row r="7686" spans="1:11" ht="42" customHeight="1">
      <c r="A7686" s="2" t="s">
        <v>19218</v>
      </c>
      <c r="B7686" s="2" t="s">
        <v>19218</v>
      </c>
      <c r="C7686" s="2" t="s">
        <v>17</v>
      </c>
      <c r="D7686" s="2" t="s">
        <v>275</v>
      </c>
      <c r="E7686" s="4">
        <v>-32060</v>
      </c>
      <c r="F7686" s="3" t="s">
        <v>399</v>
      </c>
      <c r="G7686" s="3" t="s">
        <v>801</v>
      </c>
      <c r="H7686" s="2" t="s">
        <v>21</v>
      </c>
      <c r="I7686" s="2" t="s">
        <v>19220</v>
      </c>
      <c r="J7686" s="3" t="str">
        <f>HYPERLINK("https://www.boe.es/gazeta/dias/1812/03/21/pdfs/GMD-1812-81.pdf#page=3","Abrir facsímil")</f>
        <v>Abrir facsímil</v>
      </c>
      <c r="K7686" s="3" t="s">
        <v>23</v>
      </c>
    </row>
    <row r="7687" spans="1:11" ht="42" customHeight="1">
      <c r="A7687" s="2" t="s">
        <v>19218</v>
      </c>
      <c r="B7687" s="2" t="s">
        <v>19218</v>
      </c>
      <c r="C7687" s="2" t="s">
        <v>17</v>
      </c>
      <c r="D7687" s="2" t="s">
        <v>275</v>
      </c>
      <c r="E7687" s="4">
        <v>-32046</v>
      </c>
      <c r="F7687" s="3" t="s">
        <v>1013</v>
      </c>
      <c r="G7687" s="3" t="s">
        <v>2998</v>
      </c>
      <c r="H7687" s="2" t="s">
        <v>21</v>
      </c>
      <c r="I7687" s="2" t="s">
        <v>19221</v>
      </c>
      <c r="J7687" s="3" t="str">
        <f>HYPERLINK("https://www.boe.es/gazeta/dias/1812/04/04/pdfs/GRE-1812-42.pdf#page=1","Abrir facsímil")</f>
        <v>Abrir facsímil</v>
      </c>
      <c r="K7687" s="3" t="s">
        <v>23</v>
      </c>
    </row>
    <row r="7688" spans="1:11" ht="42" customHeight="1">
      <c r="A7688" s="2" t="s">
        <v>19218</v>
      </c>
      <c r="B7688" s="2" t="s">
        <v>19218</v>
      </c>
      <c r="C7688" s="2" t="s">
        <v>17</v>
      </c>
      <c r="D7688" s="2" t="s">
        <v>18</v>
      </c>
      <c r="E7688" s="4">
        <v>-32013</v>
      </c>
      <c r="F7688" s="3" t="s">
        <v>849</v>
      </c>
      <c r="G7688" s="3" t="s">
        <v>20</v>
      </c>
      <c r="H7688" s="2" t="s">
        <v>21</v>
      </c>
      <c r="I7688" s="2" t="s">
        <v>19222</v>
      </c>
      <c r="J7688" s="3" t="str">
        <f>HYPERLINK("https://www.boe.es/gazeta/dias/1812/05/07/pdfs/GRE-1812-57.pdf#page=1","Abrir facsímil")</f>
        <v>Abrir facsímil</v>
      </c>
      <c r="K7688" s="3" t="s">
        <v>23</v>
      </c>
    </row>
    <row r="7689" spans="1:11" ht="42" customHeight="1">
      <c r="A7689" s="2" t="s">
        <v>19218</v>
      </c>
      <c r="B7689" s="2" t="s">
        <v>19218</v>
      </c>
      <c r="C7689" s="2" t="s">
        <v>17</v>
      </c>
      <c r="D7689" s="2" t="s">
        <v>18</v>
      </c>
      <c r="E7689" s="4">
        <v>-32013</v>
      </c>
      <c r="F7689" s="3" t="s">
        <v>849</v>
      </c>
      <c r="G7689" s="3" t="s">
        <v>850</v>
      </c>
      <c r="H7689" s="2" t="s">
        <v>21</v>
      </c>
      <c r="I7689" s="2" t="s">
        <v>19223</v>
      </c>
      <c r="J7689" s="3" t="str">
        <f>HYPERLINK("https://www.boe.es/gazeta/dias/1812/05/07/pdfs/GRE-1812-57.pdf#page=2","Abrir facsímil")</f>
        <v>Abrir facsímil</v>
      </c>
      <c r="K7689" s="3" t="s">
        <v>23</v>
      </c>
    </row>
    <row r="7690" spans="1:11" ht="42" customHeight="1">
      <c r="A7690" s="2" t="s">
        <v>19218</v>
      </c>
      <c r="B7690" s="2" t="s">
        <v>19218</v>
      </c>
      <c r="C7690" s="2" t="s">
        <v>17</v>
      </c>
      <c r="D7690" s="2" t="s">
        <v>18</v>
      </c>
      <c r="E7690" s="4">
        <v>-32004</v>
      </c>
      <c r="F7690" s="3" t="s">
        <v>148</v>
      </c>
      <c r="G7690" s="3" t="s">
        <v>149</v>
      </c>
      <c r="H7690" s="2" t="s">
        <v>21</v>
      </c>
      <c r="I7690" s="2" t="s">
        <v>19224</v>
      </c>
      <c r="J7690" s="3" t="str">
        <f>HYPERLINK("https://www.boe.es/gazeta/dias/1812/05/16/pdfs/GRE-1812-61.pdf#page=3","Abrir facsímil")</f>
        <v>Abrir facsímil</v>
      </c>
      <c r="K7690" s="3" t="s">
        <v>23</v>
      </c>
    </row>
    <row r="7691" spans="1:11" ht="42" customHeight="1">
      <c r="A7691" s="2" t="s">
        <v>19218</v>
      </c>
      <c r="B7691" s="2" t="s">
        <v>19218</v>
      </c>
      <c r="C7691" s="2" t="s">
        <v>17</v>
      </c>
      <c r="D7691" s="2" t="s">
        <v>27</v>
      </c>
      <c r="E7691" s="4">
        <v>-31994</v>
      </c>
      <c r="F7691" s="3" t="s">
        <v>19225</v>
      </c>
      <c r="G7691" s="3" t="s">
        <v>1980</v>
      </c>
      <c r="H7691" s="2" t="s">
        <v>21</v>
      </c>
      <c r="I7691" s="2" t="s">
        <v>19226</v>
      </c>
      <c r="J7691" s="3" t="str">
        <f>HYPERLINK("https://www.boe.es/gazeta/dias/1812/05/26/pdfs/GMD-1812-147.pdf#page=3","Abrir facsímil")</f>
        <v>Abrir facsímil</v>
      </c>
      <c r="K7691" s="3" t="s">
        <v>23</v>
      </c>
    </row>
    <row r="7692" spans="1:11" ht="42" customHeight="1">
      <c r="A7692" s="2" t="s">
        <v>19218</v>
      </c>
      <c r="B7692" s="2" t="s">
        <v>19218</v>
      </c>
      <c r="C7692" s="2" t="s">
        <v>17</v>
      </c>
      <c r="D7692" s="2" t="s">
        <v>18</v>
      </c>
      <c r="E7692" s="4">
        <v>-31962</v>
      </c>
      <c r="F7692" s="3" t="s">
        <v>153</v>
      </c>
      <c r="G7692" s="3" t="s">
        <v>690</v>
      </c>
      <c r="H7692" s="2" t="s">
        <v>21</v>
      </c>
      <c r="I7692" s="2" t="s">
        <v>19227</v>
      </c>
      <c r="J7692" s="3" t="str">
        <f>HYPERLINK("https://www.boe.es/gazeta/dias/1812/06/27/pdfs/GRE-1812-79.pdf#page=2","Abrir facsímil")</f>
        <v>Abrir facsímil</v>
      </c>
      <c r="K7692" s="3" t="s">
        <v>23</v>
      </c>
    </row>
    <row r="7693" spans="1:11" ht="42" customHeight="1">
      <c r="A7693" s="2" t="s">
        <v>19218</v>
      </c>
      <c r="B7693" s="2" t="s">
        <v>19218</v>
      </c>
      <c r="C7693" s="2" t="s">
        <v>17</v>
      </c>
      <c r="D7693" s="2" t="s">
        <v>134</v>
      </c>
      <c r="E7693" s="4">
        <v>-31955</v>
      </c>
      <c r="F7693" s="3" t="s">
        <v>135</v>
      </c>
      <c r="G7693" s="3" t="s">
        <v>172</v>
      </c>
      <c r="H7693" s="2" t="s">
        <v>21</v>
      </c>
      <c r="I7693" s="2" t="s">
        <v>19228</v>
      </c>
      <c r="J7693" s="3" t="str">
        <f>HYPERLINK("https://www.boe.es/gazeta/dias/1812/07/04/pdfs/GRE-F-1812-82.pdf#page=1","Abrir facsímil")</f>
        <v>Abrir facsímil</v>
      </c>
      <c r="K7693" s="3" t="s">
        <v>23</v>
      </c>
    </row>
    <row r="7694" spans="1:11" ht="42" customHeight="1">
      <c r="A7694" s="2" t="s">
        <v>19218</v>
      </c>
      <c r="B7694" s="2" t="s">
        <v>19218</v>
      </c>
      <c r="C7694" s="2" t="s">
        <v>17</v>
      </c>
      <c r="D7694" s="2" t="s">
        <v>27</v>
      </c>
      <c r="E7694" s="4">
        <v>-31934</v>
      </c>
      <c r="F7694" s="3" t="s">
        <v>509</v>
      </c>
      <c r="G7694" s="3" t="s">
        <v>19229</v>
      </c>
      <c r="H7694" s="2" t="s">
        <v>21</v>
      </c>
      <c r="I7694" s="2" t="s">
        <v>19230</v>
      </c>
      <c r="J7694" s="3" t="str">
        <f>HYPERLINK("https://www.boe.es/gazeta/dias/1812/07/25/pdfs/GRE-1812-93.pdf#page=6","Abrir facsímil")</f>
        <v>Abrir facsímil</v>
      </c>
      <c r="K7694" s="3" t="s">
        <v>23</v>
      </c>
    </row>
    <row r="7695" spans="1:11" ht="42" customHeight="1">
      <c r="A7695" s="2" t="s">
        <v>19218</v>
      </c>
      <c r="B7695" s="2" t="s">
        <v>19218</v>
      </c>
      <c r="C7695" s="2" t="s">
        <v>17</v>
      </c>
      <c r="D7695" s="2" t="s">
        <v>18</v>
      </c>
      <c r="E7695" s="4">
        <v>-31896</v>
      </c>
      <c r="F7695" s="3" t="s">
        <v>1808</v>
      </c>
      <c r="G7695" s="3" t="s">
        <v>214</v>
      </c>
      <c r="H7695" s="2" t="s">
        <v>21</v>
      </c>
      <c r="I7695" s="2" t="s">
        <v>19231</v>
      </c>
      <c r="J7695" s="3" t="str">
        <f>HYPERLINK("https://www.boe.es/gazeta/dias/1812/09/01/pdfs/GMR-1812-8.pdf#page=7","Abrir facsímil")</f>
        <v>Abrir facsímil</v>
      </c>
      <c r="K7695" s="3" t="s">
        <v>23</v>
      </c>
    </row>
    <row r="7696" spans="1:11" ht="42" customHeight="1">
      <c r="A7696" s="2" t="s">
        <v>19218</v>
      </c>
      <c r="B7696" s="2" t="s">
        <v>19218</v>
      </c>
      <c r="C7696" s="2" t="s">
        <v>17</v>
      </c>
      <c r="D7696" s="2" t="s">
        <v>18</v>
      </c>
      <c r="E7696" s="4">
        <v>-31873</v>
      </c>
      <c r="F7696" s="3" t="s">
        <v>654</v>
      </c>
      <c r="G7696" s="3" t="s">
        <v>19232</v>
      </c>
      <c r="H7696" s="2" t="s">
        <v>21</v>
      </c>
      <c r="I7696" s="2" t="s">
        <v>19233</v>
      </c>
      <c r="J7696" s="3" t="str">
        <f>HYPERLINK("https://www.boe.es/gazeta/dias/1812/09/24/pdfs/GRE-1812-130.pdf#page=5","Abrir facsímil")</f>
        <v>Abrir facsímil</v>
      </c>
      <c r="K7696" s="3" t="s">
        <v>23</v>
      </c>
    </row>
    <row r="7697" spans="1:11" ht="42" customHeight="1">
      <c r="A7697" s="2" t="s">
        <v>19218</v>
      </c>
      <c r="B7697" s="2" t="s">
        <v>19218</v>
      </c>
      <c r="C7697" s="2" t="s">
        <v>49</v>
      </c>
      <c r="D7697" s="2" t="s">
        <v>18</v>
      </c>
      <c r="E7697" s="4">
        <v>-31873</v>
      </c>
      <c r="F7697" s="3" t="s">
        <v>654</v>
      </c>
      <c r="G7697" s="3" t="s">
        <v>4344</v>
      </c>
      <c r="H7697" s="2" t="s">
        <v>21</v>
      </c>
      <c r="I7697" s="2" t="s">
        <v>19234</v>
      </c>
      <c r="J7697" s="3" t="str">
        <f>HYPERLINK("https://www.boe.es/gazeta/dias/1812/09/24/pdfs/GRE-1812-130.pdf#page=6","Abrir facsímil")</f>
        <v>Abrir facsímil</v>
      </c>
      <c r="K7697" s="3" t="s">
        <v>23</v>
      </c>
    </row>
    <row r="7698" spans="1:11" ht="42" customHeight="1">
      <c r="A7698" s="2" t="s">
        <v>19218</v>
      </c>
      <c r="B7698" s="2" t="s">
        <v>19218</v>
      </c>
      <c r="C7698" s="2" t="s">
        <v>17</v>
      </c>
      <c r="D7698" s="2" t="s">
        <v>27</v>
      </c>
      <c r="E7698" s="4">
        <v>-31868</v>
      </c>
      <c r="F7698" s="3" t="s">
        <v>1833</v>
      </c>
      <c r="G7698" s="3" t="s">
        <v>20</v>
      </c>
      <c r="H7698" s="2" t="s">
        <v>21</v>
      </c>
      <c r="I7698" s="2" t="s">
        <v>19235</v>
      </c>
      <c r="J7698" s="3" t="str">
        <f>HYPERLINK("https://www.boe.es/gazeta/dias/1812/09/29/pdfs/GMR-1812-20.pdf#page=12","Abrir facsímil")</f>
        <v>Abrir facsímil</v>
      </c>
      <c r="K7698" s="3" t="s">
        <v>23</v>
      </c>
    </row>
    <row r="7699" spans="1:11" ht="42" customHeight="1">
      <c r="A7699" s="2" t="s">
        <v>19218</v>
      </c>
      <c r="B7699" s="2" t="s">
        <v>19218</v>
      </c>
      <c r="C7699" s="2" t="s">
        <v>105</v>
      </c>
      <c r="D7699" s="2" t="s">
        <v>27</v>
      </c>
      <c r="E7699" s="4">
        <v>-31845</v>
      </c>
      <c r="F7699" s="3" t="s">
        <v>723</v>
      </c>
      <c r="G7699" s="3" t="s">
        <v>20</v>
      </c>
      <c r="H7699" s="2" t="s">
        <v>21</v>
      </c>
      <c r="I7699" s="2" t="s">
        <v>19236</v>
      </c>
      <c r="J7699" s="3" t="str">
        <f>HYPERLINK("https://www.boe.es/gazeta/dias/1812/10/22/pdfs/GMR-1812-30.pdf#page=7","Abrir facsímil")</f>
        <v>Abrir facsímil</v>
      </c>
      <c r="K7699" s="3" t="s">
        <v>23</v>
      </c>
    </row>
    <row r="7700" spans="1:11" ht="42" customHeight="1">
      <c r="A7700" s="2" t="s">
        <v>19218</v>
      </c>
      <c r="B7700" s="2" t="s">
        <v>19218</v>
      </c>
      <c r="C7700" s="2" t="s">
        <v>17</v>
      </c>
      <c r="D7700" s="2" t="s">
        <v>18</v>
      </c>
      <c r="E7700" s="4">
        <v>-31833</v>
      </c>
      <c r="F7700" s="3" t="s">
        <v>267</v>
      </c>
      <c r="G7700" s="3" t="s">
        <v>14416</v>
      </c>
      <c r="H7700" s="2" t="s">
        <v>21</v>
      </c>
      <c r="I7700" s="2" t="s">
        <v>19237</v>
      </c>
      <c r="J7700" s="3" t="str">
        <f>HYPERLINK("https://www.boe.es/gazeta/dias/1812/11/03/pdfs/GRE-1812-147.pdf#page=3","Abrir facsímil")</f>
        <v>Abrir facsímil</v>
      </c>
      <c r="K7700" s="3" t="s">
        <v>23</v>
      </c>
    </row>
    <row r="7701" spans="1:11" ht="42" customHeight="1">
      <c r="A7701" s="2" t="s">
        <v>19218</v>
      </c>
      <c r="B7701" s="2" t="s">
        <v>19218</v>
      </c>
      <c r="C7701" s="2" t="s">
        <v>17</v>
      </c>
      <c r="D7701" s="2" t="s">
        <v>18</v>
      </c>
      <c r="E7701" s="4">
        <v>-31831</v>
      </c>
      <c r="F7701" s="3" t="s">
        <v>1963</v>
      </c>
      <c r="G7701" s="3" t="s">
        <v>1964</v>
      </c>
      <c r="H7701" s="2" t="s">
        <v>21</v>
      </c>
      <c r="I7701" s="2" t="s">
        <v>19238</v>
      </c>
      <c r="J7701" s="3" t="str">
        <f>HYPERLINK("https://www.boe.es/gazeta/dias/1812/11/05/pdfs/GRE-1812-148.pdf#page=4","Abrir facsímil")</f>
        <v>Abrir facsímil</v>
      </c>
      <c r="K7701" s="3" t="s">
        <v>23</v>
      </c>
    </row>
    <row r="7702" spans="1:11" ht="42" customHeight="1">
      <c r="A7702" s="2" t="s">
        <v>19218</v>
      </c>
      <c r="B7702" s="2" t="s">
        <v>19218</v>
      </c>
      <c r="C7702" s="2" t="s">
        <v>17</v>
      </c>
      <c r="D7702" s="2" t="s">
        <v>27</v>
      </c>
      <c r="E7702" s="4">
        <v>-31778</v>
      </c>
      <c r="F7702" s="3" t="s">
        <v>1966</v>
      </c>
      <c r="G7702" s="3" t="s">
        <v>237</v>
      </c>
      <c r="H7702" s="2" t="s">
        <v>21</v>
      </c>
      <c r="I7702" s="2" t="s">
        <v>19239</v>
      </c>
      <c r="J7702" s="3" t="str">
        <f>HYPERLINK("https://www.boe.es/gazeta/dias/1812/12/28/pdfs/GMD-1812-251.pdf#page=2","Abrir facsímil")</f>
        <v>Abrir facsímil</v>
      </c>
      <c r="K7702" s="3" t="s">
        <v>23</v>
      </c>
    </row>
    <row r="7703" spans="1:11" ht="42" customHeight="1">
      <c r="A7703" s="2" t="s">
        <v>19240</v>
      </c>
      <c r="B7703" s="2" t="s">
        <v>19240</v>
      </c>
      <c r="C7703" s="2" t="s">
        <v>17</v>
      </c>
      <c r="D7703" s="2" t="s">
        <v>27</v>
      </c>
      <c r="E7703" s="4">
        <v>-32035</v>
      </c>
      <c r="F7703" s="3" t="s">
        <v>2646</v>
      </c>
      <c r="G7703" s="3" t="s">
        <v>1176</v>
      </c>
      <c r="H7703" s="2" t="s">
        <v>21</v>
      </c>
      <c r="I7703" s="2" t="s">
        <v>19241</v>
      </c>
      <c r="J7703" s="3" t="str">
        <f>HYPERLINK("https://www.boe.es/gazeta/dias/1812/04/15/pdfs/GMD-1812-106.pdf#page=2","Abrir facsímil")</f>
        <v>Abrir facsímil</v>
      </c>
      <c r="K7703" s="3" t="s">
        <v>23</v>
      </c>
    </row>
    <row r="7704" spans="1:11" ht="42" customHeight="1">
      <c r="A7704" s="2" t="s">
        <v>19242</v>
      </c>
      <c r="B7704" s="2" t="s">
        <v>19242</v>
      </c>
      <c r="C7704" s="2" t="s">
        <v>17</v>
      </c>
      <c r="D7704" s="2" t="s">
        <v>27</v>
      </c>
      <c r="E7704" s="4">
        <v>-32115</v>
      </c>
      <c r="F7704" s="3" t="s">
        <v>747</v>
      </c>
      <c r="G7704" s="3" t="s">
        <v>739</v>
      </c>
      <c r="H7704" s="2" t="s">
        <v>21</v>
      </c>
      <c r="I7704" s="2" t="s">
        <v>19243</v>
      </c>
      <c r="J7704" s="3" t="str">
        <f>HYPERLINK("https://www.boe.es/gazeta/dias/1812/01/26/pdfs/GMD-1812-26.pdf#page=3","Abrir facsímil")</f>
        <v>Abrir facsímil</v>
      </c>
      <c r="K7704" s="3" t="s">
        <v>23</v>
      </c>
    </row>
    <row r="7705" spans="1:11" ht="42" customHeight="1">
      <c r="A7705" s="2" t="s">
        <v>19244</v>
      </c>
      <c r="B7705" s="2" t="s">
        <v>19244</v>
      </c>
      <c r="C7705" s="2" t="s">
        <v>17</v>
      </c>
      <c r="D7705" s="2" t="s">
        <v>573</v>
      </c>
      <c r="E7705" s="4">
        <v>-31921</v>
      </c>
      <c r="F7705" s="3" t="s">
        <v>785</v>
      </c>
      <c r="G7705" s="3" t="s">
        <v>45</v>
      </c>
      <c r="H7705" s="2" t="s">
        <v>21</v>
      </c>
      <c r="I7705" s="2" t="s">
        <v>19245</v>
      </c>
      <c r="J7705" s="3" t="str">
        <f>HYPERLINK("https://www.boe.es/gazeta/dias/1812/08/07/pdfs/GRE-1812-101E.pdf#page=5","Abrir facsímil")</f>
        <v>Abrir facsímil</v>
      </c>
      <c r="K7705" s="3" t="s">
        <v>23</v>
      </c>
    </row>
    <row r="7706" spans="1:11" ht="42" customHeight="1">
      <c r="A7706" s="2" t="s">
        <v>19246</v>
      </c>
      <c r="B7706" s="2" t="s">
        <v>19246</v>
      </c>
      <c r="C7706" s="2" t="s">
        <v>17</v>
      </c>
      <c r="D7706" s="2" t="s">
        <v>27</v>
      </c>
      <c r="E7706" s="4">
        <v>-31905</v>
      </c>
      <c r="F7706" s="3" t="s">
        <v>855</v>
      </c>
      <c r="G7706" s="3" t="s">
        <v>1650</v>
      </c>
      <c r="H7706" s="2" t="s">
        <v>21</v>
      </c>
      <c r="I7706" s="2" t="s">
        <v>19247</v>
      </c>
      <c r="J7706" s="3" t="str">
        <f>HYPERLINK("https://www.boe.es/gazeta/dias/1812/08/23/pdfs/GMR-1812-4.pdf#page=5","Abrir facsímil")</f>
        <v>Abrir facsímil</v>
      </c>
      <c r="K7706" s="3" t="s">
        <v>23</v>
      </c>
    </row>
    <row r="7707" spans="1:11" ht="42" customHeight="1">
      <c r="A7707" s="2" t="s">
        <v>19248</v>
      </c>
      <c r="B7707" s="2" t="s">
        <v>19248</v>
      </c>
      <c r="C7707" s="2" t="s">
        <v>17</v>
      </c>
      <c r="D7707" s="2" t="s">
        <v>18</v>
      </c>
      <c r="E7707" s="4">
        <v>-31793</v>
      </c>
      <c r="F7707" s="3" t="s">
        <v>2570</v>
      </c>
      <c r="G7707" s="3" t="s">
        <v>217</v>
      </c>
      <c r="H7707" s="2" t="s">
        <v>21</v>
      </c>
      <c r="I7707" s="2" t="s">
        <v>19249</v>
      </c>
      <c r="J7707" s="3" t="str">
        <f>HYPERLINK("https://www.boe.es/gazeta/dias/1812/12/13/pdfs/GMD-1812-236.pdf#page=4","Abrir facsímil")</f>
        <v>Abrir facsímil</v>
      </c>
      <c r="K7707" s="3" t="s">
        <v>23</v>
      </c>
    </row>
    <row r="7708" spans="1:11" ht="42" customHeight="1">
      <c r="A7708" s="2" t="s">
        <v>19250</v>
      </c>
      <c r="B7708" s="2" t="s">
        <v>19251</v>
      </c>
      <c r="C7708" s="2" t="s">
        <v>26</v>
      </c>
      <c r="D7708" s="2" t="s">
        <v>194</v>
      </c>
      <c r="E7708" s="4">
        <v>-32103</v>
      </c>
      <c r="F7708" s="3" t="s">
        <v>1996</v>
      </c>
      <c r="G7708" s="3" t="s">
        <v>2354</v>
      </c>
      <c r="H7708" s="2" t="s">
        <v>21</v>
      </c>
      <c r="I7708" s="2" t="s">
        <v>19252</v>
      </c>
      <c r="J7708" s="3" t="str">
        <f>HYPERLINK("https://www.boe.es/gazeta/dias/1812/02/07/pdfs/GMD-1812-38.pdf#page=3","Abrir facsímil")</f>
        <v>Abrir facsímil</v>
      </c>
      <c r="K7708" s="3" t="s">
        <v>23</v>
      </c>
    </row>
    <row r="7709" spans="1:11" ht="42" customHeight="1">
      <c r="A7709" s="2" t="s">
        <v>19253</v>
      </c>
      <c r="B7709" s="2" t="s">
        <v>19254</v>
      </c>
      <c r="C7709" s="2" t="s">
        <v>17</v>
      </c>
      <c r="D7709" s="2" t="s">
        <v>27</v>
      </c>
      <c r="E7709" s="4">
        <v>-31861</v>
      </c>
      <c r="F7709" s="3" t="s">
        <v>1080</v>
      </c>
      <c r="G7709" s="3" t="s">
        <v>58</v>
      </c>
      <c r="H7709" s="2" t="s">
        <v>21</v>
      </c>
      <c r="I7709" s="2" t="s">
        <v>19255</v>
      </c>
      <c r="J7709" s="3" t="str">
        <f>HYPERLINK("https://www.boe.es/gazeta/dias/1812/10/06/pdfs/GMR-1812-23.pdf#page=8","Abrir facsímil")</f>
        <v>Abrir facsímil</v>
      </c>
      <c r="K7709" s="3" t="s">
        <v>23</v>
      </c>
    </row>
    <row r="7710" spans="1:11" ht="42" customHeight="1">
      <c r="A7710" s="2" t="s">
        <v>19253</v>
      </c>
      <c r="B7710" s="2" t="s">
        <v>19254</v>
      </c>
      <c r="C7710" s="2" t="s">
        <v>49</v>
      </c>
      <c r="D7710" s="2" t="s">
        <v>18</v>
      </c>
      <c r="E7710" s="4">
        <v>-31850</v>
      </c>
      <c r="F7710" s="3" t="s">
        <v>2178</v>
      </c>
      <c r="G7710" s="3" t="s">
        <v>196</v>
      </c>
      <c r="H7710" s="2" t="s">
        <v>21</v>
      </c>
      <c r="I7710" s="2" t="s">
        <v>19256</v>
      </c>
      <c r="J7710" s="3" t="str">
        <f>HYPERLINK("https://www.boe.es/gazeta/dias/1812/10/17/pdfs/GRE-1812-140.pdf#page=1","Abrir facsímil")</f>
        <v>Abrir facsímil</v>
      </c>
      <c r="K7710" s="3" t="s">
        <v>23</v>
      </c>
    </row>
    <row r="7711" spans="1:11" ht="42" customHeight="1">
      <c r="A7711" s="2" t="s">
        <v>19253</v>
      </c>
      <c r="B7711" s="2" t="s">
        <v>19254</v>
      </c>
      <c r="C7711" s="2" t="s">
        <v>17</v>
      </c>
      <c r="D7711" s="2" t="s">
        <v>27</v>
      </c>
      <c r="E7711" s="4">
        <v>-31801</v>
      </c>
      <c r="F7711" s="3" t="s">
        <v>1914</v>
      </c>
      <c r="G7711" s="3" t="s">
        <v>11918</v>
      </c>
      <c r="H7711" s="2" t="s">
        <v>21</v>
      </c>
      <c r="I7711" s="2" t="s">
        <v>19257</v>
      </c>
      <c r="J7711" s="3" t="str">
        <f>HYPERLINK("https://www.boe.es/gazeta/dias/1812/12/05/pdfs/GRE-1812-161.pdf#page=2","Abrir facsímil")</f>
        <v>Abrir facsímil</v>
      </c>
      <c r="K7711" s="3" t="s">
        <v>23</v>
      </c>
    </row>
    <row r="7712" spans="1:11" ht="42" customHeight="1">
      <c r="A7712" s="2" t="s">
        <v>19258</v>
      </c>
      <c r="B7712" s="2" t="s">
        <v>19259</v>
      </c>
      <c r="C7712" s="2" t="s">
        <v>17</v>
      </c>
      <c r="D7712" s="2" t="s">
        <v>18</v>
      </c>
      <c r="E7712" s="4">
        <v>-31852</v>
      </c>
      <c r="F7712" s="3" t="s">
        <v>4370</v>
      </c>
      <c r="G7712" s="3" t="s">
        <v>214</v>
      </c>
      <c r="H7712" s="2" t="s">
        <v>21</v>
      </c>
      <c r="I7712" s="2" t="s">
        <v>19260</v>
      </c>
      <c r="J7712" s="3" t="str">
        <f>HYPERLINK("https://www.boe.es/gazeta/dias/1812/10/15/pdfs/GMR-1812-27.pdf#page=2","Abrir facsímil")</f>
        <v>Abrir facsímil</v>
      </c>
      <c r="K7712" s="3" t="s">
        <v>23</v>
      </c>
    </row>
    <row r="7713" spans="1:11" ht="42" customHeight="1">
      <c r="A7713" s="2" t="s">
        <v>19261</v>
      </c>
      <c r="B7713" s="2" t="s">
        <v>19262</v>
      </c>
      <c r="C7713" s="2" t="s">
        <v>549</v>
      </c>
      <c r="D7713" s="2" t="s">
        <v>27</v>
      </c>
      <c r="E7713" s="4">
        <v>-32132</v>
      </c>
      <c r="F7713" s="3" t="s">
        <v>484</v>
      </c>
      <c r="G7713" s="3" t="s">
        <v>485</v>
      </c>
      <c r="H7713" s="2" t="s">
        <v>21</v>
      </c>
      <c r="I7713" s="2" t="s">
        <v>19263</v>
      </c>
      <c r="J7713" s="3" t="str">
        <f>HYPERLINK("https://www.boe.es/gazeta/dias/1812/01/09/pdfs/GEI-1812-4.pdf#page=8","Abrir facsímil")</f>
        <v>Abrir facsímil</v>
      </c>
      <c r="K7713" s="3" t="s">
        <v>23</v>
      </c>
    </row>
    <row r="7714" spans="1:11" ht="42" customHeight="1">
      <c r="A7714" s="2" t="s">
        <v>19264</v>
      </c>
      <c r="B7714" s="2" t="s">
        <v>19265</v>
      </c>
      <c r="C7714" s="2" t="s">
        <v>26</v>
      </c>
      <c r="D7714" s="2" t="s">
        <v>27</v>
      </c>
      <c r="E7714" s="4">
        <v>-32125</v>
      </c>
      <c r="F7714" s="3" t="s">
        <v>335</v>
      </c>
      <c r="G7714" s="3" t="s">
        <v>336</v>
      </c>
      <c r="H7714" s="2" t="s">
        <v>21</v>
      </c>
      <c r="I7714" s="2" t="s">
        <v>19266</v>
      </c>
      <c r="J7714" s="3" t="str">
        <f>HYPERLINK("https://www.boe.es/gazeta/dias/1812/01/16/pdfs/GEI-1812-7.pdf#page=8","Abrir facsímil")</f>
        <v>Abrir facsímil</v>
      </c>
      <c r="K7714" s="3" t="s">
        <v>23</v>
      </c>
    </row>
    <row r="7715" spans="1:11" ht="42" customHeight="1">
      <c r="A7715" s="2" t="s">
        <v>19267</v>
      </c>
      <c r="B7715" s="2" t="s">
        <v>19267</v>
      </c>
      <c r="C7715" s="2" t="s">
        <v>26</v>
      </c>
      <c r="D7715" s="2" t="s">
        <v>194</v>
      </c>
      <c r="E7715" s="4">
        <v>-31875</v>
      </c>
      <c r="F7715" s="3" t="s">
        <v>708</v>
      </c>
      <c r="G7715" s="3" t="s">
        <v>36</v>
      </c>
      <c r="H7715" s="2" t="s">
        <v>21</v>
      </c>
      <c r="I7715" s="2" t="s">
        <v>19268</v>
      </c>
      <c r="J7715" s="3" t="str">
        <f>HYPERLINK("https://www.boe.es/gazeta/dias/1812/09/22/pdfs/GMR-1812-17.pdf#page=3","Abrir facsímil")</f>
        <v>Abrir facsímil</v>
      </c>
      <c r="K7715" s="3" t="s">
        <v>23</v>
      </c>
    </row>
    <row r="7716" spans="1:11" ht="42" customHeight="1">
      <c r="A7716" s="2" t="s">
        <v>19269</v>
      </c>
      <c r="B7716" s="2" t="s">
        <v>19269</v>
      </c>
      <c r="C7716" s="2" t="s">
        <v>17</v>
      </c>
      <c r="D7716" s="2" t="s">
        <v>27</v>
      </c>
      <c r="E7716" s="4">
        <v>-32108</v>
      </c>
      <c r="F7716" s="3" t="s">
        <v>1143</v>
      </c>
      <c r="G7716" s="3" t="s">
        <v>125</v>
      </c>
      <c r="H7716" s="2" t="s">
        <v>21</v>
      </c>
      <c r="I7716" s="2" t="s">
        <v>19270</v>
      </c>
      <c r="J7716" s="3" t="str">
        <f>HYPERLINK("https://www.boe.es/gazeta/dias/1812/02/02/pdfs/GMD-1812-33.pdf#page=2","Abrir facsímil")</f>
        <v>Abrir facsímil</v>
      </c>
      <c r="K7716" s="3" t="s">
        <v>23</v>
      </c>
    </row>
    <row r="7717" spans="1:11" ht="42" customHeight="1">
      <c r="A7717" s="2" t="s">
        <v>19271</v>
      </c>
      <c r="B7717" s="2" t="s">
        <v>19272</v>
      </c>
      <c r="C7717" s="2" t="s">
        <v>17</v>
      </c>
      <c r="D7717" s="2" t="s">
        <v>573</v>
      </c>
      <c r="E7717" s="4">
        <v>-31921</v>
      </c>
      <c r="F7717" s="3" t="s">
        <v>785</v>
      </c>
      <c r="G7717" s="3" t="s">
        <v>45</v>
      </c>
      <c r="H7717" s="2" t="s">
        <v>21</v>
      </c>
      <c r="I7717" s="2" t="s">
        <v>19273</v>
      </c>
      <c r="J7717" s="3" t="str">
        <f>HYPERLINK("https://www.boe.es/gazeta/dias/1812/08/07/pdfs/GRE-1812-101E.pdf#page=5","Abrir facsímil")</f>
        <v>Abrir facsímil</v>
      </c>
      <c r="K7717" s="3" t="s">
        <v>23</v>
      </c>
    </row>
    <row r="7718" spans="1:11" ht="42" customHeight="1">
      <c r="A7718" s="2" t="s">
        <v>19274</v>
      </c>
      <c r="B7718" s="2" t="s">
        <v>19274</v>
      </c>
      <c r="C7718" s="2" t="s">
        <v>26</v>
      </c>
      <c r="D7718" s="2" t="s">
        <v>27</v>
      </c>
      <c r="E7718" s="4">
        <v>-32101</v>
      </c>
      <c r="F7718" s="3" t="s">
        <v>228</v>
      </c>
      <c r="G7718" s="3" t="s">
        <v>36</v>
      </c>
      <c r="H7718" s="2" t="s">
        <v>21</v>
      </c>
      <c r="I7718" s="2" t="s">
        <v>19275</v>
      </c>
      <c r="J7718" s="3" t="str">
        <f>HYPERLINK("https://www.boe.es/gazeta/dias/1812/02/09/pdfs/GMD-1812-40.pdf#page=3","Abrir facsímil")</f>
        <v>Abrir facsímil</v>
      </c>
      <c r="K7718" s="3" t="s">
        <v>23</v>
      </c>
    </row>
    <row r="7719" spans="1:11" ht="42" customHeight="1">
      <c r="A7719" s="2" t="s">
        <v>19276</v>
      </c>
      <c r="B7719" s="2" t="s">
        <v>19277</v>
      </c>
      <c r="C7719" s="2" t="s">
        <v>26</v>
      </c>
      <c r="D7719" s="2" t="s">
        <v>27</v>
      </c>
      <c r="E7719" s="4">
        <v>-32003</v>
      </c>
      <c r="F7719" s="3" t="s">
        <v>585</v>
      </c>
      <c r="G7719" s="3" t="s">
        <v>1805</v>
      </c>
      <c r="H7719" s="2" t="s">
        <v>21</v>
      </c>
      <c r="I7719" s="2" t="s">
        <v>19278</v>
      </c>
      <c r="J7719" s="3" t="str">
        <f>HYPERLINK("https://www.boe.es/gazeta/dias/1812/05/17/pdfs/GMD-1812-138.pdf#page=1","Abrir facsímil")</f>
        <v>Abrir facsímil</v>
      </c>
      <c r="K7719" s="3" t="s">
        <v>23</v>
      </c>
    </row>
    <row r="7720" spans="1:11" ht="42" customHeight="1">
      <c r="A7720" s="2" t="s">
        <v>19279</v>
      </c>
      <c r="B7720" s="2" t="s">
        <v>19279</v>
      </c>
      <c r="C7720" s="2" t="s">
        <v>49</v>
      </c>
      <c r="D7720" s="2" t="s">
        <v>27</v>
      </c>
      <c r="E7720" s="4">
        <v>-32064</v>
      </c>
      <c r="F7720" s="3" t="s">
        <v>403</v>
      </c>
      <c r="G7720" s="3" t="s">
        <v>404</v>
      </c>
      <c r="H7720" s="2" t="s">
        <v>21</v>
      </c>
      <c r="I7720" s="2" t="s">
        <v>19280</v>
      </c>
      <c r="J7720" s="3" t="str">
        <f>HYPERLINK("https://www.boe.es/gazeta/dias/1812/03/17/pdfs/GMD-1812-77.pdf#page=4","Abrir facsímil")</f>
        <v>Abrir facsímil</v>
      </c>
      <c r="K7720" s="3" t="s">
        <v>23</v>
      </c>
    </row>
    <row r="7721" spans="1:11" ht="42" customHeight="1">
      <c r="A7721" s="2" t="s">
        <v>19281</v>
      </c>
      <c r="B7721" s="2" t="s">
        <v>19281</v>
      </c>
      <c r="C7721" s="2" t="s">
        <v>17</v>
      </c>
      <c r="D7721" s="2" t="s">
        <v>27</v>
      </c>
      <c r="E7721" s="4">
        <v>-31777</v>
      </c>
      <c r="F7721" s="3" t="s">
        <v>960</v>
      </c>
      <c r="G7721" s="3" t="s">
        <v>172</v>
      </c>
      <c r="H7721" s="2" t="s">
        <v>21</v>
      </c>
      <c r="I7721" s="2" t="s">
        <v>19282</v>
      </c>
      <c r="J7721" s="3" t="str">
        <f>HYPERLINK("https://www.boe.es/gazeta/dias/1812/12/29/pdfs/GMD-1812-252.pdf#page=4","Abrir facsímil")</f>
        <v>Abrir facsímil</v>
      </c>
      <c r="K7721" s="3" t="s">
        <v>23</v>
      </c>
    </row>
    <row r="7722" spans="1:11" ht="42" customHeight="1">
      <c r="A7722" s="2" t="s">
        <v>19283</v>
      </c>
      <c r="B7722" s="2" t="s">
        <v>19283</v>
      </c>
      <c r="C7722" s="2" t="s">
        <v>17</v>
      </c>
      <c r="D7722" s="2" t="s">
        <v>18</v>
      </c>
      <c r="E7722" s="4">
        <v>-31812</v>
      </c>
      <c r="F7722" s="3" t="s">
        <v>6528</v>
      </c>
      <c r="G7722" s="3" t="s">
        <v>6529</v>
      </c>
      <c r="H7722" s="2" t="s">
        <v>21</v>
      </c>
      <c r="I7722" s="2" t="s">
        <v>19284</v>
      </c>
      <c r="J7722" s="3" t="str">
        <f>HYPERLINK("https://www.boe.es/gazeta/dias/1812/11/24/pdfs/GRE-1812-156.pdf#page=2","Abrir facsímil")</f>
        <v>Abrir facsímil</v>
      </c>
      <c r="K7722" s="3" t="s">
        <v>23</v>
      </c>
    </row>
    <row r="7723" spans="1:11" ht="42" customHeight="1">
      <c r="A7723" s="2" t="s">
        <v>19283</v>
      </c>
      <c r="B7723" s="2" t="s">
        <v>19283</v>
      </c>
      <c r="C7723" s="2" t="s">
        <v>49</v>
      </c>
      <c r="D7723" s="2" t="s">
        <v>27</v>
      </c>
      <c r="E7723" s="4">
        <v>-31801</v>
      </c>
      <c r="F7723" s="3" t="s">
        <v>1914</v>
      </c>
      <c r="G7723" s="3" t="s">
        <v>196</v>
      </c>
      <c r="H7723" s="2" t="s">
        <v>21</v>
      </c>
      <c r="I7723" s="2" t="s">
        <v>19285</v>
      </c>
      <c r="J7723" s="3" t="str">
        <f>HYPERLINK("https://www.boe.es/gazeta/dias/1812/12/05/pdfs/GRE-1812-161.pdf#page=1","Abrir facsímil")</f>
        <v>Abrir facsímil</v>
      </c>
      <c r="K7723" s="3" t="s">
        <v>23</v>
      </c>
    </row>
    <row r="7724" spans="1:11" ht="42" customHeight="1">
      <c r="A7724" s="2" t="s">
        <v>19283</v>
      </c>
      <c r="B7724" s="2" t="s">
        <v>19283</v>
      </c>
      <c r="C7724" s="2" t="s">
        <v>26</v>
      </c>
      <c r="D7724" s="2" t="s">
        <v>27</v>
      </c>
      <c r="E7724" s="4">
        <v>-31801</v>
      </c>
      <c r="F7724" s="3" t="s">
        <v>1914</v>
      </c>
      <c r="G7724" s="3" t="s">
        <v>11918</v>
      </c>
      <c r="H7724" s="2" t="s">
        <v>21</v>
      </c>
      <c r="I7724" s="2" t="s">
        <v>19286</v>
      </c>
      <c r="J7724" s="3" t="str">
        <f>HYPERLINK("https://www.boe.es/gazeta/dias/1812/12/05/pdfs/GRE-1812-161.pdf#page=2","Abrir facsímil")</f>
        <v>Abrir facsímil</v>
      </c>
      <c r="K7724" s="3" t="s">
        <v>23</v>
      </c>
    </row>
    <row r="7725" spans="1:11" ht="42" customHeight="1">
      <c r="A7725" s="2" t="s">
        <v>19283</v>
      </c>
      <c r="B7725" s="2" t="s">
        <v>19283</v>
      </c>
      <c r="C7725" s="2" t="s">
        <v>17</v>
      </c>
      <c r="D7725" s="2" t="s">
        <v>27</v>
      </c>
      <c r="E7725" s="4">
        <v>-31801</v>
      </c>
      <c r="F7725" s="3" t="s">
        <v>1914</v>
      </c>
      <c r="G7725" s="3" t="s">
        <v>1915</v>
      </c>
      <c r="H7725" s="2" t="s">
        <v>21</v>
      </c>
      <c r="I7725" s="2" t="s">
        <v>19287</v>
      </c>
      <c r="J7725" s="3" t="str">
        <f>HYPERLINK("https://www.boe.es/gazeta/dias/1812/12/05/pdfs/GRE-1812-161.pdf#page=3","Abrir facsímil")</f>
        <v>Abrir facsímil</v>
      </c>
      <c r="K7725" s="3" t="s">
        <v>23</v>
      </c>
    </row>
    <row r="7726" spans="1:11" ht="42" customHeight="1">
      <c r="A7726" s="2" t="s">
        <v>19288</v>
      </c>
      <c r="B7726" s="2" t="s">
        <v>19288</v>
      </c>
      <c r="C7726" s="2" t="s">
        <v>17</v>
      </c>
      <c r="D7726" s="2" t="s">
        <v>27</v>
      </c>
      <c r="E7726" s="4">
        <v>-31777</v>
      </c>
      <c r="F7726" s="3" t="s">
        <v>1118</v>
      </c>
      <c r="G7726" s="3" t="s">
        <v>7302</v>
      </c>
      <c r="H7726" s="2" t="s">
        <v>21</v>
      </c>
      <c r="I7726" s="2" t="s">
        <v>19289</v>
      </c>
      <c r="J7726" s="3" t="str">
        <f>HYPERLINK("https://www.boe.es/gazeta/dias/1812/12/29/pdfs/GRE-1812-171.pdf#page=3","Abrir facsímil")</f>
        <v>Abrir facsímil</v>
      </c>
      <c r="K7726" s="3" t="s">
        <v>23</v>
      </c>
    </row>
    <row r="7727" spans="1:11" ht="42" customHeight="1">
      <c r="A7727" s="2" t="s">
        <v>19290</v>
      </c>
      <c r="B7727" s="2" t="s">
        <v>19290</v>
      </c>
      <c r="C7727" s="2" t="s">
        <v>17</v>
      </c>
      <c r="D7727" s="2" t="s">
        <v>27</v>
      </c>
      <c r="E7727" s="4">
        <v>-31777</v>
      </c>
      <c r="F7727" s="3" t="s">
        <v>1118</v>
      </c>
      <c r="G7727" s="3" t="s">
        <v>7302</v>
      </c>
      <c r="H7727" s="2" t="s">
        <v>21</v>
      </c>
      <c r="I7727" s="2" t="s">
        <v>19291</v>
      </c>
      <c r="J7727" s="3" t="str">
        <f>HYPERLINK("https://www.boe.es/gazeta/dias/1812/12/29/pdfs/GRE-1812-171.pdf#page=3","Abrir facsímil")</f>
        <v>Abrir facsímil</v>
      </c>
      <c r="K7727" s="3" t="s">
        <v>23</v>
      </c>
    </row>
    <row r="7728" spans="1:11" ht="42" customHeight="1">
      <c r="A7728" s="2" t="s">
        <v>19292</v>
      </c>
      <c r="B7728" s="2" t="s">
        <v>19293</v>
      </c>
      <c r="C7728" s="2" t="s">
        <v>26</v>
      </c>
      <c r="D7728" s="2" t="s">
        <v>275</v>
      </c>
      <c r="E7728" s="4">
        <v>-32050</v>
      </c>
      <c r="F7728" s="3" t="s">
        <v>864</v>
      </c>
      <c r="G7728" s="3" t="s">
        <v>29</v>
      </c>
      <c r="H7728" s="2" t="s">
        <v>21</v>
      </c>
      <c r="I7728" s="2" t="s">
        <v>19294</v>
      </c>
      <c r="J7728" s="3" t="str">
        <f>HYPERLINK("https://www.boe.es/gazeta/dias/1812/03/31/pdfs/GRE-1812-40.pdf#page=8","Abrir facsímil")</f>
        <v>Abrir facsímil</v>
      </c>
      <c r="K7728" s="3" t="s">
        <v>23</v>
      </c>
    </row>
    <row r="7729" spans="1:11" ht="42" customHeight="1">
      <c r="A7729" s="2" t="s">
        <v>19295</v>
      </c>
      <c r="B7729" s="2" t="s">
        <v>19295</v>
      </c>
      <c r="C7729" s="2" t="s">
        <v>17</v>
      </c>
      <c r="D7729" s="2" t="s">
        <v>27</v>
      </c>
      <c r="E7729" s="4">
        <v>-31878</v>
      </c>
      <c r="F7729" s="3" t="s">
        <v>1831</v>
      </c>
      <c r="G7729" s="3" t="s">
        <v>20</v>
      </c>
      <c r="H7729" s="2" t="s">
        <v>21</v>
      </c>
      <c r="I7729" s="2" t="s">
        <v>19296</v>
      </c>
      <c r="J7729" s="3" t="str">
        <f>HYPERLINK("https://www.boe.es/gazeta/dias/1812/09/19/pdfs/GMR-1812-16.pdf#page=2","Abrir facsímil")</f>
        <v>Abrir facsímil</v>
      </c>
      <c r="K7729" s="3" t="s">
        <v>23</v>
      </c>
    </row>
    <row r="7730" spans="1:11" ht="42" customHeight="1">
      <c r="A7730" s="2" t="s">
        <v>19297</v>
      </c>
      <c r="B7730" s="2" t="s">
        <v>19298</v>
      </c>
      <c r="C7730" s="2" t="s">
        <v>17</v>
      </c>
      <c r="D7730" s="2" t="s">
        <v>18</v>
      </c>
      <c r="E7730" s="4">
        <v>-31780</v>
      </c>
      <c r="F7730" s="3" t="s">
        <v>3317</v>
      </c>
      <c r="G7730" s="3" t="s">
        <v>45</v>
      </c>
      <c r="H7730" s="2" t="s">
        <v>21</v>
      </c>
      <c r="I7730" s="2" t="s">
        <v>19299</v>
      </c>
      <c r="J7730" s="3" t="str">
        <f>HYPERLINK("https://www.boe.es/gazeta/dias/1812/12/26/pdfs/GRE-1812-170.pdf#page=3","Abrir facsímil")</f>
        <v>Abrir facsímil</v>
      </c>
      <c r="K7730" s="3" t="s">
        <v>23</v>
      </c>
    </row>
    <row r="7731" spans="1:11" ht="42" customHeight="1">
      <c r="A7731" s="2" t="s">
        <v>19300</v>
      </c>
      <c r="B7731" s="2" t="s">
        <v>19300</v>
      </c>
      <c r="C7731" s="2" t="s">
        <v>26</v>
      </c>
      <c r="D7731" s="2" t="s">
        <v>194</v>
      </c>
      <c r="E7731" s="4">
        <v>-32032</v>
      </c>
      <c r="F7731" s="3" t="s">
        <v>531</v>
      </c>
      <c r="G7731" s="3" t="s">
        <v>3288</v>
      </c>
      <c r="H7731" s="2" t="s">
        <v>21</v>
      </c>
      <c r="I7731" s="2" t="s">
        <v>19301</v>
      </c>
      <c r="J7731" s="3" t="str">
        <f>HYPERLINK("https://www.boe.es/gazeta/dias/1812/04/18/pdfs/GMD-1812-109.pdf#page=1","Abrir facsímil")</f>
        <v>Abrir facsímil</v>
      </c>
      <c r="K7731" s="3" t="s">
        <v>23</v>
      </c>
    </row>
    <row r="7732" spans="1:11" ht="42" customHeight="1">
      <c r="A7732" s="2" t="s">
        <v>19302</v>
      </c>
      <c r="B7732" s="2" t="s">
        <v>19302</v>
      </c>
      <c r="C7732" s="2" t="s">
        <v>17</v>
      </c>
      <c r="D7732" s="2" t="s">
        <v>27</v>
      </c>
      <c r="E7732" s="4">
        <v>-31945</v>
      </c>
      <c r="F7732" s="3" t="s">
        <v>1485</v>
      </c>
      <c r="G7732" s="3" t="s">
        <v>2905</v>
      </c>
      <c r="H7732" s="2" t="s">
        <v>21</v>
      </c>
      <c r="I7732" s="2" t="s">
        <v>19303</v>
      </c>
      <c r="J7732" s="3" t="str">
        <f>HYPERLINK("https://www.boe.es/gazeta/dias/1812/07/14/pdfs/GRE-1812-88.pdf#page=2","Abrir facsímil")</f>
        <v>Abrir facsímil</v>
      </c>
      <c r="K7732" s="3" t="s">
        <v>23</v>
      </c>
    </row>
    <row r="7733" spans="1:11" ht="42" customHeight="1">
      <c r="A7733" s="2" t="s">
        <v>19304</v>
      </c>
      <c r="B7733" s="2" t="s">
        <v>19304</v>
      </c>
      <c r="C7733" s="2" t="s">
        <v>17</v>
      </c>
      <c r="D7733" s="2" t="s">
        <v>27</v>
      </c>
      <c r="E7733" s="4">
        <v>-31779</v>
      </c>
      <c r="F7733" s="3" t="s">
        <v>11039</v>
      </c>
      <c r="G7733" s="3" t="s">
        <v>3194</v>
      </c>
      <c r="H7733" s="2" t="s">
        <v>21</v>
      </c>
      <c r="I7733" s="2" t="s">
        <v>19305</v>
      </c>
      <c r="J7733" s="3" t="str">
        <f>HYPERLINK("https://www.boe.es/gazeta/dias/1812/12/27/pdfs/GMD-1812-250.pdf#page=1","Abrir facsímil")</f>
        <v>Abrir facsímil</v>
      </c>
      <c r="K7733" s="3" t="s">
        <v>23</v>
      </c>
    </row>
    <row r="7734" spans="1:11" ht="42" customHeight="1">
      <c r="A7734" s="2" t="s">
        <v>19306</v>
      </c>
      <c r="B7734" s="2" t="s">
        <v>19306</v>
      </c>
      <c r="C7734" s="2" t="s">
        <v>17</v>
      </c>
      <c r="D7734" s="2" t="s">
        <v>18</v>
      </c>
      <c r="E7734" s="4">
        <v>-31791</v>
      </c>
      <c r="F7734" s="3" t="s">
        <v>1668</v>
      </c>
      <c r="G7734" s="3" t="s">
        <v>1669</v>
      </c>
      <c r="H7734" s="2" t="s">
        <v>21</v>
      </c>
      <c r="I7734" s="2" t="s">
        <v>19307</v>
      </c>
      <c r="J7734" s="3" t="str">
        <f>HYPERLINK("https://www.boe.es/gazeta/dias/1812/12/15/pdfs/GMD-1812-238.pdf#page=3","Abrir facsímil")</f>
        <v>Abrir facsímil</v>
      </c>
      <c r="K7734" s="3" t="s">
        <v>23</v>
      </c>
    </row>
    <row r="7735" spans="1:11" ht="42" customHeight="1">
      <c r="A7735" s="2" t="s">
        <v>19308</v>
      </c>
      <c r="B7735" s="2" t="s">
        <v>19308</v>
      </c>
      <c r="C7735" s="2" t="s">
        <v>17</v>
      </c>
      <c r="D7735" s="2" t="s">
        <v>194</v>
      </c>
      <c r="E7735" s="4">
        <v>-31791</v>
      </c>
      <c r="F7735" s="3" t="s">
        <v>905</v>
      </c>
      <c r="G7735" s="3" t="s">
        <v>2551</v>
      </c>
      <c r="H7735" s="2" t="s">
        <v>21</v>
      </c>
      <c r="I7735" s="2" t="s">
        <v>19309</v>
      </c>
      <c r="J7735" s="3" t="str">
        <f>HYPERLINK("https://www.boe.es/gazeta/dias/1812/12/15/pdfs/GRE-1812-165.pdf#page=3","Abrir facsímil")</f>
        <v>Abrir facsímil</v>
      </c>
      <c r="K7735" s="3" t="s">
        <v>23</v>
      </c>
    </row>
    <row r="7736" spans="1:11" ht="42" customHeight="1">
      <c r="A7736" s="2" t="s">
        <v>19310</v>
      </c>
      <c r="B7736" s="2" t="s">
        <v>19311</v>
      </c>
      <c r="C7736" s="2" t="s">
        <v>26</v>
      </c>
      <c r="D7736" s="2" t="s">
        <v>27</v>
      </c>
      <c r="E7736" s="4">
        <v>-32095</v>
      </c>
      <c r="F7736" s="3" t="s">
        <v>1099</v>
      </c>
      <c r="G7736" s="3" t="s">
        <v>438</v>
      </c>
      <c r="H7736" s="2" t="s">
        <v>21</v>
      </c>
      <c r="I7736" s="2" t="s">
        <v>19312</v>
      </c>
      <c r="J7736" s="3" t="str">
        <f>HYPERLINK("https://www.boe.es/gazeta/dias/1812/02/15/pdfs/GMD-1812-46.pdf#page=4","Abrir facsímil")</f>
        <v>Abrir facsímil</v>
      </c>
      <c r="K7736" s="3" t="s">
        <v>23</v>
      </c>
    </row>
    <row r="7737" spans="1:11" ht="42" customHeight="1">
      <c r="A7737" s="2" t="s">
        <v>19313</v>
      </c>
      <c r="B7737" s="2" t="s">
        <v>19313</v>
      </c>
      <c r="C7737" s="2" t="s">
        <v>17</v>
      </c>
      <c r="D7737" s="2" t="s">
        <v>18</v>
      </c>
      <c r="E7737" s="4">
        <v>-31921</v>
      </c>
      <c r="F7737" s="3" t="s">
        <v>785</v>
      </c>
      <c r="G7737" s="3" t="s">
        <v>45</v>
      </c>
      <c r="H7737" s="2" t="s">
        <v>21</v>
      </c>
      <c r="I7737" s="2" t="s">
        <v>19314</v>
      </c>
      <c r="J7737" s="3" t="str">
        <f>HYPERLINK("https://www.boe.es/gazeta/dias/1812/08/07/pdfs/GRE-1812-101E.pdf#page=2","Abrir facsímil")</f>
        <v>Abrir facsímil</v>
      </c>
      <c r="K7737" s="3" t="s">
        <v>23</v>
      </c>
    </row>
    <row r="7738" spans="1:11" ht="42" customHeight="1">
      <c r="A7738" s="2" t="s">
        <v>19313</v>
      </c>
      <c r="B7738" s="2" t="s">
        <v>19313</v>
      </c>
      <c r="C7738" s="2" t="s">
        <v>17</v>
      </c>
      <c r="D7738" s="2" t="s">
        <v>573</v>
      </c>
      <c r="E7738" s="4">
        <v>-31921</v>
      </c>
      <c r="F7738" s="3" t="s">
        <v>785</v>
      </c>
      <c r="G7738" s="3" t="s">
        <v>1137</v>
      </c>
      <c r="H7738" s="2" t="s">
        <v>21</v>
      </c>
      <c r="I7738" s="2" t="s">
        <v>19315</v>
      </c>
      <c r="J7738" s="3" t="str">
        <f>HYPERLINK("https://www.boe.es/gazeta/dias/1812/08/07/pdfs/GRE-1812-101E.pdf#page=6","Abrir facsímil")</f>
        <v>Abrir facsímil</v>
      </c>
      <c r="K7738" s="3" t="s">
        <v>23</v>
      </c>
    </row>
    <row r="7739" spans="1:11" ht="42" customHeight="1">
      <c r="A7739" s="2" t="s">
        <v>19313</v>
      </c>
      <c r="B7739" s="2" t="s">
        <v>19313</v>
      </c>
      <c r="C7739" s="2" t="s">
        <v>17</v>
      </c>
      <c r="D7739" s="2" t="s">
        <v>18</v>
      </c>
      <c r="E7739" s="4">
        <v>-31905</v>
      </c>
      <c r="F7739" s="3" t="s">
        <v>855</v>
      </c>
      <c r="G7739" s="3" t="s">
        <v>777</v>
      </c>
      <c r="H7739" s="2" t="s">
        <v>21</v>
      </c>
      <c r="I7739" s="2" t="s">
        <v>19316</v>
      </c>
      <c r="J7739" s="3" t="str">
        <f>HYPERLINK("https://www.boe.es/gazeta/dias/1812/08/23/pdfs/GMR-1812-4.pdf#page=2","Abrir facsímil")</f>
        <v>Abrir facsímil</v>
      </c>
      <c r="K7739" s="3" t="s">
        <v>23</v>
      </c>
    </row>
    <row r="7740" spans="1:11" ht="42" customHeight="1">
      <c r="A7740" s="2" t="s">
        <v>19313</v>
      </c>
      <c r="B7740" s="2" t="s">
        <v>19313</v>
      </c>
      <c r="C7740" s="2" t="s">
        <v>17</v>
      </c>
      <c r="D7740" s="2" t="s">
        <v>18</v>
      </c>
      <c r="E7740" s="4">
        <v>-31905</v>
      </c>
      <c r="F7740" s="3" t="s">
        <v>855</v>
      </c>
      <c r="G7740" s="3" t="s">
        <v>317</v>
      </c>
      <c r="H7740" s="2" t="s">
        <v>21</v>
      </c>
      <c r="I7740" s="2" t="s">
        <v>19317</v>
      </c>
      <c r="J7740" s="3" t="str">
        <f>HYPERLINK("https://www.boe.es/gazeta/dias/1812/08/23/pdfs/GMR-1812-4.pdf#page=6","Abrir facsímil")</f>
        <v>Abrir facsímil</v>
      </c>
      <c r="K7740" s="3" t="s">
        <v>23</v>
      </c>
    </row>
    <row r="7741" spans="1:11" ht="42" customHeight="1">
      <c r="A7741" s="2" t="s">
        <v>19313</v>
      </c>
      <c r="B7741" s="2" t="s">
        <v>19313</v>
      </c>
      <c r="C7741" s="2" t="s">
        <v>17</v>
      </c>
      <c r="D7741" s="2" t="s">
        <v>18</v>
      </c>
      <c r="E7741" s="4">
        <v>-31905</v>
      </c>
      <c r="F7741" s="3" t="s">
        <v>855</v>
      </c>
      <c r="G7741" s="3" t="s">
        <v>1826</v>
      </c>
      <c r="H7741" s="2" t="s">
        <v>21</v>
      </c>
      <c r="I7741" s="2" t="s">
        <v>19318</v>
      </c>
      <c r="J7741" s="3" t="str">
        <f>HYPERLINK("https://www.boe.es/gazeta/dias/1812/08/23/pdfs/GMR-1812-4.pdf#page=7","Abrir facsímil")</f>
        <v>Abrir facsímil</v>
      </c>
      <c r="K7741" s="3" t="s">
        <v>23</v>
      </c>
    </row>
    <row r="7742" spans="1:11" ht="42" customHeight="1">
      <c r="A7742" s="2" t="s">
        <v>19319</v>
      </c>
      <c r="B7742" s="2" t="s">
        <v>19319</v>
      </c>
      <c r="C7742" s="2" t="s">
        <v>17</v>
      </c>
      <c r="D7742" s="2" t="s">
        <v>27</v>
      </c>
      <c r="E7742" s="4">
        <v>-31905</v>
      </c>
      <c r="F7742" s="3" t="s">
        <v>855</v>
      </c>
      <c r="G7742" s="3" t="s">
        <v>29</v>
      </c>
      <c r="H7742" s="2" t="s">
        <v>21</v>
      </c>
      <c r="I7742" s="2" t="s">
        <v>19320</v>
      </c>
      <c r="J7742" s="3" t="str">
        <f>HYPERLINK("https://www.boe.es/gazeta/dias/1812/08/23/pdfs/GMR-1812-4.pdf#page=8","Abrir facsímil")</f>
        <v>Abrir facsímil</v>
      </c>
      <c r="K7742" s="3" t="s">
        <v>23</v>
      </c>
    </row>
    <row r="7743" spans="1:11" ht="42" customHeight="1">
      <c r="A7743" s="2" t="s">
        <v>19321</v>
      </c>
      <c r="B7743" s="2" t="s">
        <v>19322</v>
      </c>
      <c r="C7743" s="2" t="s">
        <v>26</v>
      </c>
      <c r="D7743" s="2" t="s">
        <v>27</v>
      </c>
      <c r="E7743" s="4">
        <v>-31938</v>
      </c>
      <c r="F7743" s="3" t="s">
        <v>324</v>
      </c>
      <c r="G7743" s="3" t="s">
        <v>404</v>
      </c>
      <c r="H7743" s="2" t="s">
        <v>21</v>
      </c>
      <c r="I7743" s="2" t="s">
        <v>19323</v>
      </c>
      <c r="J7743" s="3" t="str">
        <f>HYPERLINK("https://www.boe.es/gazeta/dias/1812/07/21/pdfs/GMD-1812-203.pdf#page=4","Abrir facsímil")</f>
        <v>Abrir facsímil</v>
      </c>
      <c r="K7743" s="3" t="s">
        <v>23</v>
      </c>
    </row>
    <row r="7744" spans="1:11" ht="42" customHeight="1">
      <c r="A7744" s="2" t="s">
        <v>19324</v>
      </c>
      <c r="B7744" s="2" t="s">
        <v>19325</v>
      </c>
      <c r="C7744" s="2" t="s">
        <v>17</v>
      </c>
      <c r="D7744" s="2" t="s">
        <v>18</v>
      </c>
      <c r="E7744" s="4">
        <v>-31992</v>
      </c>
      <c r="F7744" s="3" t="s">
        <v>1292</v>
      </c>
      <c r="G7744" s="3" t="s">
        <v>1424</v>
      </c>
      <c r="H7744" s="2" t="s">
        <v>21</v>
      </c>
      <c r="I7744" s="2" t="s">
        <v>19326</v>
      </c>
      <c r="J7744" s="3" t="str">
        <f>HYPERLINK("https://www.boe.es/gazeta/dias/1812/05/28/pdfs/GRE-1812-66.pdf#page=5","Abrir facsímil")</f>
        <v>Abrir facsímil</v>
      </c>
      <c r="K7744" s="3" t="s">
        <v>23</v>
      </c>
    </row>
    <row r="7745" spans="1:11" ht="42" customHeight="1">
      <c r="A7745" s="2" t="s">
        <v>19327</v>
      </c>
      <c r="B7745" s="2" t="s">
        <v>19328</v>
      </c>
      <c r="C7745" s="2" t="s">
        <v>17</v>
      </c>
      <c r="D7745" s="2" t="s">
        <v>27</v>
      </c>
      <c r="E7745" s="4">
        <v>-31950</v>
      </c>
      <c r="F7745" s="3" t="s">
        <v>1024</v>
      </c>
      <c r="G7745" s="3" t="s">
        <v>1740</v>
      </c>
      <c r="H7745" s="2" t="s">
        <v>21</v>
      </c>
      <c r="I7745" s="2" t="s">
        <v>19329</v>
      </c>
      <c r="J7745" s="3" t="str">
        <f>HYPERLINK("https://www.boe.es/gazeta/dias/1812/07/09/pdfs/GRE-1812-84.pdf#page=4","Abrir facsímil")</f>
        <v>Abrir facsímil</v>
      </c>
      <c r="K7745" s="3" t="s">
        <v>23</v>
      </c>
    </row>
    <row r="7746" spans="1:11" ht="42" customHeight="1">
      <c r="A7746" s="2" t="s">
        <v>19330</v>
      </c>
      <c r="B7746" s="2" t="s">
        <v>19331</v>
      </c>
      <c r="C7746" s="2" t="s">
        <v>26</v>
      </c>
      <c r="D7746" s="2" t="s">
        <v>27</v>
      </c>
      <c r="E7746" s="4">
        <v>-32118</v>
      </c>
      <c r="F7746" s="3" t="s">
        <v>1420</v>
      </c>
      <c r="G7746" s="3" t="s">
        <v>11190</v>
      </c>
      <c r="H7746" s="2" t="s">
        <v>21</v>
      </c>
      <c r="I7746" s="2" t="s">
        <v>19332</v>
      </c>
      <c r="J7746" s="3" t="str">
        <f>HYPERLINK("https://www.boe.es/gazeta/dias/1812/01/23/pdfs/GEI-1812-10.pdf#page=7","Abrir facsímil")</f>
        <v>Abrir facsímil</v>
      </c>
      <c r="K7746" s="3" t="s">
        <v>23</v>
      </c>
    </row>
    <row r="7747" spans="1:11" ht="42" customHeight="1">
      <c r="A7747" s="2" t="s">
        <v>19333</v>
      </c>
      <c r="B7747" s="2" t="s">
        <v>19334</v>
      </c>
      <c r="C7747" s="2" t="s">
        <v>26</v>
      </c>
      <c r="D7747" s="2" t="s">
        <v>27</v>
      </c>
      <c r="E7747" s="4">
        <v>-31857</v>
      </c>
      <c r="F7747" s="3" t="s">
        <v>1000</v>
      </c>
      <c r="G7747" s="3" t="s">
        <v>136</v>
      </c>
      <c r="H7747" s="2" t="s">
        <v>21</v>
      </c>
      <c r="I7747" s="2" t="s">
        <v>19335</v>
      </c>
      <c r="J7747" s="3" t="str">
        <f>HYPERLINK("https://www.boe.es/gazeta/dias/1812/10/10/pdfs/GRE-1812-137.pdf#page=8","Abrir facsímil")</f>
        <v>Abrir facsímil</v>
      </c>
      <c r="K7747" s="3" t="s">
        <v>23</v>
      </c>
    </row>
    <row r="7748" spans="1:11" ht="42" customHeight="1">
      <c r="A7748" s="2" t="s">
        <v>19336</v>
      </c>
      <c r="B7748" s="2" t="s">
        <v>19337</v>
      </c>
      <c r="C7748" s="2" t="s">
        <v>26</v>
      </c>
      <c r="D7748" s="2" t="s">
        <v>194</v>
      </c>
      <c r="E7748" s="4">
        <v>-32123</v>
      </c>
      <c r="F7748" s="3" t="s">
        <v>2642</v>
      </c>
      <c r="G7748" s="3" t="s">
        <v>20</v>
      </c>
      <c r="H7748" s="2" t="s">
        <v>21</v>
      </c>
      <c r="I7748" s="2" t="s">
        <v>19338</v>
      </c>
      <c r="J7748" s="3" t="str">
        <f>HYPERLINK("https://www.boe.es/gazeta/dias/1812/01/18/pdfs/GMD-1812-18.pdf#page=4","Abrir facsímil")</f>
        <v>Abrir facsímil</v>
      </c>
      <c r="K7748" s="3" t="s">
        <v>23</v>
      </c>
    </row>
    <row r="7749" spans="1:11" ht="42" customHeight="1">
      <c r="A7749" s="2" t="s">
        <v>19339</v>
      </c>
      <c r="B7749" s="2" t="s">
        <v>19339</v>
      </c>
      <c r="C7749" s="2" t="s">
        <v>17</v>
      </c>
      <c r="D7749" s="2" t="s">
        <v>27</v>
      </c>
      <c r="E7749" s="4">
        <v>-32062</v>
      </c>
      <c r="F7749" s="3" t="s">
        <v>2168</v>
      </c>
      <c r="G7749" s="3" t="s">
        <v>196</v>
      </c>
      <c r="H7749" s="2" t="s">
        <v>21</v>
      </c>
      <c r="I7749" s="2" t="s">
        <v>19340</v>
      </c>
      <c r="J7749" s="3" t="str">
        <f>HYPERLINK("https://www.boe.es/gazeta/dias/1812/03/19/pdfs/GRE-1812-35.pdf#page=2","Abrir facsímil")</f>
        <v>Abrir facsímil</v>
      </c>
      <c r="K7749" s="3" t="s">
        <v>23</v>
      </c>
    </row>
    <row r="7750" spans="1:11" ht="42" customHeight="1">
      <c r="A7750" s="2" t="s">
        <v>19341</v>
      </c>
      <c r="B7750" s="2" t="s">
        <v>19341</v>
      </c>
      <c r="C7750" s="2" t="s">
        <v>17</v>
      </c>
      <c r="D7750" s="2" t="s">
        <v>27</v>
      </c>
      <c r="E7750" s="4">
        <v>-32095</v>
      </c>
      <c r="F7750" s="3" t="s">
        <v>284</v>
      </c>
      <c r="G7750" s="3" t="s">
        <v>101</v>
      </c>
      <c r="H7750" s="2" t="s">
        <v>21</v>
      </c>
      <c r="I7750" s="2" t="s">
        <v>19342</v>
      </c>
      <c r="J7750" s="3" t="str">
        <f>HYPERLINK("https://www.boe.es/gazeta/dias/1812/02/15/pdfs/GRE-1812-20.pdf#page=5","Abrir facsímil")</f>
        <v>Abrir facsímil</v>
      </c>
      <c r="K7750" s="3" t="s">
        <v>23</v>
      </c>
    </row>
    <row r="7751" spans="1:11" ht="42" customHeight="1">
      <c r="A7751" s="2" t="s">
        <v>19341</v>
      </c>
      <c r="B7751" s="2" t="s">
        <v>19341</v>
      </c>
      <c r="C7751" s="2" t="s">
        <v>17</v>
      </c>
      <c r="D7751" s="2" t="s">
        <v>275</v>
      </c>
      <c r="E7751" s="4">
        <v>-32076</v>
      </c>
      <c r="F7751" s="3" t="s">
        <v>2486</v>
      </c>
      <c r="G7751" s="3" t="s">
        <v>674</v>
      </c>
      <c r="H7751" s="2" t="s">
        <v>21</v>
      </c>
      <c r="I7751" s="2" t="s">
        <v>19343</v>
      </c>
      <c r="J7751" s="3" t="str">
        <f>HYPERLINK("https://www.boe.es/gazeta/dias/1812/03/05/pdfs/GRE-1812-29.pdf#page=6","Abrir facsímil")</f>
        <v>Abrir facsímil</v>
      </c>
      <c r="K7751" s="3" t="s">
        <v>23</v>
      </c>
    </row>
    <row r="7752" spans="1:11" ht="42" customHeight="1">
      <c r="A7752" s="2" t="s">
        <v>19344</v>
      </c>
      <c r="B7752" s="2" t="s">
        <v>19344</v>
      </c>
      <c r="C7752" s="2" t="s">
        <v>17</v>
      </c>
      <c r="D7752" s="2" t="s">
        <v>18</v>
      </c>
      <c r="E7752" s="4">
        <v>-32128</v>
      </c>
      <c r="F7752" s="3" t="s">
        <v>1927</v>
      </c>
      <c r="G7752" s="3" t="s">
        <v>20</v>
      </c>
      <c r="H7752" s="2" t="s">
        <v>21</v>
      </c>
      <c r="I7752" s="2" t="s">
        <v>19345</v>
      </c>
      <c r="J7752" s="3" t="str">
        <f>HYPERLINK("https://www.boe.es/gazeta/dias/1812/01/13/pdfs/GMD-1812-13.pdf#page=4","Abrir facsímil")</f>
        <v>Abrir facsímil</v>
      </c>
      <c r="K7752" s="3" t="s">
        <v>23</v>
      </c>
    </row>
    <row r="7753" spans="1:11" ht="42" customHeight="1">
      <c r="A7753" s="2" t="s">
        <v>19344</v>
      </c>
      <c r="B7753" s="2" t="s">
        <v>19344</v>
      </c>
      <c r="C7753" s="2" t="s">
        <v>26</v>
      </c>
      <c r="D7753" s="2" t="s">
        <v>27</v>
      </c>
      <c r="E7753" s="4">
        <v>-32099</v>
      </c>
      <c r="F7753" s="3" t="s">
        <v>2566</v>
      </c>
      <c r="G7753" s="3" t="s">
        <v>19346</v>
      </c>
      <c r="H7753" s="2" t="s">
        <v>21</v>
      </c>
      <c r="I7753" s="2" t="s">
        <v>19347</v>
      </c>
      <c r="J7753" s="3" t="str">
        <f>HYPERLINK("https://www.boe.es/gazeta/dias/1812/02/11/pdfs/GRE-1812-18.pdf#page=6","Abrir facsímil")</f>
        <v>Abrir facsímil</v>
      </c>
      <c r="K7753" s="3" t="s">
        <v>23</v>
      </c>
    </row>
    <row r="7754" spans="1:11" ht="42" customHeight="1">
      <c r="A7754" s="2" t="s">
        <v>19344</v>
      </c>
      <c r="B7754" s="2" t="s">
        <v>19344</v>
      </c>
      <c r="C7754" s="2" t="s">
        <v>26</v>
      </c>
      <c r="D7754" s="2" t="s">
        <v>27</v>
      </c>
      <c r="E7754" s="4">
        <v>-32099</v>
      </c>
      <c r="F7754" s="3" t="s">
        <v>2566</v>
      </c>
      <c r="G7754" s="3" t="s">
        <v>9191</v>
      </c>
      <c r="H7754" s="2" t="s">
        <v>21</v>
      </c>
      <c r="I7754" s="2" t="s">
        <v>19348</v>
      </c>
      <c r="J7754" s="3" t="str">
        <f>HYPERLINK("https://www.boe.es/gazeta/dias/1812/02/11/pdfs/GRE-1812-18.pdf#page=8","Abrir facsímil")</f>
        <v>Abrir facsímil</v>
      </c>
      <c r="K7754" s="3" t="s">
        <v>23</v>
      </c>
    </row>
    <row r="7755" spans="1:11" ht="42" customHeight="1">
      <c r="A7755" s="2" t="s">
        <v>19344</v>
      </c>
      <c r="B7755" s="2" t="s">
        <v>19344</v>
      </c>
      <c r="C7755" s="2" t="s">
        <v>17</v>
      </c>
      <c r="D7755" s="2" t="s">
        <v>18</v>
      </c>
      <c r="E7755" s="4">
        <v>-32050</v>
      </c>
      <c r="F7755" s="3" t="s">
        <v>864</v>
      </c>
      <c r="G7755" s="3" t="s">
        <v>217</v>
      </c>
      <c r="H7755" s="2" t="s">
        <v>21</v>
      </c>
      <c r="I7755" s="2" t="s">
        <v>19349</v>
      </c>
      <c r="J7755" s="3" t="str">
        <f>HYPERLINK("https://www.boe.es/gazeta/dias/1812/03/31/pdfs/GRE-1812-40.pdf#page=3","Abrir facsímil")</f>
        <v>Abrir facsímil</v>
      </c>
      <c r="K7755" s="3" t="s">
        <v>23</v>
      </c>
    </row>
    <row r="7756" spans="1:11" ht="42" customHeight="1">
      <c r="A7756" s="2" t="s">
        <v>19344</v>
      </c>
      <c r="B7756" s="2" t="s">
        <v>19344</v>
      </c>
      <c r="C7756" s="2" t="s">
        <v>17</v>
      </c>
      <c r="D7756" s="2" t="s">
        <v>18</v>
      </c>
      <c r="E7756" s="4">
        <v>-32048</v>
      </c>
      <c r="F7756" s="3" t="s">
        <v>3938</v>
      </c>
      <c r="G7756" s="3" t="s">
        <v>3939</v>
      </c>
      <c r="H7756" s="2" t="s">
        <v>21</v>
      </c>
      <c r="I7756" s="2" t="s">
        <v>19350</v>
      </c>
      <c r="J7756" s="3" t="str">
        <f>HYPERLINK("https://www.boe.es/gazeta/dias/1812/04/02/pdfs/GMD-1812-93.pdf#page=2","Abrir facsímil")</f>
        <v>Abrir facsímil</v>
      </c>
      <c r="K7756" s="3" t="s">
        <v>23</v>
      </c>
    </row>
    <row r="7757" spans="1:11" ht="42" customHeight="1">
      <c r="A7757" s="2" t="s">
        <v>19344</v>
      </c>
      <c r="B7757" s="2" t="s">
        <v>19344</v>
      </c>
      <c r="C7757" s="2" t="s">
        <v>67</v>
      </c>
      <c r="D7757" s="2" t="s">
        <v>27</v>
      </c>
      <c r="E7757" s="4">
        <v>-31966</v>
      </c>
      <c r="F7757" s="3" t="s">
        <v>387</v>
      </c>
      <c r="G7757" s="3" t="s">
        <v>388</v>
      </c>
      <c r="H7757" s="2" t="s">
        <v>21</v>
      </c>
      <c r="I7757" s="2" t="s">
        <v>19351</v>
      </c>
      <c r="J7757" s="3" t="str">
        <f>HYPERLINK("https://www.boe.es/gazeta/dias/1812/06/23/pdfs/GMD-1812-175.pdf#page=2","Abrir facsímil")</f>
        <v>Abrir facsímil</v>
      </c>
      <c r="K7757" s="3" t="s">
        <v>23</v>
      </c>
    </row>
    <row r="7758" spans="1:11" ht="42" customHeight="1">
      <c r="A7758" s="2" t="s">
        <v>19344</v>
      </c>
      <c r="B7758" s="2" t="s">
        <v>19344</v>
      </c>
      <c r="C7758" s="2" t="s">
        <v>17</v>
      </c>
      <c r="D7758" s="2" t="s">
        <v>27</v>
      </c>
      <c r="E7758" s="4">
        <v>-31928</v>
      </c>
      <c r="F7758" s="3" t="s">
        <v>7417</v>
      </c>
      <c r="G7758" s="3" t="s">
        <v>3409</v>
      </c>
      <c r="H7758" s="2" t="s">
        <v>21</v>
      </c>
      <c r="I7758" s="2" t="s">
        <v>19352</v>
      </c>
      <c r="J7758" s="3" t="str">
        <f>HYPERLINK("https://www.boe.es/gazeta/dias/1812/07/31/pdfs/GMD-1812-213.pdf#page=1","Abrir facsímil")</f>
        <v>Abrir facsímil</v>
      </c>
      <c r="K7758" s="3" t="s">
        <v>23</v>
      </c>
    </row>
    <row r="7759" spans="1:11" ht="42" customHeight="1">
      <c r="A7759" s="2" t="s">
        <v>19344</v>
      </c>
      <c r="B7759" s="2" t="s">
        <v>19344</v>
      </c>
      <c r="C7759" s="2" t="s">
        <v>17</v>
      </c>
      <c r="D7759" s="2" t="s">
        <v>18</v>
      </c>
      <c r="E7759" s="4">
        <v>-31850</v>
      </c>
      <c r="F7759" s="3" t="s">
        <v>2178</v>
      </c>
      <c r="G7759" s="3" t="s">
        <v>2179</v>
      </c>
      <c r="H7759" s="2" t="s">
        <v>21</v>
      </c>
      <c r="I7759" s="2" t="s">
        <v>19353</v>
      </c>
      <c r="J7759" s="3" t="str">
        <f>HYPERLINK("https://www.boe.es/gazeta/dias/1812/10/17/pdfs/GRE-1812-140.pdf#page=3","Abrir facsímil")</f>
        <v>Abrir facsímil</v>
      </c>
      <c r="K7759" s="3" t="s">
        <v>23</v>
      </c>
    </row>
    <row r="7760" spans="1:11" ht="42" customHeight="1">
      <c r="A7760" s="2" t="s">
        <v>19354</v>
      </c>
      <c r="B7760" s="2" t="s">
        <v>19354</v>
      </c>
      <c r="C7760" s="2" t="s">
        <v>26</v>
      </c>
      <c r="D7760" s="2" t="s">
        <v>27</v>
      </c>
      <c r="E7760" s="4">
        <v>-32117</v>
      </c>
      <c r="F7760" s="3" t="s">
        <v>15575</v>
      </c>
      <c r="G7760" s="3" t="s">
        <v>20</v>
      </c>
      <c r="H7760" s="2" t="s">
        <v>21</v>
      </c>
      <c r="I7760" s="2" t="s">
        <v>19355</v>
      </c>
      <c r="J7760" s="3" t="str">
        <f>HYPERLINK("https://www.boe.es/gazeta/dias/1812/01/24/pdfs/GMD-1812-24.pdf#page=4","Abrir facsímil")</f>
        <v>Abrir facsímil</v>
      </c>
      <c r="K7760" s="3" t="s">
        <v>23</v>
      </c>
    </row>
    <row r="7761" spans="1:11" ht="42" customHeight="1">
      <c r="A7761" s="2" t="s">
        <v>19356</v>
      </c>
      <c r="B7761" s="2" t="s">
        <v>19356</v>
      </c>
      <c r="C7761" s="2" t="s">
        <v>17</v>
      </c>
      <c r="D7761" s="2" t="s">
        <v>27</v>
      </c>
      <c r="E7761" s="4">
        <v>-31847</v>
      </c>
      <c r="F7761" s="3" t="s">
        <v>219</v>
      </c>
      <c r="G7761" s="3" t="s">
        <v>1468</v>
      </c>
      <c r="H7761" s="2" t="s">
        <v>21</v>
      </c>
      <c r="I7761" s="2" t="s">
        <v>19357</v>
      </c>
      <c r="J7761" s="3" t="str">
        <f>HYPERLINK("https://www.boe.es/gazeta/dias/1812/10/20/pdfs/GRE-1812-141.pdf#page=3","Abrir facsímil")</f>
        <v>Abrir facsímil</v>
      </c>
      <c r="K7761" s="3" t="s">
        <v>23</v>
      </c>
    </row>
    <row r="7762" spans="1:11" ht="42" customHeight="1">
      <c r="A7762" s="2" t="s">
        <v>19358</v>
      </c>
      <c r="B7762" s="2" t="s">
        <v>19358</v>
      </c>
      <c r="C7762" s="2" t="s">
        <v>17</v>
      </c>
      <c r="D7762" s="2" t="s">
        <v>275</v>
      </c>
      <c r="E7762" s="4">
        <v>-32125</v>
      </c>
      <c r="F7762" s="3" t="s">
        <v>335</v>
      </c>
      <c r="G7762" s="3" t="s">
        <v>514</v>
      </c>
      <c r="H7762" s="2" t="s">
        <v>21</v>
      </c>
      <c r="I7762" s="2" t="s">
        <v>19359</v>
      </c>
      <c r="J7762" s="3" t="str">
        <f>HYPERLINK("https://www.boe.es/gazeta/dias/1812/01/16/pdfs/GEI-1812-7.pdf#page=4","Abrir facsímil")</f>
        <v>Abrir facsímil</v>
      </c>
      <c r="K7762" s="3" t="s">
        <v>23</v>
      </c>
    </row>
    <row r="7763" spans="1:11" ht="42" customHeight="1">
      <c r="A7763" s="2" t="s">
        <v>19360</v>
      </c>
      <c r="B7763" s="2" t="s">
        <v>19361</v>
      </c>
      <c r="C7763" s="2" t="s">
        <v>49</v>
      </c>
      <c r="D7763" s="2" t="s">
        <v>27</v>
      </c>
      <c r="E7763" s="4">
        <v>-32125</v>
      </c>
      <c r="F7763" s="3" t="s">
        <v>7016</v>
      </c>
      <c r="G7763" s="3" t="s">
        <v>404</v>
      </c>
      <c r="H7763" s="2" t="s">
        <v>21</v>
      </c>
      <c r="I7763" s="2" t="s">
        <v>19362</v>
      </c>
      <c r="J7763" s="3" t="str">
        <f>HYPERLINK("https://www.boe.es/gazeta/dias/1812/01/16/pdfs/GMD-1812-16.pdf#page=1","Abrir facsímil")</f>
        <v>Abrir facsímil</v>
      </c>
      <c r="K7763" s="3" t="s">
        <v>23</v>
      </c>
    </row>
    <row r="7764" spans="1:11" ht="42" customHeight="1">
      <c r="A7764" s="2" t="s">
        <v>19363</v>
      </c>
      <c r="B7764" s="2" t="s">
        <v>19364</v>
      </c>
      <c r="C7764" s="2" t="s">
        <v>17</v>
      </c>
      <c r="D7764" s="2" t="s">
        <v>27</v>
      </c>
      <c r="E7764" s="4">
        <v>-31819</v>
      </c>
      <c r="F7764" s="3" t="s">
        <v>1770</v>
      </c>
      <c r="G7764" s="3" t="s">
        <v>45</v>
      </c>
      <c r="H7764" s="2" t="s">
        <v>21</v>
      </c>
      <c r="I7764" s="2" t="s">
        <v>19365</v>
      </c>
      <c r="J7764" s="3" t="str">
        <f>HYPERLINK("https://www.boe.es/gazeta/dias/1812/11/17/pdfs/GRE-1812-153.pdf#page=3","Abrir facsímil")</f>
        <v>Abrir facsímil</v>
      </c>
      <c r="K7764" s="3" t="s">
        <v>23</v>
      </c>
    </row>
    <row r="7765" spans="1:11" ht="42" customHeight="1">
      <c r="A7765" s="2" t="s">
        <v>19366</v>
      </c>
      <c r="B7765" s="2" t="s">
        <v>19366</v>
      </c>
      <c r="C7765" s="2" t="s">
        <v>17</v>
      </c>
      <c r="D7765" s="2" t="s">
        <v>18</v>
      </c>
      <c r="E7765" s="4">
        <v>-32041</v>
      </c>
      <c r="F7765" s="3" t="s">
        <v>35</v>
      </c>
      <c r="G7765" s="3" t="s">
        <v>1980</v>
      </c>
      <c r="H7765" s="2" t="s">
        <v>21</v>
      </c>
      <c r="I7765" s="2" t="s">
        <v>19367</v>
      </c>
      <c r="J7765" s="3" t="str">
        <f>HYPERLINK("https://www.boe.es/gazeta/dias/1812/04/09/pdfs/GRE-1812-44.pdf#page=2","Abrir facsímil")</f>
        <v>Abrir facsímil</v>
      </c>
      <c r="K7765" s="3" t="s">
        <v>23</v>
      </c>
    </row>
    <row r="7766" spans="1:11" ht="42" customHeight="1">
      <c r="A7766" s="2" t="s">
        <v>19368</v>
      </c>
      <c r="B7766" s="2" t="s">
        <v>19369</v>
      </c>
      <c r="C7766" s="2" t="s">
        <v>26</v>
      </c>
      <c r="D7766" s="2" t="s">
        <v>27</v>
      </c>
      <c r="E7766" s="4">
        <v>-31945</v>
      </c>
      <c r="F7766" s="3" t="s">
        <v>1485</v>
      </c>
      <c r="G7766" s="3" t="s">
        <v>4494</v>
      </c>
      <c r="H7766" s="2" t="s">
        <v>21</v>
      </c>
      <c r="I7766" s="2" t="s">
        <v>19370</v>
      </c>
      <c r="J7766" s="3" t="str">
        <f>HYPERLINK("https://www.boe.es/gazeta/dias/1812/07/14/pdfs/GRE-1812-88.pdf#page=8","Abrir facsímil")</f>
        <v>Abrir facsímil</v>
      </c>
      <c r="K7766" s="3" t="s">
        <v>23</v>
      </c>
    </row>
    <row r="7767" spans="1:11" ht="42" customHeight="1">
      <c r="A7767" s="2" t="s">
        <v>19371</v>
      </c>
      <c r="B7767" s="2" t="s">
        <v>19371</v>
      </c>
      <c r="C7767" s="2" t="s">
        <v>17</v>
      </c>
      <c r="D7767" s="2" t="s">
        <v>18</v>
      </c>
      <c r="E7767" s="4">
        <v>-32048</v>
      </c>
      <c r="F7767" s="3" t="s">
        <v>3938</v>
      </c>
      <c r="G7767" s="3" t="s">
        <v>3939</v>
      </c>
      <c r="H7767" s="2" t="s">
        <v>21</v>
      </c>
      <c r="I7767" s="2" t="s">
        <v>19372</v>
      </c>
      <c r="J7767" s="3" t="str">
        <f>HYPERLINK("https://www.boe.es/gazeta/dias/1812/04/02/pdfs/GMD-1812-93.pdf#page=2","Abrir facsímil")</f>
        <v>Abrir facsímil</v>
      </c>
      <c r="K7767" s="3" t="s">
        <v>23</v>
      </c>
    </row>
    <row r="7768" spans="1:11" ht="42" customHeight="1">
      <c r="A7768" s="2" t="s">
        <v>19373</v>
      </c>
      <c r="B7768" s="2" t="s">
        <v>19373</v>
      </c>
      <c r="C7768" s="2" t="s">
        <v>49</v>
      </c>
      <c r="D7768" s="2" t="s">
        <v>194</v>
      </c>
      <c r="E7768" s="4">
        <v>-31861</v>
      </c>
      <c r="F7768" s="3" t="s">
        <v>1080</v>
      </c>
      <c r="G7768" s="3" t="s">
        <v>2403</v>
      </c>
      <c r="H7768" s="2" t="s">
        <v>21</v>
      </c>
      <c r="I7768" s="2" t="s">
        <v>19374</v>
      </c>
      <c r="J7768" s="3" t="str">
        <f>HYPERLINK("https://www.boe.es/gazeta/dias/1812/10/06/pdfs/GMR-1812-23.pdf#page=14","Abrir facsímil")</f>
        <v>Abrir facsímil</v>
      </c>
      <c r="K7768" s="3" t="s">
        <v>23</v>
      </c>
    </row>
    <row r="7769" spans="1:11" ht="42" customHeight="1">
      <c r="A7769" s="2" t="s">
        <v>19375</v>
      </c>
      <c r="B7769" s="2" t="s">
        <v>19376</v>
      </c>
      <c r="C7769" s="2" t="s">
        <v>49</v>
      </c>
      <c r="D7769" s="2" t="s">
        <v>27</v>
      </c>
      <c r="E7769" s="4">
        <v>-32088</v>
      </c>
      <c r="F7769" s="3" t="s">
        <v>250</v>
      </c>
      <c r="G7769" s="3" t="s">
        <v>1919</v>
      </c>
      <c r="H7769" s="2" t="s">
        <v>30</v>
      </c>
      <c r="I7769" s="2" t="s">
        <v>19377</v>
      </c>
      <c r="J7769" s="3" t="str">
        <f>HYPERLINK("https://www.boe.es/gazeta/dias/1812/02/22/pdfs/GRE-1812-23.pdf#page=7","Abrir facsímil")</f>
        <v>Abrir facsímil</v>
      </c>
      <c r="K7769" s="3" t="s">
        <v>32</v>
      </c>
    </row>
    <row r="7770" spans="1:11" ht="42" customHeight="1">
      <c r="A7770" s="2" t="s">
        <v>19378</v>
      </c>
      <c r="B7770" s="2" t="s">
        <v>19379</v>
      </c>
      <c r="C7770" s="2" t="s">
        <v>26</v>
      </c>
      <c r="D7770" s="2" t="s">
        <v>27</v>
      </c>
      <c r="E7770" s="4">
        <v>-31980</v>
      </c>
      <c r="F7770" s="3" t="s">
        <v>40</v>
      </c>
      <c r="G7770" s="3" t="s">
        <v>41</v>
      </c>
      <c r="H7770" s="2" t="s">
        <v>30</v>
      </c>
      <c r="I7770" s="2" t="s">
        <v>19380</v>
      </c>
      <c r="J7770" s="3" t="str">
        <f>HYPERLINK("https://www.boe.es/gazeta/dias/1812/06/09/pdfs/GRE-1812-71.pdf#page=6","Abrir facsímil")</f>
        <v>Abrir facsímil</v>
      </c>
      <c r="K7770" s="3" t="s">
        <v>32</v>
      </c>
    </row>
    <row r="7771" spans="1:11" ht="42" customHeight="1">
      <c r="A7771" s="2" t="s">
        <v>19378</v>
      </c>
      <c r="B7771" s="2" t="s">
        <v>19379</v>
      </c>
      <c r="C7771" s="2" t="s">
        <v>26</v>
      </c>
      <c r="D7771" s="2" t="s">
        <v>27</v>
      </c>
      <c r="E7771" s="4">
        <v>-31945</v>
      </c>
      <c r="F7771" s="3" t="s">
        <v>1485</v>
      </c>
      <c r="G7771" s="3" t="s">
        <v>1486</v>
      </c>
      <c r="H7771" s="2" t="s">
        <v>30</v>
      </c>
      <c r="I7771" s="2" t="s">
        <v>19381</v>
      </c>
      <c r="J7771" s="3" t="str">
        <f>HYPERLINK("https://www.boe.es/gazeta/dias/1812/07/14/pdfs/GRE-1812-88.pdf#page=1","Abrir facsímil")</f>
        <v>Abrir facsímil</v>
      </c>
      <c r="K7771" s="3" t="s">
        <v>32</v>
      </c>
    </row>
    <row r="7772" spans="1:11" ht="42" customHeight="1">
      <c r="A7772" s="2" t="s">
        <v>19382</v>
      </c>
      <c r="B7772" s="2" t="s">
        <v>19383</v>
      </c>
      <c r="C7772" s="2" t="s">
        <v>17</v>
      </c>
      <c r="D7772" s="2" t="s">
        <v>27</v>
      </c>
      <c r="E7772" s="4">
        <v>-32050</v>
      </c>
      <c r="F7772" s="3" t="s">
        <v>864</v>
      </c>
      <c r="G7772" s="3" t="s">
        <v>29</v>
      </c>
      <c r="H7772" s="2" t="s">
        <v>21</v>
      </c>
      <c r="I7772" s="2" t="s">
        <v>19384</v>
      </c>
      <c r="J7772" s="3" t="str">
        <f>HYPERLINK("https://www.boe.es/gazeta/dias/1812/03/31/pdfs/GRE-1812-40.pdf#page=8","Abrir facsímil")</f>
        <v>Abrir facsímil</v>
      </c>
      <c r="K7772" s="3" t="s">
        <v>23</v>
      </c>
    </row>
    <row r="7773" spans="1:11" ht="42" customHeight="1">
      <c r="A7773" s="2" t="s">
        <v>19385</v>
      </c>
      <c r="B7773" s="2" t="s">
        <v>19386</v>
      </c>
      <c r="C7773" s="2" t="s">
        <v>17</v>
      </c>
      <c r="D7773" s="2" t="s">
        <v>27</v>
      </c>
      <c r="E7773" s="4">
        <v>-31922</v>
      </c>
      <c r="F7773" s="3" t="s">
        <v>375</v>
      </c>
      <c r="G7773" s="3" t="s">
        <v>5327</v>
      </c>
      <c r="H7773" s="2" t="s">
        <v>21</v>
      </c>
      <c r="I7773" s="2" t="s">
        <v>19387</v>
      </c>
      <c r="J7773" s="3" t="str">
        <f>HYPERLINK("https://www.boe.es/gazeta/dias/1812/08/06/pdfs/GRE-1812-100.pdf#page=3","Abrir facsímil")</f>
        <v>Abrir facsímil</v>
      </c>
      <c r="K7773" s="3" t="s">
        <v>23</v>
      </c>
    </row>
    <row r="7774" spans="1:11" ht="42" customHeight="1">
      <c r="A7774" s="2" t="s">
        <v>19388</v>
      </c>
      <c r="B7774" s="2" t="s">
        <v>19389</v>
      </c>
      <c r="C7774" s="2" t="s">
        <v>49</v>
      </c>
      <c r="D7774" s="2" t="s">
        <v>27</v>
      </c>
      <c r="E7774" s="4">
        <v>-32033</v>
      </c>
      <c r="F7774" s="3" t="s">
        <v>771</v>
      </c>
      <c r="G7774" s="3" t="s">
        <v>130</v>
      </c>
      <c r="H7774" s="2" t="s">
        <v>21</v>
      </c>
      <c r="I7774" s="2" t="s">
        <v>19390</v>
      </c>
      <c r="J7774" s="3" t="str">
        <f>HYPERLINK("https://www.boe.es/gazeta/dias/1812/04/17/pdfs/GMD-1812-108.pdf#page=4","Abrir facsímil")</f>
        <v>Abrir facsímil</v>
      </c>
      <c r="K7774" s="3" t="s">
        <v>23</v>
      </c>
    </row>
    <row r="7775" spans="1:11" ht="42" customHeight="1">
      <c r="A7775" s="2" t="s">
        <v>19391</v>
      </c>
      <c r="B7775" s="2" t="s">
        <v>19392</v>
      </c>
      <c r="C7775" s="2" t="s">
        <v>26</v>
      </c>
      <c r="D7775" s="2" t="s">
        <v>27</v>
      </c>
      <c r="E7775" s="4">
        <v>-31868</v>
      </c>
      <c r="F7775" s="3" t="s">
        <v>1833</v>
      </c>
      <c r="G7775" s="3" t="s">
        <v>19393</v>
      </c>
      <c r="H7775" s="2" t="s">
        <v>21</v>
      </c>
      <c r="I7775" s="2" t="s">
        <v>19394</v>
      </c>
      <c r="J7775" s="3" t="str">
        <f>HYPERLINK("https://www.boe.es/gazeta/dias/1812/09/29/pdfs/GMR-1812-20.pdf#page=7","Abrir facsímil")</f>
        <v>Abrir facsímil</v>
      </c>
      <c r="K7775" s="3" t="s">
        <v>23</v>
      </c>
    </row>
    <row r="7776" spans="1:11" ht="42" customHeight="1">
      <c r="A7776" s="2" t="s">
        <v>19395</v>
      </c>
      <c r="B7776" s="2" t="s">
        <v>19395</v>
      </c>
      <c r="C7776" s="2" t="s">
        <v>17</v>
      </c>
      <c r="D7776" s="2" t="s">
        <v>27</v>
      </c>
      <c r="E7776" s="4">
        <v>-31929</v>
      </c>
      <c r="F7776" s="3" t="s">
        <v>1148</v>
      </c>
      <c r="G7776" s="3" t="s">
        <v>125</v>
      </c>
      <c r="H7776" s="2" t="s">
        <v>21</v>
      </c>
      <c r="I7776" s="2" t="s">
        <v>19396</v>
      </c>
      <c r="J7776" s="3" t="str">
        <f>HYPERLINK("https://www.boe.es/gazeta/dias/1812/07/30/pdfs/GRE-1812-95.pdf#page=7","Abrir facsímil")</f>
        <v>Abrir facsímil</v>
      </c>
      <c r="K7776" s="3" t="s">
        <v>23</v>
      </c>
    </row>
    <row r="7777" spans="1:11" ht="42" customHeight="1">
      <c r="A7777" s="2" t="s">
        <v>19397</v>
      </c>
      <c r="B7777" s="2" t="s">
        <v>19398</v>
      </c>
      <c r="C7777" s="2" t="s">
        <v>26</v>
      </c>
      <c r="D7777" s="2" t="s">
        <v>27</v>
      </c>
      <c r="E7777" s="4">
        <v>-32116</v>
      </c>
      <c r="F7777" s="3" t="s">
        <v>993</v>
      </c>
      <c r="G7777" s="3" t="s">
        <v>994</v>
      </c>
      <c r="H7777" s="2" t="s">
        <v>21</v>
      </c>
      <c r="I7777" s="2" t="s">
        <v>19399</v>
      </c>
      <c r="J7777" s="3" t="str">
        <f>HYPERLINK("https://www.boe.es/gazeta/dias/1812/01/25/pdfs/GEI-1812-11.pdf#page=4","Abrir facsímil")</f>
        <v>Abrir facsímil</v>
      </c>
      <c r="K7777" s="3" t="s">
        <v>23</v>
      </c>
    </row>
    <row r="7778" spans="1:11" ht="42" customHeight="1">
      <c r="A7778" s="2" t="s">
        <v>19397</v>
      </c>
      <c r="B7778" s="2" t="s">
        <v>19398</v>
      </c>
      <c r="C7778" s="2" t="s">
        <v>17</v>
      </c>
      <c r="D7778" s="2" t="s">
        <v>27</v>
      </c>
      <c r="E7778" s="4">
        <v>-31973</v>
      </c>
      <c r="F7778" s="3" t="s">
        <v>1735</v>
      </c>
      <c r="G7778" s="3" t="s">
        <v>3666</v>
      </c>
      <c r="H7778" s="2" t="s">
        <v>21</v>
      </c>
      <c r="I7778" s="2" t="s">
        <v>19400</v>
      </c>
      <c r="J7778" s="3" t="str">
        <f>HYPERLINK("https://www.boe.es/gazeta/dias/1812/06/16/pdfs/GRE-1812-74.pdf#page=2","Abrir facsímil")</f>
        <v>Abrir facsímil</v>
      </c>
      <c r="K7778" s="3" t="s">
        <v>23</v>
      </c>
    </row>
    <row r="7779" spans="1:11" ht="42" customHeight="1">
      <c r="A7779" s="2" t="s">
        <v>19397</v>
      </c>
      <c r="B7779" s="2" t="s">
        <v>19398</v>
      </c>
      <c r="C7779" s="2" t="s">
        <v>26</v>
      </c>
      <c r="D7779" s="2" t="s">
        <v>134</v>
      </c>
      <c r="E7779" s="4">
        <v>-31952</v>
      </c>
      <c r="F7779" s="3" t="s">
        <v>1541</v>
      </c>
      <c r="G7779" s="3" t="s">
        <v>19401</v>
      </c>
      <c r="H7779" s="2" t="s">
        <v>21</v>
      </c>
      <c r="I7779" s="2" t="s">
        <v>19402</v>
      </c>
      <c r="J7779" s="3" t="str">
        <f>HYPERLINK("https://www.boe.es/gazeta/dias/1812/07/07/pdfs/GRE-F-1812-83.pdf#page=1","Abrir facsímil")</f>
        <v>Abrir facsímil</v>
      </c>
      <c r="K7779" s="3" t="s">
        <v>23</v>
      </c>
    </row>
    <row r="7780" spans="1:11" ht="42" customHeight="1">
      <c r="A7780" s="2" t="s">
        <v>19397</v>
      </c>
      <c r="B7780" s="2" t="s">
        <v>19398</v>
      </c>
      <c r="C7780" s="2" t="s">
        <v>26</v>
      </c>
      <c r="D7780" s="2" t="s">
        <v>134</v>
      </c>
      <c r="E7780" s="4">
        <v>-31880</v>
      </c>
      <c r="F7780" s="3" t="s">
        <v>9383</v>
      </c>
      <c r="G7780" s="3" t="s">
        <v>3583</v>
      </c>
      <c r="H7780" s="2" t="s">
        <v>21</v>
      </c>
      <c r="I7780" s="2" t="s">
        <v>19403</v>
      </c>
      <c r="J7780" s="3" t="str">
        <f>HYPERLINK("https://www.boe.es/gazeta/dias/1812/09/17/pdfs/GRE-F-1812-126.pdf#page=2","Abrir facsímil")</f>
        <v>Abrir facsímil</v>
      </c>
      <c r="K7780" s="3" t="s">
        <v>23</v>
      </c>
    </row>
    <row r="7781" spans="1:11" ht="42" customHeight="1">
      <c r="A7781" s="2" t="s">
        <v>19397</v>
      </c>
      <c r="B7781" s="2" t="s">
        <v>19398</v>
      </c>
      <c r="C7781" s="2" t="s">
        <v>17</v>
      </c>
      <c r="D7781" s="2" t="s">
        <v>27</v>
      </c>
      <c r="E7781" s="4">
        <v>-31843</v>
      </c>
      <c r="F7781" s="3" t="s">
        <v>6436</v>
      </c>
      <c r="G7781" s="3" t="s">
        <v>15717</v>
      </c>
      <c r="H7781" s="2" t="s">
        <v>21</v>
      </c>
      <c r="I7781" s="2" t="s">
        <v>19404</v>
      </c>
      <c r="J7781" s="3" t="str">
        <f>HYPERLINK("https://www.boe.es/gazeta/dias/1812/10/24/pdfs/GRE-1812-143.pdf#page=2","Abrir facsímil")</f>
        <v>Abrir facsímil</v>
      </c>
      <c r="K7781" s="3" t="s">
        <v>23</v>
      </c>
    </row>
    <row r="7782" spans="1:11" ht="42" customHeight="1">
      <c r="A7782" s="2" t="s">
        <v>19405</v>
      </c>
      <c r="B7782" s="2" t="s">
        <v>19406</v>
      </c>
      <c r="C7782" s="2" t="s">
        <v>26</v>
      </c>
      <c r="D7782" s="2" t="s">
        <v>27</v>
      </c>
      <c r="E7782" s="4">
        <v>-31850</v>
      </c>
      <c r="F7782" s="3" t="s">
        <v>719</v>
      </c>
      <c r="G7782" s="3" t="s">
        <v>237</v>
      </c>
      <c r="H7782" s="2" t="s">
        <v>21</v>
      </c>
      <c r="I7782" s="2" t="s">
        <v>19407</v>
      </c>
      <c r="J7782" s="3" t="str">
        <f>HYPERLINK("https://www.boe.es/gazeta/dias/1812/10/17/pdfs/GMR-1812-28.pdf#page=8","Abrir facsímil")</f>
        <v>Abrir facsímil</v>
      </c>
      <c r="K7782" s="3" t="s">
        <v>23</v>
      </c>
    </row>
    <row r="7783" spans="1:11" ht="42" customHeight="1">
      <c r="A7783" s="2" t="s">
        <v>19408</v>
      </c>
      <c r="B7783" s="2" t="s">
        <v>19409</v>
      </c>
      <c r="C7783" s="2" t="s">
        <v>26</v>
      </c>
      <c r="D7783" s="2" t="s">
        <v>27</v>
      </c>
      <c r="E7783" s="4">
        <v>-32100</v>
      </c>
      <c r="F7783" s="3" t="s">
        <v>492</v>
      </c>
      <c r="G7783" s="3" t="s">
        <v>493</v>
      </c>
      <c r="H7783" s="2" t="s">
        <v>21</v>
      </c>
      <c r="I7783" s="2" t="s">
        <v>19410</v>
      </c>
      <c r="J7783" s="3" t="str">
        <f>HYPERLINK("https://www.boe.es/gazeta/dias/1812/02/10/pdfs/GRE-1812-31.pdf#page=8","Abrir facsímil")</f>
        <v>Abrir facsímil</v>
      </c>
      <c r="K7783" s="3" t="s">
        <v>23</v>
      </c>
    </row>
    <row r="7784" spans="1:11" ht="42" customHeight="1">
      <c r="A7784" s="2" t="s">
        <v>19408</v>
      </c>
      <c r="B7784" s="2" t="s">
        <v>19409</v>
      </c>
      <c r="C7784" s="2" t="s">
        <v>26</v>
      </c>
      <c r="D7784" s="2" t="s">
        <v>27</v>
      </c>
      <c r="E7784" s="4">
        <v>-32071</v>
      </c>
      <c r="F7784" s="3" t="s">
        <v>492</v>
      </c>
      <c r="G7784" s="3" t="s">
        <v>493</v>
      </c>
      <c r="H7784" s="2" t="s">
        <v>21</v>
      </c>
      <c r="I7784" s="2" t="s">
        <v>19410</v>
      </c>
      <c r="J7784" s="3" t="str">
        <f>HYPERLINK("https://www.boe.es/gazeta/dias/1812/03/10/pdfs/GRE-1812-31.pdf#page=8","Abrir facsímil")</f>
        <v>Abrir facsímil</v>
      </c>
      <c r="K7784" s="3" t="s">
        <v>23</v>
      </c>
    </row>
    <row r="7785" spans="1:11" ht="42" customHeight="1">
      <c r="A7785" s="2" t="s">
        <v>19411</v>
      </c>
      <c r="B7785" s="2" t="s">
        <v>19412</v>
      </c>
      <c r="C7785" s="2" t="s">
        <v>26</v>
      </c>
      <c r="D7785" s="2" t="s">
        <v>27</v>
      </c>
      <c r="E7785" s="4">
        <v>-31903</v>
      </c>
      <c r="F7785" s="3" t="s">
        <v>2720</v>
      </c>
      <c r="G7785" s="3" t="s">
        <v>2955</v>
      </c>
      <c r="H7785" s="2" t="s">
        <v>21</v>
      </c>
      <c r="I7785" s="2" t="s">
        <v>19413</v>
      </c>
      <c r="J7785" s="3" t="str">
        <f>HYPERLINK("https://www.boe.es/gazeta/dias/1812/08/25/pdfs/GRE-1812-110.pdf#page=8","Abrir facsímil")</f>
        <v>Abrir facsímil</v>
      </c>
      <c r="K7785" s="3" t="s">
        <v>23</v>
      </c>
    </row>
    <row r="7786" spans="1:11" ht="42" customHeight="1">
      <c r="A7786" s="2" t="s">
        <v>19414</v>
      </c>
      <c r="B7786" s="2" t="s">
        <v>19415</v>
      </c>
      <c r="C7786" s="2" t="s">
        <v>26</v>
      </c>
      <c r="D7786" s="2" t="s">
        <v>27</v>
      </c>
      <c r="E7786" s="4">
        <v>-32034</v>
      </c>
      <c r="F7786" s="3" t="s">
        <v>28</v>
      </c>
      <c r="G7786" s="3" t="s">
        <v>20</v>
      </c>
      <c r="H7786" s="2" t="s">
        <v>21</v>
      </c>
      <c r="I7786" s="2" t="s">
        <v>19416</v>
      </c>
      <c r="J7786" s="3" t="str">
        <f>HYPERLINK("https://www.boe.es/gazeta/dias/1812/04/16/pdfs/GMD-1812-107.pdf#page=3","Abrir facsímil")</f>
        <v>Abrir facsímil</v>
      </c>
      <c r="K7786" s="3" t="s">
        <v>23</v>
      </c>
    </row>
    <row r="7787" spans="1:11" ht="42" customHeight="1">
      <c r="A7787" s="2" t="s">
        <v>19417</v>
      </c>
      <c r="B7787" s="2" t="s">
        <v>19418</v>
      </c>
      <c r="C7787" s="2" t="s">
        <v>26</v>
      </c>
      <c r="D7787" s="2" t="s">
        <v>27</v>
      </c>
      <c r="E7787" s="4">
        <v>-32125</v>
      </c>
      <c r="F7787" s="3" t="s">
        <v>335</v>
      </c>
      <c r="G7787" s="3" t="s">
        <v>336</v>
      </c>
      <c r="H7787" s="2" t="s">
        <v>21</v>
      </c>
      <c r="I7787" s="2" t="s">
        <v>19419</v>
      </c>
      <c r="J7787" s="3" t="str">
        <f>HYPERLINK("https://www.boe.es/gazeta/dias/1812/01/16/pdfs/GEI-1812-7.pdf#page=8","Abrir facsímil")</f>
        <v>Abrir facsímil</v>
      </c>
      <c r="K7787" s="3" t="s">
        <v>23</v>
      </c>
    </row>
    <row r="7788" spans="1:11" ht="42" customHeight="1">
      <c r="A7788" s="2" t="s">
        <v>19420</v>
      </c>
      <c r="B7788" s="2" t="s">
        <v>19421</v>
      </c>
      <c r="C7788" s="2" t="s">
        <v>17</v>
      </c>
      <c r="D7788" s="2" t="s">
        <v>27</v>
      </c>
      <c r="E7788" s="4">
        <v>-32137</v>
      </c>
      <c r="F7788" s="3" t="s">
        <v>355</v>
      </c>
      <c r="G7788" s="3" t="s">
        <v>117</v>
      </c>
      <c r="H7788" s="2" t="s">
        <v>21</v>
      </c>
      <c r="I7788" s="2" t="s">
        <v>19422</v>
      </c>
      <c r="J7788" s="3" t="str">
        <f>HYPERLINK("https://www.boe.es/gazeta/dias/1812/01/04/pdfs/GEI-1812-2.pdf#page=8","Abrir facsímil")</f>
        <v>Abrir facsímil</v>
      </c>
      <c r="K7788" s="3" t="s">
        <v>23</v>
      </c>
    </row>
    <row r="7789" spans="1:11" ht="42" customHeight="1">
      <c r="A7789" s="2" t="s">
        <v>19423</v>
      </c>
      <c r="B7789" s="2" t="s">
        <v>19424</v>
      </c>
      <c r="C7789" s="2" t="s">
        <v>17</v>
      </c>
      <c r="D7789" s="2" t="s">
        <v>27</v>
      </c>
      <c r="E7789" s="4">
        <v>-32069</v>
      </c>
      <c r="F7789" s="3" t="s">
        <v>445</v>
      </c>
      <c r="G7789" s="3" t="s">
        <v>446</v>
      </c>
      <c r="H7789" s="2" t="s">
        <v>30</v>
      </c>
      <c r="I7789" s="2" t="s">
        <v>19425</v>
      </c>
      <c r="J7789" s="3" t="str">
        <f>HYPERLINK("https://www.boe.es/gazeta/dias/1812/03/12/pdfs/GRE-1812-32.pdf#page=8","Abrir facsímil")</f>
        <v>Abrir facsímil</v>
      </c>
      <c r="K7789" s="3" t="s">
        <v>32</v>
      </c>
    </row>
    <row r="7790" spans="1:11" ht="42" customHeight="1">
      <c r="A7790" s="2" t="s">
        <v>19426</v>
      </c>
      <c r="B7790" s="2" t="s">
        <v>19427</v>
      </c>
      <c r="C7790" s="2" t="s">
        <v>26</v>
      </c>
      <c r="D7790" s="2" t="s">
        <v>27</v>
      </c>
      <c r="E7790" s="4">
        <v>-32100</v>
      </c>
      <c r="F7790" s="3" t="s">
        <v>492</v>
      </c>
      <c r="G7790" s="3" t="s">
        <v>493</v>
      </c>
      <c r="H7790" s="2" t="s">
        <v>21</v>
      </c>
      <c r="I7790" s="2" t="s">
        <v>19428</v>
      </c>
      <c r="J7790" s="3" t="str">
        <f>HYPERLINK("https://www.boe.es/gazeta/dias/1812/02/10/pdfs/GRE-1812-31.pdf#page=8","Abrir facsímil")</f>
        <v>Abrir facsímil</v>
      </c>
      <c r="K7790" s="3" t="s">
        <v>23</v>
      </c>
    </row>
    <row r="7791" spans="1:11" ht="42" customHeight="1">
      <c r="A7791" s="2" t="s">
        <v>19426</v>
      </c>
      <c r="B7791" s="2" t="s">
        <v>19427</v>
      </c>
      <c r="C7791" s="2" t="s">
        <v>26</v>
      </c>
      <c r="D7791" s="2" t="s">
        <v>27</v>
      </c>
      <c r="E7791" s="4">
        <v>-32071</v>
      </c>
      <c r="F7791" s="3" t="s">
        <v>492</v>
      </c>
      <c r="G7791" s="3" t="s">
        <v>493</v>
      </c>
      <c r="H7791" s="2" t="s">
        <v>21</v>
      </c>
      <c r="I7791" s="2" t="s">
        <v>19428</v>
      </c>
      <c r="J7791" s="3" t="str">
        <f>HYPERLINK("https://www.boe.es/gazeta/dias/1812/03/10/pdfs/GRE-1812-31.pdf#page=8","Abrir facsímil")</f>
        <v>Abrir facsímil</v>
      </c>
      <c r="K7791" s="3" t="s">
        <v>23</v>
      </c>
    </row>
    <row r="7792" spans="1:11" ht="42" customHeight="1">
      <c r="A7792" s="2" t="s">
        <v>19429</v>
      </c>
      <c r="B7792" s="2" t="s">
        <v>19430</v>
      </c>
      <c r="C7792" s="2" t="s">
        <v>115</v>
      </c>
      <c r="D7792" s="2" t="s">
        <v>27</v>
      </c>
      <c r="E7792" s="4">
        <v>-31992</v>
      </c>
      <c r="F7792" s="3" t="s">
        <v>2239</v>
      </c>
      <c r="G7792" s="3" t="s">
        <v>20</v>
      </c>
      <c r="H7792" s="2" t="s">
        <v>21</v>
      </c>
      <c r="I7792" s="2" t="s">
        <v>19431</v>
      </c>
      <c r="J7792" s="3" t="str">
        <f>HYPERLINK("https://www.boe.es/gazeta/dias/1812/05/28/pdfs/GMD-1812-149.pdf#page=4","Abrir facsímil")</f>
        <v>Abrir facsímil</v>
      </c>
      <c r="K7792" s="3" t="s">
        <v>23</v>
      </c>
    </row>
    <row r="7793" spans="1:11" ht="42" customHeight="1">
      <c r="A7793" s="2" t="s">
        <v>19432</v>
      </c>
      <c r="B7793" s="2" t="s">
        <v>19433</v>
      </c>
      <c r="C7793" s="2" t="s">
        <v>26</v>
      </c>
      <c r="D7793" s="2" t="s">
        <v>27</v>
      </c>
      <c r="E7793" s="4">
        <v>-32137</v>
      </c>
      <c r="F7793" s="3" t="s">
        <v>355</v>
      </c>
      <c r="G7793" s="3" t="s">
        <v>117</v>
      </c>
      <c r="H7793" s="2" t="s">
        <v>21</v>
      </c>
      <c r="I7793" s="2" t="s">
        <v>19434</v>
      </c>
      <c r="J7793" s="3" t="str">
        <f>HYPERLINK("https://www.boe.es/gazeta/dias/1812/01/04/pdfs/GEI-1812-2.pdf#page=8","Abrir facsímil")</f>
        <v>Abrir facsímil</v>
      </c>
      <c r="K7793" s="3" t="s">
        <v>23</v>
      </c>
    </row>
    <row r="7794" spans="1:11" ht="42" customHeight="1">
      <c r="A7794" s="2" t="s">
        <v>19435</v>
      </c>
      <c r="B7794" s="2" t="s">
        <v>19436</v>
      </c>
      <c r="C7794" s="2" t="s">
        <v>17</v>
      </c>
      <c r="D7794" s="2" t="s">
        <v>27</v>
      </c>
      <c r="E7794" s="4">
        <v>-32067</v>
      </c>
      <c r="F7794" s="3" t="s">
        <v>199</v>
      </c>
      <c r="G7794" s="3" t="s">
        <v>237</v>
      </c>
      <c r="H7794" s="2" t="s">
        <v>21</v>
      </c>
      <c r="I7794" s="2" t="s">
        <v>19437</v>
      </c>
      <c r="J7794" s="3" t="str">
        <f>HYPERLINK("https://www.boe.es/gazeta/dias/1812/03/14/pdfs/GRE-1812-33.pdf#page=8","Abrir facsímil")</f>
        <v>Abrir facsímil</v>
      </c>
      <c r="K7794" s="3" t="s">
        <v>23</v>
      </c>
    </row>
    <row r="7795" spans="1:11" ht="42" customHeight="1">
      <c r="A7795" s="2" t="s">
        <v>19438</v>
      </c>
      <c r="B7795" s="2" t="s">
        <v>19439</v>
      </c>
      <c r="C7795" s="2" t="s">
        <v>17</v>
      </c>
      <c r="D7795" s="2" t="s">
        <v>27</v>
      </c>
      <c r="E7795" s="4">
        <v>-31978</v>
      </c>
      <c r="F7795" s="3" t="s">
        <v>1790</v>
      </c>
      <c r="G7795" s="3" t="s">
        <v>58</v>
      </c>
      <c r="H7795" s="2" t="s">
        <v>21</v>
      </c>
      <c r="I7795" s="2" t="s">
        <v>19440</v>
      </c>
      <c r="J7795" s="3" t="str">
        <f>HYPERLINK("https://www.boe.es/gazeta/dias/1812/06/11/pdfs/GRE-1812-72.pdf#page=6","Abrir facsímil")</f>
        <v>Abrir facsímil</v>
      </c>
      <c r="K7795" s="3" t="s">
        <v>23</v>
      </c>
    </row>
    <row r="7796" spans="1:11" ht="42" customHeight="1">
      <c r="A7796" s="2" t="s">
        <v>19441</v>
      </c>
      <c r="B7796" s="2" t="s">
        <v>19442</v>
      </c>
      <c r="C7796" s="2" t="s">
        <v>17</v>
      </c>
      <c r="D7796" s="2" t="s">
        <v>27</v>
      </c>
      <c r="E7796" s="4">
        <v>-32013</v>
      </c>
      <c r="F7796" s="3" t="s">
        <v>849</v>
      </c>
      <c r="G7796" s="3" t="s">
        <v>6818</v>
      </c>
      <c r="H7796" s="2" t="s">
        <v>21</v>
      </c>
      <c r="I7796" s="2" t="s">
        <v>19443</v>
      </c>
      <c r="J7796" s="3" t="str">
        <f>HYPERLINK("https://www.boe.es/gazeta/dias/1812/05/07/pdfs/GRE-1812-57.pdf#page=8","Abrir facsímil")</f>
        <v>Abrir facsímil</v>
      </c>
      <c r="K7796" s="3" t="s">
        <v>23</v>
      </c>
    </row>
    <row r="7797" spans="1:11" ht="42" customHeight="1">
      <c r="A7797" s="2" t="s">
        <v>19444</v>
      </c>
      <c r="B7797" s="2" t="s">
        <v>19444</v>
      </c>
      <c r="C7797" s="2" t="s">
        <v>17</v>
      </c>
      <c r="D7797" s="2" t="s">
        <v>27</v>
      </c>
      <c r="E7797" s="4">
        <v>-32013</v>
      </c>
      <c r="F7797" s="3" t="s">
        <v>849</v>
      </c>
      <c r="G7797" s="3" t="s">
        <v>6818</v>
      </c>
      <c r="H7797" s="2" t="s">
        <v>21</v>
      </c>
      <c r="I7797" s="2" t="s">
        <v>19445</v>
      </c>
      <c r="J7797" s="3" t="str">
        <f>HYPERLINK("https://www.boe.es/gazeta/dias/1812/05/07/pdfs/GRE-1812-57.pdf#page=8","Abrir facsímil")</f>
        <v>Abrir facsímil</v>
      </c>
      <c r="K7797" s="3" t="s">
        <v>23</v>
      </c>
    </row>
    <row r="7798" spans="1:11" ht="42" customHeight="1">
      <c r="A7798" s="2" t="s">
        <v>19446</v>
      </c>
      <c r="B7798" s="2" t="s">
        <v>19446</v>
      </c>
      <c r="C7798" s="2" t="s">
        <v>26</v>
      </c>
      <c r="D7798" s="2" t="s">
        <v>27</v>
      </c>
      <c r="E7798" s="4">
        <v>-31854</v>
      </c>
      <c r="F7798" s="3" t="s">
        <v>1574</v>
      </c>
      <c r="G7798" s="3" t="s">
        <v>794</v>
      </c>
      <c r="H7798" s="2" t="s">
        <v>21</v>
      </c>
      <c r="I7798" s="2" t="s">
        <v>19447</v>
      </c>
      <c r="J7798" s="3" t="str">
        <f>HYPERLINK("https://www.boe.es/gazeta/dias/1812/10/13/pdfs/GMR-1812-26.pdf#page=7","Abrir facsímil")</f>
        <v>Abrir facsímil</v>
      </c>
      <c r="K7798" s="3" t="s">
        <v>23</v>
      </c>
    </row>
    <row r="7799" spans="1:11" ht="42" customHeight="1">
      <c r="A7799" s="2" t="s">
        <v>19448</v>
      </c>
      <c r="B7799" s="2" t="s">
        <v>19449</v>
      </c>
      <c r="C7799" s="2" t="s">
        <v>67</v>
      </c>
      <c r="D7799" s="2" t="s">
        <v>27</v>
      </c>
      <c r="E7799" s="4">
        <v>-32013</v>
      </c>
      <c r="F7799" s="3" t="s">
        <v>849</v>
      </c>
      <c r="G7799" s="3" t="s">
        <v>6831</v>
      </c>
      <c r="H7799" s="2" t="s">
        <v>21</v>
      </c>
      <c r="I7799" s="2" t="s">
        <v>19450</v>
      </c>
      <c r="J7799" s="3" t="str">
        <f>HYPERLINK("https://www.boe.es/gazeta/dias/1812/05/07/pdfs/GRE-1812-57.pdf#page=3","Abrir facsímil")</f>
        <v>Abrir facsímil</v>
      </c>
      <c r="K7799" s="3" t="s">
        <v>23</v>
      </c>
    </row>
    <row r="7800" spans="1:11" ht="42" customHeight="1">
      <c r="A7800" s="2" t="s">
        <v>19451</v>
      </c>
      <c r="B7800" s="2" t="s">
        <v>19452</v>
      </c>
      <c r="C7800" s="2" t="s">
        <v>186</v>
      </c>
      <c r="D7800" s="2" t="s">
        <v>27</v>
      </c>
      <c r="E7800" s="4">
        <v>-32127</v>
      </c>
      <c r="F7800" s="3" t="s">
        <v>88</v>
      </c>
      <c r="G7800" s="3" t="s">
        <v>89</v>
      </c>
      <c r="H7800" s="2" t="s">
        <v>21</v>
      </c>
      <c r="I7800" s="2" t="s">
        <v>19453</v>
      </c>
      <c r="J7800" s="3" t="str">
        <f>HYPERLINK("https://www.boe.es/gazeta/dias/1812/01/14/pdfs/GEI-1812-6.pdf#page=8","Abrir facsímil")</f>
        <v>Abrir facsímil</v>
      </c>
      <c r="K7800" s="3" t="s">
        <v>23</v>
      </c>
    </row>
    <row r="7801" spans="1:11" ht="42" customHeight="1">
      <c r="A7801" s="2" t="s">
        <v>19454</v>
      </c>
      <c r="B7801" s="2" t="s">
        <v>19455</v>
      </c>
      <c r="C7801" s="2" t="s">
        <v>26</v>
      </c>
      <c r="D7801" s="2" t="s">
        <v>27</v>
      </c>
      <c r="E7801" s="4">
        <v>-31939</v>
      </c>
      <c r="F7801" s="3" t="s">
        <v>408</v>
      </c>
      <c r="G7801" s="3" t="s">
        <v>404</v>
      </c>
      <c r="H7801" s="2" t="s">
        <v>21</v>
      </c>
      <c r="I7801" s="2" t="s">
        <v>19456</v>
      </c>
      <c r="J7801" s="3" t="str">
        <f>HYPERLINK("https://www.boe.es/gazeta/dias/1812/07/20/pdfs/GMD-1812-202.pdf#page=2","Abrir facsímil")</f>
        <v>Abrir facsímil</v>
      </c>
      <c r="K7801" s="3" t="s">
        <v>23</v>
      </c>
    </row>
    <row r="7802" spans="1:11" ht="42" customHeight="1">
      <c r="A7802" s="2" t="s">
        <v>19457</v>
      </c>
      <c r="B7802" s="2" t="s">
        <v>19458</v>
      </c>
      <c r="C7802" s="2" t="s">
        <v>26</v>
      </c>
      <c r="D7802" s="2" t="s">
        <v>573</v>
      </c>
      <c r="E7802" s="4">
        <v>-31900</v>
      </c>
      <c r="F7802" s="3" t="s">
        <v>276</v>
      </c>
      <c r="G7802" s="3" t="s">
        <v>277</v>
      </c>
      <c r="H7802" s="2" t="s">
        <v>21</v>
      </c>
      <c r="I7802" s="2" t="s">
        <v>19459</v>
      </c>
      <c r="J7802" s="3" t="str">
        <f>HYPERLINK("https://www.boe.es/gazeta/dias/1812/08/28/pdfs/GRE-1812-113E.pdf#page=8","Abrir facsímil")</f>
        <v>Abrir facsímil</v>
      </c>
      <c r="K7802" s="3" t="s">
        <v>23</v>
      </c>
    </row>
    <row r="7803" spans="1:11" ht="42" customHeight="1">
      <c r="A7803" s="2" t="s">
        <v>19460</v>
      </c>
      <c r="B7803" s="2" t="s">
        <v>19461</v>
      </c>
      <c r="C7803" s="2" t="s">
        <v>26</v>
      </c>
      <c r="D7803" s="2" t="s">
        <v>27</v>
      </c>
      <c r="E7803" s="4">
        <v>-31973</v>
      </c>
      <c r="F7803" s="3" t="s">
        <v>1735</v>
      </c>
      <c r="G7803" s="3" t="s">
        <v>125</v>
      </c>
      <c r="H7803" s="2" t="s">
        <v>21</v>
      </c>
      <c r="I7803" s="2" t="s">
        <v>19462</v>
      </c>
      <c r="J7803" s="3" t="str">
        <f>HYPERLINK("https://www.boe.es/gazeta/dias/1812/06/16/pdfs/GRE-1812-74.pdf#page=4","Abrir facsímil")</f>
        <v>Abrir facsímil</v>
      </c>
      <c r="K7803" s="3" t="s">
        <v>23</v>
      </c>
    </row>
    <row r="7804" spans="1:11" ht="42" customHeight="1">
      <c r="A7804" s="2" t="s">
        <v>19463</v>
      </c>
      <c r="B7804" s="2" t="s">
        <v>19463</v>
      </c>
      <c r="C7804" s="2" t="s">
        <v>17</v>
      </c>
      <c r="D7804" s="2" t="s">
        <v>27</v>
      </c>
      <c r="E7804" s="4">
        <v>-31936</v>
      </c>
      <c r="F7804" s="3" t="s">
        <v>603</v>
      </c>
      <c r="G7804" s="3" t="s">
        <v>196</v>
      </c>
      <c r="H7804" s="2" t="s">
        <v>21</v>
      </c>
      <c r="I7804" s="2" t="s">
        <v>19464</v>
      </c>
      <c r="J7804" s="3" t="str">
        <f>HYPERLINK("https://www.boe.es/gazeta/dias/1812/07/23/pdfs/GMD-1812-205.pdf#page=1","Abrir facsímil")</f>
        <v>Abrir facsímil</v>
      </c>
      <c r="K7804" s="3" t="s">
        <v>23</v>
      </c>
    </row>
    <row r="7805" spans="1:11" ht="42" customHeight="1">
      <c r="A7805" s="2" t="s">
        <v>19465</v>
      </c>
      <c r="B7805" s="2" t="s">
        <v>19466</v>
      </c>
      <c r="C7805" s="2" t="s">
        <v>49</v>
      </c>
      <c r="D7805" s="2" t="s">
        <v>27</v>
      </c>
      <c r="E7805" s="4">
        <v>-31984</v>
      </c>
      <c r="F7805" s="3" t="s">
        <v>5154</v>
      </c>
      <c r="G7805" s="3" t="s">
        <v>1076</v>
      </c>
      <c r="H7805" s="2" t="s">
        <v>21</v>
      </c>
      <c r="I7805" s="2" t="s">
        <v>19467</v>
      </c>
      <c r="J7805" s="3" t="str">
        <f>HYPERLINK("https://www.boe.es/gazeta/dias/1812/06/05/pdfs/GMD-1812-157.pdf#page=1","Abrir facsímil")</f>
        <v>Abrir facsímil</v>
      </c>
      <c r="K7805" s="3" t="s">
        <v>23</v>
      </c>
    </row>
    <row r="7806" spans="1:11" ht="42" customHeight="1">
      <c r="A7806" s="2" t="s">
        <v>19468</v>
      </c>
      <c r="B7806" s="2" t="s">
        <v>19469</v>
      </c>
      <c r="C7806" s="2" t="s">
        <v>26</v>
      </c>
      <c r="D7806" s="2" t="s">
        <v>27</v>
      </c>
      <c r="E7806" s="4">
        <v>-32139</v>
      </c>
      <c r="F7806" s="3" t="s">
        <v>518</v>
      </c>
      <c r="G7806" s="3" t="s">
        <v>125</v>
      </c>
      <c r="H7806" s="2" t="s">
        <v>21</v>
      </c>
      <c r="I7806" s="2" t="s">
        <v>19470</v>
      </c>
      <c r="J7806" s="3" t="str">
        <f>HYPERLINK("https://www.boe.es/gazeta/dias/1812/01/02/pdfs/GEI-1812-1.pdf#page=8","Abrir facsímil")</f>
        <v>Abrir facsímil</v>
      </c>
      <c r="K7806" s="3" t="s">
        <v>23</v>
      </c>
    </row>
    <row r="7807" spans="1:11" ht="42" customHeight="1">
      <c r="A7807" s="2" t="s">
        <v>19471</v>
      </c>
      <c r="B7807" s="2" t="s">
        <v>19472</v>
      </c>
      <c r="C7807" s="2" t="s">
        <v>26</v>
      </c>
      <c r="D7807" s="2" t="s">
        <v>573</v>
      </c>
      <c r="E7807" s="4">
        <v>-31900</v>
      </c>
      <c r="F7807" s="3" t="s">
        <v>276</v>
      </c>
      <c r="G7807" s="3" t="s">
        <v>277</v>
      </c>
      <c r="H7807" s="2" t="s">
        <v>21</v>
      </c>
      <c r="I7807" s="2" t="s">
        <v>19473</v>
      </c>
      <c r="J7807" s="3" t="str">
        <f>HYPERLINK("https://www.boe.es/gazeta/dias/1812/08/28/pdfs/GRE-1812-113E.pdf#page=8","Abrir facsímil")</f>
        <v>Abrir facsímil</v>
      </c>
      <c r="K7807" s="3" t="s">
        <v>23</v>
      </c>
    </row>
    <row r="7808" spans="1:11" ht="42" customHeight="1">
      <c r="A7808" s="2" t="s">
        <v>19474</v>
      </c>
      <c r="B7808" s="2" t="s">
        <v>19474</v>
      </c>
      <c r="C7808" s="2" t="s">
        <v>49</v>
      </c>
      <c r="D7808" s="2" t="s">
        <v>27</v>
      </c>
      <c r="E7808" s="4">
        <v>-32020</v>
      </c>
      <c r="F7808" s="3" t="s">
        <v>1860</v>
      </c>
      <c r="G7808" s="3" t="s">
        <v>591</v>
      </c>
      <c r="H7808" s="2" t="s">
        <v>21</v>
      </c>
      <c r="I7808" s="2" t="s">
        <v>19475</v>
      </c>
      <c r="J7808" s="3" t="str">
        <f>HYPERLINK("https://www.boe.es/gazeta/dias/1812/04/30/pdfs/GMD-1812-121.pdf#page=2","Abrir facsímil")</f>
        <v>Abrir facsímil</v>
      </c>
      <c r="K7808" s="3" t="s">
        <v>23</v>
      </c>
    </row>
    <row r="7809" spans="1:11" ht="42" customHeight="1">
      <c r="A7809" s="2" t="s">
        <v>19476</v>
      </c>
      <c r="B7809" s="2" t="s">
        <v>19476</v>
      </c>
      <c r="C7809" s="2" t="s">
        <v>17</v>
      </c>
      <c r="D7809" s="2" t="s">
        <v>194</v>
      </c>
      <c r="E7809" s="4">
        <v>-32105</v>
      </c>
      <c r="F7809" s="3" t="s">
        <v>8251</v>
      </c>
      <c r="G7809" s="3" t="s">
        <v>404</v>
      </c>
      <c r="H7809" s="2" t="s">
        <v>21</v>
      </c>
      <c r="I7809" s="2" t="s">
        <v>19477</v>
      </c>
      <c r="J7809" s="3" t="str">
        <f>HYPERLINK("https://www.boe.es/gazeta/dias/1812/02/05/pdfs/GMD-1812-36.pdf#page=3","Abrir facsímil")</f>
        <v>Abrir facsímil</v>
      </c>
      <c r="K7809" s="3" t="s">
        <v>23</v>
      </c>
    </row>
    <row r="7810" spans="1:11" ht="42" customHeight="1">
      <c r="A7810" s="2" t="s">
        <v>19476</v>
      </c>
      <c r="B7810" s="2" t="s">
        <v>19476</v>
      </c>
      <c r="C7810" s="2" t="s">
        <v>17</v>
      </c>
      <c r="D7810" s="2" t="s">
        <v>27</v>
      </c>
      <c r="E7810" s="4">
        <v>-32088</v>
      </c>
      <c r="F7810" s="3" t="s">
        <v>1217</v>
      </c>
      <c r="G7810" s="3" t="s">
        <v>1943</v>
      </c>
      <c r="H7810" s="2" t="s">
        <v>21</v>
      </c>
      <c r="I7810" s="2" t="s">
        <v>19478</v>
      </c>
      <c r="J7810" s="3" t="str">
        <f>HYPERLINK("https://www.boe.es/gazeta/dias/1812/02/22/pdfs/GMD-1812-53.pdf#page=2","Abrir facsímil")</f>
        <v>Abrir facsímil</v>
      </c>
      <c r="K7810" s="3" t="s">
        <v>23</v>
      </c>
    </row>
    <row r="7811" spans="1:11" ht="42" customHeight="1">
      <c r="A7811" s="2" t="s">
        <v>19476</v>
      </c>
      <c r="B7811" s="2" t="s">
        <v>19476</v>
      </c>
      <c r="C7811" s="2" t="s">
        <v>17</v>
      </c>
      <c r="D7811" s="2" t="s">
        <v>27</v>
      </c>
      <c r="E7811" s="4">
        <v>-32024</v>
      </c>
      <c r="F7811" s="3" t="s">
        <v>11824</v>
      </c>
      <c r="G7811" s="3" t="s">
        <v>7987</v>
      </c>
      <c r="H7811" s="2" t="s">
        <v>21</v>
      </c>
      <c r="I7811" s="2" t="s">
        <v>19479</v>
      </c>
      <c r="J7811" s="3" t="str">
        <f>HYPERLINK("https://www.boe.es/gazeta/dias/1812/04/26/pdfs/GMD-1812-117.pdf#page=2","Abrir facsímil")</f>
        <v>Abrir facsímil</v>
      </c>
      <c r="K7811" s="3" t="s">
        <v>23</v>
      </c>
    </row>
    <row r="7812" spans="1:11" ht="42" customHeight="1">
      <c r="A7812" s="2" t="s">
        <v>19476</v>
      </c>
      <c r="B7812" s="2" t="s">
        <v>19476</v>
      </c>
      <c r="C7812" s="2" t="s">
        <v>17</v>
      </c>
      <c r="D7812" s="2" t="s">
        <v>27</v>
      </c>
      <c r="E7812" s="4">
        <v>-31944</v>
      </c>
      <c r="F7812" s="3" t="s">
        <v>5796</v>
      </c>
      <c r="G7812" s="3" t="s">
        <v>404</v>
      </c>
      <c r="H7812" s="2" t="s">
        <v>21</v>
      </c>
      <c r="I7812" s="2" t="s">
        <v>19480</v>
      </c>
      <c r="J7812" s="3" t="str">
        <f>HYPERLINK("https://www.boe.es/gazeta/dias/1812/07/15/pdfs/GMD-1812-197.pdf#page=2","Abrir facsímil")</f>
        <v>Abrir facsímil</v>
      </c>
      <c r="K7812" s="3" t="s">
        <v>23</v>
      </c>
    </row>
    <row r="7813" spans="1:11" ht="42" customHeight="1">
      <c r="A7813" s="2" t="s">
        <v>19481</v>
      </c>
      <c r="B7813" s="2" t="s">
        <v>19482</v>
      </c>
      <c r="C7813" s="2" t="s">
        <v>26</v>
      </c>
      <c r="D7813" s="2" t="s">
        <v>27</v>
      </c>
      <c r="E7813" s="4">
        <v>-32034</v>
      </c>
      <c r="F7813" s="3" t="s">
        <v>28</v>
      </c>
      <c r="G7813" s="3" t="s">
        <v>317</v>
      </c>
      <c r="H7813" s="2" t="s">
        <v>21</v>
      </c>
      <c r="I7813" s="2" t="s">
        <v>19483</v>
      </c>
      <c r="J7813" s="3" t="str">
        <f>HYPERLINK("https://www.boe.es/gazeta/dias/1812/04/16/pdfs/GMD-1812-107.pdf#page=6","Abrir facsímil")</f>
        <v>Abrir facsímil</v>
      </c>
      <c r="K7813" s="3" t="s">
        <v>23</v>
      </c>
    </row>
    <row r="7814" spans="1:11" ht="42" customHeight="1">
      <c r="A7814" s="2" t="s">
        <v>19484</v>
      </c>
      <c r="B7814" s="2" t="s">
        <v>19485</v>
      </c>
      <c r="C7814" s="2" t="s">
        <v>17</v>
      </c>
      <c r="D7814" s="2" t="s">
        <v>27</v>
      </c>
      <c r="E7814" s="4">
        <v>-31957</v>
      </c>
      <c r="F7814" s="3" t="s">
        <v>2173</v>
      </c>
      <c r="G7814" s="3" t="s">
        <v>1820</v>
      </c>
      <c r="H7814" s="2" t="s">
        <v>21</v>
      </c>
      <c r="I7814" s="2" t="s">
        <v>19486</v>
      </c>
      <c r="J7814" s="3" t="str">
        <f>HYPERLINK("https://www.boe.es/gazeta/dias/1812/07/02/pdfs/GRE-1812-81.pdf#page=4","Abrir facsímil")</f>
        <v>Abrir facsímil</v>
      </c>
      <c r="K7814" s="3" t="s">
        <v>23</v>
      </c>
    </row>
    <row r="7815" spans="1:11" ht="42" customHeight="1">
      <c r="A7815" s="2" t="s">
        <v>19487</v>
      </c>
      <c r="B7815" s="2" t="s">
        <v>19488</v>
      </c>
      <c r="C7815" s="2" t="s">
        <v>17</v>
      </c>
      <c r="D7815" s="2" t="s">
        <v>27</v>
      </c>
      <c r="E7815" s="4">
        <v>-32081</v>
      </c>
      <c r="F7815" s="3" t="s">
        <v>989</v>
      </c>
      <c r="G7815" s="3" t="s">
        <v>683</v>
      </c>
      <c r="H7815" s="2" t="s">
        <v>21</v>
      </c>
      <c r="I7815" s="2" t="s">
        <v>19489</v>
      </c>
      <c r="J7815" s="3" t="str">
        <f>HYPERLINK("https://www.boe.es/gazeta/dias/1812/02/29/pdfs/GMD-1812-60.pdf#page=4","Abrir facsímil")</f>
        <v>Abrir facsímil</v>
      </c>
      <c r="K7815" s="3" t="s">
        <v>23</v>
      </c>
    </row>
    <row r="7816" spans="1:11" ht="42" customHeight="1">
      <c r="A7816" s="2" t="s">
        <v>19490</v>
      </c>
      <c r="B7816" s="2" t="s">
        <v>19491</v>
      </c>
      <c r="C7816" s="2" t="s">
        <v>26</v>
      </c>
      <c r="D7816" s="2" t="s">
        <v>27</v>
      </c>
      <c r="E7816" s="4">
        <v>-31819</v>
      </c>
      <c r="F7816" s="3" t="s">
        <v>1770</v>
      </c>
      <c r="G7816" s="3" t="s">
        <v>1771</v>
      </c>
      <c r="H7816" s="2" t="s">
        <v>30</v>
      </c>
      <c r="I7816" s="2" t="s">
        <v>19492</v>
      </c>
      <c r="J7816" s="3" t="str">
        <f>HYPERLINK("https://www.boe.es/gazeta/dias/1812/11/17/pdfs/GRE-1812-153.pdf#page=4","Abrir facsímil")</f>
        <v>Abrir facsímil</v>
      </c>
      <c r="K7816" s="3" t="s">
        <v>32</v>
      </c>
    </row>
    <row r="7817" spans="1:11" ht="42" customHeight="1">
      <c r="A7817" s="2" t="s">
        <v>19493</v>
      </c>
      <c r="B7817" s="2" t="s">
        <v>19494</v>
      </c>
      <c r="C7817" s="2" t="s">
        <v>105</v>
      </c>
      <c r="D7817" s="2" t="s">
        <v>27</v>
      </c>
      <c r="E7817" s="4">
        <v>-31850</v>
      </c>
      <c r="F7817" s="3" t="s">
        <v>2178</v>
      </c>
      <c r="G7817" s="3" t="s">
        <v>17810</v>
      </c>
      <c r="H7817" s="2" t="s">
        <v>21</v>
      </c>
      <c r="I7817" s="2" t="s">
        <v>19495</v>
      </c>
      <c r="J7817" s="3" t="str">
        <f>HYPERLINK("https://www.boe.es/gazeta/dias/1812/10/17/pdfs/GRE-1812-140.pdf#page=6","Abrir facsímil")</f>
        <v>Abrir facsímil</v>
      </c>
      <c r="K7817" s="3" t="s">
        <v>23</v>
      </c>
    </row>
    <row r="7818" spans="1:11" ht="42" customHeight="1">
      <c r="A7818" s="2" t="s">
        <v>19496</v>
      </c>
      <c r="B7818" s="2" t="s">
        <v>19496</v>
      </c>
      <c r="C7818" s="2" t="s">
        <v>17</v>
      </c>
      <c r="D7818" s="2" t="s">
        <v>18</v>
      </c>
      <c r="E7818" s="4">
        <v>-31787</v>
      </c>
      <c r="F7818" s="3" t="s">
        <v>1560</v>
      </c>
      <c r="G7818" s="3" t="s">
        <v>19497</v>
      </c>
      <c r="H7818" s="2" t="s">
        <v>21</v>
      </c>
      <c r="I7818" s="2" t="s">
        <v>19498</v>
      </c>
      <c r="J7818" s="3" t="str">
        <f>HYPERLINK("https://www.boe.es/gazeta/dias/1812/12/19/pdfs/GRE-1812-167.pdf#page=5","Abrir facsímil")</f>
        <v>Abrir facsímil</v>
      </c>
      <c r="K7818" s="3" t="s">
        <v>23</v>
      </c>
    </row>
    <row r="7819" spans="1:11" ht="42" customHeight="1">
      <c r="A7819" s="2" t="s">
        <v>19499</v>
      </c>
      <c r="B7819" s="2" t="s">
        <v>19499</v>
      </c>
      <c r="C7819" s="2" t="s">
        <v>26</v>
      </c>
      <c r="D7819" s="2" t="s">
        <v>27</v>
      </c>
      <c r="E7819" s="4">
        <v>-31896</v>
      </c>
      <c r="F7819" s="3" t="s">
        <v>3158</v>
      </c>
      <c r="G7819" s="3" t="s">
        <v>6284</v>
      </c>
      <c r="H7819" s="2" t="s">
        <v>21</v>
      </c>
      <c r="I7819" s="2" t="s">
        <v>19500</v>
      </c>
      <c r="J7819" s="3" t="str">
        <f>HYPERLINK("https://www.boe.es/gazeta/dias/1812/09/01/pdfs/GRE-1812-117.pdf#page=4","Abrir facsímil")</f>
        <v>Abrir facsímil</v>
      </c>
      <c r="K7819" s="3" t="s">
        <v>23</v>
      </c>
    </row>
    <row r="7820" spans="1:11" ht="42" customHeight="1">
      <c r="A7820" s="2" t="s">
        <v>19501</v>
      </c>
      <c r="B7820" s="2" t="s">
        <v>19502</v>
      </c>
      <c r="C7820" s="2" t="s">
        <v>186</v>
      </c>
      <c r="D7820" s="2" t="s">
        <v>275</v>
      </c>
      <c r="E7820" s="4">
        <v>-31920</v>
      </c>
      <c r="F7820" s="3" t="s">
        <v>8503</v>
      </c>
      <c r="G7820" s="3" t="s">
        <v>19503</v>
      </c>
      <c r="H7820" s="2" t="s">
        <v>21</v>
      </c>
      <c r="I7820" s="2" t="s">
        <v>19504</v>
      </c>
      <c r="J7820" s="3" t="str">
        <f>HYPERLINK("https://www.boe.es/gazeta/dias/1812/08/08/pdfs/GRE-1812-102.pdf#page=8","Abrir facsímil")</f>
        <v>Abrir facsímil</v>
      </c>
      <c r="K7820" s="3" t="s">
        <v>23</v>
      </c>
    </row>
    <row r="7821" spans="1:11" ht="42" customHeight="1">
      <c r="A7821" s="2" t="s">
        <v>19505</v>
      </c>
      <c r="B7821" s="2" t="s">
        <v>19505</v>
      </c>
      <c r="C7821" s="2" t="s">
        <v>26</v>
      </c>
      <c r="D7821" s="2" t="s">
        <v>27</v>
      </c>
      <c r="E7821" s="4">
        <v>-31980</v>
      </c>
      <c r="F7821" s="3" t="s">
        <v>40</v>
      </c>
      <c r="G7821" s="3" t="s">
        <v>41</v>
      </c>
      <c r="H7821" s="2" t="s">
        <v>21</v>
      </c>
      <c r="I7821" s="2" t="s">
        <v>19506</v>
      </c>
      <c r="J7821" s="3" t="str">
        <f>HYPERLINK("https://www.boe.es/gazeta/dias/1812/06/09/pdfs/GRE-1812-71.pdf#page=6","Abrir facsímil")</f>
        <v>Abrir facsímil</v>
      </c>
      <c r="K7821" s="3" t="s">
        <v>23</v>
      </c>
    </row>
    <row r="7822" spans="1:11" ht="42" customHeight="1">
      <c r="A7822" s="2" t="s">
        <v>19507</v>
      </c>
      <c r="B7822" s="2" t="s">
        <v>19508</v>
      </c>
      <c r="C7822" s="2" t="s">
        <v>26</v>
      </c>
      <c r="D7822" s="2" t="s">
        <v>27</v>
      </c>
      <c r="E7822" s="4">
        <v>-31801</v>
      </c>
      <c r="F7822" s="3" t="s">
        <v>632</v>
      </c>
      <c r="G7822" s="3" t="s">
        <v>13418</v>
      </c>
      <c r="H7822" s="2" t="s">
        <v>21</v>
      </c>
      <c r="I7822" s="2" t="s">
        <v>19509</v>
      </c>
      <c r="J7822" s="3" t="str">
        <f>HYPERLINK("https://www.boe.es/gazeta/dias/1812/12/05/pdfs/GMD-1812-228.pdf#page=4","Abrir facsímil")</f>
        <v>Abrir facsímil</v>
      </c>
      <c r="K7822" s="3" t="s">
        <v>23</v>
      </c>
    </row>
    <row r="7823" spans="1:11" ht="42" customHeight="1">
      <c r="A7823" s="2" t="s">
        <v>19510</v>
      </c>
      <c r="B7823" s="2" t="s">
        <v>19511</v>
      </c>
      <c r="C7823" s="2" t="s">
        <v>26</v>
      </c>
      <c r="D7823" s="2" t="s">
        <v>27</v>
      </c>
      <c r="E7823" s="4">
        <v>-32019</v>
      </c>
      <c r="F7823" s="3" t="s">
        <v>476</v>
      </c>
      <c r="G7823" s="3" t="s">
        <v>404</v>
      </c>
      <c r="H7823" s="2" t="s">
        <v>21</v>
      </c>
      <c r="I7823" s="2" t="s">
        <v>19512</v>
      </c>
      <c r="J7823" s="3" t="str">
        <f>HYPERLINK("https://www.boe.es/gazeta/dias/1812/05/01/pdfs/GMD-1812-122.pdf#page=3","Abrir facsímil")</f>
        <v>Abrir facsímil</v>
      </c>
      <c r="K7823" s="3" t="s">
        <v>23</v>
      </c>
    </row>
    <row r="7824" spans="1:11" ht="42" customHeight="1">
      <c r="A7824" s="2" t="s">
        <v>19513</v>
      </c>
      <c r="B7824" s="2" t="s">
        <v>19513</v>
      </c>
      <c r="C7824" s="2" t="s">
        <v>26</v>
      </c>
      <c r="D7824" s="2" t="s">
        <v>27</v>
      </c>
      <c r="E7824" s="4">
        <v>-31987</v>
      </c>
      <c r="F7824" s="3" t="s">
        <v>2309</v>
      </c>
      <c r="G7824" s="3" t="s">
        <v>2310</v>
      </c>
      <c r="H7824" s="2" t="s">
        <v>21</v>
      </c>
      <c r="I7824" s="2" t="s">
        <v>19514</v>
      </c>
      <c r="J7824" s="3" t="str">
        <f>HYPERLINK("https://www.boe.es/gazeta/dias/1812/06/02/pdfs/GMD-1812-154.pdf#page=2","Abrir facsímil")</f>
        <v>Abrir facsímil</v>
      </c>
      <c r="K7824" s="3" t="s">
        <v>23</v>
      </c>
    </row>
    <row r="7825" spans="1:11" ht="42" customHeight="1">
      <c r="A7825" s="2" t="s">
        <v>19515</v>
      </c>
      <c r="B7825" s="2" t="s">
        <v>19516</v>
      </c>
      <c r="C7825" s="2" t="s">
        <v>49</v>
      </c>
      <c r="D7825" s="2" t="s">
        <v>27</v>
      </c>
      <c r="E7825" s="4">
        <v>-32018</v>
      </c>
      <c r="F7825" s="3" t="s">
        <v>365</v>
      </c>
      <c r="G7825" s="3" t="s">
        <v>366</v>
      </c>
      <c r="H7825" s="2" t="s">
        <v>21</v>
      </c>
      <c r="I7825" s="2" t="s">
        <v>19517</v>
      </c>
      <c r="J7825" s="3" t="str">
        <f>HYPERLINK("https://www.boe.es/gazeta/dias/1812/05/02/pdfs/GRE-1812-55.pdf#page=3","Abrir facsímil")</f>
        <v>Abrir facsímil</v>
      </c>
      <c r="K7825" s="3" t="s">
        <v>23</v>
      </c>
    </row>
    <row r="7826" spans="1:11" ht="42" customHeight="1">
      <c r="A7826" s="2" t="s">
        <v>19518</v>
      </c>
      <c r="B7826" s="2" t="s">
        <v>19519</v>
      </c>
      <c r="C7826" s="2" t="s">
        <v>549</v>
      </c>
      <c r="D7826" s="2" t="s">
        <v>27</v>
      </c>
      <c r="E7826" s="4">
        <v>-32090</v>
      </c>
      <c r="F7826" s="3" t="s">
        <v>142</v>
      </c>
      <c r="G7826" s="3" t="s">
        <v>29</v>
      </c>
      <c r="H7826" s="2" t="s">
        <v>21</v>
      </c>
      <c r="I7826" s="2" t="s">
        <v>19520</v>
      </c>
      <c r="J7826" s="3" t="str">
        <f>HYPERLINK("https://www.boe.es/gazeta/dias/1812/02/20/pdfs/GRE-1812-22.pdf#page=8","Abrir facsímil")</f>
        <v>Abrir facsímil</v>
      </c>
      <c r="K7826" s="3" t="s">
        <v>23</v>
      </c>
    </row>
    <row r="7827" spans="1:11" ht="42" customHeight="1">
      <c r="A7827" s="2" t="s">
        <v>19521</v>
      </c>
      <c r="B7827" s="2" t="s">
        <v>19522</v>
      </c>
      <c r="C7827" s="2" t="s">
        <v>26</v>
      </c>
      <c r="D7827" s="2" t="s">
        <v>27</v>
      </c>
      <c r="E7827" s="4">
        <v>-32065</v>
      </c>
      <c r="F7827" s="3" t="s">
        <v>259</v>
      </c>
      <c r="G7827" s="3" t="s">
        <v>20</v>
      </c>
      <c r="H7827" s="2" t="s">
        <v>21</v>
      </c>
      <c r="I7827" s="2" t="s">
        <v>19523</v>
      </c>
      <c r="J7827" s="3" t="str">
        <f>HYPERLINK("https://www.boe.es/gazeta/dias/1812/03/16/pdfs/GMD-1812-76.pdf#page=4","Abrir facsímil")</f>
        <v>Abrir facsímil</v>
      </c>
      <c r="K7827" s="3" t="s">
        <v>23</v>
      </c>
    </row>
    <row r="7828" spans="1:11" ht="42" customHeight="1">
      <c r="A7828" s="2" t="s">
        <v>19524</v>
      </c>
      <c r="B7828" s="2" t="s">
        <v>19525</v>
      </c>
      <c r="C7828" s="2" t="s">
        <v>26</v>
      </c>
      <c r="D7828" s="2" t="s">
        <v>27</v>
      </c>
      <c r="E7828" s="4">
        <v>-31976</v>
      </c>
      <c r="F7828" s="3" t="s">
        <v>54</v>
      </c>
      <c r="G7828" s="3" t="s">
        <v>55</v>
      </c>
      <c r="H7828" s="2" t="s">
        <v>21</v>
      </c>
      <c r="I7828" s="2" t="s">
        <v>19526</v>
      </c>
      <c r="J7828" s="3" t="str">
        <f>HYPERLINK("https://www.boe.es/gazeta/dias/1812/06/13/pdfs/GRE-1812-73.pdf#page=6","Abrir facsímil")</f>
        <v>Abrir facsímil</v>
      </c>
      <c r="K7828" s="3" t="s">
        <v>23</v>
      </c>
    </row>
    <row r="7829" spans="1:11" ht="42" customHeight="1">
      <c r="A7829" s="2" t="s">
        <v>19527</v>
      </c>
      <c r="B7829" s="2" t="s">
        <v>19528</v>
      </c>
      <c r="C7829" s="2" t="s">
        <v>186</v>
      </c>
      <c r="D7829" s="2" t="s">
        <v>27</v>
      </c>
      <c r="E7829" s="4">
        <v>-31940</v>
      </c>
      <c r="F7829" s="3" t="s">
        <v>187</v>
      </c>
      <c r="G7829" s="3" t="s">
        <v>45</v>
      </c>
      <c r="H7829" s="2" t="s">
        <v>21</v>
      </c>
      <c r="I7829" s="2" t="s">
        <v>19529</v>
      </c>
      <c r="J7829" s="3" t="str">
        <f>HYPERLINK("https://www.boe.es/gazeta/dias/1812/07/19/pdfs/GMD-1812-201.pdf#page=2","Abrir facsímil")</f>
        <v>Abrir facsímil</v>
      </c>
      <c r="K7829" s="3" t="s">
        <v>23</v>
      </c>
    </row>
    <row r="7830" spans="1:11" ht="42" customHeight="1">
      <c r="A7830" s="2" t="s">
        <v>19530</v>
      </c>
      <c r="B7830" s="2" t="s">
        <v>19530</v>
      </c>
      <c r="C7830" s="2" t="s">
        <v>26</v>
      </c>
      <c r="D7830" s="2" t="s">
        <v>27</v>
      </c>
      <c r="E7830" s="4">
        <v>-31976</v>
      </c>
      <c r="F7830" s="3" t="s">
        <v>54</v>
      </c>
      <c r="G7830" s="3" t="s">
        <v>55</v>
      </c>
      <c r="H7830" s="2" t="s">
        <v>21</v>
      </c>
      <c r="I7830" s="2" t="s">
        <v>19531</v>
      </c>
      <c r="J7830" s="3" t="str">
        <f>HYPERLINK("https://www.boe.es/gazeta/dias/1812/06/13/pdfs/GRE-1812-73.pdf#page=6","Abrir facsímil")</f>
        <v>Abrir facsímil</v>
      </c>
      <c r="K7830" s="3" t="s">
        <v>23</v>
      </c>
    </row>
    <row r="7831" spans="1:11" ht="42" customHeight="1">
      <c r="A7831" s="2" t="s">
        <v>19532</v>
      </c>
      <c r="B7831" s="2" t="s">
        <v>19533</v>
      </c>
      <c r="C7831" s="2" t="s">
        <v>26</v>
      </c>
      <c r="D7831" s="2" t="s">
        <v>27</v>
      </c>
      <c r="E7831" s="4">
        <v>-32065</v>
      </c>
      <c r="F7831" s="3" t="s">
        <v>259</v>
      </c>
      <c r="G7831" s="3" t="s">
        <v>20</v>
      </c>
      <c r="H7831" s="2" t="s">
        <v>21</v>
      </c>
      <c r="I7831" s="2" t="s">
        <v>19534</v>
      </c>
      <c r="J7831" s="3" t="str">
        <f>HYPERLINK("https://www.boe.es/gazeta/dias/1812/03/16/pdfs/GMD-1812-76.pdf#page=4","Abrir facsímil")</f>
        <v>Abrir facsímil</v>
      </c>
      <c r="K7831" s="3" t="s">
        <v>23</v>
      </c>
    </row>
    <row r="7832" spans="1:11" ht="42" customHeight="1">
      <c r="A7832" s="2" t="s">
        <v>19535</v>
      </c>
      <c r="B7832" s="2" t="s">
        <v>19536</v>
      </c>
      <c r="C7832" s="2" t="s">
        <v>26</v>
      </c>
      <c r="D7832" s="2" t="s">
        <v>27</v>
      </c>
      <c r="E7832" s="4">
        <v>-32050</v>
      </c>
      <c r="F7832" s="3" t="s">
        <v>2028</v>
      </c>
      <c r="G7832" s="3" t="s">
        <v>2029</v>
      </c>
      <c r="H7832" s="2" t="s">
        <v>21</v>
      </c>
      <c r="I7832" s="2" t="s">
        <v>19537</v>
      </c>
      <c r="J7832" s="3" t="str">
        <f>HYPERLINK("https://www.boe.es/gazeta/dias/1812/03/31/pdfs/GMD-1812-91.pdf#page=1","Abrir facsímil")</f>
        <v>Abrir facsímil</v>
      </c>
      <c r="K7832" s="3" t="s">
        <v>23</v>
      </c>
    </row>
    <row r="7833" spans="1:11" ht="42" customHeight="1">
      <c r="A7833" s="2" t="s">
        <v>19538</v>
      </c>
      <c r="B7833" s="2" t="s">
        <v>19539</v>
      </c>
      <c r="C7833" s="2" t="s">
        <v>26</v>
      </c>
      <c r="D7833" s="2" t="s">
        <v>27</v>
      </c>
      <c r="E7833" s="4">
        <v>-31963</v>
      </c>
      <c r="F7833" s="3" t="s">
        <v>171</v>
      </c>
      <c r="G7833" s="3" t="s">
        <v>172</v>
      </c>
      <c r="H7833" s="2" t="s">
        <v>21</v>
      </c>
      <c r="I7833" s="2" t="s">
        <v>19540</v>
      </c>
      <c r="J7833" s="3" t="str">
        <f>HYPERLINK("https://www.boe.es/gazeta/dias/1812/06/26/pdfs/GMD-1812-178.pdf#page=3","Abrir facsímil")</f>
        <v>Abrir facsímil</v>
      </c>
      <c r="K7833" s="3" t="s">
        <v>23</v>
      </c>
    </row>
    <row r="7834" spans="1:11" ht="42" customHeight="1">
      <c r="A7834" s="2" t="s">
        <v>19541</v>
      </c>
      <c r="B7834" s="2" t="s">
        <v>19542</v>
      </c>
      <c r="C7834" s="2" t="s">
        <v>17</v>
      </c>
      <c r="D7834" s="2" t="s">
        <v>18</v>
      </c>
      <c r="E7834" s="4">
        <v>-32050</v>
      </c>
      <c r="F7834" s="3" t="s">
        <v>864</v>
      </c>
      <c r="G7834" s="3" t="s">
        <v>29</v>
      </c>
      <c r="H7834" s="2" t="s">
        <v>21</v>
      </c>
      <c r="I7834" s="2" t="s">
        <v>19543</v>
      </c>
      <c r="J7834" s="3" t="str">
        <f>HYPERLINK("https://www.boe.es/gazeta/dias/1812/03/31/pdfs/GRE-1812-40.pdf#page=8","Abrir facsímil")</f>
        <v>Abrir facsímil</v>
      </c>
      <c r="K7834" s="3" t="s">
        <v>23</v>
      </c>
    </row>
    <row r="7835" spans="1:11" ht="42" customHeight="1">
      <c r="A7835" s="2" t="s">
        <v>19544</v>
      </c>
      <c r="B7835" s="2" t="s">
        <v>19545</v>
      </c>
      <c r="C7835" s="2" t="s">
        <v>67</v>
      </c>
      <c r="D7835" s="2" t="s">
        <v>27</v>
      </c>
      <c r="E7835" s="4">
        <v>-31816</v>
      </c>
      <c r="F7835" s="3" t="s">
        <v>270</v>
      </c>
      <c r="G7835" s="3" t="s">
        <v>4842</v>
      </c>
      <c r="H7835" s="2" t="s">
        <v>21</v>
      </c>
      <c r="I7835" s="2" t="s">
        <v>19546</v>
      </c>
      <c r="J7835" s="3" t="str">
        <f>HYPERLINK("https://www.boe.es/gazeta/dias/1812/11/20/pdfs/GMR-1812-36.pdf#page=5","Abrir facsímil")</f>
        <v>Abrir facsímil</v>
      </c>
      <c r="K7835" s="3" t="s">
        <v>23</v>
      </c>
    </row>
    <row r="7836" spans="1:11" ht="42" customHeight="1">
      <c r="A7836" s="2" t="s">
        <v>19547</v>
      </c>
      <c r="B7836" s="2" t="s">
        <v>19548</v>
      </c>
      <c r="C7836" s="2" t="s">
        <v>17</v>
      </c>
      <c r="D7836" s="2" t="s">
        <v>27</v>
      </c>
      <c r="E7836" s="4">
        <v>-32050</v>
      </c>
      <c r="F7836" s="3" t="s">
        <v>2028</v>
      </c>
      <c r="G7836" s="3" t="s">
        <v>20</v>
      </c>
      <c r="H7836" s="2" t="s">
        <v>21</v>
      </c>
      <c r="I7836" s="2" t="s">
        <v>19549</v>
      </c>
      <c r="J7836" s="3" t="str">
        <f>HYPERLINK("https://www.boe.es/gazeta/dias/1812/03/31/pdfs/GMD-1812-91.pdf#page=2","Abrir facsímil")</f>
        <v>Abrir facsímil</v>
      </c>
      <c r="K7836" s="3" t="s">
        <v>23</v>
      </c>
    </row>
    <row r="7837" spans="1:11" ht="42" customHeight="1">
      <c r="A7837" s="2" t="s">
        <v>19550</v>
      </c>
      <c r="B7837" s="2" t="s">
        <v>19551</v>
      </c>
      <c r="C7837" s="2" t="s">
        <v>26</v>
      </c>
      <c r="D7837" s="2" t="s">
        <v>27</v>
      </c>
      <c r="E7837" s="4">
        <v>-31963</v>
      </c>
      <c r="F7837" s="3" t="s">
        <v>171</v>
      </c>
      <c r="G7837" s="3" t="s">
        <v>1653</v>
      </c>
      <c r="H7837" s="2" t="s">
        <v>21</v>
      </c>
      <c r="I7837" s="2" t="s">
        <v>19552</v>
      </c>
      <c r="J7837" s="3" t="str">
        <f>HYPERLINK("https://www.boe.es/gazeta/dias/1812/06/26/pdfs/GMD-1812-178.pdf#page=2","Abrir facsímil")</f>
        <v>Abrir facsímil</v>
      </c>
      <c r="K7837" s="3" t="s">
        <v>23</v>
      </c>
    </row>
    <row r="7838" spans="1:11" ht="42" customHeight="1">
      <c r="A7838" s="2" t="s">
        <v>19553</v>
      </c>
      <c r="B7838" s="2" t="s">
        <v>19554</v>
      </c>
      <c r="C7838" s="2" t="s">
        <v>26</v>
      </c>
      <c r="D7838" s="2" t="s">
        <v>27</v>
      </c>
      <c r="E7838" s="4">
        <v>-32046</v>
      </c>
      <c r="F7838" s="3" t="s">
        <v>1013</v>
      </c>
      <c r="G7838" s="3" t="s">
        <v>1014</v>
      </c>
      <c r="H7838" s="2" t="s">
        <v>21</v>
      </c>
      <c r="I7838" s="2" t="s">
        <v>19555</v>
      </c>
      <c r="J7838" s="3" t="str">
        <f>HYPERLINK("https://www.boe.es/gazeta/dias/1812/04/04/pdfs/GRE-1812-42.pdf#page=4","Abrir facsímil")</f>
        <v>Abrir facsímil</v>
      </c>
      <c r="K7838" s="3" t="s">
        <v>23</v>
      </c>
    </row>
    <row r="7839" spans="1:11" ht="42" customHeight="1">
      <c r="A7839" s="2" t="s">
        <v>19556</v>
      </c>
      <c r="B7839" s="2" t="s">
        <v>19557</v>
      </c>
      <c r="C7839" s="2" t="s">
        <v>17</v>
      </c>
      <c r="D7839" s="2" t="s">
        <v>27</v>
      </c>
      <c r="E7839" s="4">
        <v>-32085</v>
      </c>
      <c r="F7839" s="3" t="s">
        <v>3321</v>
      </c>
      <c r="G7839" s="3" t="s">
        <v>217</v>
      </c>
      <c r="H7839" s="2" t="s">
        <v>30</v>
      </c>
      <c r="I7839" s="2" t="s">
        <v>19558</v>
      </c>
      <c r="J7839" s="3" t="str">
        <f>HYPERLINK("https://www.boe.es/gazeta/dias/1812/02/25/pdfs/GRE-1812-25.pdf#page=7","Abrir facsímil")</f>
        <v>Abrir facsímil</v>
      </c>
      <c r="K7839" s="3" t="s">
        <v>32</v>
      </c>
    </row>
    <row r="7840" spans="1:11" ht="42" customHeight="1">
      <c r="A7840" s="2" t="s">
        <v>19559</v>
      </c>
      <c r="B7840" s="2" t="s">
        <v>19560</v>
      </c>
      <c r="C7840" s="2" t="s">
        <v>17</v>
      </c>
      <c r="D7840" s="2" t="s">
        <v>27</v>
      </c>
      <c r="E7840" s="4">
        <v>-32109</v>
      </c>
      <c r="F7840" s="3" t="s">
        <v>62</v>
      </c>
      <c r="G7840" s="3" t="s">
        <v>63</v>
      </c>
      <c r="H7840" s="2" t="s">
        <v>21</v>
      </c>
      <c r="I7840" s="2" t="s">
        <v>19561</v>
      </c>
      <c r="J7840" s="3" t="str">
        <f>HYPERLINK("https://www.boe.es/gazeta/dias/1812/02/01/pdfs/GRE-1812-14.pdf#page=10","Abrir facsímil")</f>
        <v>Abrir facsímil</v>
      </c>
      <c r="K7840" s="3" t="s">
        <v>23</v>
      </c>
    </row>
    <row r="7841" spans="1:11" ht="42" customHeight="1">
      <c r="A7841" s="2" t="s">
        <v>19562</v>
      </c>
      <c r="B7841" s="2" t="s">
        <v>19563</v>
      </c>
      <c r="C7841" s="2" t="s">
        <v>26</v>
      </c>
      <c r="D7841" s="2" t="s">
        <v>27</v>
      </c>
      <c r="E7841" s="4">
        <v>-32055</v>
      </c>
      <c r="F7841" s="3" t="s">
        <v>459</v>
      </c>
      <c r="G7841" s="3" t="s">
        <v>20</v>
      </c>
      <c r="H7841" s="2" t="s">
        <v>21</v>
      </c>
      <c r="I7841" s="2" t="s">
        <v>19564</v>
      </c>
      <c r="J7841" s="3" t="str">
        <f>HYPERLINK("https://www.boe.es/gazeta/dias/1812/03/26/pdfs/GRE-1812-38.pdf#page=8","Abrir facsímil")</f>
        <v>Abrir facsímil</v>
      </c>
      <c r="K7841" s="3" t="s">
        <v>23</v>
      </c>
    </row>
    <row r="7842" spans="1:11" ht="42" customHeight="1">
      <c r="A7842" s="2" t="s">
        <v>19565</v>
      </c>
      <c r="B7842" s="2" t="s">
        <v>19566</v>
      </c>
      <c r="C7842" s="2" t="s">
        <v>26</v>
      </c>
      <c r="D7842" s="2" t="s">
        <v>27</v>
      </c>
      <c r="E7842" s="4">
        <v>-32055</v>
      </c>
      <c r="F7842" s="3" t="s">
        <v>459</v>
      </c>
      <c r="G7842" s="3" t="s">
        <v>20</v>
      </c>
      <c r="H7842" s="2" t="s">
        <v>21</v>
      </c>
      <c r="I7842" s="2" t="s">
        <v>19567</v>
      </c>
      <c r="J7842" s="3" t="str">
        <f>HYPERLINK("https://www.boe.es/gazeta/dias/1812/03/26/pdfs/GRE-1812-38.pdf#page=8","Abrir facsímil")</f>
        <v>Abrir facsímil</v>
      </c>
      <c r="K7842" s="3" t="s">
        <v>23</v>
      </c>
    </row>
    <row r="7843" spans="1:11" ht="42" customHeight="1">
      <c r="A7843" s="2" t="s">
        <v>19568</v>
      </c>
      <c r="B7843" s="2" t="s">
        <v>19568</v>
      </c>
      <c r="C7843" s="2" t="s">
        <v>186</v>
      </c>
      <c r="D7843" s="2" t="s">
        <v>27</v>
      </c>
      <c r="E7843" s="4">
        <v>-31970</v>
      </c>
      <c r="F7843" s="3" t="s">
        <v>10445</v>
      </c>
      <c r="G7843" s="3" t="s">
        <v>20</v>
      </c>
      <c r="H7843" s="2" t="s">
        <v>21</v>
      </c>
      <c r="I7843" s="2" t="s">
        <v>19569</v>
      </c>
      <c r="J7843" s="3" t="str">
        <f>HYPERLINK("https://www.boe.es/gazeta/dias/1812/06/19/pdfs/GMD-1812-171.pdf#page=4","Abrir facsímil")</f>
        <v>Abrir facsímil</v>
      </c>
      <c r="K7843" s="3" t="s">
        <v>23</v>
      </c>
    </row>
    <row r="7844" spans="1:11" ht="42" customHeight="1">
      <c r="A7844" s="2" t="s">
        <v>19570</v>
      </c>
      <c r="B7844" s="2" t="s">
        <v>19571</v>
      </c>
      <c r="C7844" s="2" t="s">
        <v>17</v>
      </c>
      <c r="D7844" s="2" t="s">
        <v>27</v>
      </c>
      <c r="E7844" s="4">
        <v>-31775</v>
      </c>
      <c r="F7844" s="3" t="s">
        <v>660</v>
      </c>
      <c r="G7844" s="3" t="s">
        <v>1626</v>
      </c>
      <c r="H7844" s="2" t="s">
        <v>21</v>
      </c>
      <c r="I7844" s="2" t="s">
        <v>19572</v>
      </c>
      <c r="J7844" s="3" t="str">
        <f>HYPERLINK("https://www.boe.es/gazeta/dias/1812/12/31/pdfs/GRE-1812-172.pdf#page=5","Abrir facsímil")</f>
        <v>Abrir facsímil</v>
      </c>
      <c r="K7844" s="3" t="s">
        <v>23</v>
      </c>
    </row>
    <row r="7845" spans="1:11" ht="42" customHeight="1">
      <c r="A7845" s="2" t="s">
        <v>19573</v>
      </c>
      <c r="B7845" s="2" t="s">
        <v>19573</v>
      </c>
      <c r="C7845" s="2" t="s">
        <v>82</v>
      </c>
      <c r="D7845" s="2" t="s">
        <v>194</v>
      </c>
      <c r="E7845" s="4">
        <v>-31933</v>
      </c>
      <c r="F7845" s="3" t="s">
        <v>1946</v>
      </c>
      <c r="G7845" s="3" t="s">
        <v>6742</v>
      </c>
      <c r="H7845" s="2" t="s">
        <v>21</v>
      </c>
      <c r="I7845" s="2" t="s">
        <v>19574</v>
      </c>
      <c r="J7845" s="3" t="str">
        <f>HYPERLINK("https://www.boe.es/gazeta/dias/1812/07/26/pdfs/GMD-1812-208.pdf#page=4","Abrir facsímil")</f>
        <v>Abrir facsímil</v>
      </c>
      <c r="K7845" s="3" t="s">
        <v>23</v>
      </c>
    </row>
    <row r="7846" spans="1:11" ht="42" customHeight="1">
      <c r="A7846" s="2" t="s">
        <v>19575</v>
      </c>
      <c r="B7846" s="2" t="s">
        <v>19576</v>
      </c>
      <c r="C7846" s="2" t="s">
        <v>17</v>
      </c>
      <c r="D7846" s="2" t="s">
        <v>18</v>
      </c>
      <c r="E7846" s="4">
        <v>-32031</v>
      </c>
      <c r="F7846" s="3" t="s">
        <v>1343</v>
      </c>
      <c r="G7846" s="3" t="s">
        <v>514</v>
      </c>
      <c r="H7846" s="2" t="s">
        <v>30</v>
      </c>
      <c r="I7846" s="2" t="s">
        <v>19577</v>
      </c>
      <c r="J7846" s="3" t="str">
        <f>HYPERLINK("https://www.boe.es/gazeta/dias/1812/04/19/pdfs/GMD-1812-110.pdf#page=4","Abrir facsímil")</f>
        <v>Abrir facsímil</v>
      </c>
      <c r="K7846" s="3" t="s">
        <v>32</v>
      </c>
    </row>
    <row r="7847" spans="1:11" ht="42" customHeight="1">
      <c r="A7847" s="2" t="s">
        <v>19578</v>
      </c>
      <c r="B7847" s="2" t="s">
        <v>19579</v>
      </c>
      <c r="C7847" s="2" t="s">
        <v>26</v>
      </c>
      <c r="D7847" s="2" t="s">
        <v>27</v>
      </c>
      <c r="E7847" s="4">
        <v>-32100</v>
      </c>
      <c r="F7847" s="3" t="s">
        <v>492</v>
      </c>
      <c r="G7847" s="3" t="s">
        <v>1650</v>
      </c>
      <c r="H7847" s="2" t="s">
        <v>21</v>
      </c>
      <c r="I7847" s="2" t="s">
        <v>19580</v>
      </c>
      <c r="J7847" s="3" t="str">
        <f>HYPERLINK("https://www.boe.es/gazeta/dias/1812/02/10/pdfs/GRE-1812-31.pdf#page=2","Abrir facsímil")</f>
        <v>Abrir facsímil</v>
      </c>
      <c r="K7847" s="3" t="s">
        <v>23</v>
      </c>
    </row>
    <row r="7848" spans="1:11" ht="42" customHeight="1">
      <c r="A7848" s="2" t="s">
        <v>19578</v>
      </c>
      <c r="B7848" s="2" t="s">
        <v>19579</v>
      </c>
      <c r="C7848" s="2" t="s">
        <v>26</v>
      </c>
      <c r="D7848" s="2" t="s">
        <v>27</v>
      </c>
      <c r="E7848" s="4">
        <v>-32071</v>
      </c>
      <c r="F7848" s="3" t="s">
        <v>492</v>
      </c>
      <c r="G7848" s="3" t="s">
        <v>1650</v>
      </c>
      <c r="H7848" s="2" t="s">
        <v>21</v>
      </c>
      <c r="I7848" s="2" t="s">
        <v>19580</v>
      </c>
      <c r="J7848" s="3" t="str">
        <f>HYPERLINK("https://www.boe.es/gazeta/dias/1812/03/10/pdfs/GRE-1812-31.pdf#page=2","Abrir facsímil")</f>
        <v>Abrir facsímil</v>
      </c>
      <c r="K7848" s="3" t="s">
        <v>23</v>
      </c>
    </row>
    <row r="7849" spans="1:11" ht="42" customHeight="1">
      <c r="A7849" s="2" t="s">
        <v>19581</v>
      </c>
      <c r="B7849" s="2" t="s">
        <v>19582</v>
      </c>
      <c r="C7849" s="2" t="s">
        <v>26</v>
      </c>
      <c r="D7849" s="2" t="s">
        <v>27</v>
      </c>
      <c r="E7849" s="4">
        <v>-31969</v>
      </c>
      <c r="F7849" s="3" t="s">
        <v>83</v>
      </c>
      <c r="G7849" s="3" t="s">
        <v>84</v>
      </c>
      <c r="H7849" s="2" t="s">
        <v>21</v>
      </c>
      <c r="I7849" s="2" t="s">
        <v>19583</v>
      </c>
      <c r="J7849" s="3" t="str">
        <f>HYPERLINK("https://www.boe.es/gazeta/dias/1812/06/20/pdfs/GRE-1812-76.pdf#page=8","Abrir facsímil")</f>
        <v>Abrir facsímil</v>
      </c>
      <c r="K7849" s="3" t="s">
        <v>23</v>
      </c>
    </row>
    <row r="7850" spans="1:11" ht="42" customHeight="1">
      <c r="A7850" s="2" t="s">
        <v>19584</v>
      </c>
      <c r="B7850" s="2" t="s">
        <v>19585</v>
      </c>
      <c r="C7850" s="2" t="s">
        <v>26</v>
      </c>
      <c r="D7850" s="2" t="s">
        <v>27</v>
      </c>
      <c r="E7850" s="4">
        <v>-32062</v>
      </c>
      <c r="F7850" s="3" t="s">
        <v>280</v>
      </c>
      <c r="G7850" s="3" t="s">
        <v>20</v>
      </c>
      <c r="H7850" s="2" t="s">
        <v>21</v>
      </c>
      <c r="I7850" s="2" t="s">
        <v>19586</v>
      </c>
      <c r="J7850" s="3" t="str">
        <f>HYPERLINK("https://www.boe.es/gazeta/dias/1812/03/19/pdfs/GMD-1812-79.pdf#page=4","Abrir facsímil")</f>
        <v>Abrir facsímil</v>
      </c>
      <c r="K7850" s="3" t="s">
        <v>23</v>
      </c>
    </row>
    <row r="7851" spans="1:11" ht="42" customHeight="1">
      <c r="A7851" s="2" t="s">
        <v>19587</v>
      </c>
      <c r="B7851" s="2" t="s">
        <v>19588</v>
      </c>
      <c r="C7851" s="2" t="s">
        <v>26</v>
      </c>
      <c r="D7851" s="2" t="s">
        <v>27</v>
      </c>
      <c r="E7851" s="4">
        <v>-32060</v>
      </c>
      <c r="F7851" s="3" t="s">
        <v>399</v>
      </c>
      <c r="G7851" s="3" t="s">
        <v>136</v>
      </c>
      <c r="H7851" s="2" t="s">
        <v>21</v>
      </c>
      <c r="I7851" s="2" t="s">
        <v>19589</v>
      </c>
      <c r="J7851" s="3" t="str">
        <f>HYPERLINK("https://www.boe.es/gazeta/dias/1812/03/21/pdfs/GMD-1812-81.pdf#page=4","Abrir facsímil")</f>
        <v>Abrir facsímil</v>
      </c>
      <c r="K7851" s="3" t="s">
        <v>23</v>
      </c>
    </row>
    <row r="7852" spans="1:11" ht="42" customHeight="1">
      <c r="A7852" s="2" t="s">
        <v>19590</v>
      </c>
      <c r="B7852" s="2" t="s">
        <v>19591</v>
      </c>
      <c r="C7852" s="2" t="s">
        <v>26</v>
      </c>
      <c r="D7852" s="2" t="s">
        <v>27</v>
      </c>
      <c r="E7852" s="4">
        <v>-31964</v>
      </c>
      <c r="F7852" s="3" t="s">
        <v>305</v>
      </c>
      <c r="G7852" s="3" t="s">
        <v>58</v>
      </c>
      <c r="H7852" s="2" t="s">
        <v>21</v>
      </c>
      <c r="I7852" s="2" t="s">
        <v>19592</v>
      </c>
      <c r="J7852" s="3" t="str">
        <f>HYPERLINK("https://www.boe.es/gazeta/dias/1812/06/25/pdfs/GMD-1812-177.pdf#page=2","Abrir facsímil")</f>
        <v>Abrir facsímil</v>
      </c>
      <c r="K7852" s="3" t="s">
        <v>23</v>
      </c>
    </row>
    <row r="7853" spans="1:11" ht="42" customHeight="1">
      <c r="A7853" s="2" t="s">
        <v>19593</v>
      </c>
      <c r="B7853" s="2" t="s">
        <v>19594</v>
      </c>
      <c r="C7853" s="2" t="s">
        <v>26</v>
      </c>
      <c r="D7853" s="2" t="s">
        <v>27</v>
      </c>
      <c r="E7853" s="4">
        <v>-32134</v>
      </c>
      <c r="F7853" s="3" t="s">
        <v>50</v>
      </c>
      <c r="G7853" s="3" t="s">
        <v>233</v>
      </c>
      <c r="H7853" s="2" t="s">
        <v>21</v>
      </c>
      <c r="I7853" s="2" t="s">
        <v>19595</v>
      </c>
      <c r="J7853" s="3" t="str">
        <f>HYPERLINK("https://www.boe.es/gazeta/dias/1812/01/07/pdfs/GEI-1812-3.pdf#page=8","Abrir facsímil")</f>
        <v>Abrir facsímil</v>
      </c>
      <c r="K7853" s="3" t="s">
        <v>23</v>
      </c>
    </row>
    <row r="7854" spans="1:11" ht="42" customHeight="1">
      <c r="A7854" s="2" t="s">
        <v>19596</v>
      </c>
      <c r="B7854" s="2" t="s">
        <v>19597</v>
      </c>
      <c r="C7854" s="2" t="s">
        <v>105</v>
      </c>
      <c r="D7854" s="2" t="s">
        <v>27</v>
      </c>
      <c r="E7854" s="4">
        <v>-32095</v>
      </c>
      <c r="F7854" s="3" t="s">
        <v>181</v>
      </c>
      <c r="G7854" s="3" t="s">
        <v>182</v>
      </c>
      <c r="H7854" s="2" t="s">
        <v>21</v>
      </c>
      <c r="I7854" s="2" t="s">
        <v>19598</v>
      </c>
      <c r="J7854" s="3" t="str">
        <f>HYPERLINK("https://www.boe.es/gazeta/dias/1812/02/15/pdfs/GMD-1812-47.pdf#page=4","Abrir facsímil")</f>
        <v>Abrir facsímil</v>
      </c>
      <c r="K7854" s="3" t="s">
        <v>23</v>
      </c>
    </row>
    <row r="7855" spans="1:11" ht="42" customHeight="1">
      <c r="A7855" s="2" t="s">
        <v>19596</v>
      </c>
      <c r="B7855" s="2" t="s">
        <v>19597</v>
      </c>
      <c r="C7855" s="2" t="s">
        <v>105</v>
      </c>
      <c r="D7855" s="2" t="s">
        <v>27</v>
      </c>
      <c r="E7855" s="4">
        <v>-32094</v>
      </c>
      <c r="F7855" s="3" t="s">
        <v>181</v>
      </c>
      <c r="G7855" s="3" t="s">
        <v>182</v>
      </c>
      <c r="H7855" s="2" t="s">
        <v>21</v>
      </c>
      <c r="I7855" s="2" t="s">
        <v>19598</v>
      </c>
      <c r="J7855" s="3" t="str">
        <f>HYPERLINK("https://www.boe.es/gazeta/dias/1812/02/16/pdfs/GMD-1812-47.pdf#page=4","Abrir facsímil")</f>
        <v>Abrir facsímil</v>
      </c>
      <c r="K7855" s="3" t="s">
        <v>23</v>
      </c>
    </row>
    <row r="7856" spans="1:11" ht="42" customHeight="1">
      <c r="A7856" s="2" t="s">
        <v>19599</v>
      </c>
      <c r="B7856" s="2" t="s">
        <v>19599</v>
      </c>
      <c r="C7856" s="2" t="s">
        <v>17</v>
      </c>
      <c r="D7856" s="2" t="s">
        <v>18</v>
      </c>
      <c r="E7856" s="4">
        <v>-31803</v>
      </c>
      <c r="F7856" s="3" t="s">
        <v>221</v>
      </c>
      <c r="G7856" s="3" t="s">
        <v>11745</v>
      </c>
      <c r="H7856" s="2" t="s">
        <v>21</v>
      </c>
      <c r="I7856" s="2" t="s">
        <v>19600</v>
      </c>
      <c r="J7856" s="3" t="str">
        <f>HYPERLINK("https://www.boe.es/gazeta/dias/1812/12/03/pdfs/GRE-1812-160.pdf#page=2","Abrir facsímil")</f>
        <v>Abrir facsímil</v>
      </c>
      <c r="K7856" s="3" t="s">
        <v>23</v>
      </c>
    </row>
    <row r="7857" spans="1:11" ht="42" customHeight="1">
      <c r="A7857" s="2" t="s">
        <v>19601</v>
      </c>
      <c r="B7857" s="2" t="s">
        <v>19601</v>
      </c>
      <c r="C7857" s="2" t="s">
        <v>17</v>
      </c>
      <c r="D7857" s="2" t="s">
        <v>27</v>
      </c>
      <c r="E7857" s="4">
        <v>-32139</v>
      </c>
      <c r="F7857" s="3" t="s">
        <v>518</v>
      </c>
      <c r="G7857" s="3" t="s">
        <v>125</v>
      </c>
      <c r="H7857" s="2" t="s">
        <v>21</v>
      </c>
      <c r="I7857" s="2" t="s">
        <v>19602</v>
      </c>
      <c r="J7857" s="3" t="str">
        <f>HYPERLINK("https://www.boe.es/gazeta/dias/1812/01/02/pdfs/GEI-1812-1.pdf#page=3","Abrir facsímil")</f>
        <v>Abrir facsímil</v>
      </c>
      <c r="K7857" s="3" t="s">
        <v>23</v>
      </c>
    </row>
    <row r="7858" spans="1:11" ht="42" customHeight="1">
      <c r="A7858" s="2" t="s">
        <v>19603</v>
      </c>
      <c r="B7858" s="2" t="s">
        <v>19603</v>
      </c>
      <c r="C7858" s="2" t="s">
        <v>17</v>
      </c>
      <c r="D7858" s="2" t="s">
        <v>27</v>
      </c>
      <c r="E7858" s="4">
        <v>-32139</v>
      </c>
      <c r="F7858" s="3" t="s">
        <v>518</v>
      </c>
      <c r="G7858" s="3" t="s">
        <v>125</v>
      </c>
      <c r="H7858" s="2" t="s">
        <v>21</v>
      </c>
      <c r="I7858" s="2" t="s">
        <v>19604</v>
      </c>
      <c r="J7858" s="3" t="str">
        <f>HYPERLINK("https://www.boe.es/gazeta/dias/1812/01/02/pdfs/GEI-1812-1.pdf#page=3","Abrir facsímil")</f>
        <v>Abrir facsímil</v>
      </c>
      <c r="K7858" s="3" t="s">
        <v>23</v>
      </c>
    </row>
    <row r="7859" spans="1:11" ht="42" customHeight="1">
      <c r="A7859" s="2" t="s">
        <v>19603</v>
      </c>
      <c r="B7859" s="2" t="s">
        <v>19603</v>
      </c>
      <c r="C7859" s="2" t="s">
        <v>17</v>
      </c>
      <c r="D7859" s="2" t="s">
        <v>27</v>
      </c>
      <c r="E7859" s="4">
        <v>-32116</v>
      </c>
      <c r="F7859" s="3" t="s">
        <v>964</v>
      </c>
      <c r="G7859" s="3" t="s">
        <v>7941</v>
      </c>
      <c r="H7859" s="2" t="s">
        <v>21</v>
      </c>
      <c r="I7859" s="2" t="s">
        <v>19605</v>
      </c>
      <c r="J7859" s="3" t="str">
        <f>HYPERLINK("https://www.boe.es/gazeta/dias/1812/01/25/pdfs/GEI-H-1812-11.pdf#page=4","Abrir facsímil")</f>
        <v>Abrir facsímil</v>
      </c>
      <c r="K7859" s="3" t="s">
        <v>23</v>
      </c>
    </row>
    <row r="7860" spans="1:11" ht="42" customHeight="1">
      <c r="A7860" s="2" t="s">
        <v>19606</v>
      </c>
      <c r="B7860" s="2" t="s">
        <v>19606</v>
      </c>
      <c r="C7860" s="2" t="s">
        <v>17</v>
      </c>
      <c r="D7860" s="2" t="s">
        <v>18</v>
      </c>
      <c r="E7860" s="4">
        <v>-31854</v>
      </c>
      <c r="F7860" s="3" t="s">
        <v>1574</v>
      </c>
      <c r="G7860" s="3" t="s">
        <v>214</v>
      </c>
      <c r="H7860" s="2" t="s">
        <v>21</v>
      </c>
      <c r="I7860" s="2" t="s">
        <v>19607</v>
      </c>
      <c r="J7860" s="3" t="str">
        <f>HYPERLINK("https://www.boe.es/gazeta/dias/1812/10/13/pdfs/GMR-1812-26.pdf#page=3","Abrir facsímil")</f>
        <v>Abrir facsímil</v>
      </c>
      <c r="K7860" s="3" t="s">
        <v>23</v>
      </c>
    </row>
    <row r="7861" spans="1:11" ht="42" customHeight="1">
      <c r="A7861" s="2" t="s">
        <v>19608</v>
      </c>
      <c r="B7861" s="2" t="s">
        <v>19609</v>
      </c>
      <c r="C7861" s="2" t="s">
        <v>115</v>
      </c>
      <c r="D7861" s="2" t="s">
        <v>27</v>
      </c>
      <c r="E7861" s="4">
        <v>-32010</v>
      </c>
      <c r="F7861" s="3" t="s">
        <v>243</v>
      </c>
      <c r="G7861" s="3" t="s">
        <v>217</v>
      </c>
      <c r="H7861" s="2" t="s">
        <v>21</v>
      </c>
      <c r="I7861" s="2" t="s">
        <v>19610</v>
      </c>
      <c r="J7861" s="3" t="str">
        <f>HYPERLINK("https://www.boe.es/gazeta/dias/1812/05/10/pdfs/GMD-1812-131.pdf#page=1","Abrir facsímil")</f>
        <v>Abrir facsímil</v>
      </c>
      <c r="K7861" s="3" t="s">
        <v>23</v>
      </c>
    </row>
    <row r="7862" spans="1:11" ht="42" customHeight="1">
      <c r="A7862" s="2" t="s">
        <v>19611</v>
      </c>
      <c r="B7862" s="2" t="s">
        <v>19612</v>
      </c>
      <c r="C7862" s="2" t="s">
        <v>26</v>
      </c>
      <c r="D7862" s="2" t="s">
        <v>27</v>
      </c>
      <c r="E7862" s="4">
        <v>-32034</v>
      </c>
      <c r="F7862" s="3" t="s">
        <v>28</v>
      </c>
      <c r="G7862" s="3" t="s">
        <v>130</v>
      </c>
      <c r="H7862" s="2" t="s">
        <v>21</v>
      </c>
      <c r="I7862" s="2" t="s">
        <v>19613</v>
      </c>
      <c r="J7862" s="3" t="str">
        <f>HYPERLINK("https://www.boe.es/gazeta/dias/1812/04/16/pdfs/GMD-1812-107.pdf#page=4","Abrir facsímil")</f>
        <v>Abrir facsímil</v>
      </c>
      <c r="K7862" s="3" t="s">
        <v>23</v>
      </c>
    </row>
    <row r="7863" spans="1:11" ht="42" customHeight="1">
      <c r="A7863" s="2" t="s">
        <v>19614</v>
      </c>
      <c r="B7863" s="2" t="s">
        <v>19615</v>
      </c>
      <c r="C7863" s="2" t="s">
        <v>26</v>
      </c>
      <c r="D7863" s="2" t="s">
        <v>27</v>
      </c>
      <c r="E7863" s="4">
        <v>-32006</v>
      </c>
      <c r="F7863" s="3" t="s">
        <v>190</v>
      </c>
      <c r="G7863" s="3" t="s">
        <v>994</v>
      </c>
      <c r="H7863" s="2" t="s">
        <v>21</v>
      </c>
      <c r="I7863" s="2" t="s">
        <v>19616</v>
      </c>
      <c r="J7863" s="3" t="str">
        <f>HYPERLINK("https://www.boe.es/gazeta/dias/1812/05/14/pdfs/GRE-1812-60.pdf#page=2","Abrir facsímil")</f>
        <v>Abrir facsímil</v>
      </c>
      <c r="K7863" s="3" t="s">
        <v>23</v>
      </c>
    </row>
    <row r="7864" spans="1:11" ht="42" customHeight="1">
      <c r="A7864" s="2" t="s">
        <v>19617</v>
      </c>
      <c r="B7864" s="2" t="s">
        <v>19618</v>
      </c>
      <c r="C7864" s="2" t="s">
        <v>26</v>
      </c>
      <c r="D7864" s="2" t="s">
        <v>27</v>
      </c>
      <c r="E7864" s="4">
        <v>-32125</v>
      </c>
      <c r="F7864" s="3" t="s">
        <v>335</v>
      </c>
      <c r="G7864" s="3" t="s">
        <v>336</v>
      </c>
      <c r="H7864" s="2" t="s">
        <v>21</v>
      </c>
      <c r="I7864" s="2" t="s">
        <v>19619</v>
      </c>
      <c r="J7864" s="3" t="str">
        <f>HYPERLINK("https://www.boe.es/gazeta/dias/1812/01/16/pdfs/GEI-1812-7.pdf#page=8","Abrir facsímil")</f>
        <v>Abrir facsímil</v>
      </c>
      <c r="K7864" s="3" t="s">
        <v>23</v>
      </c>
    </row>
    <row r="7865" spans="1:11" ht="42" customHeight="1">
      <c r="A7865" s="2" t="s">
        <v>19620</v>
      </c>
      <c r="B7865" s="2" t="s">
        <v>19621</v>
      </c>
      <c r="C7865" s="2" t="s">
        <v>26</v>
      </c>
      <c r="D7865" s="2" t="s">
        <v>27</v>
      </c>
      <c r="E7865" s="4">
        <v>-31948</v>
      </c>
      <c r="F7865" s="3" t="s">
        <v>431</v>
      </c>
      <c r="G7865" s="3" t="s">
        <v>688</v>
      </c>
      <c r="H7865" s="2" t="s">
        <v>30</v>
      </c>
      <c r="I7865" s="2" t="s">
        <v>19622</v>
      </c>
      <c r="J7865" s="3" t="str">
        <f>HYPERLINK("https://www.boe.es/gazeta/dias/1812/07/11/pdfs/GRE-1812-86.pdf#page=7","Abrir facsímil")</f>
        <v>Abrir facsímil</v>
      </c>
      <c r="K7865" s="3" t="s">
        <v>32</v>
      </c>
    </row>
    <row r="7866" spans="1:11" ht="42" customHeight="1">
      <c r="A7866" s="2" t="s">
        <v>19623</v>
      </c>
      <c r="B7866" s="2" t="s">
        <v>19623</v>
      </c>
      <c r="C7866" s="2" t="s">
        <v>26</v>
      </c>
      <c r="D7866" s="2" t="s">
        <v>27</v>
      </c>
      <c r="E7866" s="4">
        <v>-31850</v>
      </c>
      <c r="F7866" s="3" t="s">
        <v>719</v>
      </c>
      <c r="G7866" s="3" t="s">
        <v>237</v>
      </c>
      <c r="H7866" s="2" t="s">
        <v>21</v>
      </c>
      <c r="I7866" s="2" t="s">
        <v>19624</v>
      </c>
      <c r="J7866" s="3" t="str">
        <f>HYPERLINK("https://www.boe.es/gazeta/dias/1812/10/17/pdfs/GMR-1812-28.pdf#page=8","Abrir facsímil")</f>
        <v>Abrir facsímil</v>
      </c>
      <c r="K7866" s="3" t="s">
        <v>23</v>
      </c>
    </row>
    <row r="7867" spans="1:11" ht="42" customHeight="1">
      <c r="A7867" s="2" t="s">
        <v>19625</v>
      </c>
      <c r="B7867" s="2" t="s">
        <v>19626</v>
      </c>
      <c r="C7867" s="2" t="s">
        <v>26</v>
      </c>
      <c r="D7867" s="2" t="s">
        <v>27</v>
      </c>
      <c r="E7867" s="4">
        <v>-31938</v>
      </c>
      <c r="F7867" s="3" t="s">
        <v>324</v>
      </c>
      <c r="G7867" s="3" t="s">
        <v>497</v>
      </c>
      <c r="H7867" s="2" t="s">
        <v>21</v>
      </c>
      <c r="I7867" s="2" t="s">
        <v>19627</v>
      </c>
      <c r="J7867" s="3" t="str">
        <f>HYPERLINK("https://www.boe.es/gazeta/dias/1812/07/21/pdfs/GMD-1812-203.pdf#page=3","Abrir facsímil")</f>
        <v>Abrir facsímil</v>
      </c>
      <c r="K7867" s="3" t="s">
        <v>23</v>
      </c>
    </row>
    <row r="7868" spans="1:11" ht="42" customHeight="1">
      <c r="A7868" s="2" t="s">
        <v>19628</v>
      </c>
      <c r="B7868" s="2" t="s">
        <v>19629</v>
      </c>
      <c r="C7868" s="2" t="s">
        <v>186</v>
      </c>
      <c r="D7868" s="2" t="s">
        <v>573</v>
      </c>
      <c r="E7868" s="4">
        <v>-31900</v>
      </c>
      <c r="F7868" s="3" t="s">
        <v>276</v>
      </c>
      <c r="G7868" s="3" t="s">
        <v>794</v>
      </c>
      <c r="H7868" s="2" t="s">
        <v>21</v>
      </c>
      <c r="I7868" s="2" t="s">
        <v>19630</v>
      </c>
      <c r="J7868" s="3" t="str">
        <f>HYPERLINK("https://www.boe.es/gazeta/dias/1812/08/28/pdfs/GRE-1812-113E.pdf#page=7","Abrir facsímil")</f>
        <v>Abrir facsímil</v>
      </c>
      <c r="K7868" s="3" t="s">
        <v>23</v>
      </c>
    </row>
    <row r="7869" spans="1:11" ht="42" customHeight="1">
      <c r="A7869" s="2" t="s">
        <v>19631</v>
      </c>
      <c r="B7869" s="2" t="s">
        <v>19631</v>
      </c>
      <c r="C7869" s="2" t="s">
        <v>26</v>
      </c>
      <c r="D7869" s="2" t="s">
        <v>27</v>
      </c>
      <c r="E7869" s="4">
        <v>-32080</v>
      </c>
      <c r="F7869" s="3" t="s">
        <v>4604</v>
      </c>
      <c r="G7869" s="3" t="s">
        <v>965</v>
      </c>
      <c r="H7869" s="2" t="s">
        <v>21</v>
      </c>
      <c r="I7869" s="2" t="s">
        <v>19632</v>
      </c>
      <c r="J7869" s="3" t="str">
        <f>HYPERLINK("https://www.boe.es/gazeta/dias/1812/03/01/pdfs/GMD-1812-61.pdf#page=4","Abrir facsímil")</f>
        <v>Abrir facsímil</v>
      </c>
      <c r="K7869" s="3" t="s">
        <v>23</v>
      </c>
    </row>
    <row r="7870" spans="1:11" ht="42" customHeight="1">
      <c r="A7870" s="2" t="s">
        <v>19633</v>
      </c>
      <c r="B7870" s="2" t="s">
        <v>19634</v>
      </c>
      <c r="C7870" s="2" t="s">
        <v>17</v>
      </c>
      <c r="D7870" s="2" t="s">
        <v>27</v>
      </c>
      <c r="E7870" s="4">
        <v>-31816</v>
      </c>
      <c r="F7870" s="3" t="s">
        <v>270</v>
      </c>
      <c r="G7870" s="3" t="s">
        <v>271</v>
      </c>
      <c r="H7870" s="2" t="s">
        <v>21</v>
      </c>
      <c r="I7870" s="2" t="s">
        <v>19635</v>
      </c>
      <c r="J7870" s="3" t="str">
        <f>HYPERLINK("https://www.boe.es/gazeta/dias/1812/11/20/pdfs/GMR-1812-36.pdf#page=6","Abrir facsímil")</f>
        <v>Abrir facsímil</v>
      </c>
      <c r="K7870" s="3" t="s">
        <v>23</v>
      </c>
    </row>
    <row r="7871" spans="1:11" ht="42" customHeight="1">
      <c r="A7871" s="2" t="s">
        <v>19636</v>
      </c>
      <c r="B7871" s="2" t="s">
        <v>19637</v>
      </c>
      <c r="C7871" s="2" t="s">
        <v>26</v>
      </c>
      <c r="D7871" s="2" t="s">
        <v>27</v>
      </c>
      <c r="E7871" s="4">
        <v>-31822</v>
      </c>
      <c r="F7871" s="3" t="s">
        <v>541</v>
      </c>
      <c r="G7871" s="3" t="s">
        <v>214</v>
      </c>
      <c r="H7871" s="2" t="s">
        <v>21</v>
      </c>
      <c r="I7871" s="2" t="s">
        <v>19638</v>
      </c>
      <c r="J7871" s="3" t="str">
        <f>HYPERLINK("https://www.boe.es/gazeta/dias/1812/11/14/pdfs/GRE-1812-152.pdf#page=3","Abrir facsímil")</f>
        <v>Abrir facsímil</v>
      </c>
      <c r="K7871" s="3" t="s">
        <v>23</v>
      </c>
    </row>
    <row r="7872" spans="1:11" ht="42" customHeight="1">
      <c r="A7872" s="2" t="s">
        <v>19639</v>
      </c>
      <c r="B7872" s="2" t="s">
        <v>19639</v>
      </c>
      <c r="C7872" s="2" t="s">
        <v>17</v>
      </c>
      <c r="D7872" s="2" t="s">
        <v>27</v>
      </c>
      <c r="E7872" s="4">
        <v>-31779</v>
      </c>
      <c r="F7872" s="3" t="s">
        <v>11039</v>
      </c>
      <c r="G7872" s="3" t="s">
        <v>20</v>
      </c>
      <c r="H7872" s="2" t="s">
        <v>21</v>
      </c>
      <c r="I7872" s="2" t="s">
        <v>19640</v>
      </c>
      <c r="J7872" s="3" t="str">
        <f>HYPERLINK("https://www.boe.es/gazeta/dias/1812/12/27/pdfs/GMD-1812-250.pdf#page=2","Abrir facsímil")</f>
        <v>Abrir facsímil</v>
      </c>
      <c r="K7872" s="3" t="s">
        <v>23</v>
      </c>
    </row>
    <row r="7873" spans="1:11" ht="42" customHeight="1">
      <c r="A7873" s="2" t="s">
        <v>19641</v>
      </c>
      <c r="B7873" s="2" t="s">
        <v>19642</v>
      </c>
      <c r="C7873" s="2" t="s">
        <v>26</v>
      </c>
      <c r="D7873" s="2" t="s">
        <v>27</v>
      </c>
      <c r="E7873" s="4">
        <v>-32100</v>
      </c>
      <c r="F7873" s="3" t="s">
        <v>492</v>
      </c>
      <c r="G7873" s="3" t="s">
        <v>493</v>
      </c>
      <c r="H7873" s="2" t="s">
        <v>21</v>
      </c>
      <c r="I7873" s="2" t="s">
        <v>19643</v>
      </c>
      <c r="J7873" s="3" t="str">
        <f>HYPERLINK("https://www.boe.es/gazeta/dias/1812/02/10/pdfs/GRE-1812-31.pdf#page=8","Abrir facsímil")</f>
        <v>Abrir facsímil</v>
      </c>
      <c r="K7873" s="3" t="s">
        <v>23</v>
      </c>
    </row>
    <row r="7874" spans="1:11" ht="42" customHeight="1">
      <c r="A7874" s="2" t="s">
        <v>19641</v>
      </c>
      <c r="B7874" s="2" t="s">
        <v>19642</v>
      </c>
      <c r="C7874" s="2" t="s">
        <v>26</v>
      </c>
      <c r="D7874" s="2" t="s">
        <v>27</v>
      </c>
      <c r="E7874" s="4">
        <v>-32071</v>
      </c>
      <c r="F7874" s="3" t="s">
        <v>492</v>
      </c>
      <c r="G7874" s="3" t="s">
        <v>493</v>
      </c>
      <c r="H7874" s="2" t="s">
        <v>21</v>
      </c>
      <c r="I7874" s="2" t="s">
        <v>19643</v>
      </c>
      <c r="J7874" s="3" t="str">
        <f>HYPERLINK("https://www.boe.es/gazeta/dias/1812/03/10/pdfs/GRE-1812-31.pdf#page=8","Abrir facsímil")</f>
        <v>Abrir facsímil</v>
      </c>
      <c r="K7874" s="3" t="s">
        <v>23</v>
      </c>
    </row>
    <row r="7875" spans="1:11" ht="42" customHeight="1">
      <c r="A7875" s="2" t="s">
        <v>19644</v>
      </c>
      <c r="B7875" s="2" t="s">
        <v>19645</v>
      </c>
      <c r="C7875" s="2" t="s">
        <v>26</v>
      </c>
      <c r="D7875" s="2" t="s">
        <v>27</v>
      </c>
      <c r="E7875" s="4">
        <v>-31945</v>
      </c>
      <c r="F7875" s="3" t="s">
        <v>1485</v>
      </c>
      <c r="G7875" s="3" t="s">
        <v>2905</v>
      </c>
      <c r="H7875" s="2" t="s">
        <v>21</v>
      </c>
      <c r="I7875" s="2" t="s">
        <v>19646</v>
      </c>
      <c r="J7875" s="3" t="str">
        <f>HYPERLINK("https://www.boe.es/gazeta/dias/1812/07/14/pdfs/GRE-1812-88.pdf#page=2","Abrir facsímil")</f>
        <v>Abrir facsímil</v>
      </c>
      <c r="K7875" s="3" t="s">
        <v>23</v>
      </c>
    </row>
    <row r="7876" spans="1:11" ht="42" customHeight="1">
      <c r="A7876" s="2" t="s">
        <v>19647</v>
      </c>
      <c r="B7876" s="2" t="s">
        <v>19648</v>
      </c>
      <c r="C7876" s="2" t="s">
        <v>26</v>
      </c>
      <c r="D7876" s="2" t="s">
        <v>27</v>
      </c>
      <c r="E7876" s="4">
        <v>-32088</v>
      </c>
      <c r="F7876" s="3" t="s">
        <v>1217</v>
      </c>
      <c r="G7876" s="3" t="s">
        <v>1218</v>
      </c>
      <c r="H7876" s="2" t="s">
        <v>21</v>
      </c>
      <c r="I7876" s="2" t="s">
        <v>19649</v>
      </c>
      <c r="J7876" s="3" t="str">
        <f>HYPERLINK("https://www.boe.es/gazeta/dias/1812/02/22/pdfs/GMD-1812-53.pdf#page=4","Abrir facsímil")</f>
        <v>Abrir facsímil</v>
      </c>
      <c r="K7876" s="3" t="s">
        <v>23</v>
      </c>
    </row>
    <row r="7877" spans="1:11" ht="42" customHeight="1">
      <c r="A7877" s="2" t="s">
        <v>19650</v>
      </c>
      <c r="B7877" s="2" t="s">
        <v>19651</v>
      </c>
      <c r="C7877" s="2" t="s">
        <v>26</v>
      </c>
      <c r="D7877" s="2" t="s">
        <v>27</v>
      </c>
      <c r="E7877" s="4">
        <v>-31938</v>
      </c>
      <c r="F7877" s="3" t="s">
        <v>324</v>
      </c>
      <c r="G7877" s="3" t="s">
        <v>237</v>
      </c>
      <c r="H7877" s="2" t="s">
        <v>21</v>
      </c>
      <c r="I7877" s="2" t="s">
        <v>19652</v>
      </c>
      <c r="J7877" s="3" t="str">
        <f>HYPERLINK("https://www.boe.es/gazeta/dias/1812/07/21/pdfs/GMD-1812-203.pdf#page=2","Abrir facsímil")</f>
        <v>Abrir facsímil</v>
      </c>
      <c r="K7877" s="3" t="s">
        <v>23</v>
      </c>
    </row>
    <row r="7878" spans="1:11" ht="42" customHeight="1">
      <c r="A7878" s="2" t="s">
        <v>19653</v>
      </c>
      <c r="B7878" s="2" t="s">
        <v>19654</v>
      </c>
      <c r="C7878" s="2" t="s">
        <v>26</v>
      </c>
      <c r="D7878" s="2" t="s">
        <v>27</v>
      </c>
      <c r="E7878" s="4">
        <v>-31938</v>
      </c>
      <c r="F7878" s="3" t="s">
        <v>324</v>
      </c>
      <c r="G7878" s="3" t="s">
        <v>497</v>
      </c>
      <c r="H7878" s="2" t="s">
        <v>21</v>
      </c>
      <c r="I7878" s="2" t="s">
        <v>19655</v>
      </c>
      <c r="J7878" s="3" t="str">
        <f>HYPERLINK("https://www.boe.es/gazeta/dias/1812/07/21/pdfs/GMD-1812-203.pdf#page=3","Abrir facsímil")</f>
        <v>Abrir facsímil</v>
      </c>
      <c r="K7878" s="3" t="s">
        <v>23</v>
      </c>
    </row>
    <row r="7879" spans="1:11" ht="42" customHeight="1">
      <c r="A7879" s="2" t="s">
        <v>19656</v>
      </c>
      <c r="B7879" s="2" t="s">
        <v>19657</v>
      </c>
      <c r="C7879" s="2" t="s">
        <v>17</v>
      </c>
      <c r="D7879" s="2" t="s">
        <v>27</v>
      </c>
      <c r="E7879" s="4">
        <v>-32113</v>
      </c>
      <c r="F7879" s="3" t="s">
        <v>121</v>
      </c>
      <c r="G7879" s="3" t="s">
        <v>122</v>
      </c>
      <c r="H7879" s="2" t="s">
        <v>30</v>
      </c>
      <c r="I7879" s="2" t="s">
        <v>19658</v>
      </c>
      <c r="J7879" s="3" t="str">
        <f>HYPERLINK("https://www.boe.es/gazeta/dias/1812/01/28/pdfs/GRE-1812-12.pdf#page=3","Abrir facsímil")</f>
        <v>Abrir facsímil</v>
      </c>
      <c r="K7879" s="3" t="s">
        <v>32</v>
      </c>
    </row>
    <row r="7880" spans="1:11" ht="42" customHeight="1">
      <c r="A7880" s="2" t="s">
        <v>19659</v>
      </c>
      <c r="B7880" s="2" t="s">
        <v>19660</v>
      </c>
      <c r="C7880" s="2" t="s">
        <v>17</v>
      </c>
      <c r="D7880" s="2" t="s">
        <v>27</v>
      </c>
      <c r="E7880" s="4">
        <v>-31859</v>
      </c>
      <c r="F7880" s="3" t="s">
        <v>3024</v>
      </c>
      <c r="G7880" s="3" t="s">
        <v>172</v>
      </c>
      <c r="H7880" s="2" t="s">
        <v>21</v>
      </c>
      <c r="I7880" s="2" t="s">
        <v>19661</v>
      </c>
      <c r="J7880" s="3" t="str">
        <f>HYPERLINK("https://www.boe.es/gazeta/dias/1812/10/08/pdfs/GRE-1812-136.pdf#page=4","Abrir facsímil")</f>
        <v>Abrir facsímil</v>
      </c>
      <c r="K7880" s="3" t="s">
        <v>23</v>
      </c>
    </row>
    <row r="7881" spans="1:11" ht="42" customHeight="1">
      <c r="A7881" s="2" t="s">
        <v>19662</v>
      </c>
      <c r="B7881" s="2" t="s">
        <v>19663</v>
      </c>
      <c r="C7881" s="2" t="s">
        <v>26</v>
      </c>
      <c r="D7881" s="2" t="s">
        <v>27</v>
      </c>
      <c r="E7881" s="4">
        <v>-31976</v>
      </c>
      <c r="F7881" s="3" t="s">
        <v>54</v>
      </c>
      <c r="G7881" s="3" t="s">
        <v>55</v>
      </c>
      <c r="H7881" s="2" t="s">
        <v>21</v>
      </c>
      <c r="I7881" s="2" t="s">
        <v>19664</v>
      </c>
      <c r="J7881" s="3" t="str">
        <f>HYPERLINK("https://www.boe.es/gazeta/dias/1812/06/13/pdfs/GRE-1812-73.pdf#page=6","Abrir facsímil")</f>
        <v>Abrir facsímil</v>
      </c>
      <c r="K7881" s="3" t="s">
        <v>23</v>
      </c>
    </row>
    <row r="7882" spans="1:11" ht="42" customHeight="1">
      <c r="A7882" s="2" t="s">
        <v>19665</v>
      </c>
      <c r="B7882" s="2" t="s">
        <v>19665</v>
      </c>
      <c r="C7882" s="2" t="s">
        <v>17</v>
      </c>
      <c r="D7882" s="2" t="s">
        <v>18</v>
      </c>
      <c r="E7882" s="4">
        <v>-31782</v>
      </c>
      <c r="F7882" s="3" t="s">
        <v>860</v>
      </c>
      <c r="G7882" s="3" t="s">
        <v>2379</v>
      </c>
      <c r="H7882" s="2" t="s">
        <v>21</v>
      </c>
      <c r="I7882" s="2" t="s">
        <v>19666</v>
      </c>
      <c r="J7882" s="3" t="str">
        <f>HYPERLINK("https://www.boe.es/gazeta/dias/1812/12/24/pdfs/GRE-1812-169.pdf#page=1","Abrir facsímil")</f>
        <v>Abrir facsímil</v>
      </c>
      <c r="K7882" s="3" t="s">
        <v>23</v>
      </c>
    </row>
    <row r="7883" spans="1:11" ht="42" customHeight="1">
      <c r="A7883" s="2" t="s">
        <v>19665</v>
      </c>
      <c r="B7883" s="2" t="s">
        <v>19665</v>
      </c>
      <c r="C7883" s="2" t="s">
        <v>17</v>
      </c>
      <c r="D7883" s="2" t="s">
        <v>18</v>
      </c>
      <c r="E7883" s="4">
        <v>-31782</v>
      </c>
      <c r="F7883" s="3" t="s">
        <v>860</v>
      </c>
      <c r="G7883" s="3" t="s">
        <v>140</v>
      </c>
      <c r="H7883" s="2" t="s">
        <v>21</v>
      </c>
      <c r="I7883" s="2" t="s">
        <v>19667</v>
      </c>
      <c r="J7883" s="3" t="str">
        <f>HYPERLINK("https://www.boe.es/gazeta/dias/1812/12/24/pdfs/GRE-1812-169.pdf#page=2","Abrir facsímil")</f>
        <v>Abrir facsímil</v>
      </c>
      <c r="K7883" s="3" t="s">
        <v>23</v>
      </c>
    </row>
    <row r="7884" spans="1:11" ht="42" customHeight="1">
      <c r="A7884" s="2" t="s">
        <v>19668</v>
      </c>
      <c r="B7884" s="2" t="s">
        <v>19668</v>
      </c>
      <c r="C7884" s="2" t="s">
        <v>17</v>
      </c>
      <c r="D7884" s="2" t="s">
        <v>18</v>
      </c>
      <c r="E7884" s="4">
        <v>-31933</v>
      </c>
      <c r="F7884" s="3" t="s">
        <v>1946</v>
      </c>
      <c r="G7884" s="3" t="s">
        <v>58</v>
      </c>
      <c r="H7884" s="2" t="s">
        <v>21</v>
      </c>
      <c r="I7884" s="2" t="s">
        <v>19669</v>
      </c>
      <c r="J7884" s="3" t="str">
        <f>HYPERLINK("https://www.boe.es/gazeta/dias/1812/07/26/pdfs/GMD-1812-208.pdf#page=2","Abrir facsímil")</f>
        <v>Abrir facsímil</v>
      </c>
      <c r="K7884" s="3" t="s">
        <v>23</v>
      </c>
    </row>
    <row r="7885" spans="1:11" ht="42" customHeight="1">
      <c r="A7885" s="2" t="s">
        <v>19670</v>
      </c>
      <c r="B7885" s="2" t="s">
        <v>19670</v>
      </c>
      <c r="C7885" s="2" t="s">
        <v>26</v>
      </c>
      <c r="D7885" s="2" t="s">
        <v>27</v>
      </c>
      <c r="E7885" s="4">
        <v>-31980</v>
      </c>
      <c r="F7885" s="3" t="s">
        <v>40</v>
      </c>
      <c r="G7885" s="3" t="s">
        <v>41</v>
      </c>
      <c r="H7885" s="2" t="s">
        <v>21</v>
      </c>
      <c r="I7885" s="2" t="s">
        <v>19671</v>
      </c>
      <c r="J7885" s="3" t="str">
        <f>HYPERLINK("https://www.boe.es/gazeta/dias/1812/06/09/pdfs/GRE-1812-71.pdf#page=6","Abrir facsímil")</f>
        <v>Abrir facsímil</v>
      </c>
      <c r="K7885" s="3" t="s">
        <v>23</v>
      </c>
    </row>
    <row r="7886" spans="1:11" ht="42" customHeight="1">
      <c r="A7886" s="2" t="s">
        <v>19672</v>
      </c>
      <c r="B7886" s="2" t="s">
        <v>19672</v>
      </c>
      <c r="C7886" s="2" t="s">
        <v>17</v>
      </c>
      <c r="D7886" s="2" t="s">
        <v>27</v>
      </c>
      <c r="E7886" s="4">
        <v>-32063</v>
      </c>
      <c r="F7886" s="3" t="s">
        <v>384</v>
      </c>
      <c r="G7886" s="3" t="s">
        <v>125</v>
      </c>
      <c r="H7886" s="2" t="s">
        <v>21</v>
      </c>
      <c r="I7886" s="2" t="s">
        <v>19673</v>
      </c>
      <c r="J7886" s="3" t="str">
        <f>HYPERLINK("https://www.boe.es/gazeta/dias/1812/03/18/pdfs/GMD-1812-78.pdf#page=3","Abrir facsímil")</f>
        <v>Abrir facsímil</v>
      </c>
      <c r="K7886" s="3" t="s">
        <v>23</v>
      </c>
    </row>
    <row r="7887" spans="1:11" ht="42" customHeight="1">
      <c r="A7887" s="2" t="s">
        <v>19672</v>
      </c>
      <c r="B7887" s="2" t="s">
        <v>19672</v>
      </c>
      <c r="C7887" s="2" t="s">
        <v>26</v>
      </c>
      <c r="D7887" s="2" t="s">
        <v>27</v>
      </c>
      <c r="E7887" s="4">
        <v>-32034</v>
      </c>
      <c r="F7887" s="3" t="s">
        <v>28</v>
      </c>
      <c r="G7887" s="3" t="s">
        <v>29</v>
      </c>
      <c r="H7887" s="2" t="s">
        <v>21</v>
      </c>
      <c r="I7887" s="2" t="s">
        <v>19674</v>
      </c>
      <c r="J7887" s="3" t="str">
        <f>HYPERLINK("https://www.boe.es/gazeta/dias/1812/04/16/pdfs/GMD-1812-107.pdf#page=8","Abrir facsímil")</f>
        <v>Abrir facsímil</v>
      </c>
      <c r="K7887" s="3" t="s">
        <v>23</v>
      </c>
    </row>
    <row r="7888" spans="1:11" ht="42" customHeight="1">
      <c r="A7888" s="2" t="s">
        <v>19672</v>
      </c>
      <c r="B7888" s="2" t="s">
        <v>19672</v>
      </c>
      <c r="C7888" s="2" t="s">
        <v>26</v>
      </c>
      <c r="D7888" s="2" t="s">
        <v>27</v>
      </c>
      <c r="E7888" s="4">
        <v>-31991</v>
      </c>
      <c r="F7888" s="3" t="s">
        <v>663</v>
      </c>
      <c r="G7888" s="3" t="s">
        <v>404</v>
      </c>
      <c r="H7888" s="2" t="s">
        <v>21</v>
      </c>
      <c r="I7888" s="2" t="s">
        <v>19675</v>
      </c>
      <c r="J7888" s="3" t="str">
        <f>HYPERLINK("https://www.boe.es/gazeta/dias/1812/05/29/pdfs/GMD-1812-150.pdf#page=4","Abrir facsímil")</f>
        <v>Abrir facsímil</v>
      </c>
      <c r="K7888" s="3" t="s">
        <v>23</v>
      </c>
    </row>
    <row r="7889" spans="1:11" ht="42" customHeight="1">
      <c r="A7889" s="2" t="s">
        <v>19672</v>
      </c>
      <c r="B7889" s="2" t="s">
        <v>19672</v>
      </c>
      <c r="C7889" s="2" t="s">
        <v>17</v>
      </c>
      <c r="D7889" s="2" t="s">
        <v>134</v>
      </c>
      <c r="E7889" s="4">
        <v>-31955</v>
      </c>
      <c r="F7889" s="3" t="s">
        <v>135</v>
      </c>
      <c r="G7889" s="3" t="s">
        <v>58</v>
      </c>
      <c r="H7889" s="2" t="s">
        <v>21</v>
      </c>
      <c r="I7889" s="2" t="s">
        <v>19676</v>
      </c>
      <c r="J7889" s="3" t="str">
        <f>HYPERLINK("https://www.boe.es/gazeta/dias/1812/07/04/pdfs/GRE-F-1812-82.pdf#page=6","Abrir facsímil")</f>
        <v>Abrir facsímil</v>
      </c>
      <c r="K7889" s="3" t="s">
        <v>23</v>
      </c>
    </row>
    <row r="7890" spans="1:11" ht="42" customHeight="1">
      <c r="A7890" s="2" t="s">
        <v>19672</v>
      </c>
      <c r="B7890" s="2" t="s">
        <v>19672</v>
      </c>
      <c r="C7890" s="2" t="s">
        <v>26</v>
      </c>
      <c r="D7890" s="2" t="s">
        <v>27</v>
      </c>
      <c r="E7890" s="4">
        <v>-31937</v>
      </c>
      <c r="F7890" s="3" t="s">
        <v>1198</v>
      </c>
      <c r="G7890" s="3" t="s">
        <v>140</v>
      </c>
      <c r="H7890" s="2" t="s">
        <v>21</v>
      </c>
      <c r="I7890" s="2" t="s">
        <v>19677</v>
      </c>
      <c r="J7890" s="3" t="str">
        <f>HYPERLINK("https://www.boe.es/gazeta/dias/1812/07/22/pdfs/GMD-1812-204.pdf#page=2","Abrir facsímil")</f>
        <v>Abrir facsímil</v>
      </c>
      <c r="K7890" s="3" t="s">
        <v>23</v>
      </c>
    </row>
    <row r="7891" spans="1:11" ht="42" customHeight="1">
      <c r="A7891" s="2" t="s">
        <v>19678</v>
      </c>
      <c r="B7891" s="2" t="s">
        <v>19678</v>
      </c>
      <c r="C7891" s="2" t="s">
        <v>26</v>
      </c>
      <c r="D7891" s="2" t="s">
        <v>27</v>
      </c>
      <c r="E7891" s="4">
        <v>-31936</v>
      </c>
      <c r="F7891" s="3" t="s">
        <v>603</v>
      </c>
      <c r="G7891" s="3" t="s">
        <v>36</v>
      </c>
      <c r="H7891" s="2" t="s">
        <v>21</v>
      </c>
      <c r="I7891" s="2" t="s">
        <v>19679</v>
      </c>
      <c r="J7891" s="3" t="str">
        <f>HYPERLINK("https://www.boe.es/gazeta/dias/1812/07/23/pdfs/GMD-1812-205.pdf#page=3","Abrir facsímil")</f>
        <v>Abrir facsímil</v>
      </c>
      <c r="K7891" s="3" t="s">
        <v>23</v>
      </c>
    </row>
    <row r="7892" spans="1:11" ht="42" customHeight="1">
      <c r="A7892" s="2" t="s">
        <v>19672</v>
      </c>
      <c r="B7892" s="2" t="s">
        <v>19672</v>
      </c>
      <c r="C7892" s="2" t="s">
        <v>186</v>
      </c>
      <c r="D7892" s="2" t="s">
        <v>27</v>
      </c>
      <c r="E7892" s="4">
        <v>-31812</v>
      </c>
      <c r="F7892" s="3" t="s">
        <v>1533</v>
      </c>
      <c r="G7892" s="3" t="s">
        <v>29</v>
      </c>
      <c r="H7892" s="2" t="s">
        <v>21</v>
      </c>
      <c r="I7892" s="2" t="s">
        <v>19680</v>
      </c>
      <c r="J7892" s="3" t="str">
        <f>HYPERLINK("https://www.boe.es/gazeta/dias/1812/11/24/pdfs/GMR-1812-37.pdf#page=8","Abrir facsímil")</f>
        <v>Abrir facsímil</v>
      </c>
      <c r="K7892" s="3" t="s">
        <v>23</v>
      </c>
    </row>
    <row r="7893" spans="1:11" ht="42" customHeight="1">
      <c r="A7893" s="2" t="s">
        <v>19681</v>
      </c>
      <c r="B7893" s="2" t="s">
        <v>19682</v>
      </c>
      <c r="C7893" s="2" t="s">
        <v>26</v>
      </c>
      <c r="D7893" s="2" t="s">
        <v>27</v>
      </c>
      <c r="E7893" s="4">
        <v>-31798</v>
      </c>
      <c r="F7893" s="3" t="s">
        <v>2194</v>
      </c>
      <c r="G7893" s="3" t="s">
        <v>159</v>
      </c>
      <c r="H7893" s="2" t="s">
        <v>21</v>
      </c>
      <c r="I7893" s="2" t="s">
        <v>19683</v>
      </c>
      <c r="J7893" s="3" t="str">
        <f>HYPERLINK("https://www.boe.es/gazeta/dias/1812/12/08/pdfs/GRE-1812-162.pdf#page=7","Abrir facsímil")</f>
        <v>Abrir facsímil</v>
      </c>
      <c r="K7893" s="3" t="s">
        <v>23</v>
      </c>
    </row>
    <row r="7894" spans="1:11" ht="42" customHeight="1">
      <c r="A7894" s="2" t="s">
        <v>19684</v>
      </c>
      <c r="B7894" s="2" t="s">
        <v>19685</v>
      </c>
      <c r="C7894" s="2" t="s">
        <v>26</v>
      </c>
      <c r="D7894" s="2" t="s">
        <v>27</v>
      </c>
      <c r="E7894" s="4">
        <v>-32033</v>
      </c>
      <c r="F7894" s="3" t="s">
        <v>771</v>
      </c>
      <c r="G7894" s="3" t="s">
        <v>130</v>
      </c>
      <c r="H7894" s="2" t="s">
        <v>21</v>
      </c>
      <c r="I7894" s="2" t="s">
        <v>19686</v>
      </c>
      <c r="J7894" s="3" t="str">
        <f>HYPERLINK("https://www.boe.es/gazeta/dias/1812/04/17/pdfs/GMD-1812-108.pdf#page=4","Abrir facsímil")</f>
        <v>Abrir facsímil</v>
      </c>
      <c r="K7894" s="3" t="s">
        <v>23</v>
      </c>
    </row>
    <row r="7895" spans="1:11" ht="42" customHeight="1">
      <c r="A7895" s="2" t="s">
        <v>19687</v>
      </c>
      <c r="B7895" s="2" t="s">
        <v>19688</v>
      </c>
      <c r="C7895" s="2" t="s">
        <v>26</v>
      </c>
      <c r="D7895" s="2" t="s">
        <v>27</v>
      </c>
      <c r="E7895" s="4">
        <v>-31940</v>
      </c>
      <c r="F7895" s="3" t="s">
        <v>187</v>
      </c>
      <c r="G7895" s="3" t="s">
        <v>404</v>
      </c>
      <c r="H7895" s="2" t="s">
        <v>21</v>
      </c>
      <c r="I7895" s="2" t="s">
        <v>19689</v>
      </c>
      <c r="J7895" s="3" t="str">
        <f>HYPERLINK("https://www.boe.es/gazeta/dias/1812/07/19/pdfs/GMD-1812-201.pdf#page=4","Abrir facsímil")</f>
        <v>Abrir facsímil</v>
      </c>
      <c r="K7895" s="3" t="s">
        <v>23</v>
      </c>
    </row>
    <row r="7896" spans="1:11" ht="42" customHeight="1">
      <c r="A7896" s="2" t="s">
        <v>19690</v>
      </c>
      <c r="B7896" s="2" t="s">
        <v>19691</v>
      </c>
      <c r="C7896" s="2" t="s">
        <v>26</v>
      </c>
      <c r="D7896" s="2" t="s">
        <v>27</v>
      </c>
      <c r="E7896" s="4">
        <v>-31885</v>
      </c>
      <c r="F7896" s="3" t="s">
        <v>750</v>
      </c>
      <c r="G7896" s="3" t="s">
        <v>5613</v>
      </c>
      <c r="H7896" s="2" t="s">
        <v>21</v>
      </c>
      <c r="I7896" s="2" t="s">
        <v>19692</v>
      </c>
      <c r="J7896" s="3" t="str">
        <f>HYPERLINK("https://www.boe.es/gazeta/dias/1812/09/12/pdfs/GMR-1812-13.pdf#page=6","Abrir facsímil")</f>
        <v>Abrir facsímil</v>
      </c>
      <c r="K7896" s="3" t="s">
        <v>23</v>
      </c>
    </row>
    <row r="7897" spans="1:11" ht="42" customHeight="1">
      <c r="A7897" s="2" t="s">
        <v>19693</v>
      </c>
      <c r="B7897" s="2" t="s">
        <v>19694</v>
      </c>
      <c r="C7897" s="2" t="s">
        <v>26</v>
      </c>
      <c r="D7897" s="2" t="s">
        <v>27</v>
      </c>
      <c r="E7897" s="4">
        <v>-32034</v>
      </c>
      <c r="F7897" s="3" t="s">
        <v>28</v>
      </c>
      <c r="G7897" s="3" t="s">
        <v>130</v>
      </c>
      <c r="H7897" s="2" t="s">
        <v>21</v>
      </c>
      <c r="I7897" s="2" t="s">
        <v>19695</v>
      </c>
      <c r="J7897" s="3" t="str">
        <f>HYPERLINK("https://www.boe.es/gazeta/dias/1812/04/16/pdfs/GMD-1812-107.pdf#page=4","Abrir facsímil")</f>
        <v>Abrir facsímil</v>
      </c>
      <c r="K7897" s="3" t="s">
        <v>23</v>
      </c>
    </row>
    <row r="7898" spans="1:11" ht="42" customHeight="1">
      <c r="A7898" s="2" t="s">
        <v>19696</v>
      </c>
      <c r="B7898" s="2" t="s">
        <v>19696</v>
      </c>
      <c r="C7898" s="2" t="s">
        <v>17</v>
      </c>
      <c r="D7898" s="2" t="s">
        <v>134</v>
      </c>
      <c r="E7898" s="4">
        <v>-31955</v>
      </c>
      <c r="F7898" s="3" t="s">
        <v>135</v>
      </c>
      <c r="G7898" s="3" t="s">
        <v>136</v>
      </c>
      <c r="H7898" s="2" t="s">
        <v>21</v>
      </c>
      <c r="I7898" s="2" t="s">
        <v>19697</v>
      </c>
      <c r="J7898" s="3" t="str">
        <f>HYPERLINK("https://www.boe.es/gazeta/dias/1812/07/04/pdfs/GRE-F-1812-82.pdf#page=8","Abrir facsímil")</f>
        <v>Abrir facsímil</v>
      </c>
      <c r="K7898" s="3" t="s">
        <v>23</v>
      </c>
    </row>
    <row r="7899" spans="1:11" ht="42" customHeight="1">
      <c r="A7899" s="2" t="s">
        <v>19698</v>
      </c>
      <c r="B7899" s="2" t="s">
        <v>19698</v>
      </c>
      <c r="C7899" s="2" t="s">
        <v>115</v>
      </c>
      <c r="D7899" s="2" t="s">
        <v>18</v>
      </c>
      <c r="E7899" s="4">
        <v>-31866</v>
      </c>
      <c r="F7899" s="3" t="s">
        <v>2438</v>
      </c>
      <c r="G7899" s="3" t="s">
        <v>125</v>
      </c>
      <c r="H7899" s="2" t="s">
        <v>21</v>
      </c>
      <c r="I7899" s="2" t="s">
        <v>19699</v>
      </c>
      <c r="J7899" s="3" t="str">
        <f>HYPERLINK("https://www.boe.es/gazeta/dias/1812/10/01/pdfs/GMR-1812-21.pdf#page=3","Abrir facsímil")</f>
        <v>Abrir facsímil</v>
      </c>
      <c r="K7899" s="3" t="s">
        <v>23</v>
      </c>
    </row>
    <row r="7900" spans="1:11" ht="42" customHeight="1">
      <c r="A7900" s="2" t="s">
        <v>19698</v>
      </c>
      <c r="B7900" s="2" t="s">
        <v>19698</v>
      </c>
      <c r="C7900" s="2" t="s">
        <v>17</v>
      </c>
      <c r="D7900" s="2" t="s">
        <v>18</v>
      </c>
      <c r="E7900" s="4">
        <v>-31866</v>
      </c>
      <c r="F7900" s="3" t="s">
        <v>2438</v>
      </c>
      <c r="G7900" s="3" t="s">
        <v>6406</v>
      </c>
      <c r="H7900" s="2" t="s">
        <v>21</v>
      </c>
      <c r="I7900" s="2" t="s">
        <v>19700</v>
      </c>
      <c r="J7900" s="3" t="str">
        <f>HYPERLINK("https://www.boe.es/gazeta/dias/1812/10/01/pdfs/GMR-1812-21.pdf#page=4","Abrir facsímil")</f>
        <v>Abrir facsímil</v>
      </c>
      <c r="K7900" s="3" t="s">
        <v>23</v>
      </c>
    </row>
    <row r="7901" spans="1:11" ht="42" customHeight="1">
      <c r="A7901" s="2" t="s">
        <v>19698</v>
      </c>
      <c r="B7901" s="2" t="s">
        <v>19698</v>
      </c>
      <c r="C7901" s="2" t="s">
        <v>17</v>
      </c>
      <c r="D7901" s="2" t="s">
        <v>18</v>
      </c>
      <c r="E7901" s="4">
        <v>-31859</v>
      </c>
      <c r="F7901" s="3" t="s">
        <v>158</v>
      </c>
      <c r="G7901" s="3" t="s">
        <v>58</v>
      </c>
      <c r="H7901" s="2" t="s">
        <v>21</v>
      </c>
      <c r="I7901" s="2" t="s">
        <v>19701</v>
      </c>
      <c r="J7901" s="3" t="str">
        <f>HYPERLINK("https://www.boe.es/gazeta/dias/1812/10/08/pdfs/GMR-1812-24.pdf#page=2","Abrir facsímil")</f>
        <v>Abrir facsímil</v>
      </c>
      <c r="K7901" s="3" t="s">
        <v>23</v>
      </c>
    </row>
    <row r="7902" spans="1:11" ht="42" customHeight="1">
      <c r="A7902" s="2" t="s">
        <v>19698</v>
      </c>
      <c r="B7902" s="2" t="s">
        <v>19698</v>
      </c>
      <c r="C7902" s="2" t="s">
        <v>17</v>
      </c>
      <c r="D7902" s="2" t="s">
        <v>18</v>
      </c>
      <c r="E7902" s="4">
        <v>-31810</v>
      </c>
      <c r="F7902" s="3" t="s">
        <v>2305</v>
      </c>
      <c r="G7902" s="3" t="s">
        <v>11914</v>
      </c>
      <c r="H7902" s="2" t="s">
        <v>21</v>
      </c>
      <c r="I7902" s="2" t="s">
        <v>19702</v>
      </c>
      <c r="J7902" s="3" t="str">
        <f>HYPERLINK("https://www.boe.es/gazeta/dias/1812/11/26/pdfs/GRE-1812-157.pdf#page=1","Abrir facsímil")</f>
        <v>Abrir facsímil</v>
      </c>
      <c r="K7902" s="3" t="s">
        <v>23</v>
      </c>
    </row>
    <row r="7903" spans="1:11" ht="42" customHeight="1">
      <c r="A7903" s="2" t="s">
        <v>19703</v>
      </c>
      <c r="B7903" s="2" t="s">
        <v>19703</v>
      </c>
      <c r="C7903" s="2" t="s">
        <v>115</v>
      </c>
      <c r="D7903" s="2" t="s">
        <v>18</v>
      </c>
      <c r="E7903" s="4">
        <v>-31873</v>
      </c>
      <c r="F7903" s="3" t="s">
        <v>654</v>
      </c>
      <c r="G7903" s="3" t="s">
        <v>11867</v>
      </c>
      <c r="H7903" s="2" t="s">
        <v>21</v>
      </c>
      <c r="I7903" s="2" t="s">
        <v>19704</v>
      </c>
      <c r="J7903" s="3" t="str">
        <f>HYPERLINK("https://www.boe.es/gazeta/dias/1812/09/24/pdfs/GRE-1812-130.pdf#page=3","Abrir facsímil")</f>
        <v>Abrir facsímil</v>
      </c>
      <c r="K7903" s="3" t="s">
        <v>23</v>
      </c>
    </row>
    <row r="7904" spans="1:11" ht="42" customHeight="1">
      <c r="A7904" s="2" t="s">
        <v>19705</v>
      </c>
      <c r="B7904" s="2" t="s">
        <v>19705</v>
      </c>
      <c r="C7904" s="2" t="s">
        <v>17</v>
      </c>
      <c r="D7904" s="2" t="s">
        <v>18</v>
      </c>
      <c r="E7904" s="4">
        <v>-31896</v>
      </c>
      <c r="F7904" s="3" t="s">
        <v>1808</v>
      </c>
      <c r="G7904" s="3" t="s">
        <v>140</v>
      </c>
      <c r="H7904" s="2" t="s">
        <v>21</v>
      </c>
      <c r="I7904" s="2" t="s">
        <v>19706</v>
      </c>
      <c r="J7904" s="3" t="str">
        <f>HYPERLINK("https://www.boe.es/gazeta/dias/1812/09/01/pdfs/GMR-1812-8.pdf#page=2","Abrir facsímil")</f>
        <v>Abrir facsímil</v>
      </c>
      <c r="K7904" s="3" t="s">
        <v>23</v>
      </c>
    </row>
    <row r="7905" spans="1:11" ht="42" customHeight="1">
      <c r="A7905" s="2" t="s">
        <v>19707</v>
      </c>
      <c r="B7905" s="2" t="s">
        <v>19707</v>
      </c>
      <c r="C7905" s="2" t="s">
        <v>17</v>
      </c>
      <c r="D7905" s="2" t="s">
        <v>27</v>
      </c>
      <c r="E7905" s="4">
        <v>-31801</v>
      </c>
      <c r="F7905" s="3" t="s">
        <v>632</v>
      </c>
      <c r="G7905" s="3" t="s">
        <v>237</v>
      </c>
      <c r="H7905" s="2" t="s">
        <v>21</v>
      </c>
      <c r="I7905" s="2" t="s">
        <v>19708</v>
      </c>
      <c r="J7905" s="3" t="str">
        <f>HYPERLINK("https://www.boe.es/gazeta/dias/1812/12/05/pdfs/GMD-1812-228.pdf#page=2","Abrir facsímil")</f>
        <v>Abrir facsímil</v>
      </c>
      <c r="K7905" s="3" t="s">
        <v>23</v>
      </c>
    </row>
    <row r="7906" spans="1:11" ht="42" customHeight="1">
      <c r="A7906" s="2" t="s">
        <v>19707</v>
      </c>
      <c r="B7906" s="2" t="s">
        <v>19707</v>
      </c>
      <c r="C7906" s="2" t="s">
        <v>17</v>
      </c>
      <c r="D7906" s="2" t="s">
        <v>18</v>
      </c>
      <c r="E7906" s="4">
        <v>-31798</v>
      </c>
      <c r="F7906" s="3" t="s">
        <v>1849</v>
      </c>
      <c r="G7906" s="3" t="s">
        <v>237</v>
      </c>
      <c r="H7906" s="2" t="s">
        <v>21</v>
      </c>
      <c r="I7906" s="2" t="s">
        <v>19709</v>
      </c>
      <c r="J7906" s="3" t="str">
        <f>HYPERLINK("https://www.boe.es/gazeta/dias/1812/12/08/pdfs/GMD-1812-231.pdf#page=2","Abrir facsímil")</f>
        <v>Abrir facsímil</v>
      </c>
      <c r="K7906" s="3" t="s">
        <v>23</v>
      </c>
    </row>
    <row r="7907" spans="1:11" ht="42" customHeight="1">
      <c r="A7907" s="2" t="s">
        <v>19707</v>
      </c>
      <c r="B7907" s="2" t="s">
        <v>19707</v>
      </c>
      <c r="C7907" s="2" t="s">
        <v>17</v>
      </c>
      <c r="D7907" s="2" t="s">
        <v>18</v>
      </c>
      <c r="E7907" s="4">
        <v>-31798</v>
      </c>
      <c r="F7907" s="3" t="s">
        <v>1849</v>
      </c>
      <c r="G7907" s="3" t="s">
        <v>1850</v>
      </c>
      <c r="H7907" s="2" t="s">
        <v>21</v>
      </c>
      <c r="I7907" s="2" t="s">
        <v>19710</v>
      </c>
      <c r="J7907" s="3" t="str">
        <f>HYPERLINK("https://www.boe.es/gazeta/dias/1812/12/08/pdfs/GMD-1812-231.pdf#page=3","Abrir facsímil")</f>
        <v>Abrir facsímil</v>
      </c>
      <c r="K7907" s="3" t="s">
        <v>23</v>
      </c>
    </row>
    <row r="7908" spans="1:11" ht="42" customHeight="1">
      <c r="A7908" s="2" t="s">
        <v>19707</v>
      </c>
      <c r="B7908" s="2" t="s">
        <v>19707</v>
      </c>
      <c r="C7908" s="2" t="s">
        <v>17</v>
      </c>
      <c r="D7908" s="2" t="s">
        <v>18</v>
      </c>
      <c r="E7908" s="4">
        <v>-31793</v>
      </c>
      <c r="F7908" s="3" t="s">
        <v>2570</v>
      </c>
      <c r="G7908" s="3" t="s">
        <v>20</v>
      </c>
      <c r="H7908" s="2" t="s">
        <v>21</v>
      </c>
      <c r="I7908" s="2" t="s">
        <v>19711</v>
      </c>
      <c r="J7908" s="3" t="str">
        <f>HYPERLINK("https://www.boe.es/gazeta/dias/1812/12/13/pdfs/GMD-1812-236.pdf#page=2","Abrir facsímil")</f>
        <v>Abrir facsímil</v>
      </c>
      <c r="K7908" s="3" t="s">
        <v>23</v>
      </c>
    </row>
    <row r="7909" spans="1:11" ht="42" customHeight="1">
      <c r="A7909" s="2" t="s">
        <v>19707</v>
      </c>
      <c r="B7909" s="2" t="s">
        <v>19707</v>
      </c>
      <c r="C7909" s="2" t="s">
        <v>17</v>
      </c>
      <c r="D7909" s="2" t="s">
        <v>27</v>
      </c>
      <c r="E7909" s="4">
        <v>-31787</v>
      </c>
      <c r="F7909" s="3" t="s">
        <v>7656</v>
      </c>
      <c r="G7909" s="3" t="s">
        <v>45</v>
      </c>
      <c r="H7909" s="2" t="s">
        <v>21</v>
      </c>
      <c r="I7909" s="2" t="s">
        <v>19712</v>
      </c>
      <c r="J7909" s="3" t="str">
        <f>HYPERLINK("https://www.boe.es/gazeta/dias/1812/12/19/pdfs/GMD-1812-242.pdf#page=2","Abrir facsímil")</f>
        <v>Abrir facsímil</v>
      </c>
      <c r="K7909" s="3" t="s">
        <v>23</v>
      </c>
    </row>
    <row r="7910" spans="1:11" ht="42" customHeight="1">
      <c r="A7910" s="2" t="s">
        <v>19713</v>
      </c>
      <c r="B7910" s="2" t="s">
        <v>19714</v>
      </c>
      <c r="C7910" s="2" t="s">
        <v>26</v>
      </c>
      <c r="D7910" s="2" t="s">
        <v>27</v>
      </c>
      <c r="E7910" s="4">
        <v>-31940</v>
      </c>
      <c r="F7910" s="3" t="s">
        <v>187</v>
      </c>
      <c r="G7910" s="3" t="s">
        <v>404</v>
      </c>
      <c r="H7910" s="2" t="s">
        <v>21</v>
      </c>
      <c r="I7910" s="2" t="s">
        <v>19715</v>
      </c>
      <c r="J7910" s="3" t="str">
        <f>HYPERLINK("https://www.boe.es/gazeta/dias/1812/07/19/pdfs/GMD-1812-201.pdf#page=3","Abrir facsímil")</f>
        <v>Abrir facsímil</v>
      </c>
      <c r="K7910" s="3" t="s">
        <v>23</v>
      </c>
    </row>
    <row r="7911" spans="1:11" ht="42" customHeight="1">
      <c r="A7911" s="2" t="s">
        <v>19716</v>
      </c>
      <c r="B7911" s="2" t="s">
        <v>19717</v>
      </c>
      <c r="C7911" s="2" t="s">
        <v>26</v>
      </c>
      <c r="D7911" s="2" t="s">
        <v>275</v>
      </c>
      <c r="E7911" s="4">
        <v>-32034</v>
      </c>
      <c r="F7911" s="3" t="s">
        <v>28</v>
      </c>
      <c r="G7911" s="3" t="s">
        <v>20</v>
      </c>
      <c r="H7911" s="2" t="s">
        <v>21</v>
      </c>
      <c r="I7911" s="2" t="s">
        <v>19718</v>
      </c>
      <c r="J7911" s="3" t="str">
        <f>HYPERLINK("https://www.boe.es/gazeta/dias/1812/04/16/pdfs/GMD-1812-107.pdf#page=3","Abrir facsímil")</f>
        <v>Abrir facsímil</v>
      </c>
      <c r="K7911" s="3" t="s">
        <v>23</v>
      </c>
    </row>
    <row r="7912" spans="1:11" ht="42" customHeight="1">
      <c r="A7912" s="2" t="s">
        <v>19719</v>
      </c>
      <c r="B7912" s="2" t="s">
        <v>19719</v>
      </c>
      <c r="C7912" s="2" t="s">
        <v>17</v>
      </c>
      <c r="D7912" s="2" t="s">
        <v>18</v>
      </c>
      <c r="E7912" s="4">
        <v>-31901</v>
      </c>
      <c r="F7912" s="3" t="s">
        <v>2199</v>
      </c>
      <c r="G7912" s="3" t="s">
        <v>2919</v>
      </c>
      <c r="H7912" s="2" t="s">
        <v>21</v>
      </c>
      <c r="I7912" s="2" t="s">
        <v>19720</v>
      </c>
      <c r="J7912" s="3" t="str">
        <f>HYPERLINK("https://www.boe.es/gazeta/dias/1812/08/27/pdfs/GRE-1812-111.pdf#page=2","Abrir facsímil")</f>
        <v>Abrir facsímil</v>
      </c>
      <c r="K7912" s="3" t="s">
        <v>23</v>
      </c>
    </row>
    <row r="7913" spans="1:11" ht="42" customHeight="1">
      <c r="A7913" s="2" t="s">
        <v>19721</v>
      </c>
      <c r="B7913" s="2" t="s">
        <v>19721</v>
      </c>
      <c r="C7913" s="2" t="s">
        <v>17</v>
      </c>
      <c r="D7913" s="2" t="s">
        <v>27</v>
      </c>
      <c r="E7913" s="4">
        <v>-31780</v>
      </c>
      <c r="F7913" s="3" t="s">
        <v>3317</v>
      </c>
      <c r="G7913" s="3" t="s">
        <v>11490</v>
      </c>
      <c r="H7913" s="2" t="s">
        <v>21</v>
      </c>
      <c r="I7913" s="2" t="s">
        <v>19722</v>
      </c>
      <c r="J7913" s="3" t="str">
        <f>HYPERLINK("https://www.boe.es/gazeta/dias/1812/12/26/pdfs/GRE-1812-170.pdf#page=2","Abrir facsímil")</f>
        <v>Abrir facsímil</v>
      </c>
      <c r="K7913" s="3" t="s">
        <v>23</v>
      </c>
    </row>
    <row r="7914" spans="1:11" ht="42" customHeight="1">
      <c r="A7914" s="2" t="s">
        <v>19723</v>
      </c>
      <c r="B7914" s="2" t="s">
        <v>19724</v>
      </c>
      <c r="C7914" s="2" t="s">
        <v>49</v>
      </c>
      <c r="D7914" s="2" t="s">
        <v>27</v>
      </c>
      <c r="E7914" s="4">
        <v>-32018</v>
      </c>
      <c r="F7914" s="3" t="s">
        <v>365</v>
      </c>
      <c r="G7914" s="3" t="s">
        <v>366</v>
      </c>
      <c r="H7914" s="2" t="s">
        <v>21</v>
      </c>
      <c r="I7914" s="2" t="s">
        <v>19725</v>
      </c>
      <c r="J7914" s="3" t="str">
        <f>HYPERLINK("https://www.boe.es/gazeta/dias/1812/05/02/pdfs/GRE-1812-55.pdf#page=3","Abrir facsímil")</f>
        <v>Abrir facsímil</v>
      </c>
      <c r="K7914" s="3" t="s">
        <v>23</v>
      </c>
    </row>
    <row r="7915" spans="1:11" ht="42" customHeight="1">
      <c r="A7915" s="2" t="s">
        <v>19726</v>
      </c>
      <c r="B7915" s="2" t="s">
        <v>19727</v>
      </c>
      <c r="C7915" s="2" t="s">
        <v>17</v>
      </c>
      <c r="D7915" s="2" t="s">
        <v>27</v>
      </c>
      <c r="E7915" s="4">
        <v>-32036</v>
      </c>
      <c r="F7915" s="3" t="s">
        <v>781</v>
      </c>
      <c r="G7915" s="3" t="s">
        <v>782</v>
      </c>
      <c r="H7915" s="2" t="s">
        <v>21</v>
      </c>
      <c r="I7915" s="2" t="s">
        <v>19728</v>
      </c>
      <c r="J7915" s="3" t="str">
        <f>HYPERLINK("https://www.boe.es/gazeta/dias/1812/04/14/pdfs/GRE-1812-47.pdf#page=8","Abrir facsímil")</f>
        <v>Abrir facsímil</v>
      </c>
      <c r="K7915" s="3" t="s">
        <v>23</v>
      </c>
    </row>
    <row r="7916" spans="1:11" ht="42" customHeight="1">
      <c r="A7916" s="2" t="s">
        <v>19729</v>
      </c>
      <c r="B7916" s="2" t="s">
        <v>19730</v>
      </c>
      <c r="C7916" s="2" t="s">
        <v>26</v>
      </c>
      <c r="D7916" s="2" t="s">
        <v>27</v>
      </c>
      <c r="E7916" s="4">
        <v>-31964</v>
      </c>
      <c r="F7916" s="3" t="s">
        <v>93</v>
      </c>
      <c r="G7916" s="3" t="s">
        <v>1722</v>
      </c>
      <c r="H7916" s="2" t="s">
        <v>21</v>
      </c>
      <c r="I7916" s="2" t="s">
        <v>19731</v>
      </c>
      <c r="J7916" s="3" t="str">
        <f>HYPERLINK("https://www.boe.es/gazeta/dias/1812/06/25/pdfs/GRE-1812-78.pdf#page=8","Abrir facsímil")</f>
        <v>Abrir facsímil</v>
      </c>
      <c r="K7916" s="3" t="s">
        <v>23</v>
      </c>
    </row>
    <row r="7917" spans="1:11" ht="42" customHeight="1">
      <c r="A7917" s="2" t="s">
        <v>19732</v>
      </c>
      <c r="B7917" s="2" t="s">
        <v>19733</v>
      </c>
      <c r="C7917" s="2" t="s">
        <v>17</v>
      </c>
      <c r="D7917" s="2" t="s">
        <v>27</v>
      </c>
      <c r="E7917" s="4">
        <v>-31922</v>
      </c>
      <c r="F7917" s="3" t="s">
        <v>375</v>
      </c>
      <c r="G7917" s="3" t="s">
        <v>5327</v>
      </c>
      <c r="H7917" s="2" t="s">
        <v>21</v>
      </c>
      <c r="I7917" s="2" t="s">
        <v>19734</v>
      </c>
      <c r="J7917" s="3" t="str">
        <f>HYPERLINK("https://www.boe.es/gazeta/dias/1812/08/06/pdfs/GRE-1812-100.pdf#page=3","Abrir facsímil")</f>
        <v>Abrir facsímil</v>
      </c>
      <c r="K7917" s="3" t="s">
        <v>23</v>
      </c>
    </row>
    <row r="7918" spans="1:11" ht="42" customHeight="1">
      <c r="A7918" s="2" t="s">
        <v>19735</v>
      </c>
      <c r="B7918" s="2" t="s">
        <v>19736</v>
      </c>
      <c r="C7918" s="2" t="s">
        <v>82</v>
      </c>
      <c r="D7918" s="2" t="s">
        <v>27</v>
      </c>
      <c r="E7918" s="4">
        <v>-31942</v>
      </c>
      <c r="F7918" s="3" t="s">
        <v>3065</v>
      </c>
      <c r="G7918" s="3" t="s">
        <v>3066</v>
      </c>
      <c r="H7918" s="2" t="s">
        <v>21</v>
      </c>
      <c r="I7918" s="2" t="s">
        <v>19737</v>
      </c>
      <c r="J7918" s="3" t="str">
        <f>HYPERLINK("https://www.boe.es/gazeta/dias/1812/07/17/pdfs/GMD-1812-199.pdf#page=3","Abrir facsímil")</f>
        <v>Abrir facsímil</v>
      </c>
      <c r="K7918" s="3" t="s">
        <v>23</v>
      </c>
    </row>
    <row r="7919" spans="1:11" ht="42" customHeight="1">
      <c r="A7919" s="2" t="s">
        <v>19738</v>
      </c>
      <c r="B7919" s="2" t="s">
        <v>19739</v>
      </c>
      <c r="C7919" s="2" t="s">
        <v>17</v>
      </c>
      <c r="D7919" s="2" t="s">
        <v>27</v>
      </c>
      <c r="E7919" s="4">
        <v>-31978</v>
      </c>
      <c r="F7919" s="3" t="s">
        <v>1790</v>
      </c>
      <c r="G7919" s="3" t="s">
        <v>1791</v>
      </c>
      <c r="H7919" s="2" t="s">
        <v>21</v>
      </c>
      <c r="I7919" s="2" t="s">
        <v>19740</v>
      </c>
      <c r="J7919" s="3" t="str">
        <f>HYPERLINK("https://www.boe.es/gazeta/dias/1812/06/11/pdfs/GRE-1812-72.pdf#page=8","Abrir facsímil")</f>
        <v>Abrir facsímil</v>
      </c>
      <c r="K7919" s="3" t="s">
        <v>23</v>
      </c>
    </row>
    <row r="7920" spans="1:11" ht="42" customHeight="1">
      <c r="A7920" s="2" t="s">
        <v>19741</v>
      </c>
      <c r="B7920" s="2" t="s">
        <v>19741</v>
      </c>
      <c r="C7920" s="2" t="s">
        <v>17</v>
      </c>
      <c r="D7920" s="2" t="s">
        <v>18</v>
      </c>
      <c r="E7920" s="4">
        <v>-31966</v>
      </c>
      <c r="F7920" s="3" t="s">
        <v>3665</v>
      </c>
      <c r="G7920" s="3" t="s">
        <v>237</v>
      </c>
      <c r="H7920" s="2" t="s">
        <v>21</v>
      </c>
      <c r="I7920" s="2" t="s">
        <v>19742</v>
      </c>
      <c r="J7920" s="3" t="str">
        <f>HYPERLINK("https://www.boe.es/gazeta/dias/1812/06/23/pdfs/GRE-1812-77.pdf#page=3","Abrir facsímil")</f>
        <v>Abrir facsímil</v>
      </c>
      <c r="K7920" s="3" t="s">
        <v>23</v>
      </c>
    </row>
    <row r="7921" spans="1:11" ht="42" customHeight="1">
      <c r="A7921" s="2" t="s">
        <v>19743</v>
      </c>
      <c r="B7921" s="2" t="s">
        <v>19744</v>
      </c>
      <c r="C7921" s="2" t="s">
        <v>49</v>
      </c>
      <c r="D7921" s="2" t="s">
        <v>275</v>
      </c>
      <c r="E7921" s="4">
        <v>-32130</v>
      </c>
      <c r="F7921" s="3" t="s">
        <v>927</v>
      </c>
      <c r="G7921" s="3" t="s">
        <v>130</v>
      </c>
      <c r="H7921" s="2" t="s">
        <v>21</v>
      </c>
      <c r="I7921" s="2" t="s">
        <v>19745</v>
      </c>
      <c r="J7921" s="3" t="str">
        <f>HYPERLINK("https://www.boe.es/gazeta/dias/1812/01/11/pdfs/GMD-1812-11.pdf#page=4","Abrir facsímil")</f>
        <v>Abrir facsímil</v>
      </c>
      <c r="K7921" s="3" t="s">
        <v>23</v>
      </c>
    </row>
    <row r="7922" spans="1:11" ht="42" customHeight="1">
      <c r="A7922" s="2" t="s">
        <v>19746</v>
      </c>
      <c r="B7922" s="2" t="s">
        <v>19747</v>
      </c>
      <c r="C7922" s="2" t="s">
        <v>26</v>
      </c>
      <c r="D7922" s="2" t="s">
        <v>27</v>
      </c>
      <c r="E7922" s="4">
        <v>-31936</v>
      </c>
      <c r="F7922" s="3" t="s">
        <v>614</v>
      </c>
      <c r="G7922" s="3" t="s">
        <v>615</v>
      </c>
      <c r="H7922" s="2" t="s">
        <v>21</v>
      </c>
      <c r="I7922" s="2" t="s">
        <v>19748</v>
      </c>
      <c r="J7922" s="3" t="str">
        <f>HYPERLINK("https://www.boe.es/gazeta/dias/1812/07/23/pdfs/GRE-1812-92.pdf#page=8","Abrir facsímil")</f>
        <v>Abrir facsímil</v>
      </c>
      <c r="K7922" s="3" t="s">
        <v>23</v>
      </c>
    </row>
    <row r="7923" spans="1:11" ht="42" customHeight="1">
      <c r="A7923" s="2" t="s">
        <v>19749</v>
      </c>
      <c r="B7923" s="2" t="s">
        <v>19750</v>
      </c>
      <c r="C7923" s="2" t="s">
        <v>26</v>
      </c>
      <c r="D7923" s="2" t="s">
        <v>275</v>
      </c>
      <c r="E7923" s="4">
        <v>-31964</v>
      </c>
      <c r="F7923" s="3" t="s">
        <v>305</v>
      </c>
      <c r="G7923" s="3" t="s">
        <v>58</v>
      </c>
      <c r="H7923" s="2" t="s">
        <v>21</v>
      </c>
      <c r="I7923" s="2" t="s">
        <v>19751</v>
      </c>
      <c r="J7923" s="3" t="str">
        <f>HYPERLINK("https://www.boe.es/gazeta/dias/1812/06/25/pdfs/GMD-1812-177.pdf#page=2","Abrir facsímil")</f>
        <v>Abrir facsímil</v>
      </c>
      <c r="K7923" s="3" t="s">
        <v>23</v>
      </c>
    </row>
    <row r="7924" spans="1:11" ht="42" customHeight="1">
      <c r="A7924" s="2" t="s">
        <v>19752</v>
      </c>
      <c r="B7924" s="2" t="s">
        <v>19753</v>
      </c>
      <c r="C7924" s="2" t="s">
        <v>26</v>
      </c>
      <c r="D7924" s="2" t="s">
        <v>27</v>
      </c>
      <c r="E7924" s="4">
        <v>-31969</v>
      </c>
      <c r="F7924" s="3" t="s">
        <v>83</v>
      </c>
      <c r="G7924" s="3" t="s">
        <v>84</v>
      </c>
      <c r="H7924" s="2" t="s">
        <v>21</v>
      </c>
      <c r="I7924" s="2" t="s">
        <v>19754</v>
      </c>
      <c r="J7924" s="3" t="str">
        <f>HYPERLINK("https://www.boe.es/gazeta/dias/1812/06/20/pdfs/GRE-1812-76.pdf#page=8","Abrir facsímil")</f>
        <v>Abrir facsímil</v>
      </c>
      <c r="K7924" s="3" t="s">
        <v>23</v>
      </c>
    </row>
    <row r="7925" spans="1:11" ht="42" customHeight="1">
      <c r="A7925" s="2" t="s">
        <v>19755</v>
      </c>
      <c r="B7925" s="2" t="s">
        <v>19756</v>
      </c>
      <c r="C7925" s="2" t="s">
        <v>17</v>
      </c>
      <c r="D7925" s="2" t="s">
        <v>27</v>
      </c>
      <c r="E7925" s="4">
        <v>-32069</v>
      </c>
      <c r="F7925" s="3" t="s">
        <v>445</v>
      </c>
      <c r="G7925" s="3" t="s">
        <v>446</v>
      </c>
      <c r="H7925" s="2" t="s">
        <v>21</v>
      </c>
      <c r="I7925" s="2" t="s">
        <v>19757</v>
      </c>
      <c r="J7925" s="3" t="str">
        <f>HYPERLINK("https://www.boe.es/gazeta/dias/1812/03/12/pdfs/GRE-1812-32.pdf#page=8","Abrir facsímil")</f>
        <v>Abrir facsímil</v>
      </c>
      <c r="K7925" s="3" t="s">
        <v>23</v>
      </c>
    </row>
    <row r="7926" spans="1:11" ht="42" customHeight="1">
      <c r="A7926" s="2" t="s">
        <v>19758</v>
      </c>
      <c r="B7926" s="2" t="s">
        <v>19759</v>
      </c>
      <c r="C7926" s="2" t="s">
        <v>26</v>
      </c>
      <c r="D7926" s="2" t="s">
        <v>27</v>
      </c>
      <c r="E7926" s="4">
        <v>-31976</v>
      </c>
      <c r="F7926" s="3" t="s">
        <v>54</v>
      </c>
      <c r="G7926" s="3" t="s">
        <v>55</v>
      </c>
      <c r="H7926" s="2" t="s">
        <v>21</v>
      </c>
      <c r="I7926" s="2" t="s">
        <v>19760</v>
      </c>
      <c r="J7926" s="3" t="str">
        <f>HYPERLINK("https://www.boe.es/gazeta/dias/1812/06/13/pdfs/GRE-1812-73.pdf#page=6","Abrir facsímil")</f>
        <v>Abrir facsímil</v>
      </c>
      <c r="K7926" s="3" t="s">
        <v>23</v>
      </c>
    </row>
    <row r="7927" spans="1:11" ht="42" customHeight="1">
      <c r="A7927" s="2" t="s">
        <v>19761</v>
      </c>
      <c r="B7927" s="2" t="s">
        <v>19762</v>
      </c>
      <c r="C7927" s="2" t="s">
        <v>26</v>
      </c>
      <c r="D7927" s="2" t="s">
        <v>27</v>
      </c>
      <c r="E7927" s="4">
        <v>-32100</v>
      </c>
      <c r="F7927" s="3" t="s">
        <v>492</v>
      </c>
      <c r="G7927" s="3" t="s">
        <v>493</v>
      </c>
      <c r="H7927" s="2" t="s">
        <v>21</v>
      </c>
      <c r="I7927" s="2" t="s">
        <v>19763</v>
      </c>
      <c r="J7927" s="3" t="str">
        <f>HYPERLINK("https://www.boe.es/gazeta/dias/1812/02/10/pdfs/GRE-1812-31.pdf#page=8","Abrir facsímil")</f>
        <v>Abrir facsímil</v>
      </c>
      <c r="K7927" s="3" t="s">
        <v>23</v>
      </c>
    </row>
    <row r="7928" spans="1:11" ht="42" customHeight="1">
      <c r="A7928" s="2" t="s">
        <v>19761</v>
      </c>
      <c r="B7928" s="2" t="s">
        <v>19762</v>
      </c>
      <c r="C7928" s="2" t="s">
        <v>26</v>
      </c>
      <c r="D7928" s="2" t="s">
        <v>27</v>
      </c>
      <c r="E7928" s="4">
        <v>-32071</v>
      </c>
      <c r="F7928" s="3" t="s">
        <v>492</v>
      </c>
      <c r="G7928" s="3" t="s">
        <v>493</v>
      </c>
      <c r="H7928" s="2" t="s">
        <v>21</v>
      </c>
      <c r="I7928" s="2" t="s">
        <v>19763</v>
      </c>
      <c r="J7928" s="3" t="str">
        <f>HYPERLINK("https://www.boe.es/gazeta/dias/1812/03/10/pdfs/GRE-1812-31.pdf#page=8","Abrir facsímil")</f>
        <v>Abrir facsímil</v>
      </c>
      <c r="K7928" s="3" t="s">
        <v>23</v>
      </c>
    </row>
    <row r="7929" spans="1:11" ht="42" customHeight="1">
      <c r="A7929" s="2" t="s">
        <v>19764</v>
      </c>
      <c r="B7929" s="2" t="s">
        <v>19764</v>
      </c>
      <c r="C7929" s="2" t="s">
        <v>115</v>
      </c>
      <c r="D7929" s="2" t="s">
        <v>27</v>
      </c>
      <c r="E7929" s="4">
        <v>-32007</v>
      </c>
      <c r="F7929" s="3" t="s">
        <v>11855</v>
      </c>
      <c r="G7929" s="3" t="s">
        <v>20</v>
      </c>
      <c r="H7929" s="2" t="s">
        <v>21</v>
      </c>
      <c r="I7929" s="2" t="s">
        <v>19765</v>
      </c>
      <c r="J7929" s="3" t="str">
        <f>HYPERLINK("https://www.boe.es/gazeta/dias/1812/05/13/pdfs/GMD-1812-134.pdf#page=1","Abrir facsímil")</f>
        <v>Abrir facsímil</v>
      </c>
      <c r="K7929" s="3" t="s">
        <v>23</v>
      </c>
    </row>
    <row r="7930" spans="1:11" ht="42" customHeight="1">
      <c r="A7930" s="2" t="s">
        <v>19766</v>
      </c>
      <c r="B7930" s="2" t="s">
        <v>19767</v>
      </c>
      <c r="C7930" s="2" t="s">
        <v>26</v>
      </c>
      <c r="D7930" s="2" t="s">
        <v>27</v>
      </c>
      <c r="E7930" s="4">
        <v>-31938</v>
      </c>
      <c r="F7930" s="3" t="s">
        <v>324</v>
      </c>
      <c r="G7930" s="3" t="s">
        <v>497</v>
      </c>
      <c r="H7930" s="2" t="s">
        <v>21</v>
      </c>
      <c r="I7930" s="2" t="s">
        <v>19768</v>
      </c>
      <c r="J7930" s="3" t="str">
        <f>HYPERLINK("https://www.boe.es/gazeta/dias/1812/07/21/pdfs/GMD-1812-203.pdf#page=3","Abrir facsímil")</f>
        <v>Abrir facsímil</v>
      </c>
      <c r="K7930" s="3" t="s">
        <v>23</v>
      </c>
    </row>
    <row r="7931" spans="1:11" ht="42" customHeight="1">
      <c r="A7931" s="2" t="s">
        <v>19769</v>
      </c>
      <c r="B7931" s="2" t="s">
        <v>19770</v>
      </c>
      <c r="C7931" s="2" t="s">
        <v>26</v>
      </c>
      <c r="D7931" s="2" t="s">
        <v>275</v>
      </c>
      <c r="E7931" s="4">
        <v>-32121</v>
      </c>
      <c r="F7931" s="3" t="s">
        <v>1237</v>
      </c>
      <c r="G7931" s="3" t="s">
        <v>404</v>
      </c>
      <c r="H7931" s="2" t="s">
        <v>21</v>
      </c>
      <c r="I7931" s="2" t="s">
        <v>19771</v>
      </c>
      <c r="J7931" s="3" t="str">
        <f>HYPERLINK("https://www.boe.es/gazeta/dias/1812/01/20/pdfs/GMD-1812-20.pdf#page=4","Abrir facsímil")</f>
        <v>Abrir facsímil</v>
      </c>
      <c r="K7931" s="3" t="s">
        <v>23</v>
      </c>
    </row>
    <row r="7932" spans="1:11" ht="42" customHeight="1">
      <c r="A7932" s="2" t="s">
        <v>19772</v>
      </c>
      <c r="B7932" s="2" t="s">
        <v>19772</v>
      </c>
      <c r="C7932" s="2" t="s">
        <v>17</v>
      </c>
      <c r="D7932" s="2" t="s">
        <v>275</v>
      </c>
      <c r="E7932" s="4">
        <v>-32056</v>
      </c>
      <c r="F7932" s="3" t="s">
        <v>2233</v>
      </c>
      <c r="G7932" s="3" t="s">
        <v>130</v>
      </c>
      <c r="H7932" s="2" t="s">
        <v>21</v>
      </c>
      <c r="I7932" s="2" t="s">
        <v>19773</v>
      </c>
      <c r="J7932" s="3" t="str">
        <f>HYPERLINK("https://www.boe.es/gazeta/dias/1812/03/25/pdfs/GMD-1812-85.pdf#page=4","Abrir facsímil")</f>
        <v>Abrir facsímil</v>
      </c>
      <c r="K7932" s="3" t="s">
        <v>23</v>
      </c>
    </row>
    <row r="7933" spans="1:11" ht="42" customHeight="1">
      <c r="A7933" s="2" t="s">
        <v>19774</v>
      </c>
      <c r="B7933" s="2" t="s">
        <v>19775</v>
      </c>
      <c r="C7933" s="2" t="s">
        <v>26</v>
      </c>
      <c r="D7933" s="2" t="s">
        <v>27</v>
      </c>
      <c r="E7933" s="4">
        <v>-31938</v>
      </c>
      <c r="F7933" s="3" t="s">
        <v>324</v>
      </c>
      <c r="G7933" s="3" t="s">
        <v>404</v>
      </c>
      <c r="H7933" s="2" t="s">
        <v>21</v>
      </c>
      <c r="I7933" s="2" t="s">
        <v>19776</v>
      </c>
      <c r="J7933" s="3" t="str">
        <f>HYPERLINK("https://www.boe.es/gazeta/dias/1812/07/21/pdfs/GMD-1812-203.pdf#page=4","Abrir facsímil")</f>
        <v>Abrir facsímil</v>
      </c>
      <c r="K7933" s="3" t="s">
        <v>23</v>
      </c>
    </row>
    <row r="7934" spans="1:11" ht="42" customHeight="1">
      <c r="A7934" s="2" t="s">
        <v>19777</v>
      </c>
      <c r="B7934" s="2" t="s">
        <v>19778</v>
      </c>
      <c r="C7934" s="2" t="s">
        <v>26</v>
      </c>
      <c r="D7934" s="2" t="s">
        <v>27</v>
      </c>
      <c r="E7934" s="4">
        <v>-31969</v>
      </c>
      <c r="F7934" s="3" t="s">
        <v>83</v>
      </c>
      <c r="G7934" s="3" t="s">
        <v>84</v>
      </c>
      <c r="H7934" s="2" t="s">
        <v>21</v>
      </c>
      <c r="I7934" s="2" t="s">
        <v>19779</v>
      </c>
      <c r="J7934" s="3" t="str">
        <f>HYPERLINK("https://www.boe.es/gazeta/dias/1812/06/20/pdfs/GRE-1812-76.pdf#page=8","Abrir facsímil")</f>
        <v>Abrir facsímil</v>
      </c>
      <c r="K7934" s="3" t="s">
        <v>23</v>
      </c>
    </row>
    <row r="7935" spans="1:11" ht="42" customHeight="1">
      <c r="A7935" s="2" t="s">
        <v>19780</v>
      </c>
      <c r="B7935" s="2" t="s">
        <v>19780</v>
      </c>
      <c r="C7935" s="2" t="s">
        <v>17</v>
      </c>
      <c r="D7935" s="2" t="s">
        <v>18</v>
      </c>
      <c r="E7935" s="4">
        <v>-32020</v>
      </c>
      <c r="F7935" s="3" t="s">
        <v>2818</v>
      </c>
      <c r="G7935" s="3" t="s">
        <v>196</v>
      </c>
      <c r="H7935" s="2" t="s">
        <v>21</v>
      </c>
      <c r="I7935" s="2" t="s">
        <v>19781</v>
      </c>
      <c r="J7935" s="3" t="str">
        <f>HYPERLINK("https://www.boe.es/gazeta/dias/1812/04/30/pdfs/GRE-1812-54.pdf#page=1","Abrir facsímil")</f>
        <v>Abrir facsímil</v>
      </c>
      <c r="K7935" s="3" t="s">
        <v>23</v>
      </c>
    </row>
    <row r="7936" spans="1:11" ht="42" customHeight="1">
      <c r="A7936" s="2" t="s">
        <v>19780</v>
      </c>
      <c r="B7936" s="2" t="s">
        <v>19780</v>
      </c>
      <c r="C7936" s="2" t="s">
        <v>26</v>
      </c>
      <c r="D7936" s="2" t="s">
        <v>27</v>
      </c>
      <c r="E7936" s="4">
        <v>-32004</v>
      </c>
      <c r="F7936" s="3" t="s">
        <v>148</v>
      </c>
      <c r="G7936" s="3" t="s">
        <v>9200</v>
      </c>
      <c r="H7936" s="2" t="s">
        <v>21</v>
      </c>
      <c r="I7936" s="2" t="s">
        <v>19782</v>
      </c>
      <c r="J7936" s="3" t="str">
        <f>HYPERLINK("https://www.boe.es/gazeta/dias/1812/05/16/pdfs/GRE-1812-61.pdf#page=2","Abrir facsímil")</f>
        <v>Abrir facsímil</v>
      </c>
      <c r="K7936" s="3" t="s">
        <v>23</v>
      </c>
    </row>
    <row r="7937" spans="1:11" ht="42" customHeight="1">
      <c r="A7937" s="2" t="s">
        <v>19780</v>
      </c>
      <c r="B7937" s="2" t="s">
        <v>19780</v>
      </c>
      <c r="C7937" s="2" t="s">
        <v>26</v>
      </c>
      <c r="D7937" s="2" t="s">
        <v>27</v>
      </c>
      <c r="E7937" s="4">
        <v>-31978</v>
      </c>
      <c r="F7937" s="3" t="s">
        <v>1790</v>
      </c>
      <c r="G7937" s="3" t="s">
        <v>130</v>
      </c>
      <c r="H7937" s="2" t="s">
        <v>21</v>
      </c>
      <c r="I7937" s="2" t="s">
        <v>19783</v>
      </c>
      <c r="J7937" s="3" t="str">
        <f>HYPERLINK("https://www.boe.es/gazeta/dias/1812/06/11/pdfs/GRE-1812-72.pdf#page=4","Abrir facsímil")</f>
        <v>Abrir facsímil</v>
      </c>
      <c r="K7937" s="3" t="s">
        <v>23</v>
      </c>
    </row>
    <row r="7938" spans="1:11" ht="42" customHeight="1">
      <c r="A7938" s="2" t="s">
        <v>19780</v>
      </c>
      <c r="B7938" s="2" t="s">
        <v>19780</v>
      </c>
      <c r="C7938" s="2" t="s">
        <v>17</v>
      </c>
      <c r="D7938" s="2" t="s">
        <v>27</v>
      </c>
      <c r="E7938" s="4">
        <v>-31952</v>
      </c>
      <c r="F7938" s="3" t="s">
        <v>694</v>
      </c>
      <c r="G7938" s="3" t="s">
        <v>2895</v>
      </c>
      <c r="H7938" s="2" t="s">
        <v>21</v>
      </c>
      <c r="I7938" s="2" t="s">
        <v>19784</v>
      </c>
      <c r="J7938" s="3" t="str">
        <f>HYPERLINK("https://www.boe.es/gazeta/dias/1812/07/07/pdfs/GMD-1812-189.pdf#page=4","Abrir facsímil")</f>
        <v>Abrir facsímil</v>
      </c>
      <c r="K7938" s="3" t="s">
        <v>23</v>
      </c>
    </row>
    <row r="7939" spans="1:11" ht="42" customHeight="1">
      <c r="A7939" s="2" t="s">
        <v>19785</v>
      </c>
      <c r="B7939" s="2" t="s">
        <v>19786</v>
      </c>
      <c r="C7939" s="2" t="s">
        <v>115</v>
      </c>
      <c r="D7939" s="2" t="s">
        <v>27</v>
      </c>
      <c r="E7939" s="4">
        <v>-31957</v>
      </c>
      <c r="F7939" s="3" t="s">
        <v>598</v>
      </c>
      <c r="G7939" s="3" t="s">
        <v>599</v>
      </c>
      <c r="H7939" s="2" t="s">
        <v>21</v>
      </c>
      <c r="I7939" s="2" t="s">
        <v>19787</v>
      </c>
      <c r="J7939" s="3" t="str">
        <f>HYPERLINK("https://www.boe.es/gazeta/dias/1812/07/02/pdfs/GMD-1812-184.pdf#page=2","Abrir facsímil")</f>
        <v>Abrir facsímil</v>
      </c>
      <c r="K7939" s="3" t="s">
        <v>23</v>
      </c>
    </row>
    <row r="7940" spans="1:11" ht="42" customHeight="1">
      <c r="A7940" s="2" t="s">
        <v>19788</v>
      </c>
      <c r="B7940" s="2" t="s">
        <v>19789</v>
      </c>
      <c r="C7940" s="2" t="s">
        <v>17</v>
      </c>
      <c r="D7940" s="2" t="s">
        <v>194</v>
      </c>
      <c r="E7940" s="4">
        <v>-31966</v>
      </c>
      <c r="F7940" s="3" t="s">
        <v>387</v>
      </c>
      <c r="G7940" s="3" t="s">
        <v>388</v>
      </c>
      <c r="H7940" s="2" t="s">
        <v>21</v>
      </c>
      <c r="I7940" s="2" t="s">
        <v>19790</v>
      </c>
      <c r="J7940" s="3" t="str">
        <f>HYPERLINK("https://www.boe.es/gazeta/dias/1812/06/23/pdfs/GMD-1812-175.pdf#page=2","Abrir facsímil")</f>
        <v>Abrir facsímil</v>
      </c>
      <c r="K7940" s="3" t="s">
        <v>23</v>
      </c>
    </row>
    <row r="7941" spans="1:11" ht="42" customHeight="1">
      <c r="A7941" s="2" t="s">
        <v>19791</v>
      </c>
      <c r="B7941" s="2" t="s">
        <v>19791</v>
      </c>
      <c r="C7941" s="2" t="s">
        <v>49</v>
      </c>
      <c r="D7941" s="2" t="s">
        <v>27</v>
      </c>
      <c r="E7941" s="4">
        <v>-31959</v>
      </c>
      <c r="F7941" s="3" t="s">
        <v>1035</v>
      </c>
      <c r="G7941" s="3" t="s">
        <v>4268</v>
      </c>
      <c r="H7941" s="2" t="s">
        <v>21</v>
      </c>
      <c r="I7941" s="2" t="s">
        <v>19792</v>
      </c>
      <c r="J7941" s="3" t="str">
        <f>HYPERLINK("https://www.boe.es/gazeta/dias/1812/06/30/pdfs/GRE-1812-80.pdf#page=3","Abrir facsímil")</f>
        <v>Abrir facsímil</v>
      </c>
      <c r="K7941" s="3" t="s">
        <v>23</v>
      </c>
    </row>
    <row r="7942" spans="1:11" ht="42" customHeight="1">
      <c r="A7942" s="2" t="s">
        <v>19793</v>
      </c>
      <c r="B7942" s="2" t="s">
        <v>19793</v>
      </c>
      <c r="C7942" s="2" t="s">
        <v>17</v>
      </c>
      <c r="D7942" s="2" t="s">
        <v>18</v>
      </c>
      <c r="E7942" s="4">
        <v>-31908</v>
      </c>
      <c r="F7942" s="3" t="s">
        <v>835</v>
      </c>
      <c r="G7942" s="3" t="s">
        <v>5298</v>
      </c>
      <c r="H7942" s="2" t="s">
        <v>21</v>
      </c>
      <c r="I7942" s="2" t="s">
        <v>19794</v>
      </c>
      <c r="J7942" s="3" t="str">
        <f>HYPERLINK("https://www.boe.es/gazeta/dias/1812/08/20/pdfs/GRE-1812-107.pdf#page=5","Abrir facsímil")</f>
        <v>Abrir facsímil</v>
      </c>
      <c r="K7942" s="3" t="s">
        <v>23</v>
      </c>
    </row>
    <row r="7943" spans="1:11" ht="42" customHeight="1">
      <c r="A7943" s="2" t="s">
        <v>19795</v>
      </c>
      <c r="B7943" s="2" t="s">
        <v>19795</v>
      </c>
      <c r="C7943" s="2" t="s">
        <v>17</v>
      </c>
      <c r="D7943" s="2" t="s">
        <v>18</v>
      </c>
      <c r="E7943" s="4">
        <v>-31776</v>
      </c>
      <c r="F7943" s="3" t="s">
        <v>3296</v>
      </c>
      <c r="G7943" s="3" t="s">
        <v>3297</v>
      </c>
      <c r="H7943" s="2" t="s">
        <v>21</v>
      </c>
      <c r="I7943" s="2" t="s">
        <v>19796</v>
      </c>
      <c r="J7943" s="3" t="str">
        <f>HYPERLINK("https://www.boe.es/gazeta/dias/1812/12/30/pdfs/GMD-1812-253.pdf#page=3","Abrir facsímil")</f>
        <v>Abrir facsímil</v>
      </c>
      <c r="K7943" s="3" t="s">
        <v>23</v>
      </c>
    </row>
    <row r="7944" spans="1:11" ht="42" customHeight="1">
      <c r="A7944" s="2" t="s">
        <v>19797</v>
      </c>
      <c r="B7944" s="2" t="s">
        <v>19797</v>
      </c>
      <c r="C7944" s="2" t="s">
        <v>26</v>
      </c>
      <c r="D7944" s="2" t="s">
        <v>27</v>
      </c>
      <c r="E7944" s="4">
        <v>-32128</v>
      </c>
      <c r="F7944" s="3" t="s">
        <v>1927</v>
      </c>
      <c r="G7944" s="3" t="s">
        <v>20</v>
      </c>
      <c r="H7944" s="2" t="s">
        <v>21</v>
      </c>
      <c r="I7944" s="2" t="s">
        <v>19798</v>
      </c>
      <c r="J7944" s="3" t="str">
        <f>HYPERLINK("https://www.boe.es/gazeta/dias/1812/01/13/pdfs/GMD-1812-13.pdf#page=1","Abrir facsímil")</f>
        <v>Abrir facsímil</v>
      </c>
      <c r="K7944" s="3" t="s">
        <v>23</v>
      </c>
    </row>
    <row r="7945" spans="1:11" ht="42" customHeight="1">
      <c r="A7945" s="2" t="s">
        <v>19799</v>
      </c>
      <c r="B7945" s="2" t="s">
        <v>19800</v>
      </c>
      <c r="C7945" s="2" t="s">
        <v>17</v>
      </c>
      <c r="D7945" s="2" t="s">
        <v>18</v>
      </c>
      <c r="E7945" s="4">
        <v>-32030</v>
      </c>
      <c r="F7945" s="3" t="s">
        <v>2226</v>
      </c>
      <c r="G7945" s="3" t="s">
        <v>20</v>
      </c>
      <c r="H7945" s="2" t="s">
        <v>21</v>
      </c>
      <c r="I7945" s="2" t="s">
        <v>19801</v>
      </c>
      <c r="J7945" s="3" t="str">
        <f>HYPERLINK("https://www.boe.es/gazeta/dias/1812/04/20/pdfs/GMD-1812-111.pdf#page=4","Abrir facsímil")</f>
        <v>Abrir facsímil</v>
      </c>
      <c r="K7945" s="3" t="s">
        <v>23</v>
      </c>
    </row>
    <row r="7946" spans="1:11" ht="42" customHeight="1">
      <c r="A7946" s="2" t="s">
        <v>19802</v>
      </c>
      <c r="B7946" s="2" t="s">
        <v>19802</v>
      </c>
      <c r="C7946" s="2" t="s">
        <v>17</v>
      </c>
      <c r="D7946" s="2" t="s">
        <v>27</v>
      </c>
      <c r="E7946" s="4">
        <v>-32137</v>
      </c>
      <c r="F7946" s="3" t="s">
        <v>355</v>
      </c>
      <c r="G7946" s="3" t="s">
        <v>172</v>
      </c>
      <c r="H7946" s="2" t="s">
        <v>21</v>
      </c>
      <c r="I7946" s="2" t="s">
        <v>19803</v>
      </c>
      <c r="J7946" s="3" t="str">
        <f>HYPERLINK("https://www.boe.es/gazeta/dias/1812/01/04/pdfs/GEI-1812-2.pdf#page=6","Abrir facsímil")</f>
        <v>Abrir facsímil</v>
      </c>
      <c r="K7946" s="3" t="s">
        <v>23</v>
      </c>
    </row>
    <row r="7947" spans="1:11" ht="42" customHeight="1">
      <c r="A7947" s="2" t="s">
        <v>19804</v>
      </c>
      <c r="B7947" s="2" t="s">
        <v>19805</v>
      </c>
      <c r="C7947" s="2" t="s">
        <v>26</v>
      </c>
      <c r="D7947" s="2" t="s">
        <v>27</v>
      </c>
      <c r="E7947" s="4">
        <v>-32034</v>
      </c>
      <c r="F7947" s="3" t="s">
        <v>28</v>
      </c>
      <c r="G7947" s="3" t="s">
        <v>20</v>
      </c>
      <c r="H7947" s="2" t="s">
        <v>21</v>
      </c>
      <c r="I7947" s="2" t="s">
        <v>19806</v>
      </c>
      <c r="J7947" s="3" t="str">
        <f>HYPERLINK("https://www.boe.es/gazeta/dias/1812/04/16/pdfs/GMD-1812-107.pdf#page=3","Abrir facsímil")</f>
        <v>Abrir facsímil</v>
      </c>
      <c r="K7947" s="3" t="s">
        <v>23</v>
      </c>
    </row>
    <row r="7948" spans="1:11" ht="42" customHeight="1">
      <c r="A7948" s="2" t="s">
        <v>19807</v>
      </c>
      <c r="B7948" s="2" t="s">
        <v>19808</v>
      </c>
      <c r="C7948" s="2" t="s">
        <v>82</v>
      </c>
      <c r="D7948" s="2" t="s">
        <v>27</v>
      </c>
      <c r="E7948" s="4">
        <v>-31962</v>
      </c>
      <c r="F7948" s="3" t="s">
        <v>643</v>
      </c>
      <c r="G7948" s="3" t="s">
        <v>644</v>
      </c>
      <c r="H7948" s="2" t="s">
        <v>21</v>
      </c>
      <c r="I7948" s="2" t="s">
        <v>19809</v>
      </c>
      <c r="J7948" s="3" t="str">
        <f>HYPERLINK("https://www.boe.es/gazeta/dias/1812/06/27/pdfs/GMD-1812-179.pdf#page=2","Abrir facsímil")</f>
        <v>Abrir facsímil</v>
      </c>
      <c r="K7948" s="3" t="s">
        <v>23</v>
      </c>
    </row>
    <row r="7949" spans="1:11" ht="42" customHeight="1">
      <c r="A7949" s="2" t="s">
        <v>19810</v>
      </c>
      <c r="B7949" s="2" t="s">
        <v>19811</v>
      </c>
      <c r="C7949" s="2" t="s">
        <v>17</v>
      </c>
      <c r="D7949" s="2" t="s">
        <v>134</v>
      </c>
      <c r="E7949" s="4">
        <v>-31955</v>
      </c>
      <c r="F7949" s="3" t="s">
        <v>135</v>
      </c>
      <c r="G7949" s="3" t="s">
        <v>514</v>
      </c>
      <c r="H7949" s="2" t="s">
        <v>21</v>
      </c>
      <c r="I7949" s="2" t="s">
        <v>19812</v>
      </c>
      <c r="J7949" s="3" t="str">
        <f>HYPERLINK("https://www.boe.es/gazeta/dias/1812/07/04/pdfs/GRE-F-1812-82.pdf#page=7","Abrir facsímil")</f>
        <v>Abrir facsímil</v>
      </c>
      <c r="K7949" s="3" t="s">
        <v>23</v>
      </c>
    </row>
    <row r="7950" spans="1:11" ht="42" customHeight="1">
      <c r="A7950" s="2" t="s">
        <v>19813</v>
      </c>
      <c r="B7950" s="2" t="s">
        <v>19814</v>
      </c>
      <c r="C7950" s="2" t="s">
        <v>17</v>
      </c>
      <c r="D7950" s="2" t="s">
        <v>18</v>
      </c>
      <c r="E7950" s="4">
        <v>-31962</v>
      </c>
      <c r="F7950" s="3" t="s">
        <v>153</v>
      </c>
      <c r="G7950" s="3" t="s">
        <v>3010</v>
      </c>
      <c r="H7950" s="2" t="s">
        <v>21</v>
      </c>
      <c r="I7950" s="2" t="s">
        <v>19815</v>
      </c>
      <c r="J7950" s="3" t="str">
        <f>HYPERLINK("https://www.boe.es/gazeta/dias/1812/06/27/pdfs/GRE-1812-79.pdf#page=4","Abrir facsímil")</f>
        <v>Abrir facsímil</v>
      </c>
      <c r="K7950" s="3" t="s">
        <v>23</v>
      </c>
    </row>
    <row r="7951" spans="1:11" ht="42" customHeight="1">
      <c r="A7951" s="2" t="s">
        <v>19816</v>
      </c>
      <c r="B7951" s="2" t="s">
        <v>19817</v>
      </c>
      <c r="C7951" s="2" t="s">
        <v>26</v>
      </c>
      <c r="D7951" s="2" t="s">
        <v>27</v>
      </c>
      <c r="E7951" s="4">
        <v>-32114</v>
      </c>
      <c r="F7951" s="3" t="s">
        <v>480</v>
      </c>
      <c r="G7951" s="3" t="s">
        <v>481</v>
      </c>
      <c r="H7951" s="2" t="s">
        <v>21</v>
      </c>
      <c r="I7951" s="2" t="s">
        <v>19818</v>
      </c>
      <c r="J7951" s="3" t="str">
        <f>HYPERLINK("https://www.boe.es/gazeta/dias/1812/01/27/pdfs/GMD-1812-27.pdf#page=4","Abrir facsímil")</f>
        <v>Abrir facsímil</v>
      </c>
      <c r="K7951" s="3" t="s">
        <v>23</v>
      </c>
    </row>
    <row r="7952" spans="1:11" ht="42" customHeight="1">
      <c r="A7952" s="2" t="s">
        <v>19819</v>
      </c>
      <c r="B7952" s="2" t="s">
        <v>19819</v>
      </c>
      <c r="C7952" s="2" t="s">
        <v>17</v>
      </c>
      <c r="D7952" s="2" t="s">
        <v>27</v>
      </c>
      <c r="E7952" s="4">
        <v>-32027</v>
      </c>
      <c r="F7952" s="3" t="s">
        <v>803</v>
      </c>
      <c r="G7952" s="3" t="s">
        <v>106</v>
      </c>
      <c r="H7952" s="2" t="s">
        <v>21</v>
      </c>
      <c r="I7952" s="2" t="s">
        <v>19820</v>
      </c>
      <c r="J7952" s="3" t="str">
        <f>HYPERLINK("https://www.boe.es/gazeta/dias/1812/04/23/pdfs/GRE-1812-51.pdf#page=3","Abrir facsímil")</f>
        <v>Abrir facsímil</v>
      </c>
      <c r="K7952" s="3" t="s">
        <v>23</v>
      </c>
    </row>
    <row r="7953" spans="1:11" ht="42" customHeight="1">
      <c r="A7953" s="2" t="s">
        <v>19821</v>
      </c>
      <c r="B7953" s="2" t="s">
        <v>19822</v>
      </c>
      <c r="C7953" s="2" t="s">
        <v>67</v>
      </c>
      <c r="D7953" s="2" t="s">
        <v>27</v>
      </c>
      <c r="E7953" s="4">
        <v>-31940</v>
      </c>
      <c r="F7953" s="3" t="s">
        <v>187</v>
      </c>
      <c r="G7953" s="3" t="s">
        <v>45</v>
      </c>
      <c r="H7953" s="2" t="s">
        <v>21</v>
      </c>
      <c r="I7953" s="2" t="s">
        <v>19823</v>
      </c>
      <c r="J7953" s="3" t="str">
        <f>HYPERLINK("https://www.boe.es/gazeta/dias/1812/07/19/pdfs/GMD-1812-201.pdf#page=2","Abrir facsímil")</f>
        <v>Abrir facsímil</v>
      </c>
      <c r="K7953" s="3" t="s">
        <v>23</v>
      </c>
    </row>
    <row r="7954" spans="1:11" ht="42" customHeight="1">
      <c r="A7954" s="2" t="s">
        <v>19824</v>
      </c>
      <c r="B7954" s="2" t="s">
        <v>19824</v>
      </c>
      <c r="C7954" s="2" t="s">
        <v>26</v>
      </c>
      <c r="D7954" s="2" t="s">
        <v>27</v>
      </c>
      <c r="E7954" s="4">
        <v>-32129</v>
      </c>
      <c r="F7954" s="3" t="s">
        <v>3162</v>
      </c>
      <c r="G7954" s="3" t="s">
        <v>1842</v>
      </c>
      <c r="H7954" s="2" t="s">
        <v>21</v>
      </c>
      <c r="I7954" s="2" t="s">
        <v>19825</v>
      </c>
      <c r="J7954" s="3" t="str">
        <f>HYPERLINK("https://www.boe.es/gazeta/dias/1812/01/12/pdfs/GMD-1812-12.pdf#page=3","Abrir facsímil")</f>
        <v>Abrir facsímil</v>
      </c>
      <c r="K7954" s="3" t="s">
        <v>23</v>
      </c>
    </row>
    <row r="7955" spans="1:11" ht="42" customHeight="1">
      <c r="A7955" s="2" t="s">
        <v>19824</v>
      </c>
      <c r="B7955" s="2" t="s">
        <v>19824</v>
      </c>
      <c r="C7955" s="2" t="s">
        <v>17</v>
      </c>
      <c r="D7955" s="2" t="s">
        <v>27</v>
      </c>
      <c r="E7955" s="4">
        <v>-31809</v>
      </c>
      <c r="F7955" s="3" t="s">
        <v>116</v>
      </c>
      <c r="G7955" s="3" t="s">
        <v>16975</v>
      </c>
      <c r="H7955" s="2" t="s">
        <v>21</v>
      </c>
      <c r="I7955" s="2" t="s">
        <v>19826</v>
      </c>
      <c r="J7955" s="3" t="str">
        <f>HYPERLINK("https://www.boe.es/gazeta/dias/1812/11/27/pdfs/GMR-1812-38.pdf#page=1","Abrir facsímil")</f>
        <v>Abrir facsímil</v>
      </c>
      <c r="K7955" s="3" t="s">
        <v>23</v>
      </c>
    </row>
    <row r="7956" spans="1:11" ht="42" customHeight="1">
      <c r="A7956" s="2" t="s">
        <v>19827</v>
      </c>
      <c r="B7956" s="2" t="s">
        <v>19828</v>
      </c>
      <c r="C7956" s="2" t="s">
        <v>26</v>
      </c>
      <c r="D7956" s="2" t="s">
        <v>27</v>
      </c>
      <c r="E7956" s="4">
        <v>-32100</v>
      </c>
      <c r="F7956" s="3" t="s">
        <v>492</v>
      </c>
      <c r="G7956" s="3" t="s">
        <v>493</v>
      </c>
      <c r="H7956" s="2" t="s">
        <v>21</v>
      </c>
      <c r="I7956" s="2" t="s">
        <v>19829</v>
      </c>
      <c r="J7956" s="3" t="str">
        <f>HYPERLINK("https://www.boe.es/gazeta/dias/1812/02/10/pdfs/GRE-1812-31.pdf#page=8","Abrir facsímil")</f>
        <v>Abrir facsímil</v>
      </c>
      <c r="K7956" s="3" t="s">
        <v>23</v>
      </c>
    </row>
    <row r="7957" spans="1:11" ht="42" customHeight="1">
      <c r="A7957" s="2" t="s">
        <v>19827</v>
      </c>
      <c r="B7957" s="2" t="s">
        <v>19828</v>
      </c>
      <c r="C7957" s="2" t="s">
        <v>26</v>
      </c>
      <c r="D7957" s="2" t="s">
        <v>27</v>
      </c>
      <c r="E7957" s="4">
        <v>-32071</v>
      </c>
      <c r="F7957" s="3" t="s">
        <v>492</v>
      </c>
      <c r="G7957" s="3" t="s">
        <v>493</v>
      </c>
      <c r="H7957" s="2" t="s">
        <v>21</v>
      </c>
      <c r="I7957" s="2" t="s">
        <v>19829</v>
      </c>
      <c r="J7957" s="3" t="str">
        <f>HYPERLINK("https://www.boe.es/gazeta/dias/1812/03/10/pdfs/GRE-1812-31.pdf#page=8","Abrir facsímil")</f>
        <v>Abrir facsímil</v>
      </c>
      <c r="K7957" s="3" t="s">
        <v>23</v>
      </c>
    </row>
    <row r="7958" spans="1:11" ht="42" customHeight="1">
      <c r="A7958" s="2" t="s">
        <v>19830</v>
      </c>
      <c r="B7958" s="2" t="s">
        <v>19831</v>
      </c>
      <c r="C7958" s="2" t="s">
        <v>26</v>
      </c>
      <c r="D7958" s="2" t="s">
        <v>27</v>
      </c>
      <c r="E7958" s="4">
        <v>-32137</v>
      </c>
      <c r="F7958" s="3" t="s">
        <v>355</v>
      </c>
      <c r="G7958" s="3" t="s">
        <v>117</v>
      </c>
      <c r="H7958" s="2" t="s">
        <v>21</v>
      </c>
      <c r="I7958" s="2" t="s">
        <v>19832</v>
      </c>
      <c r="J7958" s="3" t="str">
        <f>HYPERLINK("https://www.boe.es/gazeta/dias/1812/01/04/pdfs/GEI-1812-2.pdf#page=8","Abrir facsímil")</f>
        <v>Abrir facsímil</v>
      </c>
      <c r="K7958" s="3" t="s">
        <v>23</v>
      </c>
    </row>
    <row r="7959" spans="1:11" ht="42" customHeight="1">
      <c r="A7959" s="2" t="s">
        <v>19833</v>
      </c>
      <c r="B7959" s="2" t="s">
        <v>19833</v>
      </c>
      <c r="C7959" s="2" t="s">
        <v>17</v>
      </c>
      <c r="D7959" s="2" t="s">
        <v>27</v>
      </c>
      <c r="E7959" s="4">
        <v>-31803</v>
      </c>
      <c r="F7959" s="3" t="s">
        <v>221</v>
      </c>
      <c r="G7959" s="3" t="s">
        <v>36</v>
      </c>
      <c r="H7959" s="2" t="s">
        <v>21</v>
      </c>
      <c r="I7959" s="2" t="s">
        <v>19834</v>
      </c>
      <c r="J7959" s="3" t="str">
        <f>HYPERLINK("https://www.boe.es/gazeta/dias/1812/12/03/pdfs/GRE-1812-160.pdf#page=3","Abrir facsímil")</f>
        <v>Abrir facsímil</v>
      </c>
      <c r="K7959" s="3" t="s">
        <v>23</v>
      </c>
    </row>
    <row r="7960" spans="1:11" ht="42" customHeight="1">
      <c r="A7960" s="2" t="s">
        <v>19835</v>
      </c>
      <c r="B7960" s="2" t="s">
        <v>19835</v>
      </c>
      <c r="C7960" s="2" t="s">
        <v>17</v>
      </c>
      <c r="D7960" s="2" t="s">
        <v>194</v>
      </c>
      <c r="E7960" s="4">
        <v>-31791</v>
      </c>
      <c r="F7960" s="3" t="s">
        <v>905</v>
      </c>
      <c r="G7960" s="3" t="s">
        <v>514</v>
      </c>
      <c r="H7960" s="2" t="s">
        <v>21</v>
      </c>
      <c r="I7960" s="2" t="s">
        <v>19836</v>
      </c>
      <c r="J7960" s="3" t="str">
        <f>HYPERLINK("https://www.boe.es/gazeta/dias/1812/12/15/pdfs/GRE-1812-165.pdf#page=2","Abrir facsímil")</f>
        <v>Abrir facsímil</v>
      </c>
      <c r="K7960" s="3" t="s">
        <v>23</v>
      </c>
    </row>
    <row r="7961" spans="1:11" ht="42" customHeight="1">
      <c r="A7961" s="2" t="s">
        <v>19837</v>
      </c>
      <c r="B7961" s="2" t="s">
        <v>19837</v>
      </c>
      <c r="C7961" s="2" t="s">
        <v>17</v>
      </c>
      <c r="D7961" s="2" t="s">
        <v>18</v>
      </c>
      <c r="E7961" s="4">
        <v>-31777</v>
      </c>
      <c r="F7961" s="3" t="s">
        <v>1118</v>
      </c>
      <c r="G7961" s="3" t="s">
        <v>11008</v>
      </c>
      <c r="H7961" s="2" t="s">
        <v>21</v>
      </c>
      <c r="I7961" s="2" t="s">
        <v>19838</v>
      </c>
      <c r="J7961" s="3" t="str">
        <f>HYPERLINK("https://www.boe.es/gazeta/dias/1812/12/29/pdfs/GRE-1812-171.pdf#page=2","Abrir facsímil")</f>
        <v>Abrir facsímil</v>
      </c>
      <c r="K7961" s="3" t="s">
        <v>23</v>
      </c>
    </row>
    <row r="7962" spans="1:11" ht="42" customHeight="1">
      <c r="A7962" s="2" t="s">
        <v>19839</v>
      </c>
      <c r="B7962" s="2" t="s">
        <v>19839</v>
      </c>
      <c r="C7962" s="2" t="s">
        <v>17</v>
      </c>
      <c r="D7962" s="2" t="s">
        <v>18</v>
      </c>
      <c r="E7962" s="4">
        <v>-31780</v>
      </c>
      <c r="F7962" s="3" t="s">
        <v>3317</v>
      </c>
      <c r="G7962" s="3" t="s">
        <v>11490</v>
      </c>
      <c r="H7962" s="2" t="s">
        <v>21</v>
      </c>
      <c r="I7962" s="2" t="s">
        <v>19840</v>
      </c>
      <c r="J7962" s="3" t="str">
        <f>HYPERLINK("https://www.boe.es/gazeta/dias/1812/12/26/pdfs/GRE-1812-170.pdf#page=2","Abrir facsímil")</f>
        <v>Abrir facsímil</v>
      </c>
      <c r="K7962" s="3" t="s">
        <v>23</v>
      </c>
    </row>
    <row r="7963" spans="1:11" ht="42" customHeight="1">
      <c r="A7963" s="2" t="s">
        <v>19841</v>
      </c>
      <c r="B7963" s="2" t="s">
        <v>19842</v>
      </c>
      <c r="C7963" s="2" t="s">
        <v>26</v>
      </c>
      <c r="D7963" s="2" t="s">
        <v>27</v>
      </c>
      <c r="E7963" s="4">
        <v>-32086</v>
      </c>
      <c r="F7963" s="3" t="s">
        <v>2067</v>
      </c>
      <c r="G7963" s="3" t="s">
        <v>196</v>
      </c>
      <c r="H7963" s="2" t="s">
        <v>21</v>
      </c>
      <c r="I7963" s="2" t="s">
        <v>19843</v>
      </c>
      <c r="J7963" s="3" t="str">
        <f>HYPERLINK("https://www.boe.es/gazeta/dias/1812/02/24/pdfs/GMD-1812-55.pdf#page=1","Abrir facsímil")</f>
        <v>Abrir facsímil</v>
      </c>
      <c r="K7963" s="3" t="s">
        <v>23</v>
      </c>
    </row>
    <row r="7964" spans="1:11" ht="42" customHeight="1">
      <c r="A7964" s="2" t="s">
        <v>19844</v>
      </c>
      <c r="B7964" s="2" t="s">
        <v>19844</v>
      </c>
      <c r="C7964" s="2" t="s">
        <v>115</v>
      </c>
      <c r="D7964" s="2" t="s">
        <v>27</v>
      </c>
      <c r="E7964" s="4">
        <v>-31922</v>
      </c>
      <c r="F7964" s="3" t="s">
        <v>622</v>
      </c>
      <c r="G7964" s="3" t="s">
        <v>623</v>
      </c>
      <c r="H7964" s="2" t="s">
        <v>21</v>
      </c>
      <c r="I7964" s="2" t="s">
        <v>19845</v>
      </c>
      <c r="J7964" s="3" t="str">
        <f>HYPERLINK("https://www.boe.es/gazeta/dias/1812/08/06/pdfs/GMD-1812-219.pdf#page=1","Abrir facsímil")</f>
        <v>Abrir facsímil</v>
      </c>
      <c r="K7964" s="3" t="s">
        <v>23</v>
      </c>
    </row>
    <row r="7965" spans="1:11" ht="42" customHeight="1">
      <c r="A7965" s="2" t="s">
        <v>19846</v>
      </c>
      <c r="B7965" s="2" t="s">
        <v>19847</v>
      </c>
      <c r="C7965" s="2" t="s">
        <v>26</v>
      </c>
      <c r="D7965" s="2" t="s">
        <v>27</v>
      </c>
      <c r="E7965" s="4">
        <v>-32067</v>
      </c>
      <c r="F7965" s="3" t="s">
        <v>199</v>
      </c>
      <c r="G7965" s="3" t="s">
        <v>237</v>
      </c>
      <c r="H7965" s="2" t="s">
        <v>21</v>
      </c>
      <c r="I7965" s="2" t="s">
        <v>19848</v>
      </c>
      <c r="J7965" s="3" t="str">
        <f>HYPERLINK("https://www.boe.es/gazeta/dias/1812/03/14/pdfs/GRE-1812-33.pdf#page=8","Abrir facsímil")</f>
        <v>Abrir facsímil</v>
      </c>
      <c r="K7965" s="3" t="s">
        <v>23</v>
      </c>
    </row>
    <row r="7966" spans="1:11" ht="42" customHeight="1">
      <c r="A7966" s="2" t="s">
        <v>19849</v>
      </c>
      <c r="B7966" s="2" t="s">
        <v>19850</v>
      </c>
      <c r="C7966" s="2" t="s">
        <v>26</v>
      </c>
      <c r="D7966" s="2" t="s">
        <v>194</v>
      </c>
      <c r="E7966" s="4">
        <v>-32116</v>
      </c>
      <c r="F7966" s="3" t="s">
        <v>993</v>
      </c>
      <c r="G7966" s="3" t="s">
        <v>2708</v>
      </c>
      <c r="H7966" s="2" t="s">
        <v>21</v>
      </c>
      <c r="I7966" s="2" t="s">
        <v>19851</v>
      </c>
      <c r="J7966" s="3" t="str">
        <f>HYPERLINK("https://www.boe.es/gazeta/dias/1812/01/25/pdfs/GEI-1812-11.pdf#page=7","Abrir facsímil")</f>
        <v>Abrir facsímil</v>
      </c>
      <c r="K7966" s="3" t="s">
        <v>23</v>
      </c>
    </row>
    <row r="7967" spans="1:11" ht="42" customHeight="1">
      <c r="A7967" s="2" t="s">
        <v>19852</v>
      </c>
      <c r="B7967" s="2" t="s">
        <v>19852</v>
      </c>
      <c r="C7967" s="2" t="s">
        <v>17</v>
      </c>
      <c r="D7967" s="2" t="s">
        <v>27</v>
      </c>
      <c r="E7967" s="4">
        <v>-32026</v>
      </c>
      <c r="F7967" s="3" t="s">
        <v>7845</v>
      </c>
      <c r="G7967" s="3" t="s">
        <v>20</v>
      </c>
      <c r="H7967" s="2" t="s">
        <v>21</v>
      </c>
      <c r="I7967" s="2" t="s">
        <v>19853</v>
      </c>
      <c r="J7967" s="3" t="str">
        <f>HYPERLINK("https://www.boe.es/gazeta/dias/1812/04/24/pdfs/GMD-1812-115.pdf#page=4","Abrir facsímil")</f>
        <v>Abrir facsímil</v>
      </c>
      <c r="K7967" s="3" t="s">
        <v>23</v>
      </c>
    </row>
    <row r="7968" spans="1:11" ht="42" customHeight="1">
      <c r="A7968" s="2" t="s">
        <v>19854</v>
      </c>
      <c r="B7968" s="2" t="s">
        <v>19854</v>
      </c>
      <c r="C7968" s="2" t="s">
        <v>17</v>
      </c>
      <c r="D7968" s="2" t="s">
        <v>18</v>
      </c>
      <c r="E7968" s="4">
        <v>-31894</v>
      </c>
      <c r="F7968" s="3" t="s">
        <v>793</v>
      </c>
      <c r="G7968" s="3" t="s">
        <v>1820</v>
      </c>
      <c r="H7968" s="2" t="s">
        <v>21</v>
      </c>
      <c r="I7968" s="2" t="s">
        <v>19855</v>
      </c>
      <c r="J7968" s="3" t="str">
        <f>HYPERLINK("https://www.boe.es/gazeta/dias/1812/09/03/pdfs/GRE-1812-119.pdf#page=2","Abrir facsímil")</f>
        <v>Abrir facsímil</v>
      </c>
      <c r="K7968" s="3" t="s">
        <v>23</v>
      </c>
    </row>
    <row r="7969" spans="1:11" ht="42" customHeight="1">
      <c r="A7969" s="2" t="s">
        <v>19856</v>
      </c>
      <c r="B7969" s="2" t="s">
        <v>19856</v>
      </c>
      <c r="C7969" s="2" t="s">
        <v>17</v>
      </c>
      <c r="D7969" s="2" t="s">
        <v>27</v>
      </c>
      <c r="E7969" s="4">
        <v>-31899</v>
      </c>
      <c r="F7969" s="3" t="s">
        <v>1396</v>
      </c>
      <c r="G7969" s="3" t="s">
        <v>1805</v>
      </c>
      <c r="H7969" s="2" t="s">
        <v>21</v>
      </c>
      <c r="I7969" s="2" t="s">
        <v>19857</v>
      </c>
      <c r="J7969" s="3" t="str">
        <f>HYPERLINK("https://www.boe.es/gazeta/dias/1812/08/29/pdfs/GMR-1812-7.pdf#page=1","Abrir facsímil")</f>
        <v>Abrir facsímil</v>
      </c>
      <c r="K7969" s="3" t="s">
        <v>23</v>
      </c>
    </row>
    <row r="7970" spans="1:11" ht="42" customHeight="1">
      <c r="A7970" s="2" t="s">
        <v>19858</v>
      </c>
      <c r="B7970" s="2" t="s">
        <v>19858</v>
      </c>
      <c r="C7970" s="2" t="s">
        <v>17</v>
      </c>
      <c r="D7970" s="2" t="s">
        <v>27</v>
      </c>
      <c r="E7970" s="4">
        <v>-31829</v>
      </c>
      <c r="F7970" s="3" t="s">
        <v>328</v>
      </c>
      <c r="G7970" s="3" t="s">
        <v>217</v>
      </c>
      <c r="H7970" s="2" t="s">
        <v>21</v>
      </c>
      <c r="I7970" s="2" t="s">
        <v>19859</v>
      </c>
      <c r="J7970" s="3" t="str">
        <f>HYPERLINK("https://www.boe.es/gazeta/dias/1812/11/07/pdfs/GMD-1812-227.pdf#page=2","Abrir facsímil")</f>
        <v>Abrir facsímil</v>
      </c>
      <c r="K7970" s="3" t="s">
        <v>23</v>
      </c>
    </row>
    <row r="7971" spans="1:11" ht="42" customHeight="1">
      <c r="A7971" s="2" t="s">
        <v>19860</v>
      </c>
      <c r="B7971" s="2" t="s">
        <v>19860</v>
      </c>
      <c r="C7971" s="2" t="s">
        <v>17</v>
      </c>
      <c r="D7971" s="2" t="s">
        <v>27</v>
      </c>
      <c r="E7971" s="4">
        <v>-31896</v>
      </c>
      <c r="F7971" s="3" t="s">
        <v>1808</v>
      </c>
      <c r="G7971" s="3" t="s">
        <v>58</v>
      </c>
      <c r="H7971" s="2" t="s">
        <v>21</v>
      </c>
      <c r="I7971" s="2" t="s">
        <v>19861</v>
      </c>
      <c r="J7971" s="3" t="str">
        <f>HYPERLINK("https://www.boe.es/gazeta/dias/1812/09/01/pdfs/GMR-1812-8.pdf#page=3","Abrir facsímil")</f>
        <v>Abrir facsímil</v>
      </c>
      <c r="K7971" s="3" t="s">
        <v>23</v>
      </c>
    </row>
    <row r="7972" spans="1:11" ht="42" customHeight="1">
      <c r="A7972" s="2" t="s">
        <v>19860</v>
      </c>
      <c r="B7972" s="2" t="s">
        <v>19860</v>
      </c>
      <c r="C7972" s="2" t="s">
        <v>17</v>
      </c>
      <c r="D7972" s="2" t="s">
        <v>27</v>
      </c>
      <c r="E7972" s="4">
        <v>-31791</v>
      </c>
      <c r="F7972" s="3" t="s">
        <v>1668</v>
      </c>
      <c r="G7972" s="3" t="s">
        <v>1669</v>
      </c>
      <c r="H7972" s="2" t="s">
        <v>21</v>
      </c>
      <c r="I7972" s="2" t="s">
        <v>19862</v>
      </c>
      <c r="J7972" s="3" t="str">
        <f>HYPERLINK("https://www.boe.es/gazeta/dias/1812/12/15/pdfs/GMD-1812-238.pdf#page=3","Abrir facsímil")</f>
        <v>Abrir facsímil</v>
      </c>
      <c r="K7972" s="3" t="s">
        <v>23</v>
      </c>
    </row>
    <row r="7973" spans="1:11" ht="42" customHeight="1">
      <c r="A7973" s="2" t="s">
        <v>19863</v>
      </c>
      <c r="B7973" s="2" t="s">
        <v>19863</v>
      </c>
      <c r="C7973" s="2" t="s">
        <v>17</v>
      </c>
      <c r="D7973" s="2" t="s">
        <v>18</v>
      </c>
      <c r="E7973" s="4">
        <v>-31787</v>
      </c>
      <c r="F7973" s="3" t="s">
        <v>1560</v>
      </c>
      <c r="G7973" s="3" t="s">
        <v>19497</v>
      </c>
      <c r="H7973" s="2" t="s">
        <v>21</v>
      </c>
      <c r="I7973" s="2" t="s">
        <v>19864</v>
      </c>
      <c r="J7973" s="3" t="str">
        <f>HYPERLINK("https://www.boe.es/gazeta/dias/1812/12/19/pdfs/GRE-1812-167.pdf#page=5","Abrir facsímil")</f>
        <v>Abrir facsímil</v>
      </c>
      <c r="K7973" s="3" t="s">
        <v>23</v>
      </c>
    </row>
    <row r="7974" spans="1:11" ht="42" customHeight="1">
      <c r="A7974" s="2" t="s">
        <v>19865</v>
      </c>
      <c r="B7974" s="2" t="s">
        <v>19866</v>
      </c>
      <c r="C7974" s="2" t="s">
        <v>26</v>
      </c>
      <c r="D7974" s="2" t="s">
        <v>27</v>
      </c>
      <c r="E7974" s="4">
        <v>-31964</v>
      </c>
      <c r="F7974" s="3" t="s">
        <v>93</v>
      </c>
      <c r="G7974" s="3" t="s">
        <v>4894</v>
      </c>
      <c r="H7974" s="2" t="s">
        <v>30</v>
      </c>
      <c r="I7974" s="2" t="s">
        <v>19867</v>
      </c>
      <c r="J7974" s="3" t="str">
        <f>HYPERLINK("https://www.boe.es/gazeta/dias/1812/06/25/pdfs/GRE-1812-78.pdf#page=6","Abrir facsímil")</f>
        <v>Abrir facsímil</v>
      </c>
      <c r="K7974" s="3" t="s">
        <v>32</v>
      </c>
    </row>
    <row r="7975" spans="1:11" ht="42" customHeight="1">
      <c r="A7975" s="2" t="s">
        <v>19868</v>
      </c>
      <c r="B7975" s="2" t="s">
        <v>19869</v>
      </c>
      <c r="C7975" s="2" t="s">
        <v>26</v>
      </c>
      <c r="D7975" s="2" t="s">
        <v>27</v>
      </c>
      <c r="E7975" s="4">
        <v>-31976</v>
      </c>
      <c r="F7975" s="3" t="s">
        <v>54</v>
      </c>
      <c r="G7975" s="3" t="s">
        <v>55</v>
      </c>
      <c r="H7975" s="2" t="s">
        <v>30</v>
      </c>
      <c r="I7975" s="2" t="s">
        <v>19870</v>
      </c>
      <c r="J7975" s="3" t="str">
        <f>HYPERLINK("https://www.boe.es/gazeta/dias/1812/06/13/pdfs/GRE-1812-73.pdf#page=6","Abrir facsímil")</f>
        <v>Abrir facsímil</v>
      </c>
      <c r="K7975" s="3" t="s">
        <v>32</v>
      </c>
    </row>
    <row r="7976" spans="1:11" ht="42" customHeight="1">
      <c r="A7976" s="2" t="s">
        <v>19871</v>
      </c>
      <c r="B7976" s="2" t="s">
        <v>19871</v>
      </c>
      <c r="C7976" s="2" t="s">
        <v>17</v>
      </c>
      <c r="D7976" s="2" t="s">
        <v>27</v>
      </c>
      <c r="E7976" s="4">
        <v>-31934</v>
      </c>
      <c r="F7976" s="3" t="s">
        <v>509</v>
      </c>
      <c r="G7976" s="3" t="s">
        <v>510</v>
      </c>
      <c r="H7976" s="2" t="s">
        <v>21</v>
      </c>
      <c r="I7976" s="2" t="s">
        <v>19872</v>
      </c>
      <c r="J7976" s="3" t="str">
        <f>HYPERLINK("https://www.boe.es/gazeta/dias/1812/07/25/pdfs/GRE-1812-93.pdf#page=5","Abrir facsímil")</f>
        <v>Abrir facsímil</v>
      </c>
      <c r="K7976" s="3" t="s">
        <v>23</v>
      </c>
    </row>
    <row r="7977" spans="1:11" ht="42" customHeight="1">
      <c r="A7977" s="2" t="s">
        <v>19873</v>
      </c>
      <c r="B7977" s="2" t="s">
        <v>19873</v>
      </c>
      <c r="C7977" s="2" t="s">
        <v>17</v>
      </c>
      <c r="D7977" s="2" t="s">
        <v>18</v>
      </c>
      <c r="E7977" s="4">
        <v>-31995</v>
      </c>
      <c r="F7977" s="3" t="s">
        <v>100</v>
      </c>
      <c r="G7977" s="3" t="s">
        <v>237</v>
      </c>
      <c r="H7977" s="2" t="s">
        <v>21</v>
      </c>
      <c r="I7977" s="2" t="s">
        <v>19874</v>
      </c>
      <c r="J7977" s="3" t="str">
        <f>HYPERLINK("https://www.boe.es/gazeta/dias/1812/05/25/pdfs/GMD-1812-146.pdf#page=3","Abrir facsímil")</f>
        <v>Abrir facsímil</v>
      </c>
      <c r="K7977" s="3" t="s">
        <v>23</v>
      </c>
    </row>
    <row r="7978" spans="1:11" ht="42" customHeight="1">
      <c r="A7978" s="2" t="s">
        <v>19875</v>
      </c>
      <c r="B7978" s="2" t="s">
        <v>19876</v>
      </c>
      <c r="C7978" s="2" t="s">
        <v>26</v>
      </c>
      <c r="D7978" s="2" t="s">
        <v>27</v>
      </c>
      <c r="E7978" s="4">
        <v>-32032</v>
      </c>
      <c r="F7978" s="3" t="s">
        <v>531</v>
      </c>
      <c r="G7978" s="3" t="s">
        <v>532</v>
      </c>
      <c r="H7978" s="2" t="s">
        <v>21</v>
      </c>
      <c r="I7978" s="2" t="s">
        <v>19877</v>
      </c>
      <c r="J7978" s="3" t="str">
        <f>HYPERLINK("https://www.boe.es/gazeta/dias/1812/04/18/pdfs/GMD-1812-109.pdf#page=4","Abrir facsímil")</f>
        <v>Abrir facsímil</v>
      </c>
      <c r="K7978" s="3" t="s">
        <v>23</v>
      </c>
    </row>
    <row r="7979" spans="1:11" ht="42" customHeight="1">
      <c r="A7979" s="2" t="s">
        <v>19878</v>
      </c>
      <c r="B7979" s="2" t="s">
        <v>19878</v>
      </c>
      <c r="C7979" s="2" t="s">
        <v>17</v>
      </c>
      <c r="D7979" s="2" t="s">
        <v>27</v>
      </c>
      <c r="E7979" s="4">
        <v>-31805</v>
      </c>
      <c r="F7979" s="3" t="s">
        <v>895</v>
      </c>
      <c r="G7979" s="3" t="s">
        <v>3294</v>
      </c>
      <c r="H7979" s="2" t="s">
        <v>21</v>
      </c>
      <c r="I7979" s="2" t="s">
        <v>19879</v>
      </c>
      <c r="J7979" s="3" t="str">
        <f>HYPERLINK("https://www.boe.es/gazeta/dias/1812/12/01/pdfs/GMR-1812-39.pdf#page=6","Abrir facsímil")</f>
        <v>Abrir facsímil</v>
      </c>
      <c r="K7979" s="3" t="s">
        <v>23</v>
      </c>
    </row>
    <row r="7980" spans="1:11" ht="42" customHeight="1">
      <c r="A7980" s="2" t="s">
        <v>19880</v>
      </c>
      <c r="B7980" s="2" t="s">
        <v>19881</v>
      </c>
      <c r="C7980" s="2" t="s">
        <v>49</v>
      </c>
      <c r="D7980" s="2" t="s">
        <v>27</v>
      </c>
      <c r="E7980" s="4">
        <v>-32125</v>
      </c>
      <c r="F7980" s="3" t="s">
        <v>335</v>
      </c>
      <c r="G7980" s="3" t="s">
        <v>1698</v>
      </c>
      <c r="H7980" s="2" t="s">
        <v>21</v>
      </c>
      <c r="I7980" s="2" t="s">
        <v>19882</v>
      </c>
      <c r="J7980" s="3" t="str">
        <f>HYPERLINK("https://www.boe.es/gazeta/dias/1812/01/16/pdfs/GEI-1812-7.pdf#page=7","Abrir facsímil")</f>
        <v>Abrir facsímil</v>
      </c>
      <c r="K7980" s="3" t="s">
        <v>23</v>
      </c>
    </row>
    <row r="7981" spans="1:11" ht="42" customHeight="1">
      <c r="A7981" s="2" t="s">
        <v>19883</v>
      </c>
      <c r="B7981" s="2" t="s">
        <v>19884</v>
      </c>
      <c r="C7981" s="2" t="s">
        <v>26</v>
      </c>
      <c r="D7981" s="2" t="s">
        <v>27</v>
      </c>
      <c r="E7981" s="4">
        <v>-31938</v>
      </c>
      <c r="F7981" s="3" t="s">
        <v>370</v>
      </c>
      <c r="G7981" s="3" t="s">
        <v>371</v>
      </c>
      <c r="H7981" s="2" t="s">
        <v>21</v>
      </c>
      <c r="I7981" s="2" t="s">
        <v>19885</v>
      </c>
      <c r="J7981" s="3" t="str">
        <f>HYPERLINK("https://www.boe.es/gazeta/dias/1812/07/21/pdfs/GRE-1812-91.pdf#page=8","Abrir facsímil")</f>
        <v>Abrir facsímil</v>
      </c>
      <c r="K7981" s="3" t="s">
        <v>23</v>
      </c>
    </row>
    <row r="7982" spans="1:11" ht="42" customHeight="1">
      <c r="A7982" s="2" t="s">
        <v>19886</v>
      </c>
      <c r="B7982" s="2" t="s">
        <v>19887</v>
      </c>
      <c r="C7982" s="2" t="s">
        <v>26</v>
      </c>
      <c r="D7982" s="2" t="s">
        <v>27</v>
      </c>
      <c r="E7982" s="4">
        <v>-31980</v>
      </c>
      <c r="F7982" s="3" t="s">
        <v>40</v>
      </c>
      <c r="G7982" s="3" t="s">
        <v>41</v>
      </c>
      <c r="H7982" s="2" t="s">
        <v>21</v>
      </c>
      <c r="I7982" s="2" t="s">
        <v>19888</v>
      </c>
      <c r="J7982" s="3" t="str">
        <f>HYPERLINK("https://www.boe.es/gazeta/dias/1812/06/09/pdfs/GRE-1812-71.pdf#page=6","Abrir facsímil")</f>
        <v>Abrir facsímil</v>
      </c>
      <c r="K7982" s="3" t="s">
        <v>23</v>
      </c>
    </row>
    <row r="7983" spans="1:11" ht="42" customHeight="1">
      <c r="A7983" s="2" t="s">
        <v>19889</v>
      </c>
      <c r="B7983" s="2" t="s">
        <v>19890</v>
      </c>
      <c r="C7983" s="2" t="s">
        <v>17</v>
      </c>
      <c r="D7983" s="2" t="s">
        <v>27</v>
      </c>
      <c r="E7983" s="4">
        <v>-31964</v>
      </c>
      <c r="F7983" s="3" t="s">
        <v>93</v>
      </c>
      <c r="G7983" s="3" t="s">
        <v>125</v>
      </c>
      <c r="H7983" s="2" t="s">
        <v>21</v>
      </c>
      <c r="I7983" s="2" t="s">
        <v>19891</v>
      </c>
      <c r="J7983" s="3" t="str">
        <f>HYPERLINK("https://www.boe.es/gazeta/dias/1812/06/25/pdfs/GRE-1812-78.pdf#page=3","Abrir facsímil")</f>
        <v>Abrir facsímil</v>
      </c>
      <c r="K7983" s="3" t="s">
        <v>23</v>
      </c>
    </row>
    <row r="7984" spans="1:11" ht="42" customHeight="1">
      <c r="A7984" s="2" t="s">
        <v>19892</v>
      </c>
      <c r="B7984" s="2" t="s">
        <v>19893</v>
      </c>
      <c r="C7984" s="2" t="s">
        <v>26</v>
      </c>
      <c r="D7984" s="2" t="s">
        <v>194</v>
      </c>
      <c r="E7984" s="4">
        <v>-31963</v>
      </c>
      <c r="F7984" s="3" t="s">
        <v>171</v>
      </c>
      <c r="G7984" s="3" t="s">
        <v>1653</v>
      </c>
      <c r="H7984" s="2" t="s">
        <v>21</v>
      </c>
      <c r="I7984" s="2" t="s">
        <v>19894</v>
      </c>
      <c r="J7984" s="3" t="str">
        <f>HYPERLINK("https://www.boe.es/gazeta/dias/1812/06/26/pdfs/GMD-1812-178.pdf#page=2","Abrir facsímil")</f>
        <v>Abrir facsímil</v>
      </c>
      <c r="K7984" s="3" t="s">
        <v>23</v>
      </c>
    </row>
    <row r="7985" spans="1:11" ht="42" customHeight="1">
      <c r="A7985" s="2" t="s">
        <v>19895</v>
      </c>
      <c r="B7985" s="2" t="s">
        <v>19896</v>
      </c>
      <c r="C7985" s="2" t="s">
        <v>26</v>
      </c>
      <c r="D7985" s="2" t="s">
        <v>27</v>
      </c>
      <c r="E7985" s="4">
        <v>-32100</v>
      </c>
      <c r="F7985" s="3" t="s">
        <v>492</v>
      </c>
      <c r="G7985" s="3" t="s">
        <v>739</v>
      </c>
      <c r="H7985" s="2" t="s">
        <v>21</v>
      </c>
      <c r="I7985" s="2" t="s">
        <v>19897</v>
      </c>
      <c r="J7985" s="3" t="str">
        <f>HYPERLINK("https://www.boe.es/gazeta/dias/1812/02/10/pdfs/GRE-1812-31.pdf#page=5","Abrir facsímil")</f>
        <v>Abrir facsímil</v>
      </c>
      <c r="K7985" s="3" t="s">
        <v>23</v>
      </c>
    </row>
    <row r="7986" spans="1:11" ht="42" customHeight="1">
      <c r="A7986" s="2" t="s">
        <v>19895</v>
      </c>
      <c r="B7986" s="2" t="s">
        <v>19896</v>
      </c>
      <c r="C7986" s="2" t="s">
        <v>26</v>
      </c>
      <c r="D7986" s="2" t="s">
        <v>27</v>
      </c>
      <c r="E7986" s="4">
        <v>-32071</v>
      </c>
      <c r="F7986" s="3" t="s">
        <v>492</v>
      </c>
      <c r="G7986" s="3" t="s">
        <v>739</v>
      </c>
      <c r="H7986" s="2" t="s">
        <v>21</v>
      </c>
      <c r="I7986" s="2" t="s">
        <v>19897</v>
      </c>
      <c r="J7986" s="3" t="str">
        <f>HYPERLINK("https://www.boe.es/gazeta/dias/1812/03/10/pdfs/GRE-1812-31.pdf#page=5","Abrir facsímil")</f>
        <v>Abrir facsímil</v>
      </c>
      <c r="K7986" s="3" t="s">
        <v>23</v>
      </c>
    </row>
    <row r="7987" spans="1:11" ht="42" customHeight="1">
      <c r="A7987" s="2" t="s">
        <v>19898</v>
      </c>
      <c r="B7987" s="2" t="s">
        <v>19899</v>
      </c>
      <c r="C7987" s="2" t="s">
        <v>105</v>
      </c>
      <c r="D7987" s="2" t="s">
        <v>27</v>
      </c>
      <c r="E7987" s="4">
        <v>-31833</v>
      </c>
      <c r="F7987" s="3" t="s">
        <v>267</v>
      </c>
      <c r="G7987" s="3" t="s">
        <v>268</v>
      </c>
      <c r="H7987" s="2" t="s">
        <v>21</v>
      </c>
      <c r="I7987" s="2" t="s">
        <v>19900</v>
      </c>
      <c r="J7987" s="3" t="str">
        <f>HYPERLINK("https://www.boe.es/gazeta/dias/1812/11/03/pdfs/GRE-1812-147.pdf#page=8","Abrir facsímil")</f>
        <v>Abrir facsímil</v>
      </c>
      <c r="K7987" s="3" t="s">
        <v>23</v>
      </c>
    </row>
    <row r="7988" spans="1:11" ht="42" customHeight="1">
      <c r="A7988" s="2" t="s">
        <v>19901</v>
      </c>
      <c r="B7988" s="2" t="s">
        <v>19901</v>
      </c>
      <c r="C7988" s="2" t="s">
        <v>17</v>
      </c>
      <c r="D7988" s="2" t="s">
        <v>18</v>
      </c>
      <c r="E7988" s="4">
        <v>-31894</v>
      </c>
      <c r="F7988" s="3" t="s">
        <v>793</v>
      </c>
      <c r="G7988" s="3" t="s">
        <v>1822</v>
      </c>
      <c r="H7988" s="2" t="s">
        <v>21</v>
      </c>
      <c r="I7988" s="2" t="s">
        <v>19902</v>
      </c>
      <c r="J7988" s="3" t="str">
        <f>HYPERLINK("https://www.boe.es/gazeta/dias/1812/09/03/pdfs/GRE-1812-119.pdf#page=3","Abrir facsímil")</f>
        <v>Abrir facsímil</v>
      </c>
      <c r="K7988" s="3" t="s">
        <v>23</v>
      </c>
    </row>
    <row r="7989" spans="1:11" ht="42" customHeight="1">
      <c r="A7989" s="2" t="s">
        <v>19903</v>
      </c>
      <c r="B7989" s="2" t="s">
        <v>19904</v>
      </c>
      <c r="C7989" s="2" t="s">
        <v>17</v>
      </c>
      <c r="D7989" s="2" t="s">
        <v>18</v>
      </c>
      <c r="E7989" s="4">
        <v>-31937</v>
      </c>
      <c r="F7989" s="3" t="s">
        <v>1198</v>
      </c>
      <c r="G7989" s="3" t="s">
        <v>4758</v>
      </c>
      <c r="H7989" s="2" t="s">
        <v>21</v>
      </c>
      <c r="I7989" s="2" t="s">
        <v>19905</v>
      </c>
      <c r="J7989" s="3" t="str">
        <f>HYPERLINK("https://www.boe.es/gazeta/dias/1812/07/22/pdfs/GMD-1812-204.pdf#page=1","Abrir facsímil")</f>
        <v>Abrir facsímil</v>
      </c>
      <c r="K7989" s="3" t="s">
        <v>23</v>
      </c>
    </row>
    <row r="7990" spans="1:11" ht="42" customHeight="1">
      <c r="A7990" s="2" t="s">
        <v>19906</v>
      </c>
      <c r="B7990" s="2" t="s">
        <v>19906</v>
      </c>
      <c r="C7990" s="2" t="s">
        <v>17</v>
      </c>
      <c r="D7990" s="2" t="s">
        <v>27</v>
      </c>
      <c r="E7990" s="4">
        <v>-31885</v>
      </c>
      <c r="F7990" s="3" t="s">
        <v>750</v>
      </c>
      <c r="G7990" s="3" t="s">
        <v>36</v>
      </c>
      <c r="H7990" s="2" t="s">
        <v>21</v>
      </c>
      <c r="I7990" s="2" t="s">
        <v>19907</v>
      </c>
      <c r="J7990" s="3" t="str">
        <f>HYPERLINK("https://www.boe.es/gazeta/dias/1812/09/12/pdfs/GMR-1812-13.pdf#page=3","Abrir facsímil")</f>
        <v>Abrir facsímil</v>
      </c>
      <c r="K7990" s="3" t="s">
        <v>23</v>
      </c>
    </row>
    <row r="7991" spans="1:11" ht="42" customHeight="1">
      <c r="A7991" s="2" t="s">
        <v>19908</v>
      </c>
      <c r="B7991" s="2" t="s">
        <v>19909</v>
      </c>
      <c r="C7991" s="2" t="s">
        <v>17</v>
      </c>
      <c r="D7991" s="2" t="s">
        <v>18</v>
      </c>
      <c r="E7991" s="4">
        <v>-31798</v>
      </c>
      <c r="F7991" s="3" t="s">
        <v>2194</v>
      </c>
      <c r="G7991" s="3" t="s">
        <v>159</v>
      </c>
      <c r="H7991" s="2" t="s">
        <v>21</v>
      </c>
      <c r="I7991" s="2" t="s">
        <v>19910</v>
      </c>
      <c r="J7991" s="3" t="str">
        <f>HYPERLINK("https://www.boe.es/gazeta/dias/1812/12/08/pdfs/GRE-1812-162.pdf#page=7","Abrir facsímil")</f>
        <v>Abrir facsímil</v>
      </c>
      <c r="K7991" s="3" t="s">
        <v>23</v>
      </c>
    </row>
    <row r="7992" spans="1:11" ht="42" customHeight="1">
      <c r="A7992" s="2" t="s">
        <v>19911</v>
      </c>
      <c r="B7992" s="2" t="s">
        <v>19912</v>
      </c>
      <c r="C7992" s="2" t="s">
        <v>105</v>
      </c>
      <c r="D7992" s="2" t="s">
        <v>27</v>
      </c>
      <c r="E7992" s="4">
        <v>-31816</v>
      </c>
      <c r="F7992" s="3" t="s">
        <v>270</v>
      </c>
      <c r="G7992" s="3" t="s">
        <v>271</v>
      </c>
      <c r="H7992" s="2" t="s">
        <v>21</v>
      </c>
      <c r="I7992" s="2" t="s">
        <v>19913</v>
      </c>
      <c r="J7992" s="3" t="str">
        <f>HYPERLINK("https://www.boe.es/gazeta/dias/1812/11/20/pdfs/GMR-1812-36.pdf#page=6","Abrir facsímil")</f>
        <v>Abrir facsímil</v>
      </c>
      <c r="K7992" s="3" t="s">
        <v>23</v>
      </c>
    </row>
    <row r="7993" spans="1:11" ht="42" customHeight="1">
      <c r="A7993" s="2" t="s">
        <v>19914</v>
      </c>
      <c r="B7993" s="2" t="s">
        <v>19915</v>
      </c>
      <c r="C7993" s="2" t="s">
        <v>17</v>
      </c>
      <c r="D7993" s="2" t="s">
        <v>27</v>
      </c>
      <c r="E7993" s="4">
        <v>-31962</v>
      </c>
      <c r="F7993" s="3" t="s">
        <v>153</v>
      </c>
      <c r="G7993" s="3" t="s">
        <v>3010</v>
      </c>
      <c r="H7993" s="2" t="s">
        <v>21</v>
      </c>
      <c r="I7993" s="2" t="s">
        <v>19916</v>
      </c>
      <c r="J7993" s="3" t="str">
        <f>HYPERLINK("https://www.boe.es/gazeta/dias/1812/06/27/pdfs/GRE-1812-79.pdf#page=4","Abrir facsímil")</f>
        <v>Abrir facsímil</v>
      </c>
      <c r="K7993" s="3" t="s">
        <v>23</v>
      </c>
    </row>
    <row r="7994" spans="1:11" ht="42" customHeight="1">
      <c r="A7994" s="2" t="s">
        <v>19917</v>
      </c>
      <c r="B7994" s="2" t="s">
        <v>19917</v>
      </c>
      <c r="C7994" s="2" t="s">
        <v>17</v>
      </c>
      <c r="D7994" s="2" t="s">
        <v>275</v>
      </c>
      <c r="E7994" s="4">
        <v>-31779</v>
      </c>
      <c r="F7994" s="3" t="s">
        <v>11039</v>
      </c>
      <c r="G7994" s="3" t="s">
        <v>36</v>
      </c>
      <c r="H7994" s="2" t="s">
        <v>21</v>
      </c>
      <c r="I7994" s="2" t="s">
        <v>19918</v>
      </c>
      <c r="J7994" s="3" t="str">
        <f>HYPERLINK("https://www.boe.es/gazeta/dias/1812/12/27/pdfs/GMD-1812-250.pdf#page=3","Abrir facsímil")</f>
        <v>Abrir facsímil</v>
      </c>
      <c r="K7994" s="3" t="s">
        <v>23</v>
      </c>
    </row>
    <row r="7995" spans="1:11" ht="42" customHeight="1">
      <c r="A7995" s="2" t="s">
        <v>19919</v>
      </c>
      <c r="B7995" s="2" t="s">
        <v>19920</v>
      </c>
      <c r="C7995" s="2" t="s">
        <v>26</v>
      </c>
      <c r="D7995" s="2" t="s">
        <v>27</v>
      </c>
      <c r="E7995" s="4">
        <v>-31901</v>
      </c>
      <c r="F7995" s="3" t="s">
        <v>590</v>
      </c>
      <c r="G7995" s="3" t="s">
        <v>742</v>
      </c>
      <c r="H7995" s="2" t="s">
        <v>21</v>
      </c>
      <c r="I7995" s="2" t="s">
        <v>19921</v>
      </c>
      <c r="J7995" s="3" t="str">
        <f>HYPERLINK("https://www.boe.es/gazeta/dias/1812/08/27/pdfs/GMR-1812-6.pdf#page=5","Abrir facsímil")</f>
        <v>Abrir facsímil</v>
      </c>
      <c r="K7995" s="3" t="s">
        <v>23</v>
      </c>
    </row>
    <row r="7996" spans="1:11" ht="42" customHeight="1">
      <c r="A7996" s="2" t="s">
        <v>19919</v>
      </c>
      <c r="B7996" s="2" t="s">
        <v>19920</v>
      </c>
      <c r="C7996" s="2" t="s">
        <v>26</v>
      </c>
      <c r="D7996" s="2" t="s">
        <v>27</v>
      </c>
      <c r="E7996" s="4">
        <v>-31815</v>
      </c>
      <c r="F7996" s="3" t="s">
        <v>1167</v>
      </c>
      <c r="G7996" s="3" t="s">
        <v>1168</v>
      </c>
      <c r="H7996" s="2" t="s">
        <v>21</v>
      </c>
      <c r="I7996" s="2" t="s">
        <v>19922</v>
      </c>
      <c r="J7996" s="3" t="str">
        <f>HYPERLINK("https://www.boe.es/gazeta/dias/1812/11/21/pdfs/GRE-1812-155.pdf#page=1","Abrir facsímil")</f>
        <v>Abrir facsímil</v>
      </c>
      <c r="K7996" s="3" t="s">
        <v>23</v>
      </c>
    </row>
    <row r="7997" spans="1:11" ht="42" customHeight="1">
      <c r="A7997" s="2" t="s">
        <v>19923</v>
      </c>
      <c r="B7997" s="2" t="s">
        <v>19924</v>
      </c>
      <c r="C7997" s="2" t="s">
        <v>105</v>
      </c>
      <c r="D7997" s="2" t="s">
        <v>27</v>
      </c>
      <c r="E7997" s="4">
        <v>-32020</v>
      </c>
      <c r="F7997" s="3" t="s">
        <v>2818</v>
      </c>
      <c r="G7997" s="3" t="s">
        <v>5110</v>
      </c>
      <c r="H7997" s="2" t="s">
        <v>21</v>
      </c>
      <c r="I7997" s="2" t="s">
        <v>19925</v>
      </c>
      <c r="J7997" s="3" t="str">
        <f>HYPERLINK("https://www.boe.es/gazeta/dias/1812/04/30/pdfs/GRE-1812-54.pdf#page=3","Abrir facsímil")</f>
        <v>Abrir facsímil</v>
      </c>
      <c r="K7997" s="3" t="s">
        <v>23</v>
      </c>
    </row>
    <row r="7998" spans="1:11" ht="42" customHeight="1">
      <c r="A7998" s="2" t="s">
        <v>19926</v>
      </c>
      <c r="B7998" s="2" t="s">
        <v>19926</v>
      </c>
      <c r="C7998" s="2" t="s">
        <v>17</v>
      </c>
      <c r="D7998" s="2" t="s">
        <v>27</v>
      </c>
      <c r="E7998" s="4">
        <v>-32114</v>
      </c>
      <c r="F7998" s="3" t="s">
        <v>480</v>
      </c>
      <c r="G7998" s="3" t="s">
        <v>140</v>
      </c>
      <c r="H7998" s="2" t="s">
        <v>21</v>
      </c>
      <c r="I7998" s="2" t="s">
        <v>19927</v>
      </c>
      <c r="J7998" s="3" t="str">
        <f>HYPERLINK("https://www.boe.es/gazeta/dias/1812/01/27/pdfs/GMD-1812-27.pdf#page=2","Abrir facsímil")</f>
        <v>Abrir facsímil</v>
      </c>
      <c r="K7998" s="3" t="s">
        <v>23</v>
      </c>
    </row>
    <row r="7999" spans="1:11" ht="42" customHeight="1">
      <c r="A7999" s="2" t="s">
        <v>19928</v>
      </c>
      <c r="B7999" s="2" t="s">
        <v>19929</v>
      </c>
      <c r="C7999" s="2" t="s">
        <v>17</v>
      </c>
      <c r="D7999" s="2" t="s">
        <v>134</v>
      </c>
      <c r="E7999" s="4">
        <v>-31983</v>
      </c>
      <c r="F7999" s="3" t="s">
        <v>1437</v>
      </c>
      <c r="G7999" s="3" t="s">
        <v>1438</v>
      </c>
      <c r="H7999" s="2" t="s">
        <v>21</v>
      </c>
      <c r="I7999" s="2" t="s">
        <v>19930</v>
      </c>
      <c r="J7999" s="3" t="str">
        <f>HYPERLINK("https://www.boe.es/gazeta/dias/1812/06/06/pdfs/GRE-F-1812-70.pdf#page=4","Abrir facsímil")</f>
        <v>Abrir facsímil</v>
      </c>
      <c r="K7999" s="3" t="s">
        <v>23</v>
      </c>
    </row>
    <row r="8000" spans="1:11" ht="42" customHeight="1">
      <c r="A8000" s="2" t="s">
        <v>19931</v>
      </c>
      <c r="B8000" s="2" t="s">
        <v>19932</v>
      </c>
      <c r="C8000" s="2" t="s">
        <v>26</v>
      </c>
      <c r="D8000" s="2" t="s">
        <v>27</v>
      </c>
      <c r="E8000" s="4">
        <v>-32034</v>
      </c>
      <c r="F8000" s="3" t="s">
        <v>28</v>
      </c>
      <c r="G8000" s="3" t="s">
        <v>20</v>
      </c>
      <c r="H8000" s="2" t="s">
        <v>21</v>
      </c>
      <c r="I8000" s="2" t="s">
        <v>19933</v>
      </c>
      <c r="J8000" s="3" t="str">
        <f>HYPERLINK("https://www.boe.es/gazeta/dias/1812/04/16/pdfs/GMD-1812-107.pdf#page=3","Abrir facsímil")</f>
        <v>Abrir facsímil</v>
      </c>
      <c r="K8000" s="3" t="s">
        <v>23</v>
      </c>
    </row>
    <row r="8001" spans="1:11" ht="42" customHeight="1">
      <c r="A8001" s="2" t="s">
        <v>19934</v>
      </c>
      <c r="B8001" s="2" t="s">
        <v>19935</v>
      </c>
      <c r="C8001" s="2" t="s">
        <v>17</v>
      </c>
      <c r="D8001" s="2" t="s">
        <v>18</v>
      </c>
      <c r="E8001" s="4">
        <v>-31950</v>
      </c>
      <c r="F8001" s="3" t="s">
        <v>2822</v>
      </c>
      <c r="G8001" s="3" t="s">
        <v>2898</v>
      </c>
      <c r="H8001" s="2" t="s">
        <v>30</v>
      </c>
      <c r="I8001" s="2" t="s">
        <v>19936</v>
      </c>
      <c r="J8001" s="3" t="str">
        <f>HYPERLINK("https://www.boe.es/gazeta/dias/1812/07/09/pdfs/GRE-1812-85E.pdf#page=3","Abrir facsímil")</f>
        <v>Abrir facsímil</v>
      </c>
      <c r="K8001" s="3" t="s">
        <v>32</v>
      </c>
    </row>
    <row r="8002" spans="1:11" ht="42" customHeight="1">
      <c r="A8002" s="2" t="s">
        <v>19937</v>
      </c>
      <c r="B8002" s="2" t="s">
        <v>19938</v>
      </c>
      <c r="C8002" s="2" t="s">
        <v>26</v>
      </c>
      <c r="D8002" s="2" t="s">
        <v>27</v>
      </c>
      <c r="E8002" s="4">
        <v>-31976</v>
      </c>
      <c r="F8002" s="3" t="s">
        <v>54</v>
      </c>
      <c r="G8002" s="3" t="s">
        <v>55</v>
      </c>
      <c r="H8002" s="2" t="s">
        <v>21</v>
      </c>
      <c r="I8002" s="2" t="s">
        <v>19939</v>
      </c>
      <c r="J8002" s="3" t="str">
        <f>HYPERLINK("https://www.boe.es/gazeta/dias/1812/06/13/pdfs/GRE-1812-73.pdf#page=6","Abrir facsímil")</f>
        <v>Abrir facsímil</v>
      </c>
      <c r="K8002" s="3" t="s">
        <v>23</v>
      </c>
    </row>
    <row r="8003" spans="1:11" ht="42" customHeight="1">
      <c r="A8003" s="2" t="s">
        <v>19940</v>
      </c>
      <c r="B8003" s="2" t="s">
        <v>19941</v>
      </c>
      <c r="C8003" s="2" t="s">
        <v>26</v>
      </c>
      <c r="D8003" s="2" t="s">
        <v>27</v>
      </c>
      <c r="E8003" s="4">
        <v>-32015</v>
      </c>
      <c r="F8003" s="3" t="s">
        <v>77</v>
      </c>
      <c r="G8003" s="3" t="s">
        <v>78</v>
      </c>
      <c r="H8003" s="2" t="s">
        <v>21</v>
      </c>
      <c r="I8003" s="2" t="s">
        <v>19942</v>
      </c>
      <c r="J8003" s="3" t="str">
        <f>HYPERLINK("https://www.boe.es/gazeta/dias/1812/05/05/pdfs/GRE-1812-56.pdf#page=8","Abrir facsímil")</f>
        <v>Abrir facsímil</v>
      </c>
      <c r="K8003" s="3" t="s">
        <v>23</v>
      </c>
    </row>
    <row r="8004" spans="1:11" ht="42" customHeight="1">
      <c r="A8004" s="2" t="s">
        <v>19943</v>
      </c>
      <c r="B8004" s="2" t="s">
        <v>19944</v>
      </c>
      <c r="C8004" s="2" t="s">
        <v>26</v>
      </c>
      <c r="D8004" s="2" t="s">
        <v>27</v>
      </c>
      <c r="E8004" s="4">
        <v>-32065</v>
      </c>
      <c r="F8004" s="3" t="s">
        <v>259</v>
      </c>
      <c r="G8004" s="3" t="s">
        <v>20</v>
      </c>
      <c r="H8004" s="2" t="s">
        <v>21</v>
      </c>
      <c r="I8004" s="2" t="s">
        <v>19945</v>
      </c>
      <c r="J8004" s="3" t="str">
        <f>HYPERLINK("https://www.boe.es/gazeta/dias/1812/03/16/pdfs/GMD-1812-76.pdf#page=4","Abrir facsímil")</f>
        <v>Abrir facsímil</v>
      </c>
      <c r="K8004" s="3" t="s">
        <v>23</v>
      </c>
    </row>
    <row r="8005" spans="1:11" ht="42" customHeight="1">
      <c r="A8005" s="2" t="s">
        <v>19946</v>
      </c>
      <c r="B8005" s="2" t="s">
        <v>19947</v>
      </c>
      <c r="C8005" s="2" t="s">
        <v>26</v>
      </c>
      <c r="D8005" s="2" t="s">
        <v>27</v>
      </c>
      <c r="E8005" s="4">
        <v>-32118</v>
      </c>
      <c r="F8005" s="3" t="s">
        <v>964</v>
      </c>
      <c r="G8005" s="3" t="s">
        <v>965</v>
      </c>
      <c r="H8005" s="2" t="s">
        <v>21</v>
      </c>
      <c r="I8005" s="2" t="s">
        <v>19948</v>
      </c>
      <c r="J8005" s="3" t="str">
        <f>HYPERLINK("https://www.boe.es/gazeta/dias/1812/01/23/pdfs/GEI-H-1812-10.pdf#page=4","Abrir facsímil")</f>
        <v>Abrir facsímil</v>
      </c>
      <c r="K8005" s="3" t="s">
        <v>23</v>
      </c>
    </row>
    <row r="8006" spans="1:11" ht="42" customHeight="1">
      <c r="A8006" s="2" t="s">
        <v>19949</v>
      </c>
      <c r="B8006" s="2" t="s">
        <v>19950</v>
      </c>
      <c r="C8006" s="2" t="s">
        <v>26</v>
      </c>
      <c r="D8006" s="2" t="s">
        <v>27</v>
      </c>
      <c r="E8006" s="4">
        <v>-31901</v>
      </c>
      <c r="F8006" s="3" t="s">
        <v>590</v>
      </c>
      <c r="G8006" s="3" t="s">
        <v>674</v>
      </c>
      <c r="H8006" s="2" t="s">
        <v>21</v>
      </c>
      <c r="I8006" s="2" t="s">
        <v>19951</v>
      </c>
      <c r="J8006" s="3" t="str">
        <f>HYPERLINK("https://www.boe.es/gazeta/dias/1812/08/27/pdfs/GMR-1812-6.pdf#page=6","Abrir facsímil")</f>
        <v>Abrir facsímil</v>
      </c>
      <c r="K8006" s="3" t="s">
        <v>23</v>
      </c>
    </row>
    <row r="8007" spans="1:11" ht="42" customHeight="1">
      <c r="A8007" s="2" t="s">
        <v>19952</v>
      </c>
      <c r="B8007" s="2" t="s">
        <v>19953</v>
      </c>
      <c r="C8007" s="2" t="s">
        <v>26</v>
      </c>
      <c r="D8007" s="2" t="s">
        <v>27</v>
      </c>
      <c r="E8007" s="4">
        <v>-32034</v>
      </c>
      <c r="F8007" s="3" t="s">
        <v>28</v>
      </c>
      <c r="G8007" s="3" t="s">
        <v>45</v>
      </c>
      <c r="H8007" s="2" t="s">
        <v>21</v>
      </c>
      <c r="I8007" s="2" t="s">
        <v>19954</v>
      </c>
      <c r="J8007" s="3" t="str">
        <f>HYPERLINK("https://www.boe.es/gazeta/dias/1812/04/16/pdfs/GMD-1812-107.pdf#page=5","Abrir facsímil")</f>
        <v>Abrir facsímil</v>
      </c>
      <c r="K8007" s="3" t="s">
        <v>23</v>
      </c>
    </row>
    <row r="8008" spans="1:11" ht="42" customHeight="1">
      <c r="A8008" s="2" t="s">
        <v>19955</v>
      </c>
      <c r="B8008" s="2" t="s">
        <v>19955</v>
      </c>
      <c r="C8008" s="2" t="s">
        <v>17</v>
      </c>
      <c r="D8008" s="2" t="s">
        <v>27</v>
      </c>
      <c r="E8008" s="4">
        <v>-32112</v>
      </c>
      <c r="F8008" s="3" t="s">
        <v>2794</v>
      </c>
      <c r="G8008" s="3" t="s">
        <v>1650</v>
      </c>
      <c r="H8008" s="2" t="s">
        <v>21</v>
      </c>
      <c r="I8008" s="2" t="s">
        <v>19956</v>
      </c>
      <c r="J8008" s="3" t="str">
        <f>HYPERLINK("https://www.boe.es/gazeta/dias/1812/01/29/pdfs/GMD-1812-29.pdf#page=1","Abrir facsímil")</f>
        <v>Abrir facsímil</v>
      </c>
      <c r="K8008" s="3" t="s">
        <v>23</v>
      </c>
    </row>
    <row r="8009" spans="1:11" ht="42" customHeight="1">
      <c r="A8009" s="2" t="s">
        <v>19957</v>
      </c>
      <c r="B8009" s="2" t="s">
        <v>19958</v>
      </c>
      <c r="C8009" s="2" t="s">
        <v>26</v>
      </c>
      <c r="D8009" s="2" t="s">
        <v>275</v>
      </c>
      <c r="E8009" s="4">
        <v>-31989</v>
      </c>
      <c r="F8009" s="3" t="s">
        <v>263</v>
      </c>
      <c r="G8009" s="3" t="s">
        <v>58</v>
      </c>
      <c r="H8009" s="2" t="s">
        <v>21</v>
      </c>
      <c r="I8009" s="2" t="s">
        <v>19959</v>
      </c>
      <c r="J8009" s="3" t="str">
        <f>HYPERLINK("https://www.boe.es/gazeta/dias/1812/05/31/pdfs/GMD-1812-152.pdf#page=4","Abrir facsímil")</f>
        <v>Abrir facsímil</v>
      </c>
      <c r="K8009" s="3" t="s">
        <v>23</v>
      </c>
    </row>
    <row r="8010" spans="1:11" ht="42" customHeight="1">
      <c r="A8010" s="2" t="s">
        <v>19960</v>
      </c>
      <c r="B8010" s="2" t="s">
        <v>19961</v>
      </c>
      <c r="C8010" s="2" t="s">
        <v>115</v>
      </c>
      <c r="D8010" s="2" t="s">
        <v>27</v>
      </c>
      <c r="E8010" s="4">
        <v>-32066</v>
      </c>
      <c r="F8010" s="3" t="s">
        <v>291</v>
      </c>
      <c r="G8010" s="3" t="s">
        <v>125</v>
      </c>
      <c r="H8010" s="2" t="s">
        <v>21</v>
      </c>
      <c r="I8010" s="2" t="s">
        <v>19962</v>
      </c>
      <c r="J8010" s="3" t="str">
        <f>HYPERLINK("https://www.boe.es/gazeta/dias/1812/03/15/pdfs/GMD-1812-75.pdf#page=4","Abrir facsímil")</f>
        <v>Abrir facsímil</v>
      </c>
      <c r="K8010" s="3" t="s">
        <v>23</v>
      </c>
    </row>
    <row r="8011" spans="1:11" ht="42" customHeight="1">
      <c r="A8011" s="2" t="s">
        <v>19963</v>
      </c>
      <c r="B8011" s="2" t="s">
        <v>19964</v>
      </c>
      <c r="C8011" s="2" t="s">
        <v>26</v>
      </c>
      <c r="D8011" s="2" t="s">
        <v>27</v>
      </c>
      <c r="E8011" s="4">
        <v>-32044</v>
      </c>
      <c r="F8011" s="3" t="s">
        <v>1031</v>
      </c>
      <c r="G8011" s="3" t="s">
        <v>1873</v>
      </c>
      <c r="H8011" s="2" t="s">
        <v>21</v>
      </c>
      <c r="I8011" s="2" t="s">
        <v>19965</v>
      </c>
      <c r="J8011" s="3" t="str">
        <f>HYPERLINK("https://www.boe.es/gazeta/dias/1812/04/06/pdfs/GMD-1812-97.pdf#page=4","Abrir facsímil")</f>
        <v>Abrir facsímil</v>
      </c>
      <c r="K8011" s="3" t="s">
        <v>23</v>
      </c>
    </row>
    <row r="8012" spans="1:11" ht="42" customHeight="1">
      <c r="A8012" s="2" t="s">
        <v>19966</v>
      </c>
      <c r="B8012" s="2" t="s">
        <v>19967</v>
      </c>
      <c r="C8012" s="2" t="s">
        <v>26</v>
      </c>
      <c r="D8012" s="2" t="s">
        <v>27</v>
      </c>
      <c r="E8012" s="4">
        <v>-31824</v>
      </c>
      <c r="F8012" s="3" t="s">
        <v>3123</v>
      </c>
      <c r="G8012" s="3" t="s">
        <v>857</v>
      </c>
      <c r="H8012" s="2" t="s">
        <v>21</v>
      </c>
      <c r="I8012" s="2" t="s">
        <v>19968</v>
      </c>
      <c r="J8012" s="3" t="str">
        <f>HYPERLINK("https://www.boe.es/gazeta/dias/1812/11/12/pdfs/GRE-1812-151.pdf#page=8","Abrir facsímil")</f>
        <v>Abrir facsímil</v>
      </c>
      <c r="K8012" s="3" t="s">
        <v>23</v>
      </c>
    </row>
    <row r="8013" spans="1:11" ht="42" customHeight="1">
      <c r="A8013" s="2" t="s">
        <v>19969</v>
      </c>
      <c r="B8013" s="2" t="s">
        <v>19970</v>
      </c>
      <c r="C8013" s="2" t="s">
        <v>26</v>
      </c>
      <c r="D8013" s="2" t="s">
        <v>27</v>
      </c>
      <c r="E8013" s="4">
        <v>-32003</v>
      </c>
      <c r="F8013" s="3" t="s">
        <v>585</v>
      </c>
      <c r="G8013" s="3" t="s">
        <v>404</v>
      </c>
      <c r="H8013" s="2" t="s">
        <v>21</v>
      </c>
      <c r="I8013" s="2" t="s">
        <v>19971</v>
      </c>
      <c r="J8013" s="3" t="str">
        <f>HYPERLINK("https://www.boe.es/gazeta/dias/1812/05/17/pdfs/GMD-1812-138.pdf#page=2","Abrir facsímil")</f>
        <v>Abrir facsímil</v>
      </c>
      <c r="K8013" s="3" t="s">
        <v>23</v>
      </c>
    </row>
    <row r="8014" spans="1:11" ht="42" customHeight="1">
      <c r="A8014" s="2" t="s">
        <v>19972</v>
      </c>
      <c r="B8014" s="2" t="s">
        <v>19973</v>
      </c>
      <c r="C8014" s="2" t="s">
        <v>26</v>
      </c>
      <c r="D8014" s="2" t="s">
        <v>27</v>
      </c>
      <c r="E8014" s="4">
        <v>-32100</v>
      </c>
      <c r="F8014" s="3" t="s">
        <v>492</v>
      </c>
      <c r="G8014" s="3" t="s">
        <v>493</v>
      </c>
      <c r="H8014" s="2" t="s">
        <v>21</v>
      </c>
      <c r="I8014" s="2" t="s">
        <v>19974</v>
      </c>
      <c r="J8014" s="3" t="str">
        <f>HYPERLINK("https://www.boe.es/gazeta/dias/1812/02/10/pdfs/GRE-1812-31.pdf#page=8","Abrir facsímil")</f>
        <v>Abrir facsímil</v>
      </c>
      <c r="K8014" s="3" t="s">
        <v>23</v>
      </c>
    </row>
    <row r="8015" spans="1:11" ht="42" customHeight="1">
      <c r="A8015" s="2" t="s">
        <v>19972</v>
      </c>
      <c r="B8015" s="2" t="s">
        <v>19973</v>
      </c>
      <c r="C8015" s="2" t="s">
        <v>26</v>
      </c>
      <c r="D8015" s="2" t="s">
        <v>27</v>
      </c>
      <c r="E8015" s="4">
        <v>-32071</v>
      </c>
      <c r="F8015" s="3" t="s">
        <v>492</v>
      </c>
      <c r="G8015" s="3" t="s">
        <v>493</v>
      </c>
      <c r="H8015" s="2" t="s">
        <v>21</v>
      </c>
      <c r="I8015" s="2" t="s">
        <v>19974</v>
      </c>
      <c r="J8015" s="3" t="str">
        <f>HYPERLINK("https://www.boe.es/gazeta/dias/1812/03/10/pdfs/GRE-1812-31.pdf#page=8","Abrir facsímil")</f>
        <v>Abrir facsímil</v>
      </c>
      <c r="K8015" s="3" t="s">
        <v>23</v>
      </c>
    </row>
    <row r="8016" spans="1:11" ht="42" customHeight="1">
      <c r="A8016" s="2" t="s">
        <v>19975</v>
      </c>
      <c r="B8016" s="2" t="s">
        <v>19976</v>
      </c>
      <c r="C8016" s="2" t="s">
        <v>26</v>
      </c>
      <c r="D8016" s="2" t="s">
        <v>27</v>
      </c>
      <c r="E8016" s="4">
        <v>-32134</v>
      </c>
      <c r="F8016" s="3" t="s">
        <v>50</v>
      </c>
      <c r="G8016" s="3" t="s">
        <v>233</v>
      </c>
      <c r="H8016" s="2" t="s">
        <v>21</v>
      </c>
      <c r="I8016" s="2" t="s">
        <v>19977</v>
      </c>
      <c r="J8016" s="3" t="str">
        <f>HYPERLINK("https://www.boe.es/gazeta/dias/1812/01/07/pdfs/GEI-1812-3.pdf#page=8","Abrir facsímil")</f>
        <v>Abrir facsímil</v>
      </c>
      <c r="K8016" s="3" t="s">
        <v>23</v>
      </c>
    </row>
    <row r="8017" spans="1:11" ht="42" customHeight="1">
      <c r="A8017" s="2" t="s">
        <v>19978</v>
      </c>
      <c r="B8017" s="2" t="s">
        <v>19979</v>
      </c>
      <c r="C8017" s="2" t="s">
        <v>26</v>
      </c>
      <c r="D8017" s="2" t="s">
        <v>27</v>
      </c>
      <c r="E8017" s="4">
        <v>-32100</v>
      </c>
      <c r="F8017" s="3" t="s">
        <v>492</v>
      </c>
      <c r="G8017" s="3" t="s">
        <v>493</v>
      </c>
      <c r="H8017" s="2" t="s">
        <v>21</v>
      </c>
      <c r="I8017" s="2" t="s">
        <v>19980</v>
      </c>
      <c r="J8017" s="3" t="str">
        <f>HYPERLINK("https://www.boe.es/gazeta/dias/1812/02/10/pdfs/GRE-1812-31.pdf#page=8","Abrir facsímil")</f>
        <v>Abrir facsímil</v>
      </c>
      <c r="K8017" s="3" t="s">
        <v>23</v>
      </c>
    </row>
    <row r="8018" spans="1:11" ht="42" customHeight="1">
      <c r="A8018" s="2" t="s">
        <v>19978</v>
      </c>
      <c r="B8018" s="2" t="s">
        <v>19979</v>
      </c>
      <c r="C8018" s="2" t="s">
        <v>26</v>
      </c>
      <c r="D8018" s="2" t="s">
        <v>27</v>
      </c>
      <c r="E8018" s="4">
        <v>-32071</v>
      </c>
      <c r="F8018" s="3" t="s">
        <v>492</v>
      </c>
      <c r="G8018" s="3" t="s">
        <v>493</v>
      </c>
      <c r="H8018" s="2" t="s">
        <v>21</v>
      </c>
      <c r="I8018" s="2" t="s">
        <v>19980</v>
      </c>
      <c r="J8018" s="3" t="str">
        <f>HYPERLINK("https://www.boe.es/gazeta/dias/1812/03/10/pdfs/GRE-1812-31.pdf#page=8","Abrir facsímil")</f>
        <v>Abrir facsímil</v>
      </c>
      <c r="K8018" s="3" t="s">
        <v>23</v>
      </c>
    </row>
    <row r="8019" spans="1:11" ht="42" customHeight="1">
      <c r="A8019" s="2" t="s">
        <v>19981</v>
      </c>
      <c r="B8019" s="2" t="s">
        <v>19982</v>
      </c>
      <c r="C8019" s="2" t="s">
        <v>26</v>
      </c>
      <c r="D8019" s="2" t="s">
        <v>573</v>
      </c>
      <c r="E8019" s="4">
        <v>-31900</v>
      </c>
      <c r="F8019" s="3" t="s">
        <v>276</v>
      </c>
      <c r="G8019" s="3" t="s">
        <v>277</v>
      </c>
      <c r="H8019" s="2" t="s">
        <v>21</v>
      </c>
      <c r="I8019" s="2" t="s">
        <v>19983</v>
      </c>
      <c r="J8019" s="3" t="str">
        <f>HYPERLINK("https://www.boe.es/gazeta/dias/1812/08/28/pdfs/GRE-1812-113E.pdf#page=8","Abrir facsímil")</f>
        <v>Abrir facsímil</v>
      </c>
      <c r="K8019" s="3" t="s">
        <v>23</v>
      </c>
    </row>
    <row r="8020" spans="1:11" ht="42" customHeight="1">
      <c r="A8020" s="2" t="s">
        <v>19984</v>
      </c>
      <c r="B8020" s="2" t="s">
        <v>19985</v>
      </c>
      <c r="C8020" s="2" t="s">
        <v>26</v>
      </c>
      <c r="D8020" s="2" t="s">
        <v>27</v>
      </c>
      <c r="E8020" s="4">
        <v>-32022</v>
      </c>
      <c r="F8020" s="3" t="s">
        <v>1186</v>
      </c>
      <c r="G8020" s="3" t="s">
        <v>6154</v>
      </c>
      <c r="H8020" s="2" t="s">
        <v>21</v>
      </c>
      <c r="I8020" s="2" t="s">
        <v>19986</v>
      </c>
      <c r="J8020" s="3" t="str">
        <f>HYPERLINK("https://www.boe.es/gazeta/dias/1812/04/28/pdfs/GRE-1812-53.pdf#page=7","Abrir facsímil")</f>
        <v>Abrir facsímil</v>
      </c>
      <c r="K8020" s="3" t="s">
        <v>23</v>
      </c>
    </row>
    <row r="8021" spans="1:11" ht="42" customHeight="1">
      <c r="A8021" s="2" t="s">
        <v>19987</v>
      </c>
      <c r="B8021" s="2" t="s">
        <v>19988</v>
      </c>
      <c r="C8021" s="2" t="s">
        <v>105</v>
      </c>
      <c r="D8021" s="2" t="s">
        <v>27</v>
      </c>
      <c r="E8021" s="4">
        <v>-31833</v>
      </c>
      <c r="F8021" s="3" t="s">
        <v>267</v>
      </c>
      <c r="G8021" s="3" t="s">
        <v>268</v>
      </c>
      <c r="H8021" s="2" t="s">
        <v>21</v>
      </c>
      <c r="I8021" s="2" t="s">
        <v>19989</v>
      </c>
      <c r="J8021" s="3" t="str">
        <f>HYPERLINK("https://www.boe.es/gazeta/dias/1812/11/03/pdfs/GRE-1812-147.pdf#page=8","Abrir facsímil")</f>
        <v>Abrir facsímil</v>
      </c>
      <c r="K8021" s="3" t="s">
        <v>23</v>
      </c>
    </row>
    <row r="8022" spans="1:11" ht="42" customHeight="1">
      <c r="A8022" s="2" t="s">
        <v>19987</v>
      </c>
      <c r="B8022" s="2" t="s">
        <v>19988</v>
      </c>
      <c r="C8022" s="2" t="s">
        <v>105</v>
      </c>
      <c r="D8022" s="2" t="s">
        <v>27</v>
      </c>
      <c r="E8022" s="4">
        <v>-31816</v>
      </c>
      <c r="F8022" s="3" t="s">
        <v>270</v>
      </c>
      <c r="G8022" s="3" t="s">
        <v>271</v>
      </c>
      <c r="H8022" s="2" t="s">
        <v>21</v>
      </c>
      <c r="I8022" s="2" t="s">
        <v>19990</v>
      </c>
      <c r="J8022" s="3" t="str">
        <f>HYPERLINK("https://www.boe.es/gazeta/dias/1812/11/20/pdfs/GMR-1812-36.pdf#page=6","Abrir facsímil")</f>
        <v>Abrir facsímil</v>
      </c>
      <c r="K8022" s="3" t="s">
        <v>23</v>
      </c>
    </row>
    <row r="8023" spans="1:11" ht="42" customHeight="1">
      <c r="A8023" s="2" t="s">
        <v>19991</v>
      </c>
      <c r="B8023" s="2" t="s">
        <v>19992</v>
      </c>
      <c r="C8023" s="2" t="s">
        <v>17</v>
      </c>
      <c r="D8023" s="2" t="s">
        <v>18</v>
      </c>
      <c r="E8023" s="4">
        <v>-32040</v>
      </c>
      <c r="F8023" s="3" t="s">
        <v>682</v>
      </c>
      <c r="G8023" s="3" t="s">
        <v>683</v>
      </c>
      <c r="H8023" s="2" t="s">
        <v>21</v>
      </c>
      <c r="I8023" s="2" t="s">
        <v>19993</v>
      </c>
      <c r="J8023" s="3" t="str">
        <f>HYPERLINK("https://www.boe.es/gazeta/dias/1812/04/10/pdfs/GMD-1812-101.pdf#page=1","Abrir facsímil")</f>
        <v>Abrir facsímil</v>
      </c>
      <c r="K8023" s="3" t="s">
        <v>23</v>
      </c>
    </row>
    <row r="8024" spans="1:11" ht="42" customHeight="1">
      <c r="A8024" s="2" t="s">
        <v>19994</v>
      </c>
      <c r="B8024" s="2" t="s">
        <v>19995</v>
      </c>
      <c r="C8024" s="2" t="s">
        <v>26</v>
      </c>
      <c r="D8024" s="2" t="s">
        <v>27</v>
      </c>
      <c r="E8024" s="4">
        <v>-32032</v>
      </c>
      <c r="F8024" s="3" t="s">
        <v>421</v>
      </c>
      <c r="G8024" s="3" t="s">
        <v>777</v>
      </c>
      <c r="H8024" s="2" t="s">
        <v>21</v>
      </c>
      <c r="I8024" s="2" t="s">
        <v>19996</v>
      </c>
      <c r="J8024" s="3" t="str">
        <f>HYPERLINK("https://www.boe.es/gazeta/dias/1812/04/18/pdfs/GRE-1812-49.pdf#page=3","Abrir facsímil")</f>
        <v>Abrir facsímil</v>
      </c>
      <c r="K8024" s="3" t="s">
        <v>23</v>
      </c>
    </row>
    <row r="8025" spans="1:11" ht="42" customHeight="1">
      <c r="A8025" s="2" t="s">
        <v>19997</v>
      </c>
      <c r="B8025" s="2" t="s">
        <v>19998</v>
      </c>
      <c r="C8025" s="2" t="s">
        <v>26</v>
      </c>
      <c r="D8025" s="2" t="s">
        <v>27</v>
      </c>
      <c r="E8025" s="4">
        <v>-32095</v>
      </c>
      <c r="F8025" s="3" t="s">
        <v>284</v>
      </c>
      <c r="G8025" s="3" t="s">
        <v>29</v>
      </c>
      <c r="H8025" s="2" t="s">
        <v>21</v>
      </c>
      <c r="I8025" s="2" t="s">
        <v>19999</v>
      </c>
      <c r="J8025" s="3" t="str">
        <f>HYPERLINK("https://www.boe.es/gazeta/dias/1812/02/15/pdfs/GRE-1812-20.pdf#page=8","Abrir facsímil")</f>
        <v>Abrir facsímil</v>
      </c>
      <c r="K8025" s="3" t="s">
        <v>23</v>
      </c>
    </row>
    <row r="8026" spans="1:11" ht="42" customHeight="1">
      <c r="A8026" s="2" t="s">
        <v>20000</v>
      </c>
      <c r="B8026" s="2" t="s">
        <v>20001</v>
      </c>
      <c r="C8026" s="2" t="s">
        <v>26</v>
      </c>
      <c r="D8026" s="2" t="s">
        <v>27</v>
      </c>
      <c r="E8026" s="4">
        <v>-32137</v>
      </c>
      <c r="F8026" s="3" t="s">
        <v>355</v>
      </c>
      <c r="G8026" s="3" t="s">
        <v>117</v>
      </c>
      <c r="H8026" s="2" t="s">
        <v>21</v>
      </c>
      <c r="I8026" s="2" t="s">
        <v>20002</v>
      </c>
      <c r="J8026" s="3" t="str">
        <f>HYPERLINK("https://www.boe.es/gazeta/dias/1812/01/04/pdfs/GEI-1812-2.pdf#page=8","Abrir facsímil")</f>
        <v>Abrir facsímil</v>
      </c>
      <c r="K8026" s="3" t="s">
        <v>23</v>
      </c>
    </row>
    <row r="8027" spans="1:11" ht="42" customHeight="1">
      <c r="A8027" s="2" t="s">
        <v>20003</v>
      </c>
      <c r="B8027" s="2" t="s">
        <v>20004</v>
      </c>
      <c r="C8027" s="2" t="s">
        <v>105</v>
      </c>
      <c r="D8027" s="2" t="s">
        <v>27</v>
      </c>
      <c r="E8027" s="4">
        <v>-32109</v>
      </c>
      <c r="F8027" s="3" t="s">
        <v>62</v>
      </c>
      <c r="G8027" s="3" t="s">
        <v>106</v>
      </c>
      <c r="H8027" s="2" t="s">
        <v>21</v>
      </c>
      <c r="I8027" s="2" t="s">
        <v>20005</v>
      </c>
      <c r="J8027" s="3" t="str">
        <f>HYPERLINK("https://www.boe.es/gazeta/dias/1812/02/01/pdfs/GRE-1812-14.pdf#page=11","Abrir facsímil")</f>
        <v>Abrir facsímil</v>
      </c>
      <c r="K8027" s="3" t="s">
        <v>23</v>
      </c>
    </row>
    <row r="8028" spans="1:11" ht="42" customHeight="1">
      <c r="A8028" s="2" t="s">
        <v>20006</v>
      </c>
      <c r="B8028" s="2" t="s">
        <v>20007</v>
      </c>
      <c r="C8028" s="2" t="s">
        <v>26</v>
      </c>
      <c r="D8028" s="2" t="s">
        <v>573</v>
      </c>
      <c r="E8028" s="4">
        <v>-31900</v>
      </c>
      <c r="F8028" s="3" t="s">
        <v>276</v>
      </c>
      <c r="G8028" s="3" t="s">
        <v>277</v>
      </c>
      <c r="H8028" s="2" t="s">
        <v>21</v>
      </c>
      <c r="I8028" s="2" t="s">
        <v>20008</v>
      </c>
      <c r="J8028" s="3" t="str">
        <f>HYPERLINK("https://www.boe.es/gazeta/dias/1812/08/28/pdfs/GRE-1812-113E.pdf#page=8","Abrir facsímil")</f>
        <v>Abrir facsímil</v>
      </c>
      <c r="K8028" s="3" t="s">
        <v>23</v>
      </c>
    </row>
    <row r="8029" spans="1:11" ht="42" customHeight="1">
      <c r="A8029" s="2" t="s">
        <v>20009</v>
      </c>
      <c r="B8029" s="2" t="s">
        <v>20010</v>
      </c>
      <c r="C8029" s="2" t="s">
        <v>17</v>
      </c>
      <c r="D8029" s="2" t="s">
        <v>27</v>
      </c>
      <c r="E8029" s="4">
        <v>-32018</v>
      </c>
      <c r="F8029" s="3" t="s">
        <v>365</v>
      </c>
      <c r="G8029" s="3" t="s">
        <v>366</v>
      </c>
      <c r="H8029" s="2" t="s">
        <v>21</v>
      </c>
      <c r="I8029" s="2" t="s">
        <v>20011</v>
      </c>
      <c r="J8029" s="3" t="str">
        <f>HYPERLINK("https://www.boe.es/gazeta/dias/1812/05/02/pdfs/GRE-1812-55.pdf#page=3","Abrir facsímil")</f>
        <v>Abrir facsímil</v>
      </c>
      <c r="K8029" s="3" t="s">
        <v>23</v>
      </c>
    </row>
    <row r="8030" spans="1:11" ht="42" customHeight="1">
      <c r="A8030" s="2" t="s">
        <v>20012</v>
      </c>
      <c r="B8030" s="2" t="s">
        <v>20013</v>
      </c>
      <c r="C8030" s="2" t="s">
        <v>26</v>
      </c>
      <c r="D8030" s="2" t="s">
        <v>27</v>
      </c>
      <c r="E8030" s="4">
        <v>-32137</v>
      </c>
      <c r="F8030" s="3" t="s">
        <v>355</v>
      </c>
      <c r="G8030" s="3" t="s">
        <v>117</v>
      </c>
      <c r="H8030" s="2" t="s">
        <v>21</v>
      </c>
      <c r="I8030" s="2" t="s">
        <v>20014</v>
      </c>
      <c r="J8030" s="3" t="str">
        <f>HYPERLINK("https://www.boe.es/gazeta/dias/1812/01/04/pdfs/GEI-1812-2.pdf#page=8","Abrir facsímil")</f>
        <v>Abrir facsímil</v>
      </c>
      <c r="K8030" s="3" t="s">
        <v>23</v>
      </c>
    </row>
    <row r="8031" spans="1:11" ht="42" customHeight="1">
      <c r="A8031" s="2" t="s">
        <v>20015</v>
      </c>
      <c r="B8031" s="2" t="s">
        <v>20016</v>
      </c>
      <c r="C8031" s="2" t="s">
        <v>26</v>
      </c>
      <c r="D8031" s="2" t="s">
        <v>27</v>
      </c>
      <c r="E8031" s="4">
        <v>-31942</v>
      </c>
      <c r="F8031" s="3" t="s">
        <v>3065</v>
      </c>
      <c r="G8031" s="3" t="s">
        <v>3066</v>
      </c>
      <c r="H8031" s="2" t="s">
        <v>21</v>
      </c>
      <c r="I8031" s="2" t="s">
        <v>20017</v>
      </c>
      <c r="J8031" s="3" t="str">
        <f>HYPERLINK("https://www.boe.es/gazeta/dias/1812/07/17/pdfs/GMD-1812-199.pdf#page=3","Abrir facsímil")</f>
        <v>Abrir facsímil</v>
      </c>
      <c r="K8031" s="3" t="s">
        <v>23</v>
      </c>
    </row>
    <row r="8032" spans="1:11" ht="42" customHeight="1">
      <c r="A8032" s="2" t="s">
        <v>20018</v>
      </c>
      <c r="B8032" s="2" t="s">
        <v>20019</v>
      </c>
      <c r="C8032" s="2" t="s">
        <v>17</v>
      </c>
      <c r="D8032" s="2" t="s">
        <v>18</v>
      </c>
      <c r="E8032" s="4">
        <v>-32139</v>
      </c>
      <c r="F8032" s="3" t="s">
        <v>518</v>
      </c>
      <c r="G8032" s="3" t="s">
        <v>214</v>
      </c>
      <c r="H8032" s="2" t="s">
        <v>21</v>
      </c>
      <c r="I8032" s="2" t="s">
        <v>20020</v>
      </c>
      <c r="J8032" s="3" t="str">
        <f>HYPERLINK("https://www.boe.es/gazeta/dias/1812/01/02/pdfs/GEI-1812-1.pdf#page=7","Abrir facsímil")</f>
        <v>Abrir facsímil</v>
      </c>
      <c r="K8032" s="3" t="s">
        <v>23</v>
      </c>
    </row>
    <row r="8033" spans="1:11" ht="42" customHeight="1">
      <c r="A8033" s="2" t="s">
        <v>20021</v>
      </c>
      <c r="B8033" s="2" t="s">
        <v>20022</v>
      </c>
      <c r="C8033" s="2" t="s">
        <v>26</v>
      </c>
      <c r="D8033" s="2" t="s">
        <v>275</v>
      </c>
      <c r="E8033" s="4">
        <v>-32005</v>
      </c>
      <c r="F8033" s="3" t="s">
        <v>2696</v>
      </c>
      <c r="G8033" s="3" t="s">
        <v>140</v>
      </c>
      <c r="H8033" s="2" t="s">
        <v>21</v>
      </c>
      <c r="I8033" s="2" t="s">
        <v>20023</v>
      </c>
      <c r="J8033" s="3" t="str">
        <f>HYPERLINK("https://www.boe.es/gazeta/dias/1812/05/15/pdfs/GMD-1812-136.pdf#page=2","Abrir facsímil")</f>
        <v>Abrir facsímil</v>
      </c>
      <c r="K8033" s="3" t="s">
        <v>23</v>
      </c>
    </row>
    <row r="8034" spans="1:11" ht="42" customHeight="1">
      <c r="A8034" s="2" t="s">
        <v>20024</v>
      </c>
      <c r="B8034" s="2" t="s">
        <v>20025</v>
      </c>
      <c r="C8034" s="2" t="s">
        <v>67</v>
      </c>
      <c r="D8034" s="2" t="s">
        <v>27</v>
      </c>
      <c r="E8034" s="4">
        <v>-31857</v>
      </c>
      <c r="F8034" s="3" t="s">
        <v>2176</v>
      </c>
      <c r="G8034" s="3" t="s">
        <v>217</v>
      </c>
      <c r="H8034" s="2" t="s">
        <v>21</v>
      </c>
      <c r="I8034" s="2" t="s">
        <v>20026</v>
      </c>
      <c r="J8034" s="3" t="str">
        <f>HYPERLINK("https://www.boe.es/gazeta/dias/1812/10/10/pdfs/GMR-1812-25.pdf#page=7","Abrir facsímil")</f>
        <v>Abrir facsímil</v>
      </c>
      <c r="K8034" s="3" t="s">
        <v>23</v>
      </c>
    </row>
    <row r="8035" spans="1:11" ht="42" customHeight="1">
      <c r="A8035" s="2" t="s">
        <v>20027</v>
      </c>
      <c r="B8035" s="2" t="s">
        <v>20028</v>
      </c>
      <c r="C8035" s="2" t="s">
        <v>17</v>
      </c>
      <c r="D8035" s="2" t="s">
        <v>27</v>
      </c>
      <c r="E8035" s="4">
        <v>-31945</v>
      </c>
      <c r="F8035" s="3" t="s">
        <v>1485</v>
      </c>
      <c r="G8035" s="3" t="s">
        <v>45</v>
      </c>
      <c r="H8035" s="2" t="s">
        <v>21</v>
      </c>
      <c r="I8035" s="2" t="s">
        <v>20029</v>
      </c>
      <c r="J8035" s="3" t="str">
        <f>HYPERLINK("https://www.boe.es/gazeta/dias/1812/07/14/pdfs/GRE-1812-88.pdf#page=3","Abrir facsímil")</f>
        <v>Abrir facsímil</v>
      </c>
      <c r="K8035" s="3" t="s">
        <v>23</v>
      </c>
    </row>
    <row r="8036" spans="1:11" ht="42" customHeight="1">
      <c r="A8036" s="2" t="s">
        <v>20030</v>
      </c>
      <c r="B8036" s="2" t="s">
        <v>20031</v>
      </c>
      <c r="C8036" s="2" t="s">
        <v>17</v>
      </c>
      <c r="D8036" s="2" t="s">
        <v>27</v>
      </c>
      <c r="E8036" s="4">
        <v>-31917</v>
      </c>
      <c r="F8036" s="3" t="s">
        <v>946</v>
      </c>
      <c r="G8036" s="3" t="s">
        <v>947</v>
      </c>
      <c r="H8036" s="2" t="s">
        <v>21</v>
      </c>
      <c r="I8036" s="2" t="s">
        <v>20032</v>
      </c>
      <c r="J8036" s="3" t="str">
        <f>HYPERLINK("https://www.boe.es/gazeta/dias/1812/08/11/pdfs/GRE-1812-103.pdf#page=8","Abrir facsímil")</f>
        <v>Abrir facsímil</v>
      </c>
      <c r="K8036" s="3" t="s">
        <v>23</v>
      </c>
    </row>
    <row r="8037" spans="1:11" ht="42" customHeight="1">
      <c r="A8037" s="2" t="s">
        <v>20033</v>
      </c>
      <c r="B8037" s="2" t="s">
        <v>20034</v>
      </c>
      <c r="C8037" s="2" t="s">
        <v>49</v>
      </c>
      <c r="D8037" s="2" t="s">
        <v>27</v>
      </c>
      <c r="E8037" s="4">
        <v>-32076</v>
      </c>
      <c r="F8037" s="3" t="s">
        <v>1610</v>
      </c>
      <c r="G8037" s="3" t="s">
        <v>36</v>
      </c>
      <c r="H8037" s="2" t="s">
        <v>21</v>
      </c>
      <c r="I8037" s="2" t="s">
        <v>20035</v>
      </c>
      <c r="J8037" s="3" t="str">
        <f>HYPERLINK("https://www.boe.es/gazeta/dias/1812/03/05/pdfs/GMD-1812-65.pdf#page=3","Abrir facsímil")</f>
        <v>Abrir facsímil</v>
      </c>
      <c r="K8037" s="3" t="s">
        <v>23</v>
      </c>
    </row>
    <row r="8038" spans="1:11" ht="42" customHeight="1">
      <c r="A8038" s="2" t="s">
        <v>20036</v>
      </c>
      <c r="B8038" s="2" t="s">
        <v>20037</v>
      </c>
      <c r="C8038" s="2" t="s">
        <v>26</v>
      </c>
      <c r="D8038" s="2" t="s">
        <v>27</v>
      </c>
      <c r="E8038" s="4">
        <v>-32097</v>
      </c>
      <c r="F8038" s="3" t="s">
        <v>3797</v>
      </c>
      <c r="G8038" s="3" t="s">
        <v>3802</v>
      </c>
      <c r="H8038" s="2" t="s">
        <v>21</v>
      </c>
      <c r="I8038" s="2" t="s">
        <v>20038</v>
      </c>
      <c r="J8038" s="3" t="str">
        <f>HYPERLINK("https://www.boe.es/gazeta/dias/1812/02/13/pdfs/GRE-1812-19.pdf#page=2","Abrir facsímil")</f>
        <v>Abrir facsímil</v>
      </c>
      <c r="K8038" s="3" t="s">
        <v>23</v>
      </c>
    </row>
    <row r="8039" spans="1:11" ht="42" customHeight="1">
      <c r="A8039" s="2" t="s">
        <v>20039</v>
      </c>
      <c r="B8039" s="2" t="s">
        <v>20040</v>
      </c>
      <c r="C8039" s="2" t="s">
        <v>26</v>
      </c>
      <c r="D8039" s="2" t="s">
        <v>27</v>
      </c>
      <c r="E8039" s="4">
        <v>-32125</v>
      </c>
      <c r="F8039" s="3" t="s">
        <v>335</v>
      </c>
      <c r="G8039" s="3" t="s">
        <v>336</v>
      </c>
      <c r="H8039" s="2" t="s">
        <v>21</v>
      </c>
      <c r="I8039" s="2" t="s">
        <v>20041</v>
      </c>
      <c r="J8039" s="3" t="str">
        <f>HYPERLINK("https://www.boe.es/gazeta/dias/1812/01/16/pdfs/GEI-1812-7.pdf#page=8","Abrir facsímil")</f>
        <v>Abrir facsímil</v>
      </c>
      <c r="K8039" s="3" t="s">
        <v>23</v>
      </c>
    </row>
    <row r="8040" spans="1:11" ht="42" customHeight="1">
      <c r="A8040" s="2" t="s">
        <v>20042</v>
      </c>
      <c r="B8040" s="2" t="s">
        <v>20043</v>
      </c>
      <c r="C8040" s="2" t="s">
        <v>26</v>
      </c>
      <c r="D8040" s="2" t="s">
        <v>27</v>
      </c>
      <c r="E8040" s="4">
        <v>-31939</v>
      </c>
      <c r="F8040" s="3" t="s">
        <v>408</v>
      </c>
      <c r="G8040" s="3" t="s">
        <v>20</v>
      </c>
      <c r="H8040" s="2" t="s">
        <v>21</v>
      </c>
      <c r="I8040" s="2" t="s">
        <v>20044</v>
      </c>
      <c r="J8040" s="3" t="str">
        <f>HYPERLINK("https://www.boe.es/gazeta/dias/1812/07/20/pdfs/GMD-1812-202.pdf#page=4","Abrir facsímil")</f>
        <v>Abrir facsímil</v>
      </c>
      <c r="K8040" s="3" t="s">
        <v>23</v>
      </c>
    </row>
    <row r="8041" spans="1:11" ht="42" customHeight="1">
      <c r="A8041" s="2" t="s">
        <v>20045</v>
      </c>
      <c r="B8041" s="2" t="s">
        <v>20046</v>
      </c>
      <c r="C8041" s="2" t="s">
        <v>17</v>
      </c>
      <c r="D8041" s="2" t="s">
        <v>573</v>
      </c>
      <c r="E8041" s="4">
        <v>-31900</v>
      </c>
      <c r="F8041" s="3" t="s">
        <v>276</v>
      </c>
      <c r="G8041" s="3" t="s">
        <v>277</v>
      </c>
      <c r="H8041" s="2" t="s">
        <v>21</v>
      </c>
      <c r="I8041" s="2" t="s">
        <v>20047</v>
      </c>
      <c r="J8041" s="3" t="str">
        <f>HYPERLINK("https://www.boe.es/gazeta/dias/1812/08/28/pdfs/GRE-1812-113E.pdf#page=8","Abrir facsímil")</f>
        <v>Abrir facsímil</v>
      </c>
      <c r="K8041" s="3" t="s">
        <v>23</v>
      </c>
    </row>
    <row r="8042" spans="1:11" ht="42" customHeight="1">
      <c r="A8042" s="2" t="s">
        <v>20048</v>
      </c>
      <c r="B8042" s="2" t="s">
        <v>20049</v>
      </c>
      <c r="C8042" s="2" t="s">
        <v>26</v>
      </c>
      <c r="D8042" s="2" t="s">
        <v>27</v>
      </c>
      <c r="E8042" s="4">
        <v>-32011</v>
      </c>
      <c r="F8042" s="3" t="s">
        <v>1656</v>
      </c>
      <c r="G8042" s="3" t="s">
        <v>777</v>
      </c>
      <c r="H8042" s="2" t="s">
        <v>21</v>
      </c>
      <c r="I8042" s="2" t="s">
        <v>20050</v>
      </c>
      <c r="J8042" s="3" t="str">
        <f>HYPERLINK("https://www.boe.es/gazeta/dias/1812/05/09/pdfs/GMD-1812-130.pdf#page=2","Abrir facsímil")</f>
        <v>Abrir facsímil</v>
      </c>
      <c r="K8042" s="3" t="s">
        <v>23</v>
      </c>
    </row>
    <row r="8043" spans="1:11" ht="42" customHeight="1">
      <c r="A8043" s="2" t="s">
        <v>20051</v>
      </c>
      <c r="B8043" s="2" t="s">
        <v>20052</v>
      </c>
      <c r="C8043" s="2" t="s">
        <v>17</v>
      </c>
      <c r="D8043" s="2" t="s">
        <v>27</v>
      </c>
      <c r="E8043" s="4">
        <v>-32022</v>
      </c>
      <c r="F8043" s="3" t="s">
        <v>1186</v>
      </c>
      <c r="G8043" s="3" t="s">
        <v>336</v>
      </c>
      <c r="H8043" s="2" t="s">
        <v>21</v>
      </c>
      <c r="I8043" s="2" t="s">
        <v>20053</v>
      </c>
      <c r="J8043" s="3" t="str">
        <f>HYPERLINK("https://www.boe.es/gazeta/dias/1812/04/28/pdfs/GRE-1812-53.pdf#page=8","Abrir facsímil")</f>
        <v>Abrir facsímil</v>
      </c>
      <c r="K8043" s="3" t="s">
        <v>23</v>
      </c>
    </row>
    <row r="8044" spans="1:11" ht="42" customHeight="1">
      <c r="A8044" s="2" t="s">
        <v>20054</v>
      </c>
      <c r="B8044" s="2" t="s">
        <v>20055</v>
      </c>
      <c r="C8044" s="2" t="s">
        <v>26</v>
      </c>
      <c r="D8044" s="2" t="s">
        <v>27</v>
      </c>
      <c r="E8044" s="4">
        <v>-32106</v>
      </c>
      <c r="F8044" s="3" t="s">
        <v>166</v>
      </c>
      <c r="G8044" s="3" t="s">
        <v>167</v>
      </c>
      <c r="H8044" s="2" t="s">
        <v>21</v>
      </c>
      <c r="I8044" s="2" t="s">
        <v>20056</v>
      </c>
      <c r="J8044" s="3" t="str">
        <f>HYPERLINK("https://www.boe.es/gazeta/dias/1812/02/04/pdfs/GRE-1812-15.pdf#page=5","Abrir facsímil")</f>
        <v>Abrir facsímil</v>
      </c>
      <c r="K8044" s="3" t="s">
        <v>23</v>
      </c>
    </row>
    <row r="8045" spans="1:11" ht="42" customHeight="1">
      <c r="A8045" s="2" t="s">
        <v>20057</v>
      </c>
      <c r="B8045" s="2" t="s">
        <v>20058</v>
      </c>
      <c r="C8045" s="2" t="s">
        <v>26</v>
      </c>
      <c r="D8045" s="2" t="s">
        <v>27</v>
      </c>
      <c r="E8045" s="4">
        <v>-31936</v>
      </c>
      <c r="F8045" s="3" t="s">
        <v>614</v>
      </c>
      <c r="G8045" s="3" t="s">
        <v>615</v>
      </c>
      <c r="H8045" s="2" t="s">
        <v>21</v>
      </c>
      <c r="I8045" s="2" t="s">
        <v>20059</v>
      </c>
      <c r="J8045" s="3" t="str">
        <f>HYPERLINK("https://www.boe.es/gazeta/dias/1812/07/23/pdfs/GRE-1812-92.pdf#page=8","Abrir facsímil")</f>
        <v>Abrir facsímil</v>
      </c>
      <c r="K8045" s="3" t="s">
        <v>23</v>
      </c>
    </row>
    <row r="8046" spans="1:11" ht="42" customHeight="1">
      <c r="A8046" s="2" t="s">
        <v>20060</v>
      </c>
      <c r="B8046" s="2" t="s">
        <v>20061</v>
      </c>
      <c r="C8046" s="2" t="s">
        <v>549</v>
      </c>
      <c r="D8046" s="2" t="s">
        <v>27</v>
      </c>
      <c r="E8046" s="4">
        <v>-31857</v>
      </c>
      <c r="F8046" s="3" t="s">
        <v>1000</v>
      </c>
      <c r="G8046" s="3" t="s">
        <v>1001</v>
      </c>
      <c r="H8046" s="2" t="s">
        <v>21</v>
      </c>
      <c r="I8046" s="2" t="s">
        <v>20062</v>
      </c>
      <c r="J8046" s="3" t="str">
        <f>HYPERLINK("https://www.boe.es/gazeta/dias/1812/10/10/pdfs/GRE-1812-137.pdf#page=7","Abrir facsímil")</f>
        <v>Abrir facsímil</v>
      </c>
      <c r="K8046" s="3" t="s">
        <v>23</v>
      </c>
    </row>
    <row r="8047" spans="1:11" ht="42" customHeight="1">
      <c r="A8047" s="2" t="s">
        <v>20063</v>
      </c>
      <c r="B8047" s="2" t="s">
        <v>20063</v>
      </c>
      <c r="C8047" s="2" t="s">
        <v>115</v>
      </c>
      <c r="D8047" s="2" t="s">
        <v>27</v>
      </c>
      <c r="E8047" s="4">
        <v>-32062</v>
      </c>
      <c r="F8047" s="3" t="s">
        <v>280</v>
      </c>
      <c r="G8047" s="3" t="s">
        <v>20</v>
      </c>
      <c r="H8047" s="2" t="s">
        <v>21</v>
      </c>
      <c r="I8047" s="2" t="s">
        <v>20064</v>
      </c>
      <c r="J8047" s="3" t="str">
        <f>HYPERLINK("https://www.boe.es/gazeta/dias/1812/03/19/pdfs/GMD-1812-79.pdf#page=4","Abrir facsímil")</f>
        <v>Abrir facsímil</v>
      </c>
      <c r="K8047" s="3" t="s">
        <v>23</v>
      </c>
    </row>
    <row r="8048" spans="1:11" ht="42" customHeight="1">
      <c r="A8048" s="2" t="s">
        <v>20065</v>
      </c>
      <c r="B8048" s="2" t="s">
        <v>20065</v>
      </c>
      <c r="C8048" s="2" t="s">
        <v>17</v>
      </c>
      <c r="D8048" s="2" t="s">
        <v>27</v>
      </c>
      <c r="E8048" s="4">
        <v>-32009</v>
      </c>
      <c r="F8048" s="3" t="s">
        <v>8049</v>
      </c>
      <c r="G8048" s="3" t="s">
        <v>4086</v>
      </c>
      <c r="H8048" s="2" t="s">
        <v>21</v>
      </c>
      <c r="I8048" s="2" t="s">
        <v>20066</v>
      </c>
      <c r="J8048" s="3" t="str">
        <f>HYPERLINK("https://www.boe.es/gazeta/dias/1812/05/11/pdfs/GMD-1812-132.pdf#page=2","Abrir facsímil")</f>
        <v>Abrir facsímil</v>
      </c>
      <c r="K8048" s="3" t="s">
        <v>23</v>
      </c>
    </row>
    <row r="8049" spans="1:11" ht="42" customHeight="1">
      <c r="A8049" s="2" t="s">
        <v>20067</v>
      </c>
      <c r="B8049" s="2" t="s">
        <v>20068</v>
      </c>
      <c r="C8049" s="2" t="s">
        <v>17</v>
      </c>
      <c r="D8049" s="2" t="s">
        <v>18</v>
      </c>
      <c r="E8049" s="4">
        <v>-31857</v>
      </c>
      <c r="F8049" s="3" t="s">
        <v>1000</v>
      </c>
      <c r="G8049" s="3" t="s">
        <v>1001</v>
      </c>
      <c r="H8049" s="2" t="s">
        <v>21</v>
      </c>
      <c r="I8049" s="2" t="s">
        <v>20069</v>
      </c>
      <c r="J8049" s="3" t="str">
        <f>HYPERLINK("https://www.boe.es/gazeta/dias/1812/10/10/pdfs/GRE-1812-137.pdf#page=7","Abrir facsímil")</f>
        <v>Abrir facsímil</v>
      </c>
      <c r="K8049" s="3" t="s">
        <v>23</v>
      </c>
    </row>
    <row r="8050" spans="1:11" ht="42" customHeight="1">
      <c r="A8050" s="2" t="s">
        <v>20070</v>
      </c>
      <c r="B8050" s="2" t="s">
        <v>20070</v>
      </c>
      <c r="C8050" s="2" t="s">
        <v>26</v>
      </c>
      <c r="D8050" s="2" t="s">
        <v>27</v>
      </c>
      <c r="E8050" s="4">
        <v>-32122</v>
      </c>
      <c r="F8050" s="3" t="s">
        <v>1389</v>
      </c>
      <c r="G8050" s="3" t="s">
        <v>2812</v>
      </c>
      <c r="H8050" s="2" t="s">
        <v>21</v>
      </c>
      <c r="I8050" s="2" t="s">
        <v>20071</v>
      </c>
      <c r="J8050" s="3" t="str">
        <f>HYPERLINK("https://www.boe.es/gazeta/dias/1812/01/19/pdfs/GMD-1812-19.pdf#page=4","Abrir facsímil")</f>
        <v>Abrir facsímil</v>
      </c>
      <c r="K8050" s="3" t="s">
        <v>23</v>
      </c>
    </row>
    <row r="8051" spans="1:11" ht="42" customHeight="1">
      <c r="A8051" s="2" t="s">
        <v>20072</v>
      </c>
      <c r="B8051" s="2" t="s">
        <v>20073</v>
      </c>
      <c r="C8051" s="2" t="s">
        <v>26</v>
      </c>
      <c r="D8051" s="2" t="s">
        <v>27</v>
      </c>
      <c r="E8051" s="4">
        <v>-31882</v>
      </c>
      <c r="F8051" s="3" t="s">
        <v>1798</v>
      </c>
      <c r="G8051" s="3" t="s">
        <v>1799</v>
      </c>
      <c r="H8051" s="2" t="s">
        <v>21</v>
      </c>
      <c r="I8051" s="2" t="s">
        <v>20074</v>
      </c>
      <c r="J8051" s="3" t="str">
        <f>HYPERLINK("https://www.boe.es/gazeta/dias/1812/09/15/pdfs/GMR-1812-14.pdf#page=12","Abrir facsímil")</f>
        <v>Abrir facsímil</v>
      </c>
      <c r="K8051" s="3" t="s">
        <v>23</v>
      </c>
    </row>
    <row r="8052" spans="1:11" ht="42" customHeight="1">
      <c r="A8052" s="2" t="s">
        <v>20075</v>
      </c>
      <c r="B8052" s="2" t="s">
        <v>20075</v>
      </c>
      <c r="C8052" s="2" t="s">
        <v>26</v>
      </c>
      <c r="D8052" s="2" t="s">
        <v>27</v>
      </c>
      <c r="E8052" s="4">
        <v>-32010</v>
      </c>
      <c r="F8052" s="3" t="s">
        <v>243</v>
      </c>
      <c r="G8052" s="3" t="s">
        <v>620</v>
      </c>
      <c r="H8052" s="2" t="s">
        <v>21</v>
      </c>
      <c r="I8052" s="2" t="s">
        <v>20076</v>
      </c>
      <c r="J8052" s="3" t="str">
        <f>HYPERLINK("https://www.boe.es/gazeta/dias/1812/05/10/pdfs/GMD-1812-131.pdf#page=2","Abrir facsímil")</f>
        <v>Abrir facsímil</v>
      </c>
      <c r="K8052" s="3" t="s">
        <v>23</v>
      </c>
    </row>
    <row r="8053" spans="1:11" ht="42" customHeight="1">
      <c r="A8053" s="2" t="s">
        <v>20077</v>
      </c>
      <c r="B8053" s="2" t="s">
        <v>20078</v>
      </c>
      <c r="C8053" s="2" t="s">
        <v>26</v>
      </c>
      <c r="D8053" s="2" t="s">
        <v>27</v>
      </c>
      <c r="E8053" s="4">
        <v>-31875</v>
      </c>
      <c r="F8053" s="3" t="s">
        <v>708</v>
      </c>
      <c r="G8053" s="3" t="s">
        <v>130</v>
      </c>
      <c r="H8053" s="2" t="s">
        <v>21</v>
      </c>
      <c r="I8053" s="2" t="s">
        <v>20079</v>
      </c>
      <c r="J8053" s="3" t="str">
        <f>HYPERLINK("https://www.boe.es/gazeta/dias/1812/09/22/pdfs/GMR-1812-17.pdf#page=4","Abrir facsímil")</f>
        <v>Abrir facsímil</v>
      </c>
      <c r="K8053" s="3" t="s">
        <v>23</v>
      </c>
    </row>
    <row r="8054" spans="1:11" ht="42" customHeight="1">
      <c r="A8054" s="2" t="s">
        <v>20080</v>
      </c>
      <c r="B8054" s="2" t="s">
        <v>20081</v>
      </c>
      <c r="C8054" s="2" t="s">
        <v>26</v>
      </c>
      <c r="D8054" s="2" t="s">
        <v>27</v>
      </c>
      <c r="E8054" s="4">
        <v>-31955</v>
      </c>
      <c r="F8054" s="3" t="s">
        <v>789</v>
      </c>
      <c r="G8054" s="3" t="s">
        <v>237</v>
      </c>
      <c r="H8054" s="2" t="s">
        <v>21</v>
      </c>
      <c r="I8054" s="2" t="s">
        <v>20082</v>
      </c>
      <c r="J8054" s="3" t="str">
        <f>HYPERLINK("https://www.boe.es/gazeta/dias/1812/07/04/pdfs/GRE-1812-82.pdf#page=8","Abrir facsímil")</f>
        <v>Abrir facsímil</v>
      </c>
      <c r="K8054" s="3" t="s">
        <v>23</v>
      </c>
    </row>
    <row r="8055" spans="1:11" ht="42" customHeight="1">
      <c r="A8055" s="2" t="s">
        <v>20083</v>
      </c>
      <c r="B8055" s="2" t="s">
        <v>20084</v>
      </c>
      <c r="C8055" s="2" t="s">
        <v>17</v>
      </c>
      <c r="D8055" s="2" t="s">
        <v>27</v>
      </c>
      <c r="E8055" s="4">
        <v>-32127</v>
      </c>
      <c r="F8055" s="3" t="s">
        <v>88</v>
      </c>
      <c r="G8055" s="3" t="s">
        <v>2650</v>
      </c>
      <c r="H8055" s="2" t="s">
        <v>21</v>
      </c>
      <c r="I8055" s="2" t="s">
        <v>20085</v>
      </c>
      <c r="J8055" s="3" t="str">
        <f>HYPERLINK("https://www.boe.es/gazeta/dias/1812/01/14/pdfs/GEI-1812-6.pdf#page=3","Abrir facsímil")</f>
        <v>Abrir facsímil</v>
      </c>
      <c r="K8055" s="3" t="s">
        <v>23</v>
      </c>
    </row>
    <row r="8056" spans="1:11" ht="42" customHeight="1">
      <c r="A8056" s="2" t="s">
        <v>20086</v>
      </c>
      <c r="B8056" s="2" t="s">
        <v>20086</v>
      </c>
      <c r="C8056" s="2" t="s">
        <v>17</v>
      </c>
      <c r="D8056" s="2" t="s">
        <v>27</v>
      </c>
      <c r="E8056" s="4">
        <v>-31794</v>
      </c>
      <c r="F8056" s="3" t="s">
        <v>254</v>
      </c>
      <c r="G8056" s="3" t="s">
        <v>255</v>
      </c>
      <c r="H8056" s="2" t="s">
        <v>21</v>
      </c>
      <c r="I8056" s="2" t="s">
        <v>20087</v>
      </c>
      <c r="J8056" s="3" t="str">
        <f>HYPERLINK("https://www.boe.es/gazeta/dias/1812/12/12/pdfs/GMD-1812-235.pdf#page=1","Abrir facsímil")</f>
        <v>Abrir facsímil</v>
      </c>
      <c r="K8056" s="3" t="s">
        <v>23</v>
      </c>
    </row>
    <row r="8057" spans="1:11" ht="42" customHeight="1">
      <c r="A8057" s="2" t="s">
        <v>20088</v>
      </c>
      <c r="B8057" s="2" t="s">
        <v>20089</v>
      </c>
      <c r="C8057" s="2" t="s">
        <v>49</v>
      </c>
      <c r="D8057" s="2" t="s">
        <v>27</v>
      </c>
      <c r="E8057" s="4">
        <v>-32075</v>
      </c>
      <c r="F8057" s="3" t="s">
        <v>301</v>
      </c>
      <c r="G8057" s="3" t="s">
        <v>20</v>
      </c>
      <c r="H8057" s="2" t="s">
        <v>21</v>
      </c>
      <c r="I8057" s="2" t="s">
        <v>20090</v>
      </c>
      <c r="J8057" s="3" t="str">
        <f>HYPERLINK("https://www.boe.es/gazeta/dias/1812/03/06/pdfs/GMD-1812-66.pdf#page=4","Abrir facsímil")</f>
        <v>Abrir facsímil</v>
      </c>
      <c r="K8057" s="3" t="s">
        <v>23</v>
      </c>
    </row>
    <row r="8058" spans="1:11" ht="42" customHeight="1">
      <c r="A8058" s="2" t="s">
        <v>20091</v>
      </c>
      <c r="B8058" s="2" t="s">
        <v>20091</v>
      </c>
      <c r="C8058" s="2" t="s">
        <v>17</v>
      </c>
      <c r="D8058" s="2" t="s">
        <v>194</v>
      </c>
      <c r="E8058" s="4">
        <v>-32135</v>
      </c>
      <c r="F8058" s="3" t="s">
        <v>4558</v>
      </c>
      <c r="G8058" s="3" t="s">
        <v>214</v>
      </c>
      <c r="H8058" s="2" t="s">
        <v>21</v>
      </c>
      <c r="I8058" s="2" t="s">
        <v>20092</v>
      </c>
      <c r="J8058" s="3" t="str">
        <f>HYPERLINK("https://www.boe.es/gazeta/dias/1812/01/06/pdfs/GMD-1812-7.pdf#page=1","Abrir facsímil")</f>
        <v>Abrir facsímil</v>
      </c>
      <c r="K8058" s="3" t="s">
        <v>23</v>
      </c>
    </row>
    <row r="8059" spans="1:11" ht="42" customHeight="1">
      <c r="A8059" s="2" t="s">
        <v>20091</v>
      </c>
      <c r="B8059" s="2" t="s">
        <v>20091</v>
      </c>
      <c r="C8059" s="2" t="s">
        <v>17</v>
      </c>
      <c r="D8059" s="2" t="s">
        <v>194</v>
      </c>
      <c r="E8059" s="4">
        <v>-32134</v>
      </c>
      <c r="F8059" s="3" t="s">
        <v>4558</v>
      </c>
      <c r="G8059" s="3" t="s">
        <v>214</v>
      </c>
      <c r="H8059" s="2" t="s">
        <v>21</v>
      </c>
      <c r="I8059" s="2" t="s">
        <v>20092</v>
      </c>
      <c r="J8059" s="3" t="str">
        <f>HYPERLINK("https://www.boe.es/gazeta/dias/1812/01/07/pdfs/GMD-1812-7.pdf#page=1","Abrir facsímil")</f>
        <v>Abrir facsímil</v>
      </c>
      <c r="K8059" s="3" t="s">
        <v>23</v>
      </c>
    </row>
    <row r="8060" spans="1:11" ht="42" customHeight="1">
      <c r="A8060" s="2" t="s">
        <v>20093</v>
      </c>
      <c r="B8060" s="2" t="s">
        <v>20093</v>
      </c>
      <c r="C8060" s="2" t="s">
        <v>17</v>
      </c>
      <c r="D8060" s="2" t="s">
        <v>27</v>
      </c>
      <c r="E8060" s="4">
        <v>-32025</v>
      </c>
      <c r="F8060" s="3" t="s">
        <v>2323</v>
      </c>
      <c r="G8060" s="3" t="s">
        <v>45</v>
      </c>
      <c r="H8060" s="2" t="s">
        <v>21</v>
      </c>
      <c r="I8060" s="2" t="s">
        <v>20094</v>
      </c>
      <c r="J8060" s="3" t="str">
        <f>HYPERLINK("https://www.boe.es/gazeta/dias/1812/04/25/pdfs/GRE-1812-52.pdf#page=6","Abrir facsímil")</f>
        <v>Abrir facsímil</v>
      </c>
      <c r="K8060" s="3" t="s">
        <v>23</v>
      </c>
    </row>
    <row r="8061" spans="1:11" ht="42" customHeight="1">
      <c r="A8061" s="2" t="s">
        <v>20095</v>
      </c>
      <c r="B8061" s="2" t="s">
        <v>20095</v>
      </c>
      <c r="C8061" s="2" t="s">
        <v>17</v>
      </c>
      <c r="D8061" s="2" t="s">
        <v>27</v>
      </c>
      <c r="E8061" s="4">
        <v>-31800</v>
      </c>
      <c r="F8061" s="3" t="s">
        <v>593</v>
      </c>
      <c r="G8061" s="3" t="s">
        <v>594</v>
      </c>
      <c r="H8061" s="2" t="s">
        <v>21</v>
      </c>
      <c r="I8061" s="2" t="s">
        <v>20096</v>
      </c>
      <c r="J8061" s="3" t="str">
        <f>HYPERLINK("https://www.boe.es/gazeta/dias/1812/12/06/pdfs/GMD-1812-229.pdf#page=3","Abrir facsímil")</f>
        <v>Abrir facsímil</v>
      </c>
      <c r="K8061" s="3" t="s">
        <v>23</v>
      </c>
    </row>
    <row r="8062" spans="1:11" ht="42" customHeight="1">
      <c r="A8062" s="2" t="s">
        <v>20097</v>
      </c>
      <c r="B8062" s="2" t="s">
        <v>20097</v>
      </c>
      <c r="C8062" s="2" t="s">
        <v>17</v>
      </c>
      <c r="D8062" s="2" t="s">
        <v>27</v>
      </c>
      <c r="E8062" s="4">
        <v>-32079</v>
      </c>
      <c r="F8062" s="3" t="s">
        <v>11654</v>
      </c>
      <c r="G8062" s="3" t="s">
        <v>715</v>
      </c>
      <c r="H8062" s="2" t="s">
        <v>21</v>
      </c>
      <c r="I8062" s="2" t="s">
        <v>20098</v>
      </c>
      <c r="J8062" s="3" t="str">
        <f>HYPERLINK("https://www.boe.es/gazeta/dias/1812/03/02/pdfs/GMD-1812-62.pdf#page=4","Abrir facsímil")</f>
        <v>Abrir facsímil</v>
      </c>
      <c r="K8062" s="3" t="s">
        <v>23</v>
      </c>
    </row>
    <row r="8063" spans="1:11" ht="42" customHeight="1">
      <c r="A8063" s="2" t="s">
        <v>20099</v>
      </c>
      <c r="B8063" s="2" t="s">
        <v>20100</v>
      </c>
      <c r="C8063" s="2" t="s">
        <v>17</v>
      </c>
      <c r="D8063" s="2" t="s">
        <v>18</v>
      </c>
      <c r="E8063" s="4">
        <v>-32083</v>
      </c>
      <c r="F8063" s="3" t="s">
        <v>1496</v>
      </c>
      <c r="G8063" s="3" t="s">
        <v>237</v>
      </c>
      <c r="H8063" s="2" t="s">
        <v>21</v>
      </c>
      <c r="I8063" s="2" t="s">
        <v>20101</v>
      </c>
      <c r="J8063" s="3" t="str">
        <f>HYPERLINK("https://www.boe.es/gazeta/dias/1812/02/27/pdfs/GRE-1812-26.pdf#page=8","Abrir facsímil")</f>
        <v>Abrir facsímil</v>
      </c>
      <c r="K8063" s="3" t="s">
        <v>23</v>
      </c>
    </row>
    <row r="8064" spans="1:11" ht="42" customHeight="1">
      <c r="A8064" s="2" t="s">
        <v>20102</v>
      </c>
      <c r="B8064" s="2" t="s">
        <v>20103</v>
      </c>
      <c r="C8064" s="2" t="s">
        <v>17</v>
      </c>
      <c r="D8064" s="2" t="s">
        <v>18</v>
      </c>
      <c r="E8064" s="4">
        <v>-32090</v>
      </c>
      <c r="F8064" s="3" t="s">
        <v>142</v>
      </c>
      <c r="G8064" s="3" t="s">
        <v>29</v>
      </c>
      <c r="H8064" s="2" t="s">
        <v>21</v>
      </c>
      <c r="I8064" s="2" t="s">
        <v>20104</v>
      </c>
      <c r="J8064" s="3" t="str">
        <f>HYPERLINK("https://www.boe.es/gazeta/dias/1812/02/20/pdfs/GRE-1812-22.pdf#page=8","Abrir facsímil")</f>
        <v>Abrir facsímil</v>
      </c>
      <c r="K8064" s="3" t="s">
        <v>23</v>
      </c>
    </row>
    <row r="8065" spans="1:11" ht="42" customHeight="1">
      <c r="A8065" s="2" t="s">
        <v>20105</v>
      </c>
      <c r="B8065" s="2" t="s">
        <v>20106</v>
      </c>
      <c r="C8065" s="2" t="s">
        <v>26</v>
      </c>
      <c r="D8065" s="2" t="s">
        <v>27</v>
      </c>
      <c r="E8065" s="4">
        <v>-32095</v>
      </c>
      <c r="F8065" s="3" t="s">
        <v>284</v>
      </c>
      <c r="G8065" s="3" t="s">
        <v>29</v>
      </c>
      <c r="H8065" s="2" t="s">
        <v>21</v>
      </c>
      <c r="I8065" s="2" t="s">
        <v>20107</v>
      </c>
      <c r="J8065" s="3" t="str">
        <f>HYPERLINK("https://www.boe.es/gazeta/dias/1812/02/15/pdfs/GRE-1812-20.pdf#page=8","Abrir facsímil")</f>
        <v>Abrir facsímil</v>
      </c>
      <c r="K8065" s="3" t="s">
        <v>23</v>
      </c>
    </row>
    <row r="8066" spans="1:11" ht="42" customHeight="1">
      <c r="A8066" s="2" t="s">
        <v>20108</v>
      </c>
      <c r="B8066" s="2" t="s">
        <v>20109</v>
      </c>
      <c r="C8066" s="2" t="s">
        <v>26</v>
      </c>
      <c r="D8066" s="2" t="s">
        <v>27</v>
      </c>
      <c r="E8066" s="4">
        <v>-32018</v>
      </c>
      <c r="F8066" s="3" t="s">
        <v>365</v>
      </c>
      <c r="G8066" s="3" t="s">
        <v>366</v>
      </c>
      <c r="H8066" s="2" t="s">
        <v>21</v>
      </c>
      <c r="I8066" s="2" t="s">
        <v>20110</v>
      </c>
      <c r="J8066" s="3" t="str">
        <f>HYPERLINK("https://www.boe.es/gazeta/dias/1812/05/02/pdfs/GRE-1812-55.pdf#page=3","Abrir facsímil")</f>
        <v>Abrir facsímil</v>
      </c>
      <c r="K8066" s="3" t="s">
        <v>23</v>
      </c>
    </row>
    <row r="8067" spans="1:11" ht="42" customHeight="1">
      <c r="A8067" s="2" t="s">
        <v>20111</v>
      </c>
      <c r="B8067" s="2" t="s">
        <v>20112</v>
      </c>
      <c r="C8067" s="2" t="s">
        <v>67</v>
      </c>
      <c r="D8067" s="2" t="s">
        <v>27</v>
      </c>
      <c r="E8067" s="4">
        <v>-32110</v>
      </c>
      <c r="F8067" s="3" t="s">
        <v>68</v>
      </c>
      <c r="G8067" s="3" t="s">
        <v>20</v>
      </c>
      <c r="H8067" s="2" t="s">
        <v>21</v>
      </c>
      <c r="I8067" s="2" t="s">
        <v>20113</v>
      </c>
      <c r="J8067" s="3" t="str">
        <f>HYPERLINK("https://www.boe.es/gazeta/dias/1812/01/31/pdfs/GMD-1812-31.pdf#page=3","Abrir facsímil")</f>
        <v>Abrir facsímil</v>
      </c>
      <c r="K8067" s="3" t="s">
        <v>23</v>
      </c>
    </row>
    <row r="8068" spans="1:11" ht="42" customHeight="1">
      <c r="A8068" s="2" t="s">
        <v>20114</v>
      </c>
      <c r="B8068" s="2" t="s">
        <v>20115</v>
      </c>
      <c r="C8068" s="2" t="s">
        <v>26</v>
      </c>
      <c r="D8068" s="2" t="s">
        <v>27</v>
      </c>
      <c r="E8068" s="4">
        <v>-32125</v>
      </c>
      <c r="F8068" s="3" t="s">
        <v>335</v>
      </c>
      <c r="G8068" s="3" t="s">
        <v>336</v>
      </c>
      <c r="H8068" s="2" t="s">
        <v>21</v>
      </c>
      <c r="I8068" s="2" t="s">
        <v>20116</v>
      </c>
      <c r="J8068" s="3" t="str">
        <f>HYPERLINK("https://www.boe.es/gazeta/dias/1812/01/16/pdfs/GEI-1812-7.pdf#page=8","Abrir facsímil")</f>
        <v>Abrir facsímil</v>
      </c>
      <c r="K8068" s="3" t="s">
        <v>23</v>
      </c>
    </row>
    <row r="8069" spans="1:11" ht="42" customHeight="1">
      <c r="A8069" s="2" t="s">
        <v>20117</v>
      </c>
      <c r="B8069" s="2" t="s">
        <v>20118</v>
      </c>
      <c r="C8069" s="2" t="s">
        <v>17</v>
      </c>
      <c r="D8069" s="2" t="s">
        <v>27</v>
      </c>
      <c r="E8069" s="4">
        <v>-31966</v>
      </c>
      <c r="F8069" s="3" t="s">
        <v>3665</v>
      </c>
      <c r="G8069" s="3" t="s">
        <v>10027</v>
      </c>
      <c r="H8069" s="2" t="s">
        <v>21</v>
      </c>
      <c r="I8069" s="2" t="s">
        <v>20119</v>
      </c>
      <c r="J8069" s="3" t="str">
        <f>HYPERLINK("https://www.boe.es/gazeta/dias/1812/06/23/pdfs/GRE-1812-77.pdf#page=2","Abrir facsímil")</f>
        <v>Abrir facsímil</v>
      </c>
      <c r="K8069" s="3" t="s">
        <v>23</v>
      </c>
    </row>
    <row r="8070" spans="1:11" ht="42" customHeight="1">
      <c r="A8070" s="2" t="s">
        <v>20120</v>
      </c>
      <c r="B8070" s="2" t="s">
        <v>20121</v>
      </c>
      <c r="C8070" s="2" t="s">
        <v>26</v>
      </c>
      <c r="D8070" s="2" t="s">
        <v>27</v>
      </c>
      <c r="E8070" s="4">
        <v>-31922</v>
      </c>
      <c r="F8070" s="3" t="s">
        <v>622</v>
      </c>
      <c r="G8070" s="3" t="s">
        <v>6059</v>
      </c>
      <c r="H8070" s="2" t="s">
        <v>30</v>
      </c>
      <c r="I8070" s="2" t="s">
        <v>20122</v>
      </c>
      <c r="J8070" s="3" t="str">
        <f>HYPERLINK("https://www.boe.es/gazeta/dias/1812/08/06/pdfs/GMD-1812-219.pdf#page=3","Abrir facsímil")</f>
        <v>Abrir facsímil</v>
      </c>
      <c r="K8070" s="3" t="s">
        <v>32</v>
      </c>
    </row>
    <row r="8071" spans="1:11" ht="42" customHeight="1">
      <c r="A8071" s="2" t="s">
        <v>20123</v>
      </c>
      <c r="B8071" s="2" t="s">
        <v>20124</v>
      </c>
      <c r="C8071" s="2" t="s">
        <v>26</v>
      </c>
      <c r="D8071" s="2" t="s">
        <v>27</v>
      </c>
      <c r="E8071" s="4">
        <v>-32060</v>
      </c>
      <c r="F8071" s="3" t="s">
        <v>399</v>
      </c>
      <c r="G8071" s="3" t="s">
        <v>136</v>
      </c>
      <c r="H8071" s="2" t="s">
        <v>21</v>
      </c>
      <c r="I8071" s="2" t="s">
        <v>20125</v>
      </c>
      <c r="J8071" s="3" t="str">
        <f>HYPERLINK("https://www.boe.es/gazeta/dias/1812/03/21/pdfs/GMD-1812-81.pdf#page=4","Abrir facsímil")</f>
        <v>Abrir facsímil</v>
      </c>
      <c r="K8071" s="3" t="s">
        <v>23</v>
      </c>
    </row>
    <row r="8072" spans="1:11" ht="42" customHeight="1">
      <c r="A8072" s="2" t="s">
        <v>20126</v>
      </c>
      <c r="B8072" s="2" t="s">
        <v>20127</v>
      </c>
      <c r="C8072" s="2" t="s">
        <v>26</v>
      </c>
      <c r="D8072" s="2" t="s">
        <v>27</v>
      </c>
      <c r="E8072" s="4">
        <v>-31938</v>
      </c>
      <c r="F8072" s="3" t="s">
        <v>324</v>
      </c>
      <c r="G8072" s="3" t="s">
        <v>497</v>
      </c>
      <c r="H8072" s="2" t="s">
        <v>21</v>
      </c>
      <c r="I8072" s="2" t="s">
        <v>20128</v>
      </c>
      <c r="J8072" s="3" t="str">
        <f>HYPERLINK("https://www.boe.es/gazeta/dias/1812/07/21/pdfs/GMD-1812-203.pdf#page=3","Abrir facsímil")</f>
        <v>Abrir facsímil</v>
      </c>
      <c r="K8072" s="3" t="s">
        <v>23</v>
      </c>
    </row>
    <row r="8073" spans="1:11" ht="42" customHeight="1">
      <c r="A8073" s="2" t="s">
        <v>20129</v>
      </c>
      <c r="B8073" s="2" t="s">
        <v>20129</v>
      </c>
      <c r="C8073" s="2" t="s">
        <v>17</v>
      </c>
      <c r="D8073" s="2" t="s">
        <v>27</v>
      </c>
      <c r="E8073" s="4">
        <v>-31783</v>
      </c>
      <c r="F8073" s="3" t="s">
        <v>2074</v>
      </c>
      <c r="G8073" s="3" t="s">
        <v>4078</v>
      </c>
      <c r="H8073" s="2" t="s">
        <v>21</v>
      </c>
      <c r="I8073" s="2" t="s">
        <v>20130</v>
      </c>
      <c r="J8073" s="3" t="str">
        <f>HYPERLINK("https://www.boe.es/gazeta/dias/1812/12/23/pdfs/GMD-1812-246.pdf#page=2","Abrir facsímil")</f>
        <v>Abrir facsímil</v>
      </c>
      <c r="K8073" s="3" t="s">
        <v>23</v>
      </c>
    </row>
    <row r="8074" spans="1:11" ht="42" customHeight="1">
      <c r="A8074" s="2" t="s">
        <v>20131</v>
      </c>
      <c r="B8074" s="2" t="s">
        <v>20132</v>
      </c>
      <c r="C8074" s="2" t="s">
        <v>26</v>
      </c>
      <c r="D8074" s="2" t="s">
        <v>27</v>
      </c>
      <c r="E8074" s="4">
        <v>-32109</v>
      </c>
      <c r="F8074" s="3" t="s">
        <v>62</v>
      </c>
      <c r="G8074" s="3" t="s">
        <v>63</v>
      </c>
      <c r="H8074" s="2" t="s">
        <v>21</v>
      </c>
      <c r="I8074" s="2" t="s">
        <v>20133</v>
      </c>
      <c r="J8074" s="3" t="str">
        <f>HYPERLINK("https://www.boe.es/gazeta/dias/1812/02/01/pdfs/GRE-1812-14.pdf#page=10","Abrir facsímil")</f>
        <v>Abrir facsímil</v>
      </c>
      <c r="K8074" s="3" t="s">
        <v>23</v>
      </c>
    </row>
    <row r="8075" spans="1:11" ht="42" customHeight="1">
      <c r="A8075" s="2" t="s">
        <v>20134</v>
      </c>
      <c r="B8075" s="2" t="s">
        <v>20135</v>
      </c>
      <c r="C8075" s="2" t="s">
        <v>26</v>
      </c>
      <c r="D8075" s="2" t="s">
        <v>27</v>
      </c>
      <c r="E8075" s="4">
        <v>-31934</v>
      </c>
      <c r="F8075" s="3" t="s">
        <v>509</v>
      </c>
      <c r="G8075" s="3" t="s">
        <v>20136</v>
      </c>
      <c r="H8075" s="2" t="s">
        <v>21</v>
      </c>
      <c r="I8075" s="2" t="s">
        <v>20137</v>
      </c>
      <c r="J8075" s="3" t="str">
        <f>HYPERLINK("https://www.boe.es/gazeta/dias/1812/07/25/pdfs/GRE-1812-93.pdf#page=7","Abrir facsímil")</f>
        <v>Abrir facsímil</v>
      </c>
      <c r="K8075" s="3" t="s">
        <v>23</v>
      </c>
    </row>
    <row r="8076" spans="1:11" ht="42" customHeight="1">
      <c r="A8076" s="2" t="s">
        <v>20138</v>
      </c>
      <c r="B8076" s="2" t="s">
        <v>20139</v>
      </c>
      <c r="C8076" s="2" t="s">
        <v>26</v>
      </c>
      <c r="D8076" s="2" t="s">
        <v>27</v>
      </c>
      <c r="E8076" s="4">
        <v>-32034</v>
      </c>
      <c r="F8076" s="3" t="s">
        <v>28</v>
      </c>
      <c r="G8076" s="3" t="s">
        <v>45</v>
      </c>
      <c r="H8076" s="2" t="s">
        <v>21</v>
      </c>
      <c r="I8076" s="2" t="s">
        <v>20140</v>
      </c>
      <c r="J8076" s="3" t="str">
        <f>HYPERLINK("https://www.boe.es/gazeta/dias/1812/04/16/pdfs/GMD-1812-107.pdf#page=5","Abrir facsímil")</f>
        <v>Abrir facsímil</v>
      </c>
      <c r="K8076" s="3" t="s">
        <v>23</v>
      </c>
    </row>
    <row r="8077" spans="1:11" ht="42" customHeight="1">
      <c r="A8077" s="2" t="s">
        <v>20141</v>
      </c>
      <c r="B8077" s="2" t="s">
        <v>20142</v>
      </c>
      <c r="C8077" s="2" t="s">
        <v>26</v>
      </c>
      <c r="D8077" s="2" t="s">
        <v>27</v>
      </c>
      <c r="E8077" s="4">
        <v>-32044</v>
      </c>
      <c r="F8077" s="3" t="s">
        <v>1031</v>
      </c>
      <c r="G8077" s="3" t="s">
        <v>20</v>
      </c>
      <c r="H8077" s="2" t="s">
        <v>21</v>
      </c>
      <c r="I8077" s="2" t="s">
        <v>20143</v>
      </c>
      <c r="J8077" s="3" t="str">
        <f>HYPERLINK("https://www.boe.es/gazeta/dias/1812/04/06/pdfs/GMD-1812-97.pdf#page=3","Abrir facsímil")</f>
        <v>Abrir facsímil</v>
      </c>
      <c r="K8077" s="3" t="s">
        <v>23</v>
      </c>
    </row>
    <row r="8078" spans="1:11" ht="42" customHeight="1">
      <c r="A8078" s="2" t="s">
        <v>20144</v>
      </c>
      <c r="B8078" s="2" t="s">
        <v>20145</v>
      </c>
      <c r="C8078" s="2" t="s">
        <v>26</v>
      </c>
      <c r="D8078" s="2" t="s">
        <v>27</v>
      </c>
      <c r="E8078" s="4">
        <v>-32100</v>
      </c>
      <c r="F8078" s="3" t="s">
        <v>492</v>
      </c>
      <c r="G8078" s="3" t="s">
        <v>493</v>
      </c>
      <c r="H8078" s="2" t="s">
        <v>21</v>
      </c>
      <c r="I8078" s="2" t="s">
        <v>20146</v>
      </c>
      <c r="J8078" s="3" t="str">
        <f>HYPERLINK("https://www.boe.es/gazeta/dias/1812/02/10/pdfs/GRE-1812-31.pdf#page=8","Abrir facsímil")</f>
        <v>Abrir facsímil</v>
      </c>
      <c r="K8078" s="3" t="s">
        <v>23</v>
      </c>
    </row>
    <row r="8079" spans="1:11" ht="42" customHeight="1">
      <c r="A8079" s="2" t="s">
        <v>20144</v>
      </c>
      <c r="B8079" s="2" t="s">
        <v>20145</v>
      </c>
      <c r="C8079" s="2" t="s">
        <v>26</v>
      </c>
      <c r="D8079" s="2" t="s">
        <v>27</v>
      </c>
      <c r="E8079" s="4">
        <v>-32071</v>
      </c>
      <c r="F8079" s="3" t="s">
        <v>492</v>
      </c>
      <c r="G8079" s="3" t="s">
        <v>493</v>
      </c>
      <c r="H8079" s="2" t="s">
        <v>21</v>
      </c>
      <c r="I8079" s="2" t="s">
        <v>20146</v>
      </c>
      <c r="J8079" s="3" t="str">
        <f>HYPERLINK("https://www.boe.es/gazeta/dias/1812/03/10/pdfs/GRE-1812-31.pdf#page=8","Abrir facsímil")</f>
        <v>Abrir facsímil</v>
      </c>
      <c r="K8079" s="3" t="s">
        <v>23</v>
      </c>
    </row>
    <row r="8080" spans="1:11" ht="42" customHeight="1">
      <c r="A8080" s="2" t="s">
        <v>20147</v>
      </c>
      <c r="B8080" s="2" t="s">
        <v>20148</v>
      </c>
      <c r="C8080" s="2" t="s">
        <v>26</v>
      </c>
      <c r="D8080" s="2" t="s">
        <v>27</v>
      </c>
      <c r="E8080" s="4">
        <v>-31980</v>
      </c>
      <c r="F8080" s="3" t="s">
        <v>40</v>
      </c>
      <c r="G8080" s="3" t="s">
        <v>41</v>
      </c>
      <c r="H8080" s="2" t="s">
        <v>21</v>
      </c>
      <c r="I8080" s="2" t="s">
        <v>20149</v>
      </c>
      <c r="J8080" s="3" t="str">
        <f>HYPERLINK("https://www.boe.es/gazeta/dias/1812/06/09/pdfs/GRE-1812-71.pdf#page=6","Abrir facsímil")</f>
        <v>Abrir facsímil</v>
      </c>
      <c r="K8080" s="3" t="s">
        <v>23</v>
      </c>
    </row>
    <row r="8081" spans="1:11" ht="42" customHeight="1">
      <c r="A8081" s="2" t="s">
        <v>20147</v>
      </c>
      <c r="B8081" s="2" t="s">
        <v>20148</v>
      </c>
      <c r="C8081" s="2" t="s">
        <v>26</v>
      </c>
      <c r="D8081" s="2" t="s">
        <v>27</v>
      </c>
      <c r="E8081" s="4">
        <v>-31938</v>
      </c>
      <c r="F8081" s="3" t="s">
        <v>324</v>
      </c>
      <c r="G8081" s="3" t="s">
        <v>497</v>
      </c>
      <c r="H8081" s="2" t="s">
        <v>21</v>
      </c>
      <c r="I8081" s="2" t="s">
        <v>20150</v>
      </c>
      <c r="J8081" s="3" t="str">
        <f>HYPERLINK("https://www.boe.es/gazeta/dias/1812/07/21/pdfs/GMD-1812-203.pdf#page=3","Abrir facsímil")</f>
        <v>Abrir facsímil</v>
      </c>
      <c r="K8081" s="3" t="s">
        <v>23</v>
      </c>
    </row>
    <row r="8082" spans="1:11" ht="42" customHeight="1">
      <c r="A8082" s="2" t="s">
        <v>20151</v>
      </c>
      <c r="B8082" s="2" t="s">
        <v>20152</v>
      </c>
      <c r="C8082" s="2" t="s">
        <v>17</v>
      </c>
      <c r="D8082" s="2" t="s">
        <v>18</v>
      </c>
      <c r="E8082" s="4">
        <v>-32111</v>
      </c>
      <c r="F8082" s="3" t="s">
        <v>553</v>
      </c>
      <c r="G8082" s="3" t="s">
        <v>58</v>
      </c>
      <c r="H8082" s="2" t="s">
        <v>21</v>
      </c>
      <c r="I8082" s="2" t="s">
        <v>20153</v>
      </c>
      <c r="J8082" s="3" t="str">
        <f>HYPERLINK("https://www.boe.es/gazeta/dias/1812/01/30/pdfs/GRE-1812-13.pdf#page=4","Abrir facsímil")</f>
        <v>Abrir facsímil</v>
      </c>
      <c r="K8082" s="3" t="s">
        <v>23</v>
      </c>
    </row>
    <row r="8083" spans="1:11" ht="42" customHeight="1">
      <c r="A8083" s="2" t="s">
        <v>20154</v>
      </c>
      <c r="B8083" s="2" t="s">
        <v>20154</v>
      </c>
      <c r="C8083" s="2" t="s">
        <v>17</v>
      </c>
      <c r="D8083" s="2" t="s">
        <v>18</v>
      </c>
      <c r="E8083" s="4">
        <v>-32018</v>
      </c>
      <c r="F8083" s="3" t="s">
        <v>365</v>
      </c>
      <c r="G8083" s="3" t="s">
        <v>688</v>
      </c>
      <c r="H8083" s="2" t="s">
        <v>21</v>
      </c>
      <c r="I8083" s="2" t="s">
        <v>20155</v>
      </c>
      <c r="J8083" s="3" t="str">
        <f>HYPERLINK("https://www.boe.es/gazeta/dias/1812/05/02/pdfs/GRE-1812-55.pdf#page=8","Abrir facsímil")</f>
        <v>Abrir facsímil</v>
      </c>
      <c r="K8083" s="3" t="s">
        <v>23</v>
      </c>
    </row>
    <row r="8084" spans="1:11" ht="42" customHeight="1">
      <c r="A8084" s="2" t="s">
        <v>20156</v>
      </c>
      <c r="B8084" s="2" t="s">
        <v>20157</v>
      </c>
      <c r="C8084" s="2" t="s">
        <v>26</v>
      </c>
      <c r="D8084" s="2" t="s">
        <v>27</v>
      </c>
      <c r="E8084" s="4">
        <v>-31938</v>
      </c>
      <c r="F8084" s="3" t="s">
        <v>324</v>
      </c>
      <c r="G8084" s="3" t="s">
        <v>497</v>
      </c>
      <c r="H8084" s="2" t="s">
        <v>21</v>
      </c>
      <c r="I8084" s="2" t="s">
        <v>20158</v>
      </c>
      <c r="J8084" s="3" t="str">
        <f>HYPERLINK("https://www.boe.es/gazeta/dias/1812/07/21/pdfs/GMD-1812-203.pdf#page=3","Abrir facsímil")</f>
        <v>Abrir facsímil</v>
      </c>
      <c r="K8084" s="3" t="s">
        <v>23</v>
      </c>
    </row>
    <row r="8085" spans="1:11" ht="42" customHeight="1">
      <c r="A8085" s="2" t="s">
        <v>20159</v>
      </c>
      <c r="B8085" s="2" t="s">
        <v>20159</v>
      </c>
      <c r="C8085" s="2" t="s">
        <v>17</v>
      </c>
      <c r="D8085" s="2" t="s">
        <v>18</v>
      </c>
      <c r="E8085" s="4">
        <v>-31829</v>
      </c>
      <c r="F8085" s="3" t="s">
        <v>328</v>
      </c>
      <c r="G8085" s="3" t="s">
        <v>1842</v>
      </c>
      <c r="H8085" s="2" t="s">
        <v>21</v>
      </c>
      <c r="I8085" s="2" t="s">
        <v>20160</v>
      </c>
      <c r="J8085" s="3" t="str">
        <f>HYPERLINK("https://www.boe.es/gazeta/dias/1812/11/07/pdfs/GMD-1812-227.pdf#page=3","Abrir facsímil")</f>
        <v>Abrir facsímil</v>
      </c>
      <c r="K8085" s="3" t="s">
        <v>23</v>
      </c>
    </row>
    <row r="8086" spans="1:11" ht="42" customHeight="1">
      <c r="A8086" s="2" t="s">
        <v>20161</v>
      </c>
      <c r="B8086" s="2" t="s">
        <v>20162</v>
      </c>
      <c r="C8086" s="2" t="s">
        <v>26</v>
      </c>
      <c r="D8086" s="2" t="s">
        <v>194</v>
      </c>
      <c r="E8086" s="4">
        <v>-31964</v>
      </c>
      <c r="F8086" s="3" t="s">
        <v>305</v>
      </c>
      <c r="G8086" s="3" t="s">
        <v>306</v>
      </c>
      <c r="H8086" s="2" t="s">
        <v>21</v>
      </c>
      <c r="I8086" s="2" t="s">
        <v>20163</v>
      </c>
      <c r="J8086" s="3" t="str">
        <f>HYPERLINK("https://www.boe.es/gazeta/dias/1812/06/25/pdfs/GMD-1812-177.pdf#page=3","Abrir facsímil")</f>
        <v>Abrir facsímil</v>
      </c>
      <c r="K8086" s="3" t="s">
        <v>23</v>
      </c>
    </row>
    <row r="8087" spans="1:11" ht="42" customHeight="1">
      <c r="A8087" s="2" t="s">
        <v>20164</v>
      </c>
      <c r="B8087" s="2" t="s">
        <v>20165</v>
      </c>
      <c r="C8087" s="2" t="s">
        <v>26</v>
      </c>
      <c r="D8087" s="2" t="s">
        <v>27</v>
      </c>
      <c r="E8087" s="4">
        <v>-32125</v>
      </c>
      <c r="F8087" s="3" t="s">
        <v>335</v>
      </c>
      <c r="G8087" s="3" t="s">
        <v>336</v>
      </c>
      <c r="H8087" s="2" t="s">
        <v>21</v>
      </c>
      <c r="I8087" s="2" t="s">
        <v>20166</v>
      </c>
      <c r="J8087" s="3" t="str">
        <f>HYPERLINK("https://www.boe.es/gazeta/dias/1812/01/16/pdfs/GEI-1812-7.pdf#page=8","Abrir facsímil")</f>
        <v>Abrir facsímil</v>
      </c>
      <c r="K8087" s="3" t="s">
        <v>23</v>
      </c>
    </row>
    <row r="8088" spans="1:11" ht="42" customHeight="1">
      <c r="A8088" s="2" t="s">
        <v>20167</v>
      </c>
      <c r="B8088" s="2" t="s">
        <v>20168</v>
      </c>
      <c r="C8088" s="2" t="s">
        <v>26</v>
      </c>
      <c r="D8088" s="2" t="s">
        <v>27</v>
      </c>
      <c r="E8088" s="4">
        <v>-31980</v>
      </c>
      <c r="F8088" s="3" t="s">
        <v>40</v>
      </c>
      <c r="G8088" s="3" t="s">
        <v>41</v>
      </c>
      <c r="H8088" s="2" t="s">
        <v>21</v>
      </c>
      <c r="I8088" s="2" t="s">
        <v>20169</v>
      </c>
      <c r="J8088" s="3" t="str">
        <f>HYPERLINK("https://www.boe.es/gazeta/dias/1812/06/09/pdfs/GRE-1812-71.pdf#page=6","Abrir facsímil")</f>
        <v>Abrir facsímil</v>
      </c>
      <c r="K8088" s="3" t="s">
        <v>23</v>
      </c>
    </row>
    <row r="8089" spans="1:11" ht="42" customHeight="1">
      <c r="A8089" s="2" t="s">
        <v>20170</v>
      </c>
      <c r="B8089" s="2" t="s">
        <v>20171</v>
      </c>
      <c r="C8089" s="2" t="s">
        <v>105</v>
      </c>
      <c r="D8089" s="2" t="s">
        <v>27</v>
      </c>
      <c r="E8089" s="4">
        <v>-32055</v>
      </c>
      <c r="F8089" s="3" t="s">
        <v>1271</v>
      </c>
      <c r="G8089" s="3" t="s">
        <v>130</v>
      </c>
      <c r="H8089" s="2" t="s">
        <v>21</v>
      </c>
      <c r="I8089" s="2" t="s">
        <v>20172</v>
      </c>
      <c r="J8089" s="3" t="str">
        <f>HYPERLINK("https://www.boe.es/gazeta/dias/1812/03/26/pdfs/GMD-1812-86.pdf#page=4","Abrir facsímil")</f>
        <v>Abrir facsímil</v>
      </c>
      <c r="K8089" s="3" t="s">
        <v>23</v>
      </c>
    </row>
    <row r="8090" spans="1:11" ht="42" customHeight="1">
      <c r="A8090" s="2" t="s">
        <v>20173</v>
      </c>
      <c r="B8090" s="2" t="s">
        <v>20174</v>
      </c>
      <c r="C8090" s="2" t="s">
        <v>67</v>
      </c>
      <c r="D8090" s="2" t="s">
        <v>27</v>
      </c>
      <c r="E8090" s="4">
        <v>-32069</v>
      </c>
      <c r="F8090" s="3" t="s">
        <v>445</v>
      </c>
      <c r="G8090" s="3" t="s">
        <v>446</v>
      </c>
      <c r="H8090" s="2" t="s">
        <v>21</v>
      </c>
      <c r="I8090" s="2" t="s">
        <v>20175</v>
      </c>
      <c r="J8090" s="3" t="str">
        <f>HYPERLINK("https://www.boe.es/gazeta/dias/1812/03/12/pdfs/GRE-1812-32.pdf#page=8","Abrir facsímil")</f>
        <v>Abrir facsímil</v>
      </c>
      <c r="K8090" s="3" t="s">
        <v>23</v>
      </c>
    </row>
    <row r="8091" spans="1:11" ht="42" customHeight="1">
      <c r="A8091" s="2" t="s">
        <v>20176</v>
      </c>
      <c r="B8091" s="2" t="s">
        <v>20177</v>
      </c>
      <c r="C8091" s="2" t="s">
        <v>17</v>
      </c>
      <c r="D8091" s="2" t="s">
        <v>18</v>
      </c>
      <c r="E8091" s="4">
        <v>-31961</v>
      </c>
      <c r="F8091" s="3" t="s">
        <v>1193</v>
      </c>
      <c r="G8091" s="3" t="s">
        <v>644</v>
      </c>
      <c r="H8091" s="2" t="s">
        <v>21</v>
      </c>
      <c r="I8091" s="2" t="s">
        <v>20178</v>
      </c>
      <c r="J8091" s="3" t="str">
        <f>HYPERLINK("https://www.boe.es/gazeta/dias/1812/06/28/pdfs/GMD-1812-180.pdf#page=3","Abrir facsímil")</f>
        <v>Abrir facsímil</v>
      </c>
      <c r="K8091" s="3" t="s">
        <v>23</v>
      </c>
    </row>
    <row r="8092" spans="1:11" ht="42" customHeight="1">
      <c r="A8092" s="2" t="s">
        <v>20179</v>
      </c>
      <c r="B8092" s="2" t="s">
        <v>20180</v>
      </c>
      <c r="C8092" s="2" t="s">
        <v>26</v>
      </c>
      <c r="D8092" s="2" t="s">
        <v>27</v>
      </c>
      <c r="E8092" s="4">
        <v>-32134</v>
      </c>
      <c r="F8092" s="3" t="s">
        <v>50</v>
      </c>
      <c r="G8092" s="3" t="s">
        <v>233</v>
      </c>
      <c r="H8092" s="2" t="s">
        <v>21</v>
      </c>
      <c r="I8092" s="2" t="s">
        <v>20181</v>
      </c>
      <c r="J8092" s="3" t="str">
        <f>HYPERLINK("https://www.boe.es/gazeta/dias/1812/01/07/pdfs/GEI-1812-3.pdf#page=8","Abrir facsímil")</f>
        <v>Abrir facsímil</v>
      </c>
      <c r="K8092" s="3" t="s">
        <v>23</v>
      </c>
    </row>
    <row r="8093" spans="1:11" ht="42" customHeight="1">
      <c r="A8093" s="2" t="s">
        <v>20182</v>
      </c>
      <c r="B8093" s="2" t="s">
        <v>20183</v>
      </c>
      <c r="C8093" s="2" t="s">
        <v>17</v>
      </c>
      <c r="D8093" s="2" t="s">
        <v>18</v>
      </c>
      <c r="E8093" s="4">
        <v>-31819</v>
      </c>
      <c r="F8093" s="3" t="s">
        <v>1770</v>
      </c>
      <c r="G8093" s="3" t="s">
        <v>1771</v>
      </c>
      <c r="H8093" s="2" t="s">
        <v>21</v>
      </c>
      <c r="I8093" s="2" t="s">
        <v>20184</v>
      </c>
      <c r="J8093" s="3" t="str">
        <f>HYPERLINK("https://www.boe.es/gazeta/dias/1812/11/17/pdfs/GRE-1812-153.pdf#page=4","Abrir facsímil")</f>
        <v>Abrir facsímil</v>
      </c>
      <c r="K8093" s="3" t="s">
        <v>23</v>
      </c>
    </row>
    <row r="8094" spans="1:11" ht="42" customHeight="1">
      <c r="A8094" s="2" t="s">
        <v>20185</v>
      </c>
      <c r="B8094" s="2" t="s">
        <v>20186</v>
      </c>
      <c r="C8094" s="2" t="s">
        <v>26</v>
      </c>
      <c r="D8094" s="2" t="s">
        <v>27</v>
      </c>
      <c r="E8094" s="4">
        <v>-32090</v>
      </c>
      <c r="F8094" s="3" t="s">
        <v>142</v>
      </c>
      <c r="G8094" s="3" t="s">
        <v>29</v>
      </c>
      <c r="H8094" s="2" t="s">
        <v>21</v>
      </c>
      <c r="I8094" s="2" t="s">
        <v>20187</v>
      </c>
      <c r="J8094" s="3" t="str">
        <f>HYPERLINK("https://www.boe.es/gazeta/dias/1812/02/20/pdfs/GRE-1812-22.pdf#page=8","Abrir facsímil")</f>
        <v>Abrir facsímil</v>
      </c>
      <c r="K8094" s="3" t="s">
        <v>23</v>
      </c>
    </row>
    <row r="8095" spans="1:11" ht="42" customHeight="1">
      <c r="A8095" s="2" t="s">
        <v>20188</v>
      </c>
      <c r="B8095" s="2" t="s">
        <v>20189</v>
      </c>
      <c r="C8095" s="2" t="s">
        <v>26</v>
      </c>
      <c r="D8095" s="2" t="s">
        <v>27</v>
      </c>
      <c r="E8095" s="4">
        <v>-31938</v>
      </c>
      <c r="F8095" s="3" t="s">
        <v>324</v>
      </c>
      <c r="G8095" s="3" t="s">
        <v>497</v>
      </c>
      <c r="H8095" s="2" t="s">
        <v>21</v>
      </c>
      <c r="I8095" s="2" t="s">
        <v>20190</v>
      </c>
      <c r="J8095" s="3" t="str">
        <f>HYPERLINK("https://www.boe.es/gazeta/dias/1812/07/21/pdfs/GMD-1812-203.pdf#page=3","Abrir facsímil")</f>
        <v>Abrir facsímil</v>
      </c>
      <c r="K8095" s="3" t="s">
        <v>23</v>
      </c>
    </row>
    <row r="8096" spans="1:11" ht="42" customHeight="1">
      <c r="A8096" s="2" t="s">
        <v>20191</v>
      </c>
      <c r="B8096" s="2" t="s">
        <v>20192</v>
      </c>
      <c r="C8096" s="2" t="s">
        <v>17</v>
      </c>
      <c r="D8096" s="2" t="s">
        <v>27</v>
      </c>
      <c r="E8096" s="4">
        <v>-32009</v>
      </c>
      <c r="F8096" s="3" t="s">
        <v>8049</v>
      </c>
      <c r="G8096" s="3" t="s">
        <v>130</v>
      </c>
      <c r="H8096" s="2" t="s">
        <v>21</v>
      </c>
      <c r="I8096" s="2" t="s">
        <v>20193</v>
      </c>
      <c r="J8096" s="3" t="str">
        <f>HYPERLINK("https://www.boe.es/gazeta/dias/1812/05/11/pdfs/GMD-1812-132.pdf#page=4","Abrir facsímil")</f>
        <v>Abrir facsímil</v>
      </c>
      <c r="K8096" s="3" t="s">
        <v>23</v>
      </c>
    </row>
    <row r="8097" spans="1:11" ht="42" customHeight="1">
      <c r="A8097" s="2" t="s">
        <v>20194</v>
      </c>
      <c r="B8097" s="2" t="s">
        <v>20195</v>
      </c>
      <c r="C8097" s="2" t="s">
        <v>26</v>
      </c>
      <c r="D8097" s="2" t="s">
        <v>27</v>
      </c>
      <c r="E8097" s="4">
        <v>-31940</v>
      </c>
      <c r="F8097" s="3" t="s">
        <v>187</v>
      </c>
      <c r="G8097" s="3" t="s">
        <v>45</v>
      </c>
      <c r="H8097" s="2" t="s">
        <v>21</v>
      </c>
      <c r="I8097" s="2" t="s">
        <v>20196</v>
      </c>
      <c r="J8097" s="3" t="str">
        <f>HYPERLINK("https://www.boe.es/gazeta/dias/1812/07/19/pdfs/GMD-1812-201.pdf#page=2","Abrir facsímil")</f>
        <v>Abrir facsímil</v>
      </c>
      <c r="K8097" s="3" t="s">
        <v>23</v>
      </c>
    </row>
    <row r="8098" spans="1:11" ht="42" customHeight="1">
      <c r="A8098" s="2" t="s">
        <v>20197</v>
      </c>
      <c r="B8098" s="2" t="s">
        <v>20198</v>
      </c>
      <c r="C8098" s="2" t="s">
        <v>17</v>
      </c>
      <c r="D8098" s="2" t="s">
        <v>27</v>
      </c>
      <c r="E8098" s="4">
        <v>-31982</v>
      </c>
      <c r="F8098" s="3" t="s">
        <v>1630</v>
      </c>
      <c r="G8098" s="3" t="s">
        <v>1631</v>
      </c>
      <c r="H8098" s="2" t="s">
        <v>21</v>
      </c>
      <c r="I8098" s="2" t="s">
        <v>20199</v>
      </c>
      <c r="J8098" s="3" t="str">
        <f>HYPERLINK("https://www.boe.es/gazeta/dias/1812/06/07/pdfs/GMD-1812-159.pdf#page=4","Abrir facsímil")</f>
        <v>Abrir facsímil</v>
      </c>
      <c r="K8098" s="3" t="s">
        <v>23</v>
      </c>
    </row>
    <row r="8099" spans="1:11" ht="42" customHeight="1">
      <c r="A8099" s="2" t="s">
        <v>20200</v>
      </c>
      <c r="B8099" s="2" t="s">
        <v>20201</v>
      </c>
      <c r="C8099" s="2" t="s">
        <v>17</v>
      </c>
      <c r="D8099" s="2" t="s">
        <v>18</v>
      </c>
      <c r="E8099" s="4">
        <v>-32018</v>
      </c>
      <c r="F8099" s="3" t="s">
        <v>365</v>
      </c>
      <c r="G8099" s="3" t="s">
        <v>366</v>
      </c>
      <c r="H8099" s="2" t="s">
        <v>21</v>
      </c>
      <c r="I8099" s="2" t="s">
        <v>20202</v>
      </c>
      <c r="J8099" s="3" t="str">
        <f>HYPERLINK("https://www.boe.es/gazeta/dias/1812/05/02/pdfs/GRE-1812-55.pdf#page=3","Abrir facsímil")</f>
        <v>Abrir facsímil</v>
      </c>
      <c r="K8099" s="3" t="s">
        <v>23</v>
      </c>
    </row>
    <row r="8100" spans="1:11" ht="42" customHeight="1">
      <c r="A8100" s="2" t="s">
        <v>20203</v>
      </c>
      <c r="B8100" s="2" t="s">
        <v>20204</v>
      </c>
      <c r="C8100" s="2" t="s">
        <v>49</v>
      </c>
      <c r="D8100" s="2" t="s">
        <v>27</v>
      </c>
      <c r="E8100" s="4">
        <v>-32005</v>
      </c>
      <c r="F8100" s="3" t="s">
        <v>2696</v>
      </c>
      <c r="G8100" s="3" t="s">
        <v>140</v>
      </c>
      <c r="H8100" s="2" t="s">
        <v>21</v>
      </c>
      <c r="I8100" s="2" t="s">
        <v>20205</v>
      </c>
      <c r="J8100" s="3" t="str">
        <f>HYPERLINK("https://www.boe.es/gazeta/dias/1812/05/15/pdfs/GMD-1812-136.pdf#page=2","Abrir facsímil")</f>
        <v>Abrir facsímil</v>
      </c>
      <c r="K8100" s="3" t="s">
        <v>23</v>
      </c>
    </row>
    <row r="8101" spans="1:11" ht="42" customHeight="1">
      <c r="A8101" s="2" t="s">
        <v>20206</v>
      </c>
      <c r="B8101" s="2" t="s">
        <v>20206</v>
      </c>
      <c r="C8101" s="2" t="s">
        <v>17</v>
      </c>
      <c r="D8101" s="2" t="s">
        <v>27</v>
      </c>
      <c r="E8101" s="4">
        <v>-32025</v>
      </c>
      <c r="F8101" s="3" t="s">
        <v>2323</v>
      </c>
      <c r="G8101" s="3" t="s">
        <v>2445</v>
      </c>
      <c r="H8101" s="2" t="s">
        <v>21</v>
      </c>
      <c r="I8101" s="2" t="s">
        <v>20207</v>
      </c>
      <c r="J8101" s="3" t="str">
        <f>HYPERLINK("https://www.boe.es/gazeta/dias/1812/04/25/pdfs/GRE-1812-52.pdf#page=5","Abrir facsímil")</f>
        <v>Abrir facsímil</v>
      </c>
      <c r="K8101" s="3" t="s">
        <v>23</v>
      </c>
    </row>
    <row r="8102" spans="1:11" ht="42" customHeight="1">
      <c r="A8102" s="2" t="s">
        <v>20208</v>
      </c>
      <c r="B8102" s="2" t="s">
        <v>20209</v>
      </c>
      <c r="C8102" s="2" t="s">
        <v>26</v>
      </c>
      <c r="D8102" s="2" t="s">
        <v>27</v>
      </c>
      <c r="E8102" s="4">
        <v>-31938</v>
      </c>
      <c r="F8102" s="3" t="s">
        <v>324</v>
      </c>
      <c r="G8102" s="3" t="s">
        <v>497</v>
      </c>
      <c r="H8102" s="2" t="s">
        <v>21</v>
      </c>
      <c r="I8102" s="2" t="s">
        <v>20210</v>
      </c>
      <c r="J8102" s="3" t="str">
        <f>HYPERLINK("https://www.boe.es/gazeta/dias/1812/07/21/pdfs/GMD-1812-203.pdf#page=3","Abrir facsímil")</f>
        <v>Abrir facsímil</v>
      </c>
      <c r="K8102" s="3" t="s">
        <v>23</v>
      </c>
    </row>
    <row r="8103" spans="1:11" ht="42" customHeight="1">
      <c r="A8103" s="2" t="s">
        <v>20211</v>
      </c>
      <c r="B8103" s="2" t="s">
        <v>20212</v>
      </c>
      <c r="C8103" s="2" t="s">
        <v>17</v>
      </c>
      <c r="D8103" s="2" t="s">
        <v>18</v>
      </c>
      <c r="E8103" s="4">
        <v>-31833</v>
      </c>
      <c r="F8103" s="3" t="s">
        <v>267</v>
      </c>
      <c r="G8103" s="3" t="s">
        <v>268</v>
      </c>
      <c r="H8103" s="2" t="s">
        <v>21</v>
      </c>
      <c r="I8103" s="2" t="s">
        <v>20213</v>
      </c>
      <c r="J8103" s="3" t="str">
        <f>HYPERLINK("https://www.boe.es/gazeta/dias/1812/11/03/pdfs/GRE-1812-147.pdf#page=8","Abrir facsímil")</f>
        <v>Abrir facsímil</v>
      </c>
      <c r="K8103" s="3" t="s">
        <v>23</v>
      </c>
    </row>
    <row r="8104" spans="1:11" ht="42" customHeight="1">
      <c r="A8104" s="2" t="s">
        <v>20211</v>
      </c>
      <c r="B8104" s="2" t="s">
        <v>20212</v>
      </c>
      <c r="C8104" s="2" t="s">
        <v>17</v>
      </c>
      <c r="D8104" s="2" t="s">
        <v>18</v>
      </c>
      <c r="E8104" s="4">
        <v>-31816</v>
      </c>
      <c r="F8104" s="3" t="s">
        <v>270</v>
      </c>
      <c r="G8104" s="3" t="s">
        <v>271</v>
      </c>
      <c r="H8104" s="2" t="s">
        <v>21</v>
      </c>
      <c r="I8104" s="2" t="s">
        <v>14941</v>
      </c>
      <c r="J8104" s="3" t="str">
        <f>HYPERLINK("https://www.boe.es/gazeta/dias/1812/11/20/pdfs/GMR-1812-36.pdf#page=6","Abrir facsímil")</f>
        <v>Abrir facsímil</v>
      </c>
      <c r="K8104" s="3" t="s">
        <v>23</v>
      </c>
    </row>
    <row r="8105" spans="1:11" ht="42" customHeight="1">
      <c r="A8105" s="2" t="s">
        <v>20214</v>
      </c>
      <c r="B8105" s="2" t="s">
        <v>20214</v>
      </c>
      <c r="C8105" s="2" t="s">
        <v>17</v>
      </c>
      <c r="D8105" s="2" t="s">
        <v>18</v>
      </c>
      <c r="E8105" s="4">
        <v>-31910</v>
      </c>
      <c r="F8105" s="3" t="s">
        <v>2149</v>
      </c>
      <c r="G8105" s="3" t="s">
        <v>140</v>
      </c>
      <c r="H8105" s="2" t="s">
        <v>21</v>
      </c>
      <c r="I8105" s="2" t="s">
        <v>20215</v>
      </c>
      <c r="J8105" s="3" t="str">
        <f>HYPERLINK("https://www.boe.es/gazeta/dias/1812/08/18/pdfs/GRE-F-1812-106.pdf#page=2","Abrir facsímil")</f>
        <v>Abrir facsímil</v>
      </c>
      <c r="K8105" s="3" t="s">
        <v>23</v>
      </c>
    </row>
    <row r="8106" spans="1:11" ht="42" customHeight="1">
      <c r="A8106" s="2" t="s">
        <v>20214</v>
      </c>
      <c r="B8106" s="2" t="s">
        <v>20214</v>
      </c>
      <c r="C8106" s="2" t="s">
        <v>17</v>
      </c>
      <c r="D8106" s="2" t="s">
        <v>18</v>
      </c>
      <c r="E8106" s="4">
        <v>-31892</v>
      </c>
      <c r="F8106" s="3" t="s">
        <v>1825</v>
      </c>
      <c r="G8106" s="3" t="s">
        <v>1955</v>
      </c>
      <c r="H8106" s="2" t="s">
        <v>21</v>
      </c>
      <c r="I8106" s="2" t="s">
        <v>20216</v>
      </c>
      <c r="J8106" s="3" t="str">
        <f>HYPERLINK("https://www.boe.es/gazeta/dias/1812/09/05/pdfs/GMR-1812-10.pdf#page=8","Abrir facsímil")</f>
        <v>Abrir facsímil</v>
      </c>
      <c r="K8106" s="3" t="s">
        <v>23</v>
      </c>
    </row>
    <row r="8107" spans="1:11" ht="42" customHeight="1">
      <c r="A8107" s="2" t="s">
        <v>20217</v>
      </c>
      <c r="B8107" s="2" t="s">
        <v>20218</v>
      </c>
      <c r="C8107" s="2" t="s">
        <v>26</v>
      </c>
      <c r="D8107" s="2" t="s">
        <v>27</v>
      </c>
      <c r="E8107" s="4">
        <v>-32074</v>
      </c>
      <c r="F8107" s="3" t="s">
        <v>816</v>
      </c>
      <c r="G8107" s="3" t="s">
        <v>777</v>
      </c>
      <c r="H8107" s="2" t="s">
        <v>21</v>
      </c>
      <c r="I8107" s="2" t="s">
        <v>20219</v>
      </c>
      <c r="J8107" s="3" t="str">
        <f>HYPERLINK("https://www.boe.es/gazeta/dias/1812/03/07/pdfs/GRE-1812-30.pdf#page=8","Abrir facsímil")</f>
        <v>Abrir facsímil</v>
      </c>
      <c r="K8107" s="3" t="s">
        <v>23</v>
      </c>
    </row>
    <row r="8108" spans="1:11" ht="42" customHeight="1">
      <c r="A8108" s="2" t="s">
        <v>20220</v>
      </c>
      <c r="B8108" s="2" t="s">
        <v>20221</v>
      </c>
      <c r="C8108" s="2" t="s">
        <v>49</v>
      </c>
      <c r="D8108" s="2" t="s">
        <v>27</v>
      </c>
      <c r="E8108" s="4">
        <v>-31957</v>
      </c>
      <c r="F8108" s="3" t="s">
        <v>2173</v>
      </c>
      <c r="G8108" s="3" t="s">
        <v>3034</v>
      </c>
      <c r="H8108" s="2" t="s">
        <v>21</v>
      </c>
      <c r="I8108" s="2" t="s">
        <v>20222</v>
      </c>
      <c r="J8108" s="3" t="str">
        <f>HYPERLINK("https://www.boe.es/gazeta/dias/1812/07/02/pdfs/GRE-1812-81.pdf#page=5","Abrir facsímil")</f>
        <v>Abrir facsímil</v>
      </c>
      <c r="K8108" s="3" t="s">
        <v>23</v>
      </c>
    </row>
    <row r="8109" spans="1:11" ht="42" customHeight="1">
      <c r="A8109" s="2" t="s">
        <v>20223</v>
      </c>
      <c r="B8109" s="2" t="s">
        <v>20224</v>
      </c>
      <c r="C8109" s="2" t="s">
        <v>26</v>
      </c>
      <c r="D8109" s="2" t="s">
        <v>27</v>
      </c>
      <c r="E8109" s="4">
        <v>-32125</v>
      </c>
      <c r="F8109" s="3" t="s">
        <v>335</v>
      </c>
      <c r="G8109" s="3" t="s">
        <v>336</v>
      </c>
      <c r="H8109" s="2" t="s">
        <v>21</v>
      </c>
      <c r="I8109" s="2" t="s">
        <v>20225</v>
      </c>
      <c r="J8109" s="3" t="str">
        <f>HYPERLINK("https://www.boe.es/gazeta/dias/1812/01/16/pdfs/GEI-1812-7.pdf#page=8","Abrir facsímil")</f>
        <v>Abrir facsímil</v>
      </c>
      <c r="K8109" s="3" t="s">
        <v>23</v>
      </c>
    </row>
    <row r="8110" spans="1:11" ht="42" customHeight="1">
      <c r="A8110" s="2" t="s">
        <v>20226</v>
      </c>
      <c r="B8110" s="2" t="s">
        <v>20227</v>
      </c>
      <c r="C8110" s="2" t="s">
        <v>26</v>
      </c>
      <c r="D8110" s="2" t="s">
        <v>27</v>
      </c>
      <c r="E8110" s="4">
        <v>-32045</v>
      </c>
      <c r="F8110" s="3" t="s">
        <v>129</v>
      </c>
      <c r="G8110" s="3" t="s">
        <v>130</v>
      </c>
      <c r="H8110" s="2" t="s">
        <v>21</v>
      </c>
      <c r="I8110" s="2" t="s">
        <v>20228</v>
      </c>
      <c r="J8110" s="3" t="str">
        <f>HYPERLINK("https://www.boe.es/gazeta/dias/1812/04/05/pdfs/GMD-1812-96.pdf#page=4","Abrir facsímil")</f>
        <v>Abrir facsímil</v>
      </c>
      <c r="K8110" s="3" t="s">
        <v>23</v>
      </c>
    </row>
    <row r="8111" spans="1:11" ht="42" customHeight="1">
      <c r="A8111" s="2" t="s">
        <v>20229</v>
      </c>
      <c r="B8111" s="2" t="s">
        <v>20230</v>
      </c>
      <c r="C8111" s="2" t="s">
        <v>17</v>
      </c>
      <c r="D8111" s="2" t="s">
        <v>27</v>
      </c>
      <c r="E8111" s="4">
        <v>-32030</v>
      </c>
      <c r="F8111" s="3" t="s">
        <v>2226</v>
      </c>
      <c r="G8111" s="3" t="s">
        <v>2650</v>
      </c>
      <c r="H8111" s="2" t="s">
        <v>21</v>
      </c>
      <c r="I8111" s="2" t="s">
        <v>20231</v>
      </c>
      <c r="J8111" s="3" t="str">
        <f>HYPERLINK("https://www.boe.es/gazeta/dias/1812/04/20/pdfs/GMD-1812-111.pdf#page=3","Abrir facsímil")</f>
        <v>Abrir facsímil</v>
      </c>
      <c r="K8111" s="3" t="s">
        <v>23</v>
      </c>
    </row>
    <row r="8112" spans="1:11" ht="42" customHeight="1">
      <c r="A8112" s="2" t="s">
        <v>20232</v>
      </c>
      <c r="B8112" s="2" t="s">
        <v>20233</v>
      </c>
      <c r="C8112" s="2" t="s">
        <v>17</v>
      </c>
      <c r="D8112" s="2" t="s">
        <v>27</v>
      </c>
      <c r="E8112" s="4">
        <v>-32123</v>
      </c>
      <c r="F8112" s="3" t="s">
        <v>2642</v>
      </c>
      <c r="G8112" s="3" t="s">
        <v>20</v>
      </c>
      <c r="H8112" s="2" t="s">
        <v>21</v>
      </c>
      <c r="I8112" s="2" t="s">
        <v>20234</v>
      </c>
      <c r="J8112" s="3" t="str">
        <f>HYPERLINK("https://www.boe.es/gazeta/dias/1812/01/18/pdfs/GMD-1812-18.pdf#page=4","Abrir facsímil")</f>
        <v>Abrir facsímil</v>
      </c>
      <c r="K8112" s="3" t="s">
        <v>23</v>
      </c>
    </row>
    <row r="8113" spans="1:11" ht="42" customHeight="1">
      <c r="A8113" s="2" t="s">
        <v>20232</v>
      </c>
      <c r="B8113" s="2" t="s">
        <v>20233</v>
      </c>
      <c r="C8113" s="2" t="s">
        <v>26</v>
      </c>
      <c r="D8113" s="2" t="s">
        <v>27</v>
      </c>
      <c r="E8113" s="4">
        <v>-32015</v>
      </c>
      <c r="F8113" s="3" t="s">
        <v>77</v>
      </c>
      <c r="G8113" s="3" t="s">
        <v>4787</v>
      </c>
      <c r="H8113" s="2" t="s">
        <v>21</v>
      </c>
      <c r="I8113" s="2" t="s">
        <v>20235</v>
      </c>
      <c r="J8113" s="3" t="str">
        <f>HYPERLINK("https://www.boe.es/gazeta/dias/1812/05/05/pdfs/GRE-1812-56.pdf#page=7","Abrir facsímil")</f>
        <v>Abrir facsímil</v>
      </c>
      <c r="K8113" s="3" t="s">
        <v>23</v>
      </c>
    </row>
    <row r="8114" spans="1:11" ht="42" customHeight="1">
      <c r="A8114" s="2" t="s">
        <v>20236</v>
      </c>
      <c r="B8114" s="2" t="s">
        <v>20237</v>
      </c>
      <c r="C8114" s="2" t="s">
        <v>26</v>
      </c>
      <c r="D8114" s="2" t="s">
        <v>27</v>
      </c>
      <c r="E8114" s="4">
        <v>-32095</v>
      </c>
      <c r="F8114" s="3" t="s">
        <v>181</v>
      </c>
      <c r="G8114" s="3" t="s">
        <v>777</v>
      </c>
      <c r="H8114" s="2" t="s">
        <v>21</v>
      </c>
      <c r="I8114" s="2" t="s">
        <v>20238</v>
      </c>
      <c r="J8114" s="3" t="str">
        <f>HYPERLINK("https://www.boe.es/gazeta/dias/1812/02/15/pdfs/GMD-1812-47.pdf#page=3","Abrir facsímil")</f>
        <v>Abrir facsímil</v>
      </c>
      <c r="K8114" s="3" t="s">
        <v>23</v>
      </c>
    </row>
    <row r="8115" spans="1:11" ht="42" customHeight="1">
      <c r="A8115" s="2" t="s">
        <v>20236</v>
      </c>
      <c r="B8115" s="2" t="s">
        <v>20237</v>
      </c>
      <c r="C8115" s="2" t="s">
        <v>26</v>
      </c>
      <c r="D8115" s="2" t="s">
        <v>27</v>
      </c>
      <c r="E8115" s="4">
        <v>-32094</v>
      </c>
      <c r="F8115" s="3" t="s">
        <v>181</v>
      </c>
      <c r="G8115" s="3" t="s">
        <v>777</v>
      </c>
      <c r="H8115" s="2" t="s">
        <v>21</v>
      </c>
      <c r="I8115" s="2" t="s">
        <v>20238</v>
      </c>
      <c r="J8115" s="3" t="str">
        <f>HYPERLINK("https://www.boe.es/gazeta/dias/1812/02/16/pdfs/GMD-1812-47.pdf#page=3","Abrir facsímil")</f>
        <v>Abrir facsímil</v>
      </c>
      <c r="K8115" s="3" t="s">
        <v>23</v>
      </c>
    </row>
    <row r="8116" spans="1:11" ht="42" customHeight="1">
      <c r="A8116" s="2" t="s">
        <v>20239</v>
      </c>
      <c r="B8116" s="2" t="s">
        <v>20240</v>
      </c>
      <c r="C8116" s="2" t="s">
        <v>26</v>
      </c>
      <c r="D8116" s="2" t="s">
        <v>27</v>
      </c>
      <c r="E8116" s="4">
        <v>-31994</v>
      </c>
      <c r="F8116" s="3" t="s">
        <v>207</v>
      </c>
      <c r="G8116" s="3" t="s">
        <v>1176</v>
      </c>
      <c r="H8116" s="2" t="s">
        <v>21</v>
      </c>
      <c r="I8116" s="2" t="s">
        <v>20241</v>
      </c>
      <c r="J8116" s="3" t="str">
        <f>HYPERLINK("https://www.boe.es/gazeta/dias/1812/05/26/pdfs/GRE-1812-65.pdf#page=8","Abrir facsímil")</f>
        <v>Abrir facsímil</v>
      </c>
      <c r="K8116" s="3" t="s">
        <v>23</v>
      </c>
    </row>
    <row r="8117" spans="1:11" ht="42" customHeight="1">
      <c r="A8117" s="2" t="s">
        <v>20239</v>
      </c>
      <c r="B8117" s="2" t="s">
        <v>20240</v>
      </c>
      <c r="C8117" s="2" t="s">
        <v>105</v>
      </c>
      <c r="D8117" s="2" t="s">
        <v>27</v>
      </c>
      <c r="E8117" s="4">
        <v>-31938</v>
      </c>
      <c r="F8117" s="3" t="s">
        <v>370</v>
      </c>
      <c r="G8117" s="3" t="s">
        <v>371</v>
      </c>
      <c r="H8117" s="2" t="s">
        <v>21</v>
      </c>
      <c r="I8117" s="2" t="s">
        <v>20242</v>
      </c>
      <c r="J8117" s="3" t="str">
        <f>HYPERLINK("https://www.boe.es/gazeta/dias/1812/07/21/pdfs/GRE-1812-91.pdf#page=8","Abrir facsímil")</f>
        <v>Abrir facsímil</v>
      </c>
      <c r="K8117" s="3" t="s">
        <v>23</v>
      </c>
    </row>
    <row r="8118" spans="1:11" ht="42" customHeight="1">
      <c r="A8118" s="2" t="s">
        <v>20243</v>
      </c>
      <c r="B8118" s="2" t="s">
        <v>20244</v>
      </c>
      <c r="C8118" s="2" t="s">
        <v>26</v>
      </c>
      <c r="D8118" s="2" t="s">
        <v>27</v>
      </c>
      <c r="E8118" s="4">
        <v>-31938</v>
      </c>
      <c r="F8118" s="3" t="s">
        <v>324</v>
      </c>
      <c r="G8118" s="3" t="s">
        <v>404</v>
      </c>
      <c r="H8118" s="2" t="s">
        <v>21</v>
      </c>
      <c r="I8118" s="2" t="s">
        <v>20245</v>
      </c>
      <c r="J8118" s="3" t="str">
        <f>HYPERLINK("https://www.boe.es/gazeta/dias/1812/07/21/pdfs/GMD-1812-203.pdf#page=4","Abrir facsímil")</f>
        <v>Abrir facsímil</v>
      </c>
      <c r="K8118" s="3" t="s">
        <v>23</v>
      </c>
    </row>
    <row r="8119" spans="1:11" ht="42" customHeight="1">
      <c r="A8119" s="2" t="s">
        <v>20246</v>
      </c>
      <c r="B8119" s="2" t="s">
        <v>20247</v>
      </c>
      <c r="C8119" s="2" t="s">
        <v>17</v>
      </c>
      <c r="D8119" s="2" t="s">
        <v>27</v>
      </c>
      <c r="E8119" s="4">
        <v>-31917</v>
      </c>
      <c r="F8119" s="3" t="s">
        <v>946</v>
      </c>
      <c r="G8119" s="3" t="s">
        <v>947</v>
      </c>
      <c r="H8119" s="2" t="s">
        <v>21</v>
      </c>
      <c r="I8119" s="2" t="s">
        <v>20248</v>
      </c>
      <c r="J8119" s="3" t="str">
        <f>HYPERLINK("https://www.boe.es/gazeta/dias/1812/08/11/pdfs/GRE-1812-103.pdf#page=8","Abrir facsímil")</f>
        <v>Abrir facsímil</v>
      </c>
      <c r="K8119" s="3" t="s">
        <v>23</v>
      </c>
    </row>
    <row r="8120" spans="1:11" ht="42" customHeight="1">
      <c r="A8120" s="2" t="s">
        <v>20249</v>
      </c>
      <c r="B8120" s="2" t="s">
        <v>20250</v>
      </c>
      <c r="C8120" s="2" t="s">
        <v>26</v>
      </c>
      <c r="D8120" s="2" t="s">
        <v>275</v>
      </c>
      <c r="E8120" s="4">
        <v>-31940</v>
      </c>
      <c r="F8120" s="3" t="s">
        <v>187</v>
      </c>
      <c r="G8120" s="3" t="s">
        <v>45</v>
      </c>
      <c r="H8120" s="2" t="s">
        <v>21</v>
      </c>
      <c r="I8120" s="2" t="s">
        <v>20251</v>
      </c>
      <c r="J8120" s="3" t="str">
        <f>HYPERLINK("https://www.boe.es/gazeta/dias/1812/07/19/pdfs/GMD-1812-201.pdf#page=2","Abrir facsímil")</f>
        <v>Abrir facsímil</v>
      </c>
      <c r="K8120" s="3" t="s">
        <v>23</v>
      </c>
    </row>
    <row r="8121" spans="1:11" ht="42" customHeight="1">
      <c r="A8121" s="2" t="s">
        <v>20252</v>
      </c>
      <c r="B8121" s="2" t="s">
        <v>20253</v>
      </c>
      <c r="C8121" s="2" t="s">
        <v>115</v>
      </c>
      <c r="D8121" s="2" t="s">
        <v>27</v>
      </c>
      <c r="E8121" s="4">
        <v>-31964</v>
      </c>
      <c r="F8121" s="3" t="s">
        <v>305</v>
      </c>
      <c r="G8121" s="3" t="s">
        <v>306</v>
      </c>
      <c r="H8121" s="2" t="s">
        <v>21</v>
      </c>
      <c r="I8121" s="2" t="s">
        <v>20254</v>
      </c>
      <c r="J8121" s="3" t="str">
        <f>HYPERLINK("https://www.boe.es/gazeta/dias/1812/06/25/pdfs/GMD-1812-177.pdf#page=3","Abrir facsímil")</f>
        <v>Abrir facsímil</v>
      </c>
      <c r="K8121" s="3" t="s">
        <v>23</v>
      </c>
    </row>
    <row r="8122" spans="1:11" ht="42" customHeight="1">
      <c r="A8122" s="2" t="s">
        <v>20255</v>
      </c>
      <c r="B8122" s="2" t="s">
        <v>20255</v>
      </c>
      <c r="C8122" s="2" t="s">
        <v>17</v>
      </c>
      <c r="D8122" s="2" t="s">
        <v>27</v>
      </c>
      <c r="E8122" s="4">
        <v>-32120</v>
      </c>
      <c r="F8122" s="3" t="s">
        <v>3524</v>
      </c>
      <c r="G8122" s="3" t="s">
        <v>644</v>
      </c>
      <c r="H8122" s="2" t="s">
        <v>21</v>
      </c>
      <c r="I8122" s="2" t="s">
        <v>20256</v>
      </c>
      <c r="J8122" s="3" t="str">
        <f>HYPERLINK("https://www.boe.es/gazeta/dias/1812/01/21/pdfs/GEI-1812-9.pdf#page=4","Abrir facsímil")</f>
        <v>Abrir facsímil</v>
      </c>
      <c r="K8122" s="3" t="s">
        <v>23</v>
      </c>
    </row>
    <row r="8123" spans="1:11" ht="42" customHeight="1">
      <c r="A8123" s="2" t="s">
        <v>20255</v>
      </c>
      <c r="B8123" s="2" t="s">
        <v>20255</v>
      </c>
      <c r="C8123" s="2" t="s">
        <v>26</v>
      </c>
      <c r="D8123" s="2" t="s">
        <v>27</v>
      </c>
      <c r="E8123" s="4">
        <v>-31868</v>
      </c>
      <c r="F8123" s="3" t="s">
        <v>1833</v>
      </c>
      <c r="G8123" s="3" t="s">
        <v>1958</v>
      </c>
      <c r="H8123" s="2" t="s">
        <v>21</v>
      </c>
      <c r="I8123" s="2" t="s">
        <v>20257</v>
      </c>
      <c r="J8123" s="3" t="str">
        <f>HYPERLINK("https://www.boe.es/gazeta/dias/1812/09/29/pdfs/GMR-1812-20.pdf#page=5","Abrir facsímil")</f>
        <v>Abrir facsímil</v>
      </c>
      <c r="K8123" s="3" t="s">
        <v>23</v>
      </c>
    </row>
    <row r="8124" spans="1:11" ht="42" customHeight="1">
      <c r="A8124" s="2" t="s">
        <v>20258</v>
      </c>
      <c r="B8124" s="2" t="s">
        <v>20259</v>
      </c>
      <c r="C8124" s="2" t="s">
        <v>186</v>
      </c>
      <c r="D8124" s="2" t="s">
        <v>27</v>
      </c>
      <c r="E8124" s="4">
        <v>-31964</v>
      </c>
      <c r="F8124" s="3" t="s">
        <v>305</v>
      </c>
      <c r="G8124" s="3" t="s">
        <v>306</v>
      </c>
      <c r="H8124" s="2" t="s">
        <v>21</v>
      </c>
      <c r="I8124" s="2" t="s">
        <v>20260</v>
      </c>
      <c r="J8124" s="3" t="str">
        <f>HYPERLINK("https://www.boe.es/gazeta/dias/1812/06/25/pdfs/GMD-1812-177.pdf#page=3","Abrir facsímil")</f>
        <v>Abrir facsímil</v>
      </c>
      <c r="K8124" s="3" t="s">
        <v>23</v>
      </c>
    </row>
    <row r="8125" spans="1:11" ht="42" customHeight="1">
      <c r="A8125" s="2" t="s">
        <v>20261</v>
      </c>
      <c r="B8125" s="2" t="s">
        <v>20261</v>
      </c>
      <c r="C8125" s="2" t="s">
        <v>49</v>
      </c>
      <c r="D8125" s="2" t="s">
        <v>27</v>
      </c>
      <c r="E8125" s="4">
        <v>-31951</v>
      </c>
      <c r="F8125" s="3" t="s">
        <v>1603</v>
      </c>
      <c r="G8125" s="3" t="s">
        <v>1886</v>
      </c>
      <c r="H8125" s="2" t="s">
        <v>21</v>
      </c>
      <c r="I8125" s="2" t="s">
        <v>20262</v>
      </c>
      <c r="J8125" s="3" t="str">
        <f>HYPERLINK("https://www.boe.es/gazeta/dias/1812/07/08/pdfs/GMD-1812-190.pdf#page=1","Abrir facsímil")</f>
        <v>Abrir facsímil</v>
      </c>
      <c r="K8125" s="3" t="s">
        <v>23</v>
      </c>
    </row>
    <row r="8126" spans="1:11" ht="42" customHeight="1">
      <c r="A8126" s="2" t="s">
        <v>20263</v>
      </c>
      <c r="B8126" s="2" t="s">
        <v>20264</v>
      </c>
      <c r="C8126" s="2" t="s">
        <v>17</v>
      </c>
      <c r="D8126" s="2" t="s">
        <v>27</v>
      </c>
      <c r="E8126" s="4">
        <v>-31936</v>
      </c>
      <c r="F8126" s="3" t="s">
        <v>614</v>
      </c>
      <c r="G8126" s="3" t="s">
        <v>615</v>
      </c>
      <c r="H8126" s="2" t="s">
        <v>21</v>
      </c>
      <c r="I8126" s="2" t="s">
        <v>20265</v>
      </c>
      <c r="J8126" s="3" t="str">
        <f>HYPERLINK("https://www.boe.es/gazeta/dias/1812/07/23/pdfs/GRE-1812-92.pdf#page=8","Abrir facsímil")</f>
        <v>Abrir facsímil</v>
      </c>
      <c r="K8126" s="3" t="s">
        <v>23</v>
      </c>
    </row>
    <row r="8127" spans="1:11" ht="42" customHeight="1">
      <c r="A8127" s="2" t="s">
        <v>20266</v>
      </c>
      <c r="B8127" s="2" t="s">
        <v>20266</v>
      </c>
      <c r="C8127" s="2" t="s">
        <v>17</v>
      </c>
      <c r="D8127" s="2" t="s">
        <v>27</v>
      </c>
      <c r="E8127" s="4">
        <v>-32095</v>
      </c>
      <c r="F8127" s="3" t="s">
        <v>181</v>
      </c>
      <c r="G8127" s="3" t="s">
        <v>777</v>
      </c>
      <c r="H8127" s="2" t="s">
        <v>21</v>
      </c>
      <c r="I8127" s="2" t="s">
        <v>20267</v>
      </c>
      <c r="J8127" s="3" t="str">
        <f>HYPERLINK("https://www.boe.es/gazeta/dias/1812/02/15/pdfs/GMD-1812-47.pdf#page=3","Abrir facsímil")</f>
        <v>Abrir facsímil</v>
      </c>
      <c r="K8127" s="3" t="s">
        <v>23</v>
      </c>
    </row>
    <row r="8128" spans="1:11" ht="42" customHeight="1">
      <c r="A8128" s="2" t="s">
        <v>20266</v>
      </c>
      <c r="B8128" s="2" t="s">
        <v>20266</v>
      </c>
      <c r="C8128" s="2" t="s">
        <v>17</v>
      </c>
      <c r="D8128" s="2" t="s">
        <v>27</v>
      </c>
      <c r="E8128" s="4">
        <v>-32094</v>
      </c>
      <c r="F8128" s="3" t="s">
        <v>181</v>
      </c>
      <c r="G8128" s="3" t="s">
        <v>777</v>
      </c>
      <c r="H8128" s="2" t="s">
        <v>21</v>
      </c>
      <c r="I8128" s="2" t="s">
        <v>20267</v>
      </c>
      <c r="J8128" s="3" t="str">
        <f>HYPERLINK("https://www.boe.es/gazeta/dias/1812/02/16/pdfs/GMD-1812-47.pdf#page=3","Abrir facsímil")</f>
        <v>Abrir facsímil</v>
      </c>
      <c r="K8128" s="3" t="s">
        <v>23</v>
      </c>
    </row>
    <row r="8129" spans="1:11" ht="42" customHeight="1">
      <c r="A8129" s="2" t="s">
        <v>20268</v>
      </c>
      <c r="B8129" s="2" t="s">
        <v>20269</v>
      </c>
      <c r="C8129" s="2" t="s">
        <v>105</v>
      </c>
      <c r="D8129" s="2" t="s">
        <v>27</v>
      </c>
      <c r="E8129" s="4">
        <v>-31819</v>
      </c>
      <c r="F8129" s="3" t="s">
        <v>1770</v>
      </c>
      <c r="G8129" s="3" t="s">
        <v>20270</v>
      </c>
      <c r="H8129" s="2" t="s">
        <v>21</v>
      </c>
      <c r="I8129" s="2" t="s">
        <v>20271</v>
      </c>
      <c r="J8129" s="3" t="str">
        <f>HYPERLINK("https://www.boe.es/gazeta/dias/1812/11/17/pdfs/GRE-1812-153.pdf#page=6","Abrir facsímil")</f>
        <v>Abrir facsímil</v>
      </c>
      <c r="K8129" s="3" t="s">
        <v>23</v>
      </c>
    </row>
    <row r="8130" spans="1:11" ht="42" customHeight="1">
      <c r="A8130" s="2" t="s">
        <v>20272</v>
      </c>
      <c r="B8130" s="2" t="s">
        <v>20273</v>
      </c>
      <c r="C8130" s="2" t="s">
        <v>105</v>
      </c>
      <c r="D8130" s="2" t="s">
        <v>27</v>
      </c>
      <c r="E8130" s="4">
        <v>-31964</v>
      </c>
      <c r="F8130" s="3" t="s">
        <v>93</v>
      </c>
      <c r="G8130" s="3" t="s">
        <v>1722</v>
      </c>
      <c r="H8130" s="2" t="s">
        <v>21</v>
      </c>
      <c r="I8130" s="2" t="s">
        <v>20274</v>
      </c>
      <c r="J8130" s="3" t="str">
        <f>HYPERLINK("https://www.boe.es/gazeta/dias/1812/06/25/pdfs/GRE-1812-78.pdf#page=8","Abrir facsímil")</f>
        <v>Abrir facsímil</v>
      </c>
      <c r="K8130" s="3" t="s">
        <v>23</v>
      </c>
    </row>
    <row r="8131" spans="1:11" ht="42" customHeight="1">
      <c r="A8131" s="2" t="s">
        <v>20275</v>
      </c>
      <c r="B8131" s="2" t="s">
        <v>20276</v>
      </c>
      <c r="C8131" s="2" t="s">
        <v>17</v>
      </c>
      <c r="D8131" s="2" t="s">
        <v>18</v>
      </c>
      <c r="E8131" s="4">
        <v>-32069</v>
      </c>
      <c r="F8131" s="3" t="s">
        <v>445</v>
      </c>
      <c r="G8131" s="3" t="s">
        <v>446</v>
      </c>
      <c r="H8131" s="2" t="s">
        <v>21</v>
      </c>
      <c r="I8131" s="2" t="s">
        <v>20277</v>
      </c>
      <c r="J8131" s="3" t="str">
        <f>HYPERLINK("https://www.boe.es/gazeta/dias/1812/03/12/pdfs/GRE-1812-32.pdf#page=8","Abrir facsímil")</f>
        <v>Abrir facsímil</v>
      </c>
      <c r="K8131" s="3" t="s">
        <v>23</v>
      </c>
    </row>
    <row r="8132" spans="1:11" ht="42" customHeight="1">
      <c r="A8132" s="2" t="s">
        <v>20278</v>
      </c>
      <c r="B8132" s="2" t="s">
        <v>20278</v>
      </c>
      <c r="C8132" s="2" t="s">
        <v>17</v>
      </c>
      <c r="D8132" s="2" t="s">
        <v>27</v>
      </c>
      <c r="E8132" s="4">
        <v>-32063</v>
      </c>
      <c r="F8132" s="3" t="s">
        <v>384</v>
      </c>
      <c r="G8132" s="3" t="s">
        <v>125</v>
      </c>
      <c r="H8132" s="2" t="s">
        <v>21</v>
      </c>
      <c r="I8132" s="2" t="s">
        <v>20279</v>
      </c>
      <c r="J8132" s="3" t="str">
        <f>HYPERLINK("https://www.boe.es/gazeta/dias/1812/03/18/pdfs/GMD-1812-78.pdf#page=3","Abrir facsímil")</f>
        <v>Abrir facsímil</v>
      </c>
      <c r="K8132" s="3" t="s">
        <v>23</v>
      </c>
    </row>
    <row r="8133" spans="1:11" ht="42" customHeight="1">
      <c r="A8133" s="2" t="s">
        <v>20280</v>
      </c>
      <c r="B8133" s="2" t="s">
        <v>20280</v>
      </c>
      <c r="C8133" s="2" t="s">
        <v>17</v>
      </c>
      <c r="D8133" s="2" t="s">
        <v>18</v>
      </c>
      <c r="E8133" s="4">
        <v>-31991</v>
      </c>
      <c r="F8133" s="3" t="s">
        <v>663</v>
      </c>
      <c r="G8133" s="3" t="s">
        <v>404</v>
      </c>
      <c r="H8133" s="2" t="s">
        <v>21</v>
      </c>
      <c r="I8133" s="2" t="s">
        <v>20281</v>
      </c>
      <c r="J8133" s="3" t="str">
        <f>HYPERLINK("https://www.boe.es/gazeta/dias/1812/05/29/pdfs/GMD-1812-150.pdf#page=4","Abrir facsímil")</f>
        <v>Abrir facsímil</v>
      </c>
      <c r="K8133" s="3" t="s">
        <v>23</v>
      </c>
    </row>
    <row r="8134" spans="1:11" ht="42" customHeight="1">
      <c r="A8134" s="2" t="s">
        <v>20280</v>
      </c>
      <c r="B8134" s="2" t="s">
        <v>20280</v>
      </c>
      <c r="C8134" s="2" t="s">
        <v>26</v>
      </c>
      <c r="D8134" s="2" t="s">
        <v>27</v>
      </c>
      <c r="E8134" s="4">
        <v>-31905</v>
      </c>
      <c r="F8134" s="3" t="s">
        <v>855</v>
      </c>
      <c r="G8134" s="3" t="s">
        <v>4865</v>
      </c>
      <c r="H8134" s="2" t="s">
        <v>21</v>
      </c>
      <c r="I8134" s="2" t="s">
        <v>20282</v>
      </c>
      <c r="J8134" s="3" t="str">
        <f>HYPERLINK("https://www.boe.es/gazeta/dias/1812/08/23/pdfs/GMR-1812-4.pdf#page=12","Abrir facsímil")</f>
        <v>Abrir facsímil</v>
      </c>
      <c r="K8134" s="3" t="s">
        <v>23</v>
      </c>
    </row>
    <row r="8135" spans="1:11" ht="42" customHeight="1">
      <c r="A8135" s="2" t="s">
        <v>20283</v>
      </c>
      <c r="B8135" s="2" t="s">
        <v>20283</v>
      </c>
      <c r="C8135" s="2" t="s">
        <v>26</v>
      </c>
      <c r="D8135" s="2" t="s">
        <v>27</v>
      </c>
      <c r="E8135" s="4">
        <v>-31951</v>
      </c>
      <c r="F8135" s="3" t="s">
        <v>1603</v>
      </c>
      <c r="G8135" s="3" t="s">
        <v>214</v>
      </c>
      <c r="H8135" s="2" t="s">
        <v>21</v>
      </c>
      <c r="I8135" s="2" t="s">
        <v>20284</v>
      </c>
      <c r="J8135" s="3" t="str">
        <f>HYPERLINK("https://www.boe.es/gazeta/dias/1812/07/08/pdfs/GMD-1812-190.pdf#page=3","Abrir facsímil")</f>
        <v>Abrir facsímil</v>
      </c>
      <c r="K8135" s="3" t="s">
        <v>23</v>
      </c>
    </row>
    <row r="8136" spans="1:11" ht="42" customHeight="1">
      <c r="A8136" s="2" t="s">
        <v>20285</v>
      </c>
      <c r="B8136" s="2" t="s">
        <v>20286</v>
      </c>
      <c r="C8136" s="2" t="s">
        <v>105</v>
      </c>
      <c r="D8136" s="2" t="s">
        <v>27</v>
      </c>
      <c r="E8136" s="4">
        <v>-31789</v>
      </c>
      <c r="F8136" s="3" t="s">
        <v>350</v>
      </c>
      <c r="G8136" s="3" t="s">
        <v>351</v>
      </c>
      <c r="H8136" s="2" t="s">
        <v>21</v>
      </c>
      <c r="I8136" s="2" t="s">
        <v>20287</v>
      </c>
      <c r="J8136" s="3" t="str">
        <f>HYPERLINK("https://www.boe.es/gazeta/dias/1812/12/17/pdfs/GRE-1812-166.pdf#page=6","Abrir facsímil")</f>
        <v>Abrir facsímil</v>
      </c>
      <c r="K8136" s="3" t="s">
        <v>23</v>
      </c>
    </row>
    <row r="8137" spans="1:11" ht="42" customHeight="1">
      <c r="A8137" s="2" t="s">
        <v>20288</v>
      </c>
      <c r="B8137" s="2" t="s">
        <v>20289</v>
      </c>
      <c r="C8137" s="2" t="s">
        <v>26</v>
      </c>
      <c r="D8137" s="2" t="s">
        <v>27</v>
      </c>
      <c r="E8137" s="4">
        <v>-32118</v>
      </c>
      <c r="F8137" s="3" t="s">
        <v>964</v>
      </c>
      <c r="G8137" s="3" t="s">
        <v>965</v>
      </c>
      <c r="H8137" s="2" t="s">
        <v>21</v>
      </c>
      <c r="I8137" s="2" t="s">
        <v>20290</v>
      </c>
      <c r="J8137" s="3" t="str">
        <f>HYPERLINK("https://www.boe.es/gazeta/dias/1812/01/23/pdfs/GEI-H-1812-10.pdf#page=4","Abrir facsímil")</f>
        <v>Abrir facsímil</v>
      </c>
      <c r="K8137" s="3" t="s">
        <v>23</v>
      </c>
    </row>
    <row r="8138" spans="1:11" ht="42" customHeight="1">
      <c r="A8138" s="2" t="s">
        <v>20291</v>
      </c>
      <c r="B8138" s="2" t="s">
        <v>20292</v>
      </c>
      <c r="C8138" s="2" t="s">
        <v>105</v>
      </c>
      <c r="D8138" s="2" t="s">
        <v>27</v>
      </c>
      <c r="E8138" s="4">
        <v>-32001</v>
      </c>
      <c r="F8138" s="3" t="s">
        <v>1938</v>
      </c>
      <c r="G8138" s="3" t="s">
        <v>1939</v>
      </c>
      <c r="H8138" s="2" t="s">
        <v>21</v>
      </c>
      <c r="I8138" s="2" t="s">
        <v>20293</v>
      </c>
      <c r="J8138" s="3" t="str">
        <f>HYPERLINK("https://www.boe.es/gazeta/dias/1812/05/19/pdfs/GRE-1812-62.pdf#page=7","Abrir facsímil")</f>
        <v>Abrir facsímil</v>
      </c>
      <c r="K8138" s="3" t="s">
        <v>23</v>
      </c>
    </row>
    <row r="8139" spans="1:11" ht="42" customHeight="1">
      <c r="A8139" s="2" t="s">
        <v>20294</v>
      </c>
      <c r="B8139" s="2" t="s">
        <v>20295</v>
      </c>
      <c r="C8139" s="2" t="s">
        <v>17</v>
      </c>
      <c r="D8139" s="2" t="s">
        <v>18</v>
      </c>
      <c r="E8139" s="4">
        <v>-32078</v>
      </c>
      <c r="F8139" s="3" t="s">
        <v>145</v>
      </c>
      <c r="G8139" s="3" t="s">
        <v>1081</v>
      </c>
      <c r="H8139" s="2" t="s">
        <v>21</v>
      </c>
      <c r="I8139" s="2" t="s">
        <v>20296</v>
      </c>
      <c r="J8139" s="3" t="str">
        <f>HYPERLINK("https://www.boe.es/gazeta/dias/1812/03/03/pdfs/GRE-1812-28.pdf#page=4","Abrir facsímil")</f>
        <v>Abrir facsímil</v>
      </c>
      <c r="K8139" s="3" t="s">
        <v>23</v>
      </c>
    </row>
    <row r="8140" spans="1:11" ht="42" customHeight="1">
      <c r="A8140" s="2" t="s">
        <v>20297</v>
      </c>
      <c r="B8140" s="2" t="s">
        <v>20298</v>
      </c>
      <c r="C8140" s="2" t="s">
        <v>26</v>
      </c>
      <c r="D8140" s="2" t="s">
        <v>27</v>
      </c>
      <c r="E8140" s="4">
        <v>-32057</v>
      </c>
      <c r="F8140" s="3" t="s">
        <v>677</v>
      </c>
      <c r="G8140" s="3" t="s">
        <v>214</v>
      </c>
      <c r="H8140" s="2" t="s">
        <v>21</v>
      </c>
      <c r="I8140" s="2" t="s">
        <v>20299</v>
      </c>
      <c r="J8140" s="3" t="str">
        <f>HYPERLINK("https://www.boe.es/gazeta/dias/1812/03/24/pdfs/GRE-1812-37.pdf#page=5","Abrir facsímil")</f>
        <v>Abrir facsímil</v>
      </c>
      <c r="K8140" s="3" t="s">
        <v>23</v>
      </c>
    </row>
    <row r="8141" spans="1:11" ht="42" customHeight="1">
      <c r="A8141" s="2" t="s">
        <v>20300</v>
      </c>
      <c r="B8141" s="2" t="s">
        <v>20300</v>
      </c>
      <c r="C8141" s="2" t="s">
        <v>17</v>
      </c>
      <c r="D8141" s="2" t="s">
        <v>27</v>
      </c>
      <c r="E8141" s="4">
        <v>-31871</v>
      </c>
      <c r="F8141" s="3" t="s">
        <v>5985</v>
      </c>
      <c r="G8141" s="3" t="s">
        <v>10492</v>
      </c>
      <c r="H8141" s="2" t="s">
        <v>21</v>
      </c>
      <c r="I8141" s="2" t="s">
        <v>20301</v>
      </c>
      <c r="J8141" s="3" t="str">
        <f>HYPERLINK("https://www.boe.es/gazeta/dias/1812/09/26/pdfs/GRE-1812-131.pdf#page=5","Abrir facsímil")</f>
        <v>Abrir facsímil</v>
      </c>
      <c r="K8141" s="3" t="s">
        <v>23</v>
      </c>
    </row>
    <row r="8142" spans="1:11" ht="42" customHeight="1">
      <c r="A8142" s="2" t="s">
        <v>20302</v>
      </c>
      <c r="B8142" s="2" t="s">
        <v>20302</v>
      </c>
      <c r="C8142" s="2" t="s">
        <v>17</v>
      </c>
      <c r="D8142" s="2" t="s">
        <v>27</v>
      </c>
      <c r="E8142" s="4">
        <v>-31861</v>
      </c>
      <c r="F8142" s="3" t="s">
        <v>1080</v>
      </c>
      <c r="G8142" s="3" t="s">
        <v>58</v>
      </c>
      <c r="H8142" s="2" t="s">
        <v>21</v>
      </c>
      <c r="I8142" s="2" t="s">
        <v>20303</v>
      </c>
      <c r="J8142" s="3" t="str">
        <f>HYPERLINK("https://www.boe.es/gazeta/dias/1812/10/06/pdfs/GMR-1812-23.pdf#page=8","Abrir facsímil")</f>
        <v>Abrir facsímil</v>
      </c>
      <c r="K8142" s="3" t="s">
        <v>23</v>
      </c>
    </row>
    <row r="8143" spans="1:11" ht="42" customHeight="1">
      <c r="A8143" s="2" t="s">
        <v>20304</v>
      </c>
      <c r="B8143" s="2" t="s">
        <v>20305</v>
      </c>
      <c r="C8143" s="2" t="s">
        <v>49</v>
      </c>
      <c r="D8143" s="2" t="s">
        <v>27</v>
      </c>
      <c r="E8143" s="4">
        <v>-32062</v>
      </c>
      <c r="F8143" s="3" t="s">
        <v>280</v>
      </c>
      <c r="G8143" s="3" t="s">
        <v>20</v>
      </c>
      <c r="H8143" s="2" t="s">
        <v>21</v>
      </c>
      <c r="I8143" s="2" t="s">
        <v>20306</v>
      </c>
      <c r="J8143" s="3" t="str">
        <f>HYPERLINK("https://www.boe.es/gazeta/dias/1812/03/19/pdfs/GMD-1812-79.pdf#page=4","Abrir facsímil")</f>
        <v>Abrir facsímil</v>
      </c>
      <c r="K8143" s="3" t="s">
        <v>23</v>
      </c>
    </row>
    <row r="8144" spans="1:11" ht="42" customHeight="1">
      <c r="A8144" s="2" t="s">
        <v>20307</v>
      </c>
      <c r="B8144" s="2" t="s">
        <v>20308</v>
      </c>
      <c r="C8144" s="2" t="s">
        <v>17</v>
      </c>
      <c r="D8144" s="2" t="s">
        <v>275</v>
      </c>
      <c r="E8144" s="4">
        <v>-32125</v>
      </c>
      <c r="F8144" s="3" t="s">
        <v>964</v>
      </c>
      <c r="G8144" s="3" t="s">
        <v>1842</v>
      </c>
      <c r="H8144" s="2" t="s">
        <v>21</v>
      </c>
      <c r="I8144" s="2" t="s">
        <v>20309</v>
      </c>
      <c r="J8144" s="3" t="str">
        <f>HYPERLINK("https://www.boe.es/gazeta/dias/1812/01/16/pdfs/GEI-H-1812-7.pdf#page=4","Abrir facsímil")</f>
        <v>Abrir facsímil</v>
      </c>
      <c r="K8144" s="3" t="s">
        <v>23</v>
      </c>
    </row>
    <row r="8145" spans="1:11" ht="42" customHeight="1">
      <c r="A8145" s="2" t="s">
        <v>20310</v>
      </c>
      <c r="B8145" s="2" t="s">
        <v>20311</v>
      </c>
      <c r="C8145" s="2" t="s">
        <v>26</v>
      </c>
      <c r="D8145" s="2" t="s">
        <v>27</v>
      </c>
      <c r="E8145" s="4">
        <v>-31939</v>
      </c>
      <c r="F8145" s="3" t="s">
        <v>408</v>
      </c>
      <c r="G8145" s="3" t="s">
        <v>404</v>
      </c>
      <c r="H8145" s="2" t="s">
        <v>21</v>
      </c>
      <c r="I8145" s="2" t="s">
        <v>20312</v>
      </c>
      <c r="J8145" s="3" t="str">
        <f>HYPERLINK("https://www.boe.es/gazeta/dias/1812/07/20/pdfs/GMD-1812-202.pdf#page=2","Abrir facsímil")</f>
        <v>Abrir facsímil</v>
      </c>
      <c r="K8145" s="3" t="s">
        <v>23</v>
      </c>
    </row>
    <row r="8146" spans="1:11" ht="42" customHeight="1">
      <c r="A8146" s="2" t="s">
        <v>20313</v>
      </c>
      <c r="B8146" s="2" t="s">
        <v>20314</v>
      </c>
      <c r="C8146" s="2" t="s">
        <v>186</v>
      </c>
      <c r="D8146" s="2" t="s">
        <v>27</v>
      </c>
      <c r="E8146" s="4">
        <v>-32002</v>
      </c>
      <c r="F8146" s="3" t="s">
        <v>619</v>
      </c>
      <c r="G8146" s="3" t="s">
        <v>620</v>
      </c>
      <c r="H8146" s="2" t="s">
        <v>21</v>
      </c>
      <c r="I8146" s="2" t="s">
        <v>20315</v>
      </c>
      <c r="J8146" s="3" t="str">
        <f>HYPERLINK("https://www.boe.es/gazeta/dias/1812/05/18/pdfs/GMD-1812-139.pdf#page=2","Abrir facsímil")</f>
        <v>Abrir facsímil</v>
      </c>
      <c r="K8146" s="3" t="s">
        <v>23</v>
      </c>
    </row>
    <row r="8147" spans="1:11" ht="42" customHeight="1">
      <c r="A8147" s="2" t="s">
        <v>20316</v>
      </c>
      <c r="B8147" s="2" t="s">
        <v>20317</v>
      </c>
      <c r="C8147" s="2" t="s">
        <v>17</v>
      </c>
      <c r="D8147" s="2" t="s">
        <v>27</v>
      </c>
      <c r="E8147" s="4">
        <v>-32134</v>
      </c>
      <c r="F8147" s="3" t="s">
        <v>50</v>
      </c>
      <c r="G8147" s="3" t="s">
        <v>233</v>
      </c>
      <c r="H8147" s="2" t="s">
        <v>21</v>
      </c>
      <c r="I8147" s="2" t="s">
        <v>20318</v>
      </c>
      <c r="J8147" s="3" t="str">
        <f>HYPERLINK("https://www.boe.es/gazeta/dias/1812/01/07/pdfs/GEI-1812-3.pdf#page=8","Abrir facsímil")</f>
        <v>Abrir facsímil</v>
      </c>
      <c r="K8147" s="3" t="s">
        <v>23</v>
      </c>
    </row>
    <row r="8148" spans="1:11" ht="42" customHeight="1">
      <c r="A8148" s="2" t="s">
        <v>20319</v>
      </c>
      <c r="B8148" s="2" t="s">
        <v>20320</v>
      </c>
      <c r="C8148" s="2" t="s">
        <v>26</v>
      </c>
      <c r="D8148" s="2" t="s">
        <v>27</v>
      </c>
      <c r="E8148" s="4">
        <v>-32109</v>
      </c>
      <c r="F8148" s="3" t="s">
        <v>62</v>
      </c>
      <c r="G8148" s="3" t="s">
        <v>472</v>
      </c>
      <c r="H8148" s="2" t="s">
        <v>21</v>
      </c>
      <c r="I8148" s="2" t="s">
        <v>20321</v>
      </c>
      <c r="J8148" s="3" t="str">
        <f>HYPERLINK("https://www.boe.es/gazeta/dias/1812/02/01/pdfs/GRE-1812-14.pdf#page=12","Abrir facsímil")</f>
        <v>Abrir facsímil</v>
      </c>
      <c r="K8148" s="3" t="s">
        <v>23</v>
      </c>
    </row>
    <row r="8149" spans="1:11" ht="42" customHeight="1">
      <c r="A8149" s="2" t="s">
        <v>20322</v>
      </c>
      <c r="B8149" s="2" t="s">
        <v>20322</v>
      </c>
      <c r="C8149" s="2" t="s">
        <v>105</v>
      </c>
      <c r="D8149" s="2" t="s">
        <v>27</v>
      </c>
      <c r="E8149" s="4">
        <v>-31945</v>
      </c>
      <c r="F8149" s="3" t="s">
        <v>9880</v>
      </c>
      <c r="G8149" s="3" t="s">
        <v>172</v>
      </c>
      <c r="H8149" s="2" t="s">
        <v>21</v>
      </c>
      <c r="I8149" s="2" t="s">
        <v>20323</v>
      </c>
      <c r="J8149" s="3" t="str">
        <f>HYPERLINK("https://www.boe.es/gazeta/dias/1812/07/14/pdfs/GMD-1812-196.pdf#page=1","Abrir facsímil")</f>
        <v>Abrir facsímil</v>
      </c>
      <c r="K8149" s="3" t="s">
        <v>23</v>
      </c>
    </row>
    <row r="8150" spans="1:11" ht="42" customHeight="1">
      <c r="A8150" s="2" t="s">
        <v>20324</v>
      </c>
      <c r="B8150" s="2" t="s">
        <v>20325</v>
      </c>
      <c r="C8150" s="2" t="s">
        <v>26</v>
      </c>
      <c r="D8150" s="2" t="s">
        <v>573</v>
      </c>
      <c r="E8150" s="4">
        <v>-31900</v>
      </c>
      <c r="F8150" s="3" t="s">
        <v>276</v>
      </c>
      <c r="G8150" s="3" t="s">
        <v>277</v>
      </c>
      <c r="H8150" s="2" t="s">
        <v>21</v>
      </c>
      <c r="I8150" s="2" t="s">
        <v>20326</v>
      </c>
      <c r="J8150" s="3" t="str">
        <f>HYPERLINK("https://www.boe.es/gazeta/dias/1812/08/28/pdfs/GRE-1812-113E.pdf#page=8","Abrir facsímil")</f>
        <v>Abrir facsímil</v>
      </c>
      <c r="K8150" s="3" t="s">
        <v>23</v>
      </c>
    </row>
    <row r="8151" spans="1:11" ht="42" customHeight="1">
      <c r="A8151" s="2" t="s">
        <v>20327</v>
      </c>
      <c r="B8151" s="2" t="s">
        <v>20327</v>
      </c>
      <c r="C8151" s="2" t="s">
        <v>49</v>
      </c>
      <c r="D8151" s="2" t="s">
        <v>18</v>
      </c>
      <c r="E8151" s="4">
        <v>-32090</v>
      </c>
      <c r="F8151" s="3" t="s">
        <v>142</v>
      </c>
      <c r="G8151" s="3" t="s">
        <v>11430</v>
      </c>
      <c r="H8151" s="2" t="s">
        <v>21</v>
      </c>
      <c r="I8151" s="2" t="s">
        <v>20328</v>
      </c>
      <c r="J8151" s="3" t="str">
        <f>HYPERLINK("https://www.boe.es/gazeta/dias/1812/02/20/pdfs/GRE-1812-22.pdf#page=3","Abrir facsímil")</f>
        <v>Abrir facsímil</v>
      </c>
      <c r="K8151" s="3" t="s">
        <v>23</v>
      </c>
    </row>
    <row r="8152" spans="1:11" ht="42" customHeight="1">
      <c r="A8152" s="2" t="s">
        <v>20329</v>
      </c>
      <c r="B8152" s="2" t="s">
        <v>20330</v>
      </c>
      <c r="C8152" s="2" t="s">
        <v>26</v>
      </c>
      <c r="D8152" s="2" t="s">
        <v>27</v>
      </c>
      <c r="E8152" s="4">
        <v>-32075</v>
      </c>
      <c r="F8152" s="3" t="s">
        <v>301</v>
      </c>
      <c r="G8152" s="3" t="s">
        <v>20</v>
      </c>
      <c r="H8152" s="2" t="s">
        <v>21</v>
      </c>
      <c r="I8152" s="2" t="s">
        <v>20331</v>
      </c>
      <c r="J8152" s="3" t="str">
        <f>HYPERLINK("https://www.boe.es/gazeta/dias/1812/03/06/pdfs/GMD-1812-66.pdf#page=4","Abrir facsímil")</f>
        <v>Abrir facsímil</v>
      </c>
      <c r="K8152" s="3" t="s">
        <v>23</v>
      </c>
    </row>
    <row r="8153" spans="1:11" ht="42" customHeight="1">
      <c r="A8153" s="2" t="s">
        <v>20332</v>
      </c>
      <c r="B8153" s="2" t="s">
        <v>20332</v>
      </c>
      <c r="C8153" s="2" t="s">
        <v>17</v>
      </c>
      <c r="D8153" s="2" t="s">
        <v>27</v>
      </c>
      <c r="E8153" s="4">
        <v>-31990</v>
      </c>
      <c r="F8153" s="3" t="s">
        <v>5078</v>
      </c>
      <c r="G8153" s="3" t="s">
        <v>739</v>
      </c>
      <c r="H8153" s="2" t="s">
        <v>21</v>
      </c>
      <c r="I8153" s="2" t="s">
        <v>20333</v>
      </c>
      <c r="J8153" s="3" t="str">
        <f>HYPERLINK("https://www.boe.es/gazeta/dias/1812/05/30/pdfs/GRE-1812-67.pdf#page=2","Abrir facsímil")</f>
        <v>Abrir facsímil</v>
      </c>
      <c r="K8153" s="3" t="s">
        <v>23</v>
      </c>
    </row>
    <row r="8154" spans="1:11" ht="42" customHeight="1">
      <c r="A8154" s="2" t="s">
        <v>20334</v>
      </c>
      <c r="B8154" s="2" t="s">
        <v>20335</v>
      </c>
      <c r="C8154" s="2" t="s">
        <v>17</v>
      </c>
      <c r="D8154" s="2" t="s">
        <v>27</v>
      </c>
      <c r="E8154" s="4">
        <v>-31857</v>
      </c>
      <c r="F8154" s="3" t="s">
        <v>1000</v>
      </c>
      <c r="G8154" s="3" t="s">
        <v>136</v>
      </c>
      <c r="H8154" s="2" t="s">
        <v>21</v>
      </c>
      <c r="I8154" s="2" t="s">
        <v>20336</v>
      </c>
      <c r="J8154" s="3" t="str">
        <f>HYPERLINK("https://www.boe.es/gazeta/dias/1812/10/10/pdfs/GRE-1812-137.pdf#page=8","Abrir facsímil")</f>
        <v>Abrir facsímil</v>
      </c>
      <c r="K8154" s="3" t="s">
        <v>23</v>
      </c>
    </row>
    <row r="8155" spans="1:11" ht="42" customHeight="1">
      <c r="A8155" s="2" t="s">
        <v>20337</v>
      </c>
      <c r="B8155" s="2" t="s">
        <v>20338</v>
      </c>
      <c r="C8155" s="2" t="s">
        <v>115</v>
      </c>
      <c r="D8155" s="2" t="s">
        <v>194</v>
      </c>
      <c r="E8155" s="4">
        <v>-31964</v>
      </c>
      <c r="F8155" s="3" t="s">
        <v>305</v>
      </c>
      <c r="G8155" s="3" t="s">
        <v>306</v>
      </c>
      <c r="H8155" s="2" t="s">
        <v>21</v>
      </c>
      <c r="I8155" s="2" t="s">
        <v>20339</v>
      </c>
      <c r="J8155" s="3" t="str">
        <f>HYPERLINK("https://www.boe.es/gazeta/dias/1812/06/25/pdfs/GMD-1812-177.pdf#page=3","Abrir facsímil")</f>
        <v>Abrir facsímil</v>
      </c>
      <c r="K8155" s="3" t="s">
        <v>23</v>
      </c>
    </row>
    <row r="8156" spans="1:11" ht="42" customHeight="1">
      <c r="A8156" s="2" t="s">
        <v>20340</v>
      </c>
      <c r="B8156" s="2" t="s">
        <v>20341</v>
      </c>
      <c r="C8156" s="2" t="s">
        <v>17</v>
      </c>
      <c r="D8156" s="2" t="s">
        <v>27</v>
      </c>
      <c r="E8156" s="4">
        <v>-32018</v>
      </c>
      <c r="F8156" s="3" t="s">
        <v>1287</v>
      </c>
      <c r="G8156" s="3" t="s">
        <v>1288</v>
      </c>
      <c r="H8156" s="2" t="s">
        <v>21</v>
      </c>
      <c r="I8156" s="2" t="s">
        <v>20342</v>
      </c>
      <c r="J8156" s="3" t="str">
        <f>HYPERLINK("https://www.boe.es/gazeta/dias/1812/05/02/pdfs/GMD-1812-123.pdf#page=2","Abrir facsímil")</f>
        <v>Abrir facsímil</v>
      </c>
      <c r="K8156" s="3" t="s">
        <v>23</v>
      </c>
    </row>
    <row r="8157" spans="1:11" ht="42" customHeight="1">
      <c r="A8157" s="2" t="s">
        <v>20343</v>
      </c>
      <c r="B8157" s="2" t="s">
        <v>20344</v>
      </c>
      <c r="C8157" s="2" t="s">
        <v>17</v>
      </c>
      <c r="D8157" s="2" t="s">
        <v>18</v>
      </c>
      <c r="E8157" s="4">
        <v>-31922</v>
      </c>
      <c r="F8157" s="3" t="s">
        <v>622</v>
      </c>
      <c r="G8157" s="3" t="s">
        <v>623</v>
      </c>
      <c r="H8157" s="2" t="s">
        <v>21</v>
      </c>
      <c r="I8157" s="2" t="s">
        <v>20345</v>
      </c>
      <c r="J8157" s="3" t="str">
        <f>HYPERLINK("https://www.boe.es/gazeta/dias/1812/08/06/pdfs/GMD-1812-219.pdf#page=1","Abrir facsímil")</f>
        <v>Abrir facsímil</v>
      </c>
      <c r="K8157" s="3" t="s">
        <v>23</v>
      </c>
    </row>
    <row r="8158" spans="1:11" ht="42" customHeight="1">
      <c r="A8158" s="2" t="s">
        <v>20346</v>
      </c>
      <c r="B8158" s="2" t="s">
        <v>20346</v>
      </c>
      <c r="C8158" s="2" t="s">
        <v>26</v>
      </c>
      <c r="D8158" s="2" t="s">
        <v>194</v>
      </c>
      <c r="E8158" s="4">
        <v>-32072</v>
      </c>
      <c r="F8158" s="3" t="s">
        <v>8696</v>
      </c>
      <c r="G8158" s="3" t="s">
        <v>336</v>
      </c>
      <c r="H8158" s="2" t="s">
        <v>21</v>
      </c>
      <c r="I8158" s="2" t="s">
        <v>20347</v>
      </c>
      <c r="J8158" s="3" t="str">
        <f>HYPERLINK("https://www.boe.es/gazeta/dias/1812/03/09/pdfs/GMD-1812-69.pdf#page=4","Abrir facsímil")</f>
        <v>Abrir facsímil</v>
      </c>
      <c r="K8158" s="3" t="s">
        <v>23</v>
      </c>
    </row>
    <row r="8159" spans="1:11" ht="42" customHeight="1">
      <c r="A8159" s="2" t="s">
        <v>20348</v>
      </c>
      <c r="B8159" s="2" t="s">
        <v>20348</v>
      </c>
      <c r="C8159" s="2" t="s">
        <v>115</v>
      </c>
      <c r="D8159" s="2" t="s">
        <v>27</v>
      </c>
      <c r="E8159" s="4">
        <v>-32062</v>
      </c>
      <c r="F8159" s="3" t="s">
        <v>280</v>
      </c>
      <c r="G8159" s="3" t="s">
        <v>20</v>
      </c>
      <c r="H8159" s="2" t="s">
        <v>21</v>
      </c>
      <c r="I8159" s="2" t="s">
        <v>20349</v>
      </c>
      <c r="J8159" s="3" t="str">
        <f>HYPERLINK("https://www.boe.es/gazeta/dias/1812/03/19/pdfs/GMD-1812-79.pdf#page=4","Abrir facsímil")</f>
        <v>Abrir facsímil</v>
      </c>
      <c r="K8159" s="3" t="s">
        <v>23</v>
      </c>
    </row>
    <row r="8160" spans="1:11" ht="42" customHeight="1">
      <c r="A8160" s="2" t="s">
        <v>20350</v>
      </c>
      <c r="B8160" s="2" t="s">
        <v>20351</v>
      </c>
      <c r="C8160" s="2" t="s">
        <v>17</v>
      </c>
      <c r="D8160" s="2" t="s">
        <v>27</v>
      </c>
      <c r="E8160" s="4">
        <v>-32015</v>
      </c>
      <c r="F8160" s="3" t="s">
        <v>77</v>
      </c>
      <c r="G8160" s="3" t="s">
        <v>78</v>
      </c>
      <c r="H8160" s="2" t="s">
        <v>21</v>
      </c>
      <c r="I8160" s="2" t="s">
        <v>20352</v>
      </c>
      <c r="J8160" s="3" t="str">
        <f>HYPERLINK("https://www.boe.es/gazeta/dias/1812/05/05/pdfs/GRE-1812-56.pdf#page=8","Abrir facsímil")</f>
        <v>Abrir facsímil</v>
      </c>
      <c r="K8160" s="3" t="s">
        <v>23</v>
      </c>
    </row>
    <row r="8161" spans="1:11" ht="42" customHeight="1">
      <c r="A8161" s="2" t="s">
        <v>20353</v>
      </c>
      <c r="B8161" s="2" t="s">
        <v>20354</v>
      </c>
      <c r="C8161" s="2" t="s">
        <v>105</v>
      </c>
      <c r="D8161" s="2" t="s">
        <v>27</v>
      </c>
      <c r="E8161" s="4">
        <v>-32139</v>
      </c>
      <c r="F8161" s="3" t="s">
        <v>518</v>
      </c>
      <c r="G8161" s="3" t="s">
        <v>125</v>
      </c>
      <c r="H8161" s="2" t="s">
        <v>21</v>
      </c>
      <c r="I8161" s="2" t="s">
        <v>20355</v>
      </c>
      <c r="J8161" s="3" t="str">
        <f>HYPERLINK("https://www.boe.es/gazeta/dias/1812/01/02/pdfs/GEI-1812-1.pdf#page=8","Abrir facsímil")</f>
        <v>Abrir facsímil</v>
      </c>
      <c r="K8161" s="3" t="s">
        <v>23</v>
      </c>
    </row>
    <row r="8162" spans="1:11" ht="42" customHeight="1">
      <c r="A8162" s="2" t="s">
        <v>20356</v>
      </c>
      <c r="B8162" s="2" t="s">
        <v>20357</v>
      </c>
      <c r="C8162" s="2" t="s">
        <v>17</v>
      </c>
      <c r="D8162" s="2" t="s">
        <v>18</v>
      </c>
      <c r="E8162" s="4">
        <v>-32018</v>
      </c>
      <c r="F8162" s="3" t="s">
        <v>365</v>
      </c>
      <c r="G8162" s="3" t="s">
        <v>392</v>
      </c>
      <c r="H8162" s="2" t="s">
        <v>21</v>
      </c>
      <c r="I8162" s="2" t="s">
        <v>20358</v>
      </c>
      <c r="J8162" s="3" t="str">
        <f>HYPERLINK("https://www.boe.es/gazeta/dias/1812/05/02/pdfs/GRE-1812-55.pdf#page=2","Abrir facsímil")</f>
        <v>Abrir facsímil</v>
      </c>
      <c r="K8162" s="3" t="s">
        <v>23</v>
      </c>
    </row>
    <row r="8163" spans="1:11" ht="42" customHeight="1">
      <c r="A8163" s="2" t="s">
        <v>20359</v>
      </c>
      <c r="B8163" s="2" t="s">
        <v>20360</v>
      </c>
      <c r="C8163" s="2" t="s">
        <v>105</v>
      </c>
      <c r="D8163" s="2" t="s">
        <v>27</v>
      </c>
      <c r="E8163" s="4">
        <v>-32018</v>
      </c>
      <c r="F8163" s="3" t="s">
        <v>365</v>
      </c>
      <c r="G8163" s="3" t="s">
        <v>392</v>
      </c>
      <c r="H8163" s="2" t="s">
        <v>21</v>
      </c>
      <c r="I8163" s="2" t="s">
        <v>20361</v>
      </c>
      <c r="J8163" s="3" t="str">
        <f>HYPERLINK("https://www.boe.es/gazeta/dias/1812/05/02/pdfs/GRE-1812-55.pdf#page=2","Abrir facsímil")</f>
        <v>Abrir facsímil</v>
      </c>
      <c r="K8163" s="3" t="s">
        <v>23</v>
      </c>
    </row>
    <row r="8164" spans="1:11" ht="42" customHeight="1">
      <c r="A8164" s="2" t="s">
        <v>20362</v>
      </c>
      <c r="B8164" s="2" t="s">
        <v>20362</v>
      </c>
      <c r="C8164" s="2" t="s">
        <v>17</v>
      </c>
      <c r="D8164" s="2" t="s">
        <v>27</v>
      </c>
      <c r="E8164" s="4">
        <v>-31778</v>
      </c>
      <c r="F8164" s="3" t="s">
        <v>1966</v>
      </c>
      <c r="G8164" s="3" t="s">
        <v>45</v>
      </c>
      <c r="H8164" s="2" t="s">
        <v>21</v>
      </c>
      <c r="I8164" s="2" t="s">
        <v>20363</v>
      </c>
      <c r="J8164" s="3" t="str">
        <f>HYPERLINK("https://www.boe.es/gazeta/dias/1812/12/28/pdfs/GMD-1812-251.pdf#page=4","Abrir facsímil")</f>
        <v>Abrir facsímil</v>
      </c>
      <c r="K8164" s="3" t="s">
        <v>23</v>
      </c>
    </row>
    <row r="8165" spans="1:11" ht="42" customHeight="1">
      <c r="A8165" s="2" t="s">
        <v>20364</v>
      </c>
      <c r="B8165" s="2" t="s">
        <v>20365</v>
      </c>
      <c r="C8165" s="2" t="s">
        <v>26</v>
      </c>
      <c r="D8165" s="2" t="s">
        <v>27</v>
      </c>
      <c r="E8165" s="4">
        <v>-32002</v>
      </c>
      <c r="F8165" s="3" t="s">
        <v>619</v>
      </c>
      <c r="G8165" s="3" t="s">
        <v>20</v>
      </c>
      <c r="H8165" s="2" t="s">
        <v>21</v>
      </c>
      <c r="I8165" s="2" t="s">
        <v>20366</v>
      </c>
      <c r="J8165" s="3" t="str">
        <f>HYPERLINK("https://www.boe.es/gazeta/dias/1812/05/18/pdfs/GMD-1812-139.pdf#page=3","Abrir facsímil")</f>
        <v>Abrir facsímil</v>
      </c>
      <c r="K8165" s="3" t="s">
        <v>23</v>
      </c>
    </row>
    <row r="8166" spans="1:11" ht="42" customHeight="1">
      <c r="A8166" s="2" t="s">
        <v>20367</v>
      </c>
      <c r="B8166" s="2" t="s">
        <v>20368</v>
      </c>
      <c r="C8166" s="2" t="s">
        <v>26</v>
      </c>
      <c r="D8166" s="2" t="s">
        <v>27</v>
      </c>
      <c r="E8166" s="4">
        <v>-32034</v>
      </c>
      <c r="F8166" s="3" t="s">
        <v>28</v>
      </c>
      <c r="G8166" s="3" t="s">
        <v>29</v>
      </c>
      <c r="H8166" s="2" t="s">
        <v>21</v>
      </c>
      <c r="I8166" s="2" t="s">
        <v>20369</v>
      </c>
      <c r="J8166" s="3" t="str">
        <f>HYPERLINK("https://www.boe.es/gazeta/dias/1812/04/16/pdfs/GMD-1812-107.pdf#page=8","Abrir facsímil")</f>
        <v>Abrir facsímil</v>
      </c>
      <c r="K8166" s="3" t="s">
        <v>23</v>
      </c>
    </row>
    <row r="8167" spans="1:11" ht="42" customHeight="1">
      <c r="A8167" s="2" t="s">
        <v>20370</v>
      </c>
      <c r="B8167" s="2" t="s">
        <v>20370</v>
      </c>
      <c r="C8167" s="2" t="s">
        <v>17</v>
      </c>
      <c r="D8167" s="2" t="s">
        <v>275</v>
      </c>
      <c r="E8167" s="4">
        <v>-31887</v>
      </c>
      <c r="F8167" s="3" t="s">
        <v>701</v>
      </c>
      <c r="G8167" s="3" t="s">
        <v>317</v>
      </c>
      <c r="H8167" s="2" t="s">
        <v>21</v>
      </c>
      <c r="I8167" s="2" t="s">
        <v>20371</v>
      </c>
      <c r="J8167" s="3" t="str">
        <f>HYPERLINK("https://www.boe.es/gazeta/dias/1812/09/10/pdfs/GMR-1812-12.pdf#page=6","Abrir facsímil")</f>
        <v>Abrir facsímil</v>
      </c>
      <c r="K8167" s="3" t="s">
        <v>23</v>
      </c>
    </row>
    <row r="8168" spans="1:11" ht="42" customHeight="1">
      <c r="A8168" s="2" t="s">
        <v>20372</v>
      </c>
      <c r="B8168" s="2" t="s">
        <v>20372</v>
      </c>
      <c r="C8168" s="2" t="s">
        <v>26</v>
      </c>
      <c r="D8168" s="2" t="s">
        <v>27</v>
      </c>
      <c r="E8168" s="4">
        <v>-32062</v>
      </c>
      <c r="F8168" s="3" t="s">
        <v>280</v>
      </c>
      <c r="G8168" s="3" t="s">
        <v>20</v>
      </c>
      <c r="H8168" s="2" t="s">
        <v>21</v>
      </c>
      <c r="I8168" s="2" t="s">
        <v>20373</v>
      </c>
      <c r="J8168" s="3" t="str">
        <f>HYPERLINK("https://www.boe.es/gazeta/dias/1812/03/19/pdfs/GMD-1812-79.pdf#page=4","Abrir facsímil")</f>
        <v>Abrir facsímil</v>
      </c>
      <c r="K8168" s="3" t="s">
        <v>23</v>
      </c>
    </row>
    <row r="8169" spans="1:11" ht="42" customHeight="1">
      <c r="A8169" s="2" t="s">
        <v>20374</v>
      </c>
      <c r="B8169" s="2" t="s">
        <v>20374</v>
      </c>
      <c r="C8169" s="2" t="s">
        <v>115</v>
      </c>
      <c r="D8169" s="2" t="s">
        <v>27</v>
      </c>
      <c r="E8169" s="4">
        <v>-32133</v>
      </c>
      <c r="F8169" s="3" t="s">
        <v>139</v>
      </c>
      <c r="G8169" s="3" t="s">
        <v>125</v>
      </c>
      <c r="H8169" s="2" t="s">
        <v>21</v>
      </c>
      <c r="I8169" s="2" t="s">
        <v>20375</v>
      </c>
      <c r="J8169" s="3" t="str">
        <f>HYPERLINK("https://www.boe.es/gazeta/dias/1812/01/08/pdfs/GMD-1812-8.pdf#page=4","Abrir facsímil")</f>
        <v>Abrir facsímil</v>
      </c>
      <c r="K8169" s="3" t="s">
        <v>23</v>
      </c>
    </row>
    <row r="8170" spans="1:11" ht="42" customHeight="1">
      <c r="A8170" s="2" t="s">
        <v>20374</v>
      </c>
      <c r="B8170" s="2" t="s">
        <v>20374</v>
      </c>
      <c r="C8170" s="2" t="s">
        <v>67</v>
      </c>
      <c r="D8170" s="2" t="s">
        <v>27</v>
      </c>
      <c r="E8170" s="4">
        <v>-32063</v>
      </c>
      <c r="F8170" s="3" t="s">
        <v>384</v>
      </c>
      <c r="G8170" s="3" t="s">
        <v>20</v>
      </c>
      <c r="H8170" s="2" t="s">
        <v>21</v>
      </c>
      <c r="I8170" s="2" t="s">
        <v>20376</v>
      </c>
      <c r="J8170" s="3" t="str">
        <f>HYPERLINK("https://www.boe.es/gazeta/dias/1812/03/18/pdfs/GMD-1812-78.pdf#page=4","Abrir facsímil")</f>
        <v>Abrir facsímil</v>
      </c>
      <c r="K8170" s="3" t="s">
        <v>23</v>
      </c>
    </row>
    <row r="8171" spans="1:11" ht="42" customHeight="1">
      <c r="A8171" s="2" t="s">
        <v>20374</v>
      </c>
      <c r="B8171" s="2" t="s">
        <v>20374</v>
      </c>
      <c r="C8171" s="2" t="s">
        <v>17</v>
      </c>
      <c r="D8171" s="2" t="s">
        <v>18</v>
      </c>
      <c r="E8171" s="4">
        <v>-32059</v>
      </c>
      <c r="F8171" s="3" t="s">
        <v>2531</v>
      </c>
      <c r="G8171" s="3" t="s">
        <v>2532</v>
      </c>
      <c r="H8171" s="2" t="s">
        <v>21</v>
      </c>
      <c r="I8171" s="2" t="s">
        <v>20377</v>
      </c>
      <c r="J8171" s="3" t="str">
        <f>HYPERLINK("https://www.boe.es/gazeta/dias/1812/03/22/pdfs/GMD-1812-82.pdf#page=4","Abrir facsímil")</f>
        <v>Abrir facsímil</v>
      </c>
      <c r="K8171" s="3" t="s">
        <v>23</v>
      </c>
    </row>
    <row r="8172" spans="1:11" ht="42" customHeight="1">
      <c r="A8172" s="2" t="s">
        <v>20374</v>
      </c>
      <c r="B8172" s="2" t="s">
        <v>20374</v>
      </c>
      <c r="C8172" s="2" t="s">
        <v>26</v>
      </c>
      <c r="D8172" s="2" t="s">
        <v>27</v>
      </c>
      <c r="E8172" s="4">
        <v>-31937</v>
      </c>
      <c r="F8172" s="3" t="s">
        <v>1198</v>
      </c>
      <c r="G8172" s="3" t="s">
        <v>140</v>
      </c>
      <c r="H8172" s="2" t="s">
        <v>21</v>
      </c>
      <c r="I8172" s="2" t="s">
        <v>20378</v>
      </c>
      <c r="J8172" s="3" t="str">
        <f>HYPERLINK("https://www.boe.es/gazeta/dias/1812/07/22/pdfs/GMD-1812-204.pdf#page=2","Abrir facsímil")</f>
        <v>Abrir facsímil</v>
      </c>
      <c r="K8172" s="3" t="s">
        <v>23</v>
      </c>
    </row>
    <row r="8173" spans="1:11" ht="42" customHeight="1">
      <c r="A8173" s="2" t="s">
        <v>20374</v>
      </c>
      <c r="B8173" s="2" t="s">
        <v>20374</v>
      </c>
      <c r="C8173" s="2" t="s">
        <v>67</v>
      </c>
      <c r="D8173" s="2" t="s">
        <v>27</v>
      </c>
      <c r="E8173" s="4">
        <v>-31922</v>
      </c>
      <c r="F8173" s="3" t="s">
        <v>375</v>
      </c>
      <c r="G8173" s="3" t="s">
        <v>986</v>
      </c>
      <c r="H8173" s="2" t="s">
        <v>21</v>
      </c>
      <c r="I8173" s="2" t="s">
        <v>20379</v>
      </c>
      <c r="J8173" s="3" t="str">
        <f>HYPERLINK("https://www.boe.es/gazeta/dias/1812/08/06/pdfs/GRE-1812-100.pdf#page=8","Abrir facsímil")</f>
        <v>Abrir facsímil</v>
      </c>
      <c r="K8173" s="3" t="s">
        <v>23</v>
      </c>
    </row>
    <row r="8174" spans="1:11" ht="42" customHeight="1">
      <c r="A8174" s="2" t="s">
        <v>20380</v>
      </c>
      <c r="B8174" s="2" t="s">
        <v>20381</v>
      </c>
      <c r="C8174" s="2" t="s">
        <v>26</v>
      </c>
      <c r="D8174" s="2" t="s">
        <v>275</v>
      </c>
      <c r="E8174" s="4">
        <v>-32063</v>
      </c>
      <c r="F8174" s="3" t="s">
        <v>384</v>
      </c>
      <c r="G8174" s="3" t="s">
        <v>20</v>
      </c>
      <c r="H8174" s="2" t="s">
        <v>21</v>
      </c>
      <c r="I8174" s="2" t="s">
        <v>20382</v>
      </c>
      <c r="J8174" s="3" t="str">
        <f>HYPERLINK("https://www.boe.es/gazeta/dias/1812/03/18/pdfs/GMD-1812-78.pdf#page=4","Abrir facsímil")</f>
        <v>Abrir facsímil</v>
      </c>
      <c r="K8174" s="3" t="s">
        <v>23</v>
      </c>
    </row>
    <row r="8175" spans="1:11" ht="42" customHeight="1">
      <c r="A8175" s="2" t="s">
        <v>20383</v>
      </c>
      <c r="B8175" s="2" t="s">
        <v>20384</v>
      </c>
      <c r="C8175" s="2" t="s">
        <v>26</v>
      </c>
      <c r="D8175" s="2" t="s">
        <v>27</v>
      </c>
      <c r="E8175" s="4">
        <v>-32063</v>
      </c>
      <c r="F8175" s="3" t="s">
        <v>384</v>
      </c>
      <c r="G8175" s="3" t="s">
        <v>125</v>
      </c>
      <c r="H8175" s="2" t="s">
        <v>21</v>
      </c>
      <c r="I8175" s="2" t="s">
        <v>20385</v>
      </c>
      <c r="J8175" s="3" t="str">
        <f>HYPERLINK("https://www.boe.es/gazeta/dias/1812/03/18/pdfs/GMD-1812-78.pdf#page=3","Abrir facsímil")</f>
        <v>Abrir facsímil</v>
      </c>
      <c r="K8175" s="3" t="s">
        <v>23</v>
      </c>
    </row>
    <row r="8176" spans="1:11" ht="42" customHeight="1">
      <c r="A8176" s="2" t="s">
        <v>20386</v>
      </c>
      <c r="B8176" s="2" t="s">
        <v>20387</v>
      </c>
      <c r="C8176" s="2" t="s">
        <v>17</v>
      </c>
      <c r="D8176" s="2" t="s">
        <v>27</v>
      </c>
      <c r="E8176" s="4">
        <v>-32095</v>
      </c>
      <c r="F8176" s="3" t="s">
        <v>181</v>
      </c>
      <c r="G8176" s="3" t="s">
        <v>777</v>
      </c>
      <c r="H8176" s="2" t="s">
        <v>21</v>
      </c>
      <c r="I8176" s="2" t="s">
        <v>20388</v>
      </c>
      <c r="J8176" s="3" t="str">
        <f>HYPERLINK("https://www.boe.es/gazeta/dias/1812/02/15/pdfs/GMD-1812-47.pdf#page=3","Abrir facsímil")</f>
        <v>Abrir facsímil</v>
      </c>
      <c r="K8176" s="3" t="s">
        <v>23</v>
      </c>
    </row>
    <row r="8177" spans="1:11" ht="42" customHeight="1">
      <c r="A8177" s="2" t="s">
        <v>20386</v>
      </c>
      <c r="B8177" s="2" t="s">
        <v>20387</v>
      </c>
      <c r="C8177" s="2" t="s">
        <v>17</v>
      </c>
      <c r="D8177" s="2" t="s">
        <v>27</v>
      </c>
      <c r="E8177" s="4">
        <v>-32094</v>
      </c>
      <c r="F8177" s="3" t="s">
        <v>181</v>
      </c>
      <c r="G8177" s="3" t="s">
        <v>777</v>
      </c>
      <c r="H8177" s="2" t="s">
        <v>21</v>
      </c>
      <c r="I8177" s="2" t="s">
        <v>20388</v>
      </c>
      <c r="J8177" s="3" t="str">
        <f>HYPERLINK("https://www.boe.es/gazeta/dias/1812/02/16/pdfs/GMD-1812-47.pdf#page=3","Abrir facsímil")</f>
        <v>Abrir facsímil</v>
      </c>
      <c r="K8177" s="3" t="s">
        <v>23</v>
      </c>
    </row>
    <row r="8178" spans="1:11" ht="42" customHeight="1">
      <c r="A8178" s="2" t="s">
        <v>20386</v>
      </c>
      <c r="B8178" s="2" t="s">
        <v>20387</v>
      </c>
      <c r="C8178" s="2" t="s">
        <v>17</v>
      </c>
      <c r="D8178" s="2" t="s">
        <v>18</v>
      </c>
      <c r="E8178" s="4">
        <v>-32063</v>
      </c>
      <c r="F8178" s="3" t="s">
        <v>384</v>
      </c>
      <c r="G8178" s="3" t="s">
        <v>20</v>
      </c>
      <c r="H8178" s="2" t="s">
        <v>21</v>
      </c>
      <c r="I8178" s="2" t="s">
        <v>20389</v>
      </c>
      <c r="J8178" s="3" t="str">
        <f>HYPERLINK("https://www.boe.es/gazeta/dias/1812/03/18/pdfs/GMD-1812-78.pdf#page=4","Abrir facsímil")</f>
        <v>Abrir facsímil</v>
      </c>
      <c r="K8178" s="3" t="s">
        <v>23</v>
      </c>
    </row>
    <row r="8179" spans="1:11" ht="42" customHeight="1">
      <c r="A8179" s="2" t="s">
        <v>20390</v>
      </c>
      <c r="B8179" s="2" t="s">
        <v>20390</v>
      </c>
      <c r="C8179" s="2" t="s">
        <v>26</v>
      </c>
      <c r="D8179" s="2" t="s">
        <v>27</v>
      </c>
      <c r="E8179" s="4">
        <v>-32112</v>
      </c>
      <c r="F8179" s="3" t="s">
        <v>2794</v>
      </c>
      <c r="G8179" s="3" t="s">
        <v>58</v>
      </c>
      <c r="H8179" s="2" t="s">
        <v>21</v>
      </c>
      <c r="I8179" s="2" t="s">
        <v>20391</v>
      </c>
      <c r="J8179" s="3" t="str">
        <f>HYPERLINK("https://www.boe.es/gazeta/dias/1812/01/29/pdfs/GMD-1812-29.pdf#page=4","Abrir facsímil")</f>
        <v>Abrir facsímil</v>
      </c>
      <c r="K8179" s="3" t="s">
        <v>23</v>
      </c>
    </row>
    <row r="8180" spans="1:11" ht="42" customHeight="1">
      <c r="A8180" s="2" t="s">
        <v>20392</v>
      </c>
      <c r="B8180" s="2" t="s">
        <v>20392</v>
      </c>
      <c r="C8180" s="2" t="s">
        <v>17</v>
      </c>
      <c r="D8180" s="2" t="s">
        <v>18</v>
      </c>
      <c r="E8180" s="4">
        <v>-32127</v>
      </c>
      <c r="F8180" s="3" t="s">
        <v>88</v>
      </c>
      <c r="G8180" s="3" t="s">
        <v>58</v>
      </c>
      <c r="H8180" s="2" t="s">
        <v>21</v>
      </c>
      <c r="I8180" s="2" t="s">
        <v>20393</v>
      </c>
      <c r="J8180" s="3" t="str">
        <f>HYPERLINK("https://www.boe.es/gazeta/dias/1812/01/14/pdfs/GEI-1812-6.pdf#page=6","Abrir facsímil")</f>
        <v>Abrir facsímil</v>
      </c>
      <c r="K8180" s="3" t="s">
        <v>23</v>
      </c>
    </row>
    <row r="8181" spans="1:11" ht="42" customHeight="1">
      <c r="A8181" s="2" t="s">
        <v>20392</v>
      </c>
      <c r="B8181" s="2" t="s">
        <v>20392</v>
      </c>
      <c r="C8181" s="2" t="s">
        <v>17</v>
      </c>
      <c r="D8181" s="2" t="s">
        <v>18</v>
      </c>
      <c r="E8181" s="4">
        <v>-32089</v>
      </c>
      <c r="F8181" s="3" t="s">
        <v>1918</v>
      </c>
      <c r="G8181" s="3" t="s">
        <v>1919</v>
      </c>
      <c r="H8181" s="2" t="s">
        <v>21</v>
      </c>
      <c r="I8181" s="2" t="s">
        <v>20394</v>
      </c>
      <c r="J8181" s="3" t="str">
        <f>HYPERLINK("https://www.boe.es/gazeta/dias/1812/02/21/pdfs/GMD-1812-52.pdf#page=3","Abrir facsímil")</f>
        <v>Abrir facsímil</v>
      </c>
      <c r="K8181" s="3" t="s">
        <v>23</v>
      </c>
    </row>
    <row r="8182" spans="1:11" ht="42" customHeight="1">
      <c r="A8182" s="2" t="s">
        <v>20395</v>
      </c>
      <c r="B8182" s="2" t="s">
        <v>20395</v>
      </c>
      <c r="C8182" s="2" t="s">
        <v>26</v>
      </c>
      <c r="D8182" s="2" t="s">
        <v>275</v>
      </c>
      <c r="E8182" s="4">
        <v>-32053</v>
      </c>
      <c r="F8182" s="3" t="s">
        <v>910</v>
      </c>
      <c r="G8182" s="3" t="s">
        <v>671</v>
      </c>
      <c r="H8182" s="2" t="s">
        <v>21</v>
      </c>
      <c r="I8182" s="2" t="s">
        <v>20396</v>
      </c>
      <c r="J8182" s="3" t="str">
        <f>HYPERLINK("https://www.boe.es/gazeta/dias/1812/03/28/pdfs/GRE-1812-39.pdf#page=5","Abrir facsímil")</f>
        <v>Abrir facsímil</v>
      </c>
      <c r="K8182" s="3" t="s">
        <v>23</v>
      </c>
    </row>
    <row r="8183" spans="1:11" ht="42" customHeight="1">
      <c r="A8183" s="2" t="s">
        <v>20392</v>
      </c>
      <c r="B8183" s="2" t="s">
        <v>20392</v>
      </c>
      <c r="C8183" s="2" t="s">
        <v>49</v>
      </c>
      <c r="D8183" s="2" t="s">
        <v>18</v>
      </c>
      <c r="E8183" s="4">
        <v>-32046</v>
      </c>
      <c r="F8183" s="3" t="s">
        <v>1013</v>
      </c>
      <c r="G8183" s="3" t="s">
        <v>2329</v>
      </c>
      <c r="H8183" s="2" t="s">
        <v>21</v>
      </c>
      <c r="I8183" s="2" t="s">
        <v>20397</v>
      </c>
      <c r="J8183" s="3" t="str">
        <f>HYPERLINK("https://www.boe.es/gazeta/dias/1812/04/04/pdfs/GRE-1812-42.pdf#page=5","Abrir facsímil")</f>
        <v>Abrir facsímil</v>
      </c>
      <c r="K8183" s="3" t="s">
        <v>23</v>
      </c>
    </row>
    <row r="8184" spans="1:11" ht="42" customHeight="1">
      <c r="A8184" s="2" t="s">
        <v>20392</v>
      </c>
      <c r="B8184" s="2" t="s">
        <v>20392</v>
      </c>
      <c r="C8184" s="2" t="s">
        <v>82</v>
      </c>
      <c r="D8184" s="2" t="s">
        <v>27</v>
      </c>
      <c r="E8184" s="4">
        <v>-32046</v>
      </c>
      <c r="F8184" s="3" t="s">
        <v>1013</v>
      </c>
      <c r="G8184" s="3" t="s">
        <v>2998</v>
      </c>
      <c r="H8184" s="2" t="s">
        <v>21</v>
      </c>
      <c r="I8184" s="2" t="s">
        <v>20398</v>
      </c>
      <c r="J8184" s="3" t="str">
        <f>HYPERLINK("https://www.boe.es/gazeta/dias/1812/04/04/pdfs/GRE-1812-42.pdf#page=6","Abrir facsímil")</f>
        <v>Abrir facsímil</v>
      </c>
      <c r="K8184" s="3" t="s">
        <v>23</v>
      </c>
    </row>
    <row r="8185" spans="1:11" ht="42" customHeight="1">
      <c r="A8185" s="2" t="s">
        <v>20392</v>
      </c>
      <c r="B8185" s="2" t="s">
        <v>20392</v>
      </c>
      <c r="C8185" s="2" t="s">
        <v>17</v>
      </c>
      <c r="D8185" s="2" t="s">
        <v>27</v>
      </c>
      <c r="E8185" s="4">
        <v>-32043</v>
      </c>
      <c r="F8185" s="3" t="s">
        <v>4582</v>
      </c>
      <c r="G8185" s="3" t="s">
        <v>140</v>
      </c>
      <c r="H8185" s="2" t="s">
        <v>21</v>
      </c>
      <c r="I8185" s="2" t="s">
        <v>20399</v>
      </c>
      <c r="J8185" s="3" t="str">
        <f>HYPERLINK("https://www.boe.es/gazeta/dias/1812/04/07/pdfs/GRE-1812-43.pdf#page=2","Abrir facsímil")</f>
        <v>Abrir facsímil</v>
      </c>
      <c r="K8185" s="3" t="s">
        <v>23</v>
      </c>
    </row>
    <row r="8186" spans="1:11" ht="42" customHeight="1">
      <c r="A8186" s="2" t="s">
        <v>20392</v>
      </c>
      <c r="B8186" s="2" t="s">
        <v>20392</v>
      </c>
      <c r="C8186" s="2" t="s">
        <v>17</v>
      </c>
      <c r="D8186" s="2" t="s">
        <v>275</v>
      </c>
      <c r="E8186" s="4">
        <v>-32036</v>
      </c>
      <c r="F8186" s="3" t="s">
        <v>781</v>
      </c>
      <c r="G8186" s="3" t="s">
        <v>317</v>
      </c>
      <c r="H8186" s="2" t="s">
        <v>21</v>
      </c>
      <c r="I8186" s="2" t="s">
        <v>20400</v>
      </c>
      <c r="J8186" s="3" t="str">
        <f>HYPERLINK("https://www.boe.es/gazeta/dias/1812/04/14/pdfs/GRE-1812-47.pdf#page=6","Abrir facsímil")</f>
        <v>Abrir facsímil</v>
      </c>
      <c r="K8186" s="3" t="s">
        <v>23</v>
      </c>
    </row>
    <row r="8187" spans="1:11" ht="42" customHeight="1">
      <c r="A8187" s="2" t="s">
        <v>20392</v>
      </c>
      <c r="B8187" s="2" t="s">
        <v>20392</v>
      </c>
      <c r="C8187" s="2" t="s">
        <v>26</v>
      </c>
      <c r="D8187" s="2" t="s">
        <v>27</v>
      </c>
      <c r="E8187" s="4">
        <v>-32018</v>
      </c>
      <c r="F8187" s="3" t="s">
        <v>365</v>
      </c>
      <c r="G8187" s="3" t="s">
        <v>4773</v>
      </c>
      <c r="H8187" s="2" t="s">
        <v>21</v>
      </c>
      <c r="I8187" s="2" t="s">
        <v>20401</v>
      </c>
      <c r="J8187" s="3" t="str">
        <f>HYPERLINK("https://www.boe.es/gazeta/dias/1812/05/02/pdfs/GRE-1812-55.pdf#page=1","Abrir facsímil")</f>
        <v>Abrir facsímil</v>
      </c>
      <c r="K8187" s="3" t="s">
        <v>23</v>
      </c>
    </row>
    <row r="8188" spans="1:11" ht="42" customHeight="1">
      <c r="A8188" s="2" t="s">
        <v>20392</v>
      </c>
      <c r="B8188" s="2" t="s">
        <v>20392</v>
      </c>
      <c r="C8188" s="2" t="s">
        <v>49</v>
      </c>
      <c r="D8188" s="2" t="s">
        <v>18</v>
      </c>
      <c r="E8188" s="4">
        <v>-31903</v>
      </c>
      <c r="F8188" s="3" t="s">
        <v>2720</v>
      </c>
      <c r="G8188" s="3" t="s">
        <v>7799</v>
      </c>
      <c r="H8188" s="2" t="s">
        <v>21</v>
      </c>
      <c r="I8188" s="2" t="s">
        <v>20402</v>
      </c>
      <c r="J8188" s="3" t="str">
        <f>HYPERLINK("https://www.boe.es/gazeta/dias/1812/08/25/pdfs/GRE-1812-110.pdf#page=1","Abrir facsímil")</f>
        <v>Abrir facsímil</v>
      </c>
      <c r="K8188" s="3" t="s">
        <v>23</v>
      </c>
    </row>
    <row r="8189" spans="1:11" ht="42" customHeight="1">
      <c r="A8189" s="2" t="s">
        <v>20403</v>
      </c>
      <c r="B8189" s="2" t="s">
        <v>20404</v>
      </c>
      <c r="C8189" s="2" t="s">
        <v>26</v>
      </c>
      <c r="D8189" s="2" t="s">
        <v>134</v>
      </c>
      <c r="E8189" s="4">
        <v>-31983</v>
      </c>
      <c r="F8189" s="3" t="s">
        <v>1437</v>
      </c>
      <c r="G8189" s="3" t="s">
        <v>1438</v>
      </c>
      <c r="H8189" s="2" t="s">
        <v>21</v>
      </c>
      <c r="I8189" s="2" t="s">
        <v>20405</v>
      </c>
      <c r="J8189" s="3" t="str">
        <f>HYPERLINK("https://www.boe.es/gazeta/dias/1812/06/06/pdfs/GRE-F-1812-70.pdf#page=4","Abrir facsímil")</f>
        <v>Abrir facsímil</v>
      </c>
      <c r="K8189" s="3" t="s">
        <v>23</v>
      </c>
    </row>
    <row r="8190" spans="1:11" ht="42" customHeight="1">
      <c r="A8190" s="2" t="s">
        <v>20406</v>
      </c>
      <c r="B8190" s="2" t="s">
        <v>20406</v>
      </c>
      <c r="C8190" s="2" t="s">
        <v>26</v>
      </c>
      <c r="D8190" s="2" t="s">
        <v>27</v>
      </c>
      <c r="E8190" s="4">
        <v>-32002</v>
      </c>
      <c r="F8190" s="3" t="s">
        <v>619</v>
      </c>
      <c r="G8190" s="3" t="s">
        <v>620</v>
      </c>
      <c r="H8190" s="2" t="s">
        <v>21</v>
      </c>
      <c r="I8190" s="2" t="s">
        <v>20407</v>
      </c>
      <c r="J8190" s="3" t="str">
        <f>HYPERLINK("https://www.boe.es/gazeta/dias/1812/05/18/pdfs/GMD-1812-139.pdf#page=2","Abrir facsímil")</f>
        <v>Abrir facsímil</v>
      </c>
      <c r="K8190" s="3" t="s">
        <v>23</v>
      </c>
    </row>
    <row r="8191" spans="1:11" ht="42" customHeight="1">
      <c r="A8191" s="2" t="s">
        <v>20408</v>
      </c>
      <c r="B8191" s="2" t="s">
        <v>20408</v>
      </c>
      <c r="C8191" s="2" t="s">
        <v>17</v>
      </c>
      <c r="D8191" s="2" t="s">
        <v>18</v>
      </c>
      <c r="E8191" s="4">
        <v>-32025</v>
      </c>
      <c r="F8191" s="3" t="s">
        <v>2323</v>
      </c>
      <c r="G8191" s="3" t="s">
        <v>125</v>
      </c>
      <c r="H8191" s="2" t="s">
        <v>21</v>
      </c>
      <c r="I8191" s="2" t="s">
        <v>20409</v>
      </c>
      <c r="J8191" s="3" t="str">
        <f>HYPERLINK("https://www.boe.es/gazeta/dias/1812/04/25/pdfs/GRE-1812-52.pdf#page=7","Abrir facsímil")</f>
        <v>Abrir facsímil</v>
      </c>
      <c r="K8191" s="3" t="s">
        <v>23</v>
      </c>
    </row>
    <row r="8192" spans="1:11" ht="42" customHeight="1">
      <c r="A8192" s="2" t="s">
        <v>20410</v>
      </c>
      <c r="B8192" s="2" t="s">
        <v>20411</v>
      </c>
      <c r="C8192" s="2" t="s">
        <v>26</v>
      </c>
      <c r="D8192" s="2" t="s">
        <v>27</v>
      </c>
      <c r="E8192" s="4">
        <v>-32050</v>
      </c>
      <c r="F8192" s="3" t="s">
        <v>864</v>
      </c>
      <c r="G8192" s="3" t="s">
        <v>29</v>
      </c>
      <c r="H8192" s="2" t="s">
        <v>21</v>
      </c>
      <c r="I8192" s="2" t="s">
        <v>20412</v>
      </c>
      <c r="J8192" s="3" t="str">
        <f>HYPERLINK("https://www.boe.es/gazeta/dias/1812/03/31/pdfs/GRE-1812-40.pdf#page=8","Abrir facsímil")</f>
        <v>Abrir facsímil</v>
      </c>
      <c r="K8192" s="3" t="s">
        <v>23</v>
      </c>
    </row>
    <row r="8193" spans="1:11" ht="42" customHeight="1">
      <c r="A8193" s="2" t="s">
        <v>20413</v>
      </c>
      <c r="B8193" s="2" t="s">
        <v>20414</v>
      </c>
      <c r="C8193" s="2" t="s">
        <v>17</v>
      </c>
      <c r="D8193" s="2" t="s">
        <v>27</v>
      </c>
      <c r="E8193" s="4">
        <v>-32069</v>
      </c>
      <c r="F8193" s="3" t="s">
        <v>445</v>
      </c>
      <c r="G8193" s="3" t="s">
        <v>446</v>
      </c>
      <c r="H8193" s="2" t="s">
        <v>21</v>
      </c>
      <c r="I8193" s="2" t="s">
        <v>20415</v>
      </c>
      <c r="J8193" s="3" t="str">
        <f>HYPERLINK("https://www.boe.es/gazeta/dias/1812/03/12/pdfs/GRE-1812-32.pdf#page=8","Abrir facsímil")</f>
        <v>Abrir facsímil</v>
      </c>
      <c r="K8193" s="3" t="s">
        <v>23</v>
      </c>
    </row>
    <row r="8194" spans="1:11" ht="42" customHeight="1">
      <c r="A8194" s="2" t="s">
        <v>20416</v>
      </c>
      <c r="B8194" s="2" t="s">
        <v>20417</v>
      </c>
      <c r="C8194" s="2" t="s">
        <v>26</v>
      </c>
      <c r="D8194" s="2" t="s">
        <v>27</v>
      </c>
      <c r="E8194" s="4">
        <v>-32134</v>
      </c>
      <c r="F8194" s="3" t="s">
        <v>50</v>
      </c>
      <c r="G8194" s="3" t="s">
        <v>233</v>
      </c>
      <c r="H8194" s="2" t="s">
        <v>21</v>
      </c>
      <c r="I8194" s="2" t="s">
        <v>20418</v>
      </c>
      <c r="J8194" s="3" t="str">
        <f>HYPERLINK("https://www.boe.es/gazeta/dias/1812/01/07/pdfs/GEI-1812-3.pdf#page=8","Abrir facsímil")</f>
        <v>Abrir facsímil</v>
      </c>
      <c r="K8194" s="3" t="s">
        <v>23</v>
      </c>
    </row>
    <row r="8195" spans="1:11" ht="42" customHeight="1">
      <c r="A8195" s="2" t="s">
        <v>20419</v>
      </c>
      <c r="B8195" s="2" t="s">
        <v>20420</v>
      </c>
      <c r="C8195" s="2" t="s">
        <v>549</v>
      </c>
      <c r="D8195" s="2" t="s">
        <v>27</v>
      </c>
      <c r="E8195" s="4">
        <v>-32060</v>
      </c>
      <c r="F8195" s="3" t="s">
        <v>1403</v>
      </c>
      <c r="G8195" s="3" t="s">
        <v>217</v>
      </c>
      <c r="H8195" s="2" t="s">
        <v>21</v>
      </c>
      <c r="I8195" s="2" t="s">
        <v>20421</v>
      </c>
      <c r="J8195" s="3" t="str">
        <f>HYPERLINK("https://www.boe.es/gazeta/dias/1812/03/21/pdfs/GRE-1812-36.pdf#page=8","Abrir facsímil")</f>
        <v>Abrir facsímil</v>
      </c>
      <c r="K8195" s="3" t="s">
        <v>23</v>
      </c>
    </row>
    <row r="8196" spans="1:11" ht="42" customHeight="1">
      <c r="A8196" s="2" t="s">
        <v>20422</v>
      </c>
      <c r="B8196" s="2" t="s">
        <v>20423</v>
      </c>
      <c r="C8196" s="2" t="s">
        <v>17</v>
      </c>
      <c r="D8196" s="2" t="s">
        <v>134</v>
      </c>
      <c r="E8196" s="4">
        <v>-31955</v>
      </c>
      <c r="F8196" s="3" t="s">
        <v>135</v>
      </c>
      <c r="G8196" s="3" t="s">
        <v>514</v>
      </c>
      <c r="H8196" s="2" t="s">
        <v>21</v>
      </c>
      <c r="I8196" s="2" t="s">
        <v>20424</v>
      </c>
      <c r="J8196" s="3" t="str">
        <f>HYPERLINK("https://www.boe.es/gazeta/dias/1812/07/04/pdfs/GRE-F-1812-82.pdf#page=7","Abrir facsímil")</f>
        <v>Abrir facsímil</v>
      </c>
      <c r="K8196" s="3" t="s">
        <v>23</v>
      </c>
    </row>
    <row r="8197" spans="1:11" ht="42" customHeight="1">
      <c r="A8197" s="2" t="s">
        <v>20425</v>
      </c>
      <c r="B8197" s="2" t="s">
        <v>20426</v>
      </c>
      <c r="C8197" s="2" t="s">
        <v>67</v>
      </c>
      <c r="D8197" s="2" t="s">
        <v>27</v>
      </c>
      <c r="E8197" s="4">
        <v>-31941</v>
      </c>
      <c r="F8197" s="3" t="s">
        <v>2048</v>
      </c>
      <c r="G8197" s="3" t="s">
        <v>20</v>
      </c>
      <c r="H8197" s="2" t="s">
        <v>21</v>
      </c>
      <c r="I8197" s="2" t="s">
        <v>20427</v>
      </c>
      <c r="J8197" s="3" t="str">
        <f>HYPERLINK("https://www.boe.es/gazeta/dias/1812/07/18/pdfs/GRE-1812-90.pdf#page=8","Abrir facsímil")</f>
        <v>Abrir facsímil</v>
      </c>
      <c r="K8197" s="3" t="s">
        <v>23</v>
      </c>
    </row>
    <row r="8198" spans="1:11" ht="42" customHeight="1">
      <c r="A8198" s="2" t="s">
        <v>20428</v>
      </c>
      <c r="B8198" s="2" t="s">
        <v>20429</v>
      </c>
      <c r="C8198" s="2" t="s">
        <v>26</v>
      </c>
      <c r="D8198" s="2" t="s">
        <v>27</v>
      </c>
      <c r="E8198" s="4">
        <v>-32034</v>
      </c>
      <c r="F8198" s="3" t="s">
        <v>1008</v>
      </c>
      <c r="G8198" s="3" t="s">
        <v>1009</v>
      </c>
      <c r="H8198" s="2" t="s">
        <v>21</v>
      </c>
      <c r="I8198" s="2" t="s">
        <v>20430</v>
      </c>
      <c r="J8198" s="3" t="str">
        <f>HYPERLINK("https://www.boe.es/gazeta/dias/1812/04/16/pdfs/GRE-1812-48.pdf#page=8","Abrir facsímil")</f>
        <v>Abrir facsímil</v>
      </c>
      <c r="K8198" s="3" t="s">
        <v>23</v>
      </c>
    </row>
    <row r="8199" spans="1:11" ht="42" customHeight="1">
      <c r="A8199" s="2" t="s">
        <v>20431</v>
      </c>
      <c r="B8199" s="2" t="s">
        <v>20432</v>
      </c>
      <c r="C8199" s="2" t="s">
        <v>17</v>
      </c>
      <c r="D8199" s="2" t="s">
        <v>18</v>
      </c>
      <c r="E8199" s="4">
        <v>-32050</v>
      </c>
      <c r="F8199" s="3" t="s">
        <v>864</v>
      </c>
      <c r="G8199" s="3" t="s">
        <v>29</v>
      </c>
      <c r="H8199" s="2" t="s">
        <v>21</v>
      </c>
      <c r="I8199" s="2" t="s">
        <v>20433</v>
      </c>
      <c r="J8199" s="3" t="str">
        <f>HYPERLINK("https://www.boe.es/gazeta/dias/1812/03/31/pdfs/GRE-1812-40.pdf#page=8","Abrir facsímil")</f>
        <v>Abrir facsímil</v>
      </c>
      <c r="K8199" s="3" t="s">
        <v>23</v>
      </c>
    </row>
    <row r="8200" spans="1:11" ht="42" customHeight="1">
      <c r="A8200" s="2" t="s">
        <v>20431</v>
      </c>
      <c r="B8200" s="2" t="s">
        <v>20432</v>
      </c>
      <c r="C8200" s="2" t="s">
        <v>17</v>
      </c>
      <c r="D8200" s="2" t="s">
        <v>27</v>
      </c>
      <c r="E8200" s="4">
        <v>-31922</v>
      </c>
      <c r="F8200" s="3" t="s">
        <v>375</v>
      </c>
      <c r="G8200" s="3" t="s">
        <v>986</v>
      </c>
      <c r="H8200" s="2" t="s">
        <v>21</v>
      </c>
      <c r="I8200" s="2" t="s">
        <v>20434</v>
      </c>
      <c r="J8200" s="3" t="str">
        <f>HYPERLINK("https://www.boe.es/gazeta/dias/1812/08/06/pdfs/GRE-1812-100.pdf#page=8","Abrir facsímil")</f>
        <v>Abrir facsímil</v>
      </c>
      <c r="K8200" s="3" t="s">
        <v>23</v>
      </c>
    </row>
    <row r="8201" spans="1:11" ht="42" customHeight="1">
      <c r="A8201" s="2" t="s">
        <v>20435</v>
      </c>
      <c r="B8201" s="2" t="s">
        <v>20436</v>
      </c>
      <c r="C8201" s="2" t="s">
        <v>17</v>
      </c>
      <c r="D8201" s="2" t="s">
        <v>27</v>
      </c>
      <c r="E8201" s="4">
        <v>-32069</v>
      </c>
      <c r="F8201" s="3" t="s">
        <v>445</v>
      </c>
      <c r="G8201" s="3" t="s">
        <v>446</v>
      </c>
      <c r="H8201" s="2" t="s">
        <v>21</v>
      </c>
      <c r="I8201" s="2" t="s">
        <v>20437</v>
      </c>
      <c r="J8201" s="3" t="str">
        <f>HYPERLINK("https://www.boe.es/gazeta/dias/1812/03/12/pdfs/GRE-1812-32.pdf#page=8","Abrir facsímil")</f>
        <v>Abrir facsímil</v>
      </c>
      <c r="K8201" s="3" t="s">
        <v>23</v>
      </c>
    </row>
    <row r="8202" spans="1:11" ht="42" customHeight="1">
      <c r="A8202" s="2" t="s">
        <v>20438</v>
      </c>
      <c r="B8202" s="2" t="s">
        <v>20439</v>
      </c>
      <c r="C8202" s="2" t="s">
        <v>17</v>
      </c>
      <c r="D8202" s="2" t="s">
        <v>27</v>
      </c>
      <c r="E8202" s="4">
        <v>-32059</v>
      </c>
      <c r="F8202" s="3" t="s">
        <v>2531</v>
      </c>
      <c r="G8202" s="3" t="s">
        <v>2532</v>
      </c>
      <c r="H8202" s="2" t="s">
        <v>21</v>
      </c>
      <c r="I8202" s="2" t="s">
        <v>20440</v>
      </c>
      <c r="J8202" s="3" t="str">
        <f>HYPERLINK("https://www.boe.es/gazeta/dias/1812/03/22/pdfs/GMD-1812-82.pdf#page=4","Abrir facsímil")</f>
        <v>Abrir facsímil</v>
      </c>
      <c r="K8202" s="3" t="s">
        <v>23</v>
      </c>
    </row>
    <row r="8203" spans="1:11" ht="42" customHeight="1">
      <c r="A8203" s="2" t="s">
        <v>20441</v>
      </c>
      <c r="B8203" s="2" t="s">
        <v>20442</v>
      </c>
      <c r="C8203" s="2" t="s">
        <v>49</v>
      </c>
      <c r="D8203" s="2" t="s">
        <v>275</v>
      </c>
      <c r="E8203" s="4">
        <v>-32130</v>
      </c>
      <c r="F8203" s="3" t="s">
        <v>927</v>
      </c>
      <c r="G8203" s="3" t="s">
        <v>130</v>
      </c>
      <c r="H8203" s="2" t="s">
        <v>21</v>
      </c>
      <c r="I8203" s="2" t="s">
        <v>20443</v>
      </c>
      <c r="J8203" s="3" t="str">
        <f>HYPERLINK("https://www.boe.es/gazeta/dias/1812/01/11/pdfs/GMD-1812-11.pdf#page=4","Abrir facsímil")</f>
        <v>Abrir facsímil</v>
      </c>
      <c r="K8203" s="3" t="s">
        <v>23</v>
      </c>
    </row>
    <row r="8204" spans="1:11" ht="42" customHeight="1">
      <c r="A8204" s="2" t="s">
        <v>20444</v>
      </c>
      <c r="B8204" s="2" t="s">
        <v>20445</v>
      </c>
      <c r="C8204" s="2" t="s">
        <v>17</v>
      </c>
      <c r="D8204" s="2" t="s">
        <v>18</v>
      </c>
      <c r="E8204" s="4">
        <v>-31822</v>
      </c>
      <c r="F8204" s="3" t="s">
        <v>541</v>
      </c>
      <c r="G8204" s="3" t="s">
        <v>1297</v>
      </c>
      <c r="H8204" s="2" t="s">
        <v>21</v>
      </c>
      <c r="I8204" s="2" t="s">
        <v>20446</v>
      </c>
      <c r="J8204" s="3" t="str">
        <f>HYPERLINK("https://www.boe.es/gazeta/dias/1812/11/14/pdfs/GRE-1812-152.pdf#page=4","Abrir facsímil")</f>
        <v>Abrir facsímil</v>
      </c>
      <c r="K8204" s="3" t="s">
        <v>23</v>
      </c>
    </row>
    <row r="8205" spans="1:11" ht="42" customHeight="1">
      <c r="A8205" s="2" t="s">
        <v>20447</v>
      </c>
      <c r="B8205" s="2" t="s">
        <v>20448</v>
      </c>
      <c r="C8205" s="2" t="s">
        <v>26</v>
      </c>
      <c r="D8205" s="2" t="s">
        <v>573</v>
      </c>
      <c r="E8205" s="4">
        <v>-31874</v>
      </c>
      <c r="F8205" s="3" t="s">
        <v>1697</v>
      </c>
      <c r="G8205" s="3" t="s">
        <v>1698</v>
      </c>
      <c r="H8205" s="2" t="s">
        <v>21</v>
      </c>
      <c r="I8205" s="2" t="s">
        <v>20449</v>
      </c>
      <c r="J8205" s="3" t="str">
        <f>HYPERLINK("https://www.boe.es/gazeta/dias/1812/09/23/pdfs/GRE-1812-129E.pdf#page=3","Abrir facsímil")</f>
        <v>Abrir facsímil</v>
      </c>
      <c r="K8205" s="3" t="s">
        <v>23</v>
      </c>
    </row>
    <row r="8206" spans="1:11" ht="42" customHeight="1">
      <c r="A8206" s="2" t="s">
        <v>20450</v>
      </c>
      <c r="B8206" s="2" t="s">
        <v>20451</v>
      </c>
      <c r="C8206" s="2" t="s">
        <v>26</v>
      </c>
      <c r="D8206" s="2" t="s">
        <v>275</v>
      </c>
      <c r="E8206" s="4">
        <v>-31965</v>
      </c>
      <c r="F8206" s="3" t="s">
        <v>1180</v>
      </c>
      <c r="G8206" s="3" t="s">
        <v>777</v>
      </c>
      <c r="H8206" s="2" t="s">
        <v>21</v>
      </c>
      <c r="I8206" s="2" t="s">
        <v>20452</v>
      </c>
      <c r="J8206" s="3" t="str">
        <f>HYPERLINK("https://www.boe.es/gazeta/dias/1812/06/24/pdfs/GMD-1812-176.pdf#page=2","Abrir facsímil")</f>
        <v>Abrir facsímil</v>
      </c>
      <c r="K8206" s="3" t="s">
        <v>23</v>
      </c>
    </row>
    <row r="8207" spans="1:11" ht="42" customHeight="1">
      <c r="A8207" s="2" t="s">
        <v>20453</v>
      </c>
      <c r="B8207" s="2" t="s">
        <v>20453</v>
      </c>
      <c r="C8207" s="2" t="s">
        <v>17</v>
      </c>
      <c r="D8207" s="2" t="s">
        <v>18</v>
      </c>
      <c r="E8207" s="4">
        <v>-31995</v>
      </c>
      <c r="F8207" s="3" t="s">
        <v>100</v>
      </c>
      <c r="G8207" s="3" t="s">
        <v>1842</v>
      </c>
      <c r="H8207" s="2" t="s">
        <v>21</v>
      </c>
      <c r="I8207" s="2" t="s">
        <v>20454</v>
      </c>
      <c r="J8207" s="3" t="str">
        <f>HYPERLINK("https://www.boe.es/gazeta/dias/1812/05/25/pdfs/GMD-1812-146.pdf#page=4","Abrir facsímil")</f>
        <v>Abrir facsímil</v>
      </c>
      <c r="K8207" s="3" t="s">
        <v>23</v>
      </c>
    </row>
    <row r="8208" spans="1:11" ht="42" customHeight="1">
      <c r="A8208" s="2" t="s">
        <v>20455</v>
      </c>
      <c r="B8208" s="2" t="s">
        <v>20455</v>
      </c>
      <c r="C8208" s="2" t="s">
        <v>17</v>
      </c>
      <c r="D8208" s="2" t="s">
        <v>27</v>
      </c>
      <c r="E8208" s="4">
        <v>-32022</v>
      </c>
      <c r="F8208" s="3" t="s">
        <v>1554</v>
      </c>
      <c r="G8208" s="3" t="s">
        <v>20</v>
      </c>
      <c r="H8208" s="2" t="s">
        <v>21</v>
      </c>
      <c r="I8208" s="2" t="s">
        <v>20456</v>
      </c>
      <c r="J8208" s="3" t="str">
        <f>HYPERLINK("https://www.boe.es/gazeta/dias/1812/04/28/pdfs/GMD-1812-119.pdf#page=2","Abrir facsímil")</f>
        <v>Abrir facsímil</v>
      </c>
      <c r="K8208" s="3" t="s">
        <v>23</v>
      </c>
    </row>
    <row r="8209" spans="1:11" ht="42" customHeight="1">
      <c r="A8209" s="2" t="s">
        <v>20457</v>
      </c>
      <c r="B8209" s="2" t="s">
        <v>20458</v>
      </c>
      <c r="C8209" s="2" t="s">
        <v>26</v>
      </c>
      <c r="D8209" s="2" t="s">
        <v>27</v>
      </c>
      <c r="E8209" s="4">
        <v>-31964</v>
      </c>
      <c r="F8209" s="3" t="s">
        <v>305</v>
      </c>
      <c r="G8209" s="3" t="s">
        <v>306</v>
      </c>
      <c r="H8209" s="2" t="s">
        <v>21</v>
      </c>
      <c r="I8209" s="2" t="s">
        <v>20459</v>
      </c>
      <c r="J8209" s="3" t="str">
        <f>HYPERLINK("https://www.boe.es/gazeta/dias/1812/06/25/pdfs/GMD-1812-177.pdf#page=3","Abrir facsímil")</f>
        <v>Abrir facsímil</v>
      </c>
      <c r="K8209" s="3" t="s">
        <v>23</v>
      </c>
    </row>
    <row r="8210" spans="1:11" ht="42" customHeight="1">
      <c r="A8210" s="2" t="s">
        <v>20460</v>
      </c>
      <c r="B8210" s="2" t="s">
        <v>20461</v>
      </c>
      <c r="C8210" s="2" t="s">
        <v>17</v>
      </c>
      <c r="D8210" s="2" t="s">
        <v>18</v>
      </c>
      <c r="E8210" s="4">
        <v>-31882</v>
      </c>
      <c r="F8210" s="3" t="s">
        <v>1798</v>
      </c>
      <c r="G8210" s="3" t="s">
        <v>1799</v>
      </c>
      <c r="H8210" s="2" t="s">
        <v>21</v>
      </c>
      <c r="I8210" s="2" t="s">
        <v>20462</v>
      </c>
      <c r="J8210" s="3" t="str">
        <f>HYPERLINK("https://www.boe.es/gazeta/dias/1812/09/15/pdfs/GMR-1812-14.pdf#page=12","Abrir facsímil")</f>
        <v>Abrir facsímil</v>
      </c>
      <c r="K8210" s="3" t="s">
        <v>23</v>
      </c>
    </row>
    <row r="8211" spans="1:11" ht="42" customHeight="1">
      <c r="A8211" s="2" t="s">
        <v>20463</v>
      </c>
      <c r="B8211" s="2" t="s">
        <v>20464</v>
      </c>
      <c r="C8211" s="2" t="s">
        <v>49</v>
      </c>
      <c r="D8211" s="2" t="s">
        <v>27</v>
      </c>
      <c r="E8211" s="4">
        <v>-31880</v>
      </c>
      <c r="F8211" s="3" t="s">
        <v>705</v>
      </c>
      <c r="G8211" s="3" t="s">
        <v>1176</v>
      </c>
      <c r="H8211" s="2" t="s">
        <v>30</v>
      </c>
      <c r="I8211" s="2" t="s">
        <v>20465</v>
      </c>
      <c r="J8211" s="3" t="str">
        <f>HYPERLINK("https://www.boe.es/gazeta/dias/1812/09/17/pdfs/GMR-1812-15.pdf#page=6","Abrir facsímil")</f>
        <v>Abrir facsímil</v>
      </c>
      <c r="K8211" s="3" t="s">
        <v>32</v>
      </c>
    </row>
    <row r="8212" spans="1:11" ht="42" customHeight="1">
      <c r="A8212" s="2" t="s">
        <v>20463</v>
      </c>
      <c r="B8212" s="2" t="s">
        <v>20464</v>
      </c>
      <c r="C8212" s="2" t="s">
        <v>17</v>
      </c>
      <c r="D8212" s="2" t="s">
        <v>194</v>
      </c>
      <c r="E8212" s="4">
        <v>-31878</v>
      </c>
      <c r="F8212" s="3" t="s">
        <v>1831</v>
      </c>
      <c r="G8212" s="3" t="s">
        <v>2262</v>
      </c>
      <c r="H8212" s="2" t="s">
        <v>30</v>
      </c>
      <c r="I8212" s="2" t="s">
        <v>20466</v>
      </c>
      <c r="J8212" s="3" t="str">
        <f>HYPERLINK("https://www.boe.es/gazeta/dias/1812/09/19/pdfs/GMR-1812-16.pdf#page=5","Abrir facsímil")</f>
        <v>Abrir facsímil</v>
      </c>
      <c r="K8212" s="3" t="s">
        <v>32</v>
      </c>
    </row>
    <row r="8213" spans="1:11" ht="42" customHeight="1">
      <c r="A8213" s="2" t="s">
        <v>20463</v>
      </c>
      <c r="B8213" s="2" t="s">
        <v>20464</v>
      </c>
      <c r="C8213" s="2" t="s">
        <v>49</v>
      </c>
      <c r="D8213" s="2" t="s">
        <v>27</v>
      </c>
      <c r="E8213" s="4">
        <v>-31878</v>
      </c>
      <c r="F8213" s="3" t="s">
        <v>1831</v>
      </c>
      <c r="G8213" s="3" t="s">
        <v>45</v>
      </c>
      <c r="H8213" s="2" t="s">
        <v>30</v>
      </c>
      <c r="I8213" s="2" t="s">
        <v>20467</v>
      </c>
      <c r="J8213" s="3" t="str">
        <f>HYPERLINK("https://www.boe.es/gazeta/dias/1812/09/19/pdfs/GMR-1812-16.pdf#page=6","Abrir facsímil")</f>
        <v>Abrir facsímil</v>
      </c>
      <c r="K8213" s="3" t="s">
        <v>32</v>
      </c>
    </row>
    <row r="8214" spans="1:11" ht="42" customHeight="1">
      <c r="A8214" s="2" t="s">
        <v>20463</v>
      </c>
      <c r="B8214" s="2" t="s">
        <v>20464</v>
      </c>
      <c r="C8214" s="2" t="s">
        <v>26</v>
      </c>
      <c r="D8214" s="2" t="s">
        <v>27</v>
      </c>
      <c r="E8214" s="4">
        <v>-31864</v>
      </c>
      <c r="F8214" s="3" t="s">
        <v>4258</v>
      </c>
      <c r="G8214" s="3" t="s">
        <v>4259</v>
      </c>
      <c r="H8214" s="2" t="s">
        <v>30</v>
      </c>
      <c r="I8214" s="2" t="s">
        <v>20468</v>
      </c>
      <c r="J8214" s="3" t="str">
        <f>HYPERLINK("https://www.boe.es/gazeta/dias/1812/10/03/pdfs/GMR-1812-22.pdf#page=4","Abrir facsímil")</f>
        <v>Abrir facsímil</v>
      </c>
      <c r="K8214" s="3" t="s">
        <v>32</v>
      </c>
    </row>
    <row r="8215" spans="1:11" ht="42" customHeight="1">
      <c r="A8215" s="2" t="s">
        <v>20463</v>
      </c>
      <c r="B8215" s="2" t="s">
        <v>20464</v>
      </c>
      <c r="C8215" s="2" t="s">
        <v>26</v>
      </c>
      <c r="D8215" s="2" t="s">
        <v>27</v>
      </c>
      <c r="E8215" s="4">
        <v>-31857</v>
      </c>
      <c r="F8215" s="3" t="s">
        <v>2176</v>
      </c>
      <c r="G8215" s="3" t="s">
        <v>237</v>
      </c>
      <c r="H8215" s="2" t="s">
        <v>30</v>
      </c>
      <c r="I8215" s="2" t="s">
        <v>20469</v>
      </c>
      <c r="J8215" s="3" t="str">
        <f>HYPERLINK("https://www.boe.es/gazeta/dias/1812/10/10/pdfs/GMR-1812-25.pdf#page=6","Abrir facsímil")</f>
        <v>Abrir facsímil</v>
      </c>
      <c r="K8215" s="3" t="s">
        <v>32</v>
      </c>
    </row>
    <row r="8216" spans="1:11" ht="42" customHeight="1">
      <c r="A8216" s="2" t="s">
        <v>20463</v>
      </c>
      <c r="B8216" s="2" t="s">
        <v>20464</v>
      </c>
      <c r="C8216" s="2" t="s">
        <v>49</v>
      </c>
      <c r="D8216" s="2" t="s">
        <v>27</v>
      </c>
      <c r="E8216" s="4">
        <v>-31854</v>
      </c>
      <c r="F8216" s="3" t="s">
        <v>1574</v>
      </c>
      <c r="G8216" s="3" t="s">
        <v>20470</v>
      </c>
      <c r="H8216" s="2" t="s">
        <v>30</v>
      </c>
      <c r="I8216" s="2" t="s">
        <v>20471</v>
      </c>
      <c r="J8216" s="3" t="str">
        <f>HYPERLINK("https://www.boe.es/gazeta/dias/1812/10/13/pdfs/GMR-1812-26.pdf#page=8","Abrir facsímil")</f>
        <v>Abrir facsímil</v>
      </c>
      <c r="K8216" s="3" t="s">
        <v>32</v>
      </c>
    </row>
    <row r="8217" spans="1:11" ht="42" customHeight="1">
      <c r="A8217" s="2" t="s">
        <v>20472</v>
      </c>
      <c r="B8217" s="2" t="s">
        <v>20472</v>
      </c>
      <c r="C8217" s="2" t="s">
        <v>17</v>
      </c>
      <c r="D8217" s="2" t="s">
        <v>27</v>
      </c>
      <c r="E8217" s="4">
        <v>-32022</v>
      </c>
      <c r="F8217" s="3" t="s">
        <v>1186</v>
      </c>
      <c r="G8217" s="3" t="s">
        <v>125</v>
      </c>
      <c r="H8217" s="2" t="s">
        <v>21</v>
      </c>
      <c r="I8217" s="2" t="s">
        <v>20473</v>
      </c>
      <c r="J8217" s="3" t="str">
        <f>HYPERLINK("https://www.boe.es/gazeta/dias/1812/04/28/pdfs/GRE-1812-53.pdf#page=5","Abrir facsímil")</f>
        <v>Abrir facsímil</v>
      </c>
      <c r="K8217" s="3" t="s">
        <v>23</v>
      </c>
    </row>
    <row r="8218" spans="1:11" ht="42" customHeight="1">
      <c r="A8218" s="2" t="s">
        <v>20474</v>
      </c>
      <c r="B8218" s="2" t="s">
        <v>20474</v>
      </c>
      <c r="C8218" s="2" t="s">
        <v>17</v>
      </c>
      <c r="D8218" s="2" t="s">
        <v>27</v>
      </c>
      <c r="E8218" s="4">
        <v>-32022</v>
      </c>
      <c r="F8218" s="3" t="s">
        <v>1186</v>
      </c>
      <c r="G8218" s="3" t="s">
        <v>532</v>
      </c>
      <c r="H8218" s="2" t="s">
        <v>21</v>
      </c>
      <c r="I8218" s="2" t="s">
        <v>20475</v>
      </c>
      <c r="J8218" s="3" t="str">
        <f>HYPERLINK("https://www.boe.es/gazeta/dias/1812/04/28/pdfs/GRE-1812-53.pdf#page=6","Abrir facsímil")</f>
        <v>Abrir facsímil</v>
      </c>
      <c r="K8218" s="3" t="s">
        <v>23</v>
      </c>
    </row>
    <row r="8219" spans="1:11" ht="42" customHeight="1">
      <c r="A8219" s="2" t="s">
        <v>20476</v>
      </c>
      <c r="B8219" s="2" t="s">
        <v>20477</v>
      </c>
      <c r="C8219" s="2" t="s">
        <v>26</v>
      </c>
      <c r="D8219" s="2" t="s">
        <v>27</v>
      </c>
      <c r="E8219" s="4">
        <v>-31964</v>
      </c>
      <c r="F8219" s="3" t="s">
        <v>93</v>
      </c>
      <c r="G8219" s="3" t="s">
        <v>1722</v>
      </c>
      <c r="H8219" s="2" t="s">
        <v>21</v>
      </c>
      <c r="I8219" s="2" t="s">
        <v>20478</v>
      </c>
      <c r="J8219" s="3" t="str">
        <f>HYPERLINK("https://www.boe.es/gazeta/dias/1812/06/25/pdfs/GRE-1812-78.pdf#page=8","Abrir facsímil")</f>
        <v>Abrir facsímil</v>
      </c>
      <c r="K8219" s="3" t="s">
        <v>23</v>
      </c>
    </row>
    <row r="8220" spans="1:11" ht="42" customHeight="1">
      <c r="A8220" s="2" t="s">
        <v>20479</v>
      </c>
      <c r="B8220" s="2" t="s">
        <v>20480</v>
      </c>
      <c r="C8220" s="2" t="s">
        <v>17</v>
      </c>
      <c r="D8220" s="2" t="s">
        <v>27</v>
      </c>
      <c r="E8220" s="4">
        <v>-32139</v>
      </c>
      <c r="F8220" s="3" t="s">
        <v>288</v>
      </c>
      <c r="G8220" s="3" t="s">
        <v>20</v>
      </c>
      <c r="H8220" s="2" t="s">
        <v>21</v>
      </c>
      <c r="I8220" s="2" t="s">
        <v>20481</v>
      </c>
      <c r="J8220" s="3" t="str">
        <f>HYPERLINK("https://www.boe.es/gazeta/dias/1812/01/02/pdfs/GMD-1812-2.pdf#page=3","Abrir facsímil")</f>
        <v>Abrir facsímil</v>
      </c>
      <c r="K8220" s="3" t="s">
        <v>23</v>
      </c>
    </row>
    <row r="8221" spans="1:11" ht="42" customHeight="1">
      <c r="A8221" s="2" t="s">
        <v>20482</v>
      </c>
      <c r="B8221" s="2" t="s">
        <v>20483</v>
      </c>
      <c r="C8221" s="2" t="s">
        <v>26</v>
      </c>
      <c r="D8221" s="2" t="s">
        <v>27</v>
      </c>
      <c r="E8221" s="4">
        <v>-32053</v>
      </c>
      <c r="F8221" s="3" t="s">
        <v>910</v>
      </c>
      <c r="G8221" s="3" t="s">
        <v>911</v>
      </c>
      <c r="H8221" s="2" t="s">
        <v>21</v>
      </c>
      <c r="I8221" s="2" t="s">
        <v>20484</v>
      </c>
      <c r="J8221" s="3" t="str">
        <f>HYPERLINK("https://www.boe.es/gazeta/dias/1812/03/28/pdfs/GRE-1812-39.pdf#page=8","Abrir facsímil")</f>
        <v>Abrir facsímil</v>
      </c>
      <c r="K8221" s="3" t="s">
        <v>23</v>
      </c>
    </row>
    <row r="8222" spans="1:11" ht="42" customHeight="1">
      <c r="A8222" s="2" t="s">
        <v>20485</v>
      </c>
      <c r="B8222" s="2" t="s">
        <v>20486</v>
      </c>
      <c r="C8222" s="2" t="s">
        <v>17</v>
      </c>
      <c r="D8222" s="2" t="s">
        <v>27</v>
      </c>
      <c r="E8222" s="4">
        <v>-31852</v>
      </c>
      <c r="F8222" s="3" t="s">
        <v>4370</v>
      </c>
      <c r="G8222" s="3" t="s">
        <v>2708</v>
      </c>
      <c r="H8222" s="2" t="s">
        <v>30</v>
      </c>
      <c r="I8222" s="2" t="s">
        <v>20487</v>
      </c>
      <c r="J8222" s="3" t="str">
        <f>HYPERLINK("https://www.boe.es/gazeta/dias/1812/10/15/pdfs/GMR-1812-27.pdf#page=4","Abrir facsímil")</f>
        <v>Abrir facsímil</v>
      </c>
      <c r="K8222" s="3" t="s">
        <v>32</v>
      </c>
    </row>
    <row r="8223" spans="1:11" ht="42" customHeight="1">
      <c r="A8223" s="2" t="s">
        <v>20488</v>
      </c>
      <c r="B8223" s="2" t="s">
        <v>20489</v>
      </c>
      <c r="C8223" s="2" t="s">
        <v>17</v>
      </c>
      <c r="D8223" s="2" t="s">
        <v>18</v>
      </c>
      <c r="E8223" s="4">
        <v>-31822</v>
      </c>
      <c r="F8223" s="3" t="s">
        <v>541</v>
      </c>
      <c r="G8223" s="3" t="s">
        <v>1205</v>
      </c>
      <c r="H8223" s="2" t="s">
        <v>21</v>
      </c>
      <c r="I8223" s="2" t="s">
        <v>20490</v>
      </c>
      <c r="J8223" s="3" t="str">
        <f>HYPERLINK("https://www.boe.es/gazeta/dias/1812/11/14/pdfs/GRE-1812-152.pdf#page=5","Abrir facsímil")</f>
        <v>Abrir facsímil</v>
      </c>
      <c r="K8223" s="3" t="s">
        <v>23</v>
      </c>
    </row>
    <row r="8224" spans="1:11" ht="42" customHeight="1">
      <c r="A8224" s="2" t="s">
        <v>20491</v>
      </c>
      <c r="B8224" s="2" t="s">
        <v>20492</v>
      </c>
      <c r="C8224" s="2" t="s">
        <v>17</v>
      </c>
      <c r="D8224" s="2" t="s">
        <v>134</v>
      </c>
      <c r="E8224" s="4">
        <v>-31955</v>
      </c>
      <c r="F8224" s="3" t="s">
        <v>135</v>
      </c>
      <c r="G8224" s="3" t="s">
        <v>136</v>
      </c>
      <c r="H8224" s="2" t="s">
        <v>21</v>
      </c>
      <c r="I8224" s="2" t="s">
        <v>20493</v>
      </c>
      <c r="J8224" s="3" t="str">
        <f>HYPERLINK("https://www.boe.es/gazeta/dias/1812/07/04/pdfs/GRE-F-1812-82.pdf#page=8","Abrir facsímil")</f>
        <v>Abrir facsímil</v>
      </c>
      <c r="K8224" s="3" t="s">
        <v>23</v>
      </c>
    </row>
    <row r="8225" spans="1:11" ht="42" customHeight="1">
      <c r="A8225" s="2" t="s">
        <v>20494</v>
      </c>
      <c r="B8225" s="2" t="s">
        <v>20495</v>
      </c>
      <c r="C8225" s="2" t="s">
        <v>26</v>
      </c>
      <c r="D8225" s="2" t="s">
        <v>27</v>
      </c>
      <c r="E8225" s="4">
        <v>-32034</v>
      </c>
      <c r="F8225" s="3" t="s">
        <v>28</v>
      </c>
      <c r="G8225" s="3" t="s">
        <v>130</v>
      </c>
      <c r="H8225" s="2" t="s">
        <v>21</v>
      </c>
      <c r="I8225" s="2" t="s">
        <v>20496</v>
      </c>
      <c r="J8225" s="3" t="str">
        <f>HYPERLINK("https://www.boe.es/gazeta/dias/1812/04/16/pdfs/GMD-1812-107.pdf#page=4","Abrir facsímil")</f>
        <v>Abrir facsímil</v>
      </c>
      <c r="K8225" s="3" t="s">
        <v>23</v>
      </c>
    </row>
    <row r="8226" spans="1:11" ht="42" customHeight="1">
      <c r="A8226" s="2" t="s">
        <v>20497</v>
      </c>
      <c r="B8226" s="2" t="s">
        <v>20498</v>
      </c>
      <c r="C8226" s="2" t="s">
        <v>26</v>
      </c>
      <c r="D8226" s="2" t="s">
        <v>27</v>
      </c>
      <c r="E8226" s="4">
        <v>-32100</v>
      </c>
      <c r="F8226" s="3" t="s">
        <v>492</v>
      </c>
      <c r="G8226" s="3" t="s">
        <v>493</v>
      </c>
      <c r="H8226" s="2" t="s">
        <v>21</v>
      </c>
      <c r="I8226" s="2" t="s">
        <v>20499</v>
      </c>
      <c r="J8226" s="3" t="str">
        <f>HYPERLINK("https://www.boe.es/gazeta/dias/1812/02/10/pdfs/GRE-1812-31.pdf#page=8","Abrir facsímil")</f>
        <v>Abrir facsímil</v>
      </c>
      <c r="K8226" s="3" t="s">
        <v>23</v>
      </c>
    </row>
    <row r="8227" spans="1:11" ht="42" customHeight="1">
      <c r="A8227" s="2" t="s">
        <v>20497</v>
      </c>
      <c r="B8227" s="2" t="s">
        <v>20498</v>
      </c>
      <c r="C8227" s="2" t="s">
        <v>26</v>
      </c>
      <c r="D8227" s="2" t="s">
        <v>27</v>
      </c>
      <c r="E8227" s="4">
        <v>-32071</v>
      </c>
      <c r="F8227" s="3" t="s">
        <v>492</v>
      </c>
      <c r="G8227" s="3" t="s">
        <v>493</v>
      </c>
      <c r="H8227" s="2" t="s">
        <v>21</v>
      </c>
      <c r="I8227" s="2" t="s">
        <v>20499</v>
      </c>
      <c r="J8227" s="3" t="str">
        <f>HYPERLINK("https://www.boe.es/gazeta/dias/1812/03/10/pdfs/GRE-1812-31.pdf#page=8","Abrir facsímil")</f>
        <v>Abrir facsímil</v>
      </c>
      <c r="K8227" s="3" t="s">
        <v>23</v>
      </c>
    </row>
    <row r="8228" spans="1:11" ht="42" customHeight="1">
      <c r="A8228" s="2" t="s">
        <v>20500</v>
      </c>
      <c r="B8228" s="2" t="s">
        <v>20501</v>
      </c>
      <c r="C8228" s="2" t="s">
        <v>26</v>
      </c>
      <c r="D8228" s="2" t="s">
        <v>27</v>
      </c>
      <c r="E8228" s="4">
        <v>-31936</v>
      </c>
      <c r="F8228" s="3" t="s">
        <v>614</v>
      </c>
      <c r="G8228" s="3" t="s">
        <v>615</v>
      </c>
      <c r="H8228" s="2" t="s">
        <v>21</v>
      </c>
      <c r="I8228" s="2" t="s">
        <v>20502</v>
      </c>
      <c r="J8228" s="3" t="str">
        <f>HYPERLINK("https://www.boe.es/gazeta/dias/1812/07/23/pdfs/GRE-1812-92.pdf#page=8","Abrir facsímil")</f>
        <v>Abrir facsímil</v>
      </c>
      <c r="K8228" s="3" t="s">
        <v>23</v>
      </c>
    </row>
    <row r="8229" spans="1:11" ht="42" customHeight="1">
      <c r="A8229" s="2" t="s">
        <v>20503</v>
      </c>
      <c r="B8229" s="2" t="s">
        <v>20503</v>
      </c>
      <c r="C8229" s="2" t="s">
        <v>17</v>
      </c>
      <c r="D8229" s="2" t="s">
        <v>27</v>
      </c>
      <c r="E8229" s="4">
        <v>-32060</v>
      </c>
      <c r="F8229" s="3" t="s">
        <v>399</v>
      </c>
      <c r="G8229" s="3" t="s">
        <v>801</v>
      </c>
      <c r="H8229" s="2" t="s">
        <v>21</v>
      </c>
      <c r="I8229" s="2" t="s">
        <v>20504</v>
      </c>
      <c r="J8229" s="3" t="str">
        <f>HYPERLINK("https://www.boe.es/gazeta/dias/1812/03/21/pdfs/GMD-1812-81.pdf#page=3","Abrir facsímil")</f>
        <v>Abrir facsímil</v>
      </c>
      <c r="K8229" s="3" t="s">
        <v>23</v>
      </c>
    </row>
    <row r="8230" spans="1:11" ht="42" customHeight="1">
      <c r="A8230" s="2" t="s">
        <v>20503</v>
      </c>
      <c r="B8230" s="2" t="s">
        <v>20503</v>
      </c>
      <c r="C8230" s="2" t="s">
        <v>17</v>
      </c>
      <c r="D8230" s="2" t="s">
        <v>27</v>
      </c>
      <c r="E8230" s="4">
        <v>-32022</v>
      </c>
      <c r="F8230" s="3" t="s">
        <v>1186</v>
      </c>
      <c r="G8230" s="3" t="s">
        <v>1980</v>
      </c>
      <c r="H8230" s="2" t="s">
        <v>21</v>
      </c>
      <c r="I8230" s="2" t="s">
        <v>20505</v>
      </c>
      <c r="J8230" s="3" t="str">
        <f>HYPERLINK("https://www.boe.es/gazeta/dias/1812/04/28/pdfs/GRE-1812-53.pdf#page=4","Abrir facsímil")</f>
        <v>Abrir facsímil</v>
      </c>
      <c r="K8230" s="3" t="s">
        <v>23</v>
      </c>
    </row>
    <row r="8231" spans="1:11" ht="42" customHeight="1">
      <c r="A8231" s="2" t="s">
        <v>20503</v>
      </c>
      <c r="B8231" s="2" t="s">
        <v>20503</v>
      </c>
      <c r="C8231" s="2" t="s">
        <v>17</v>
      </c>
      <c r="D8231" s="2" t="s">
        <v>27</v>
      </c>
      <c r="E8231" s="4">
        <v>-31962</v>
      </c>
      <c r="F8231" s="3" t="s">
        <v>153</v>
      </c>
      <c r="G8231" s="3" t="s">
        <v>8063</v>
      </c>
      <c r="H8231" s="2" t="s">
        <v>21</v>
      </c>
      <c r="I8231" s="2" t="s">
        <v>20506</v>
      </c>
      <c r="J8231" s="3" t="str">
        <f>HYPERLINK("https://www.boe.es/gazeta/dias/1812/06/27/pdfs/GRE-1812-79.pdf#page=5","Abrir facsímil")</f>
        <v>Abrir facsímil</v>
      </c>
      <c r="K8231" s="3" t="s">
        <v>23</v>
      </c>
    </row>
    <row r="8232" spans="1:11" ht="42" customHeight="1">
      <c r="A8232" s="2" t="s">
        <v>20503</v>
      </c>
      <c r="B8232" s="2" t="s">
        <v>20503</v>
      </c>
      <c r="C8232" s="2" t="s">
        <v>17</v>
      </c>
      <c r="D8232" s="2" t="s">
        <v>27</v>
      </c>
      <c r="E8232" s="4">
        <v>-31889</v>
      </c>
      <c r="F8232" s="3" t="s">
        <v>699</v>
      </c>
      <c r="G8232" s="3" t="s">
        <v>117</v>
      </c>
      <c r="H8232" s="2" t="s">
        <v>21</v>
      </c>
      <c r="I8232" s="2" t="s">
        <v>20507</v>
      </c>
      <c r="J8232" s="3" t="str">
        <f>HYPERLINK("https://www.boe.es/gazeta/dias/1812/09/08/pdfs/GMR-1812-11.pdf#page=6","Abrir facsímil")</f>
        <v>Abrir facsímil</v>
      </c>
      <c r="K8232" s="3" t="s">
        <v>23</v>
      </c>
    </row>
    <row r="8233" spans="1:11" ht="42" customHeight="1">
      <c r="A8233" s="2" t="s">
        <v>20503</v>
      </c>
      <c r="B8233" s="2" t="s">
        <v>20503</v>
      </c>
      <c r="C8233" s="2" t="s">
        <v>17</v>
      </c>
      <c r="D8233" s="2" t="s">
        <v>18</v>
      </c>
      <c r="E8233" s="4">
        <v>-31889</v>
      </c>
      <c r="F8233" s="3" t="s">
        <v>699</v>
      </c>
      <c r="G8233" s="3" t="s">
        <v>125</v>
      </c>
      <c r="H8233" s="2" t="s">
        <v>21</v>
      </c>
      <c r="I8233" s="2" t="s">
        <v>20508</v>
      </c>
      <c r="J8233" s="3" t="str">
        <f>HYPERLINK("https://www.boe.es/gazeta/dias/1812/09/08/pdfs/GMR-1812-11.pdf#page=7","Abrir facsímil")</f>
        <v>Abrir facsímil</v>
      </c>
      <c r="K8233" s="3" t="s">
        <v>23</v>
      </c>
    </row>
    <row r="8234" spans="1:11" ht="42" customHeight="1">
      <c r="A8234" s="2" t="s">
        <v>20503</v>
      </c>
      <c r="B8234" s="2" t="s">
        <v>20503</v>
      </c>
      <c r="C8234" s="2" t="s">
        <v>17</v>
      </c>
      <c r="D8234" s="2" t="s">
        <v>18</v>
      </c>
      <c r="E8234" s="4">
        <v>-31882</v>
      </c>
      <c r="F8234" s="3" t="s">
        <v>1798</v>
      </c>
      <c r="G8234" s="3" t="s">
        <v>8253</v>
      </c>
      <c r="H8234" s="2" t="s">
        <v>21</v>
      </c>
      <c r="I8234" s="2" t="s">
        <v>20509</v>
      </c>
      <c r="J8234" s="3" t="str">
        <f>HYPERLINK("https://www.boe.es/gazeta/dias/1812/09/15/pdfs/GMR-1812-14.pdf#page=6","Abrir facsímil")</f>
        <v>Abrir facsímil</v>
      </c>
      <c r="K8234" s="3" t="s">
        <v>23</v>
      </c>
    </row>
    <row r="8235" spans="1:11" ht="42" customHeight="1">
      <c r="A8235" s="2" t="s">
        <v>20503</v>
      </c>
      <c r="B8235" s="2" t="s">
        <v>20503</v>
      </c>
      <c r="C8235" s="2" t="s">
        <v>17</v>
      </c>
      <c r="D8235" s="2" t="s">
        <v>18</v>
      </c>
      <c r="E8235" s="4">
        <v>-31861</v>
      </c>
      <c r="F8235" s="3" t="s">
        <v>1080</v>
      </c>
      <c r="G8235" s="3" t="s">
        <v>233</v>
      </c>
      <c r="H8235" s="2" t="s">
        <v>21</v>
      </c>
      <c r="I8235" s="2" t="s">
        <v>20510</v>
      </c>
      <c r="J8235" s="3" t="str">
        <f>HYPERLINK("https://www.boe.es/gazeta/dias/1812/10/06/pdfs/GMR-1812-23.pdf#page=12","Abrir facsímil")</f>
        <v>Abrir facsímil</v>
      </c>
      <c r="K8235" s="3" t="s">
        <v>23</v>
      </c>
    </row>
    <row r="8236" spans="1:11" ht="42" customHeight="1">
      <c r="A8236" s="2" t="s">
        <v>20503</v>
      </c>
      <c r="B8236" s="2" t="s">
        <v>20503</v>
      </c>
      <c r="C8236" s="2" t="s">
        <v>17</v>
      </c>
      <c r="D8236" s="2" t="s">
        <v>18</v>
      </c>
      <c r="E8236" s="4">
        <v>-31850</v>
      </c>
      <c r="F8236" s="3" t="s">
        <v>2178</v>
      </c>
      <c r="G8236" s="3" t="s">
        <v>2179</v>
      </c>
      <c r="H8236" s="2" t="s">
        <v>21</v>
      </c>
      <c r="I8236" s="2" t="s">
        <v>20511</v>
      </c>
      <c r="J8236" s="3" t="str">
        <f>HYPERLINK("https://www.boe.es/gazeta/dias/1812/10/17/pdfs/GRE-1812-140.pdf#page=3","Abrir facsímil")</f>
        <v>Abrir facsímil</v>
      </c>
      <c r="K8236" s="3" t="s">
        <v>23</v>
      </c>
    </row>
    <row r="8237" spans="1:11" ht="42" customHeight="1">
      <c r="A8237" s="2" t="s">
        <v>20512</v>
      </c>
      <c r="B8237" s="2" t="s">
        <v>20513</v>
      </c>
      <c r="C8237" s="2" t="s">
        <v>26</v>
      </c>
      <c r="D8237" s="2" t="s">
        <v>27</v>
      </c>
      <c r="E8237" s="4">
        <v>-32034</v>
      </c>
      <c r="F8237" s="3" t="s">
        <v>28</v>
      </c>
      <c r="G8237" s="3" t="s">
        <v>794</v>
      </c>
      <c r="H8237" s="2" t="s">
        <v>21</v>
      </c>
      <c r="I8237" s="2" t="s">
        <v>20514</v>
      </c>
      <c r="J8237" s="3" t="str">
        <f>HYPERLINK("https://www.boe.es/gazeta/dias/1812/04/16/pdfs/GMD-1812-107.pdf#page=7","Abrir facsímil")</f>
        <v>Abrir facsímil</v>
      </c>
      <c r="K8237" s="3" t="s">
        <v>23</v>
      </c>
    </row>
    <row r="8238" spans="1:11" ht="42" customHeight="1">
      <c r="A8238" s="2" t="s">
        <v>20515</v>
      </c>
      <c r="B8238" s="2" t="s">
        <v>20515</v>
      </c>
      <c r="C8238" s="2" t="s">
        <v>17</v>
      </c>
      <c r="D8238" s="2" t="s">
        <v>27</v>
      </c>
      <c r="E8238" s="4">
        <v>-32081</v>
      </c>
      <c r="F8238" s="3" t="s">
        <v>232</v>
      </c>
      <c r="G8238" s="3" t="s">
        <v>19154</v>
      </c>
      <c r="H8238" s="2" t="s">
        <v>21</v>
      </c>
      <c r="I8238" s="2" t="s">
        <v>20516</v>
      </c>
      <c r="J8238" s="3" t="str">
        <f>HYPERLINK("https://www.boe.es/gazeta/dias/1812/02/29/pdfs/GRE-1812-27.pdf#page=5","Abrir facsímil")</f>
        <v>Abrir facsímil</v>
      </c>
      <c r="K8238" s="3" t="s">
        <v>23</v>
      </c>
    </row>
    <row r="8239" spans="1:11" ht="42" customHeight="1">
      <c r="A8239" s="2" t="s">
        <v>20517</v>
      </c>
      <c r="B8239" s="2" t="s">
        <v>20518</v>
      </c>
      <c r="C8239" s="2" t="s">
        <v>26</v>
      </c>
      <c r="D8239" s="2" t="s">
        <v>27</v>
      </c>
      <c r="E8239" s="4">
        <v>-31801</v>
      </c>
      <c r="F8239" s="3" t="s">
        <v>1914</v>
      </c>
      <c r="G8239" s="3" t="s">
        <v>8450</v>
      </c>
      <c r="H8239" s="2" t="s">
        <v>21</v>
      </c>
      <c r="I8239" s="2" t="s">
        <v>20519</v>
      </c>
      <c r="J8239" s="3" t="str">
        <f>HYPERLINK("https://www.boe.es/gazeta/dias/1812/12/05/pdfs/GRE-1812-161.pdf#page=8","Abrir facsímil")</f>
        <v>Abrir facsímil</v>
      </c>
      <c r="K8239" s="3" t="s">
        <v>23</v>
      </c>
    </row>
    <row r="8240" spans="1:11" ht="42" customHeight="1">
      <c r="A8240" s="2" t="s">
        <v>20520</v>
      </c>
      <c r="B8240" s="2" t="s">
        <v>20521</v>
      </c>
      <c r="C8240" s="2" t="s">
        <v>17</v>
      </c>
      <c r="D8240" s="2" t="s">
        <v>18</v>
      </c>
      <c r="E8240" s="4">
        <v>-32053</v>
      </c>
      <c r="F8240" s="3" t="s">
        <v>910</v>
      </c>
      <c r="G8240" s="3" t="s">
        <v>911</v>
      </c>
      <c r="H8240" s="2" t="s">
        <v>21</v>
      </c>
      <c r="I8240" s="2" t="s">
        <v>20522</v>
      </c>
      <c r="J8240" s="3" t="str">
        <f>HYPERLINK("https://www.boe.es/gazeta/dias/1812/03/28/pdfs/GRE-1812-39.pdf#page=8","Abrir facsímil")</f>
        <v>Abrir facsímil</v>
      </c>
      <c r="K8240" s="3" t="s">
        <v>23</v>
      </c>
    </row>
    <row r="8241" spans="1:11" ht="42" customHeight="1">
      <c r="A8241" s="2" t="s">
        <v>20523</v>
      </c>
      <c r="B8241" s="2" t="s">
        <v>20524</v>
      </c>
      <c r="C8241" s="2" t="s">
        <v>26</v>
      </c>
      <c r="D8241" s="2" t="s">
        <v>27</v>
      </c>
      <c r="E8241" s="4">
        <v>-31938</v>
      </c>
      <c r="F8241" s="3" t="s">
        <v>324</v>
      </c>
      <c r="G8241" s="3" t="s">
        <v>497</v>
      </c>
      <c r="H8241" s="2" t="s">
        <v>21</v>
      </c>
      <c r="I8241" s="2" t="s">
        <v>20525</v>
      </c>
      <c r="J8241" s="3" t="str">
        <f>HYPERLINK("https://www.boe.es/gazeta/dias/1812/07/21/pdfs/GMD-1812-203.pdf#page=3","Abrir facsímil")</f>
        <v>Abrir facsímil</v>
      </c>
      <c r="K8241" s="3" t="s">
        <v>23</v>
      </c>
    </row>
    <row r="8242" spans="1:11" ht="42" customHeight="1">
      <c r="A8242" s="2" t="s">
        <v>20526</v>
      </c>
      <c r="B8242" s="2" t="s">
        <v>20526</v>
      </c>
      <c r="C8242" s="2" t="s">
        <v>17</v>
      </c>
      <c r="D8242" s="2" t="s">
        <v>27</v>
      </c>
      <c r="E8242" s="4">
        <v>-31978</v>
      </c>
      <c r="F8242" s="3" t="s">
        <v>527</v>
      </c>
      <c r="G8242" s="3" t="s">
        <v>58</v>
      </c>
      <c r="H8242" s="2" t="s">
        <v>21</v>
      </c>
      <c r="I8242" s="2" t="s">
        <v>20527</v>
      </c>
      <c r="J8242" s="3" t="str">
        <f>HYPERLINK("https://www.boe.es/gazeta/dias/1812/06/11/pdfs/GMD-1812-163.pdf#page=2","Abrir facsímil")</f>
        <v>Abrir facsímil</v>
      </c>
      <c r="K8242" s="3" t="s">
        <v>23</v>
      </c>
    </row>
    <row r="8243" spans="1:11" ht="42" customHeight="1">
      <c r="A8243" s="2" t="s">
        <v>20528</v>
      </c>
      <c r="B8243" s="2" t="s">
        <v>20529</v>
      </c>
      <c r="C8243" s="2" t="s">
        <v>17</v>
      </c>
      <c r="D8243" s="2" t="s">
        <v>18</v>
      </c>
      <c r="E8243" s="4">
        <v>-31952</v>
      </c>
      <c r="F8243" s="3" t="s">
        <v>694</v>
      </c>
      <c r="G8243" s="3" t="s">
        <v>2895</v>
      </c>
      <c r="H8243" s="2" t="s">
        <v>21</v>
      </c>
      <c r="I8243" s="2" t="s">
        <v>20530</v>
      </c>
      <c r="J8243" s="3" t="str">
        <f>HYPERLINK("https://www.boe.es/gazeta/dias/1812/07/07/pdfs/GMD-1812-189.pdf#page=4","Abrir facsímil")</f>
        <v>Abrir facsímil</v>
      </c>
      <c r="K8243" s="3" t="s">
        <v>23</v>
      </c>
    </row>
    <row r="8244" spans="1:11" ht="42" customHeight="1">
      <c r="A8244" s="2" t="s">
        <v>20531</v>
      </c>
      <c r="B8244" s="2" t="s">
        <v>20532</v>
      </c>
      <c r="C8244" s="2" t="s">
        <v>26</v>
      </c>
      <c r="D8244" s="2" t="s">
        <v>27</v>
      </c>
      <c r="E8244" s="4">
        <v>-32000</v>
      </c>
      <c r="F8244" s="3" t="s">
        <v>878</v>
      </c>
      <c r="G8244" s="3" t="s">
        <v>214</v>
      </c>
      <c r="H8244" s="2" t="s">
        <v>21</v>
      </c>
      <c r="I8244" s="2" t="s">
        <v>20533</v>
      </c>
      <c r="J8244" s="3" t="str">
        <f>HYPERLINK("https://www.boe.es/gazeta/dias/1812/05/20/pdfs/GMD-1812-141.pdf#page=2","Abrir facsímil")</f>
        <v>Abrir facsímil</v>
      </c>
      <c r="K8244" s="3" t="s">
        <v>23</v>
      </c>
    </row>
    <row r="8245" spans="1:11" ht="42" customHeight="1">
      <c r="A8245" s="2" t="s">
        <v>20534</v>
      </c>
      <c r="B8245" s="2" t="s">
        <v>20535</v>
      </c>
      <c r="C8245" s="2" t="s">
        <v>17</v>
      </c>
      <c r="D8245" s="2" t="s">
        <v>27</v>
      </c>
      <c r="E8245" s="4">
        <v>-31875</v>
      </c>
      <c r="F8245" s="3" t="s">
        <v>110</v>
      </c>
      <c r="G8245" s="3" t="s">
        <v>636</v>
      </c>
      <c r="H8245" s="2" t="s">
        <v>21</v>
      </c>
      <c r="I8245" s="2" t="s">
        <v>20536</v>
      </c>
      <c r="J8245" s="3" t="str">
        <f>HYPERLINK("https://www.boe.es/gazeta/dias/1812/09/22/pdfs/GRE-1812-128.pdf#page=7","Abrir facsímil")</f>
        <v>Abrir facsímil</v>
      </c>
      <c r="K8245" s="3" t="s">
        <v>23</v>
      </c>
    </row>
    <row r="8246" spans="1:11" ht="42" customHeight="1">
      <c r="A8246" s="2" t="s">
        <v>20537</v>
      </c>
      <c r="B8246" s="2" t="s">
        <v>20538</v>
      </c>
      <c r="C8246" s="2" t="s">
        <v>26</v>
      </c>
      <c r="D8246" s="2" t="s">
        <v>27</v>
      </c>
      <c r="E8246" s="4">
        <v>-31942</v>
      </c>
      <c r="F8246" s="3" t="s">
        <v>3065</v>
      </c>
      <c r="G8246" s="3" t="s">
        <v>3066</v>
      </c>
      <c r="H8246" s="2" t="s">
        <v>21</v>
      </c>
      <c r="I8246" s="2" t="s">
        <v>20539</v>
      </c>
      <c r="J8246" s="3" t="str">
        <f>HYPERLINK("https://www.boe.es/gazeta/dias/1812/07/17/pdfs/GMD-1812-199.pdf#page=3","Abrir facsímil")</f>
        <v>Abrir facsímil</v>
      </c>
      <c r="K8246" s="3" t="s">
        <v>23</v>
      </c>
    </row>
    <row r="8247" spans="1:11" ht="42" customHeight="1">
      <c r="A8247" s="2" t="s">
        <v>20540</v>
      </c>
      <c r="B8247" s="2" t="s">
        <v>20541</v>
      </c>
      <c r="C8247" s="2" t="s">
        <v>26</v>
      </c>
      <c r="D8247" s="2" t="s">
        <v>27</v>
      </c>
      <c r="E8247" s="4">
        <v>-32125</v>
      </c>
      <c r="F8247" s="3" t="s">
        <v>335</v>
      </c>
      <c r="G8247" s="3" t="s">
        <v>336</v>
      </c>
      <c r="H8247" s="2" t="s">
        <v>21</v>
      </c>
      <c r="I8247" s="2" t="s">
        <v>20542</v>
      </c>
      <c r="J8247" s="3" t="str">
        <f>HYPERLINK("https://www.boe.es/gazeta/dias/1812/01/16/pdfs/GEI-1812-7.pdf#page=8","Abrir facsímil")</f>
        <v>Abrir facsímil</v>
      </c>
      <c r="K8247" s="3" t="s">
        <v>23</v>
      </c>
    </row>
    <row r="8248" spans="1:11" ht="42" customHeight="1">
      <c r="A8248" s="2" t="s">
        <v>20543</v>
      </c>
      <c r="B8248" s="2" t="s">
        <v>20544</v>
      </c>
      <c r="C8248" s="2" t="s">
        <v>26</v>
      </c>
      <c r="D8248" s="2" t="s">
        <v>27</v>
      </c>
      <c r="E8248" s="4">
        <v>-31936</v>
      </c>
      <c r="F8248" s="3" t="s">
        <v>614</v>
      </c>
      <c r="G8248" s="3" t="s">
        <v>615</v>
      </c>
      <c r="H8248" s="2" t="s">
        <v>21</v>
      </c>
      <c r="I8248" s="2" t="s">
        <v>20545</v>
      </c>
      <c r="J8248" s="3" t="str">
        <f>HYPERLINK("https://www.boe.es/gazeta/dias/1812/07/23/pdfs/GRE-1812-92.pdf#page=8","Abrir facsímil")</f>
        <v>Abrir facsímil</v>
      </c>
      <c r="K8248" s="3" t="s">
        <v>23</v>
      </c>
    </row>
    <row r="8249" spans="1:11" ht="42" customHeight="1">
      <c r="A8249" s="2" t="s">
        <v>20546</v>
      </c>
      <c r="B8249" s="2" t="s">
        <v>20547</v>
      </c>
      <c r="C8249" s="2" t="s">
        <v>26</v>
      </c>
      <c r="D8249" s="2" t="s">
        <v>27</v>
      </c>
      <c r="E8249" s="4">
        <v>-32033</v>
      </c>
      <c r="F8249" s="3" t="s">
        <v>771</v>
      </c>
      <c r="G8249" s="3" t="s">
        <v>130</v>
      </c>
      <c r="H8249" s="2" t="s">
        <v>21</v>
      </c>
      <c r="I8249" s="2" t="s">
        <v>20548</v>
      </c>
      <c r="J8249" s="3" t="str">
        <f>HYPERLINK("https://www.boe.es/gazeta/dias/1812/04/17/pdfs/GMD-1812-108.pdf#page=4","Abrir facsímil")</f>
        <v>Abrir facsímil</v>
      </c>
      <c r="K8249" s="3" t="s">
        <v>23</v>
      </c>
    </row>
    <row r="8250" spans="1:11" ht="42" customHeight="1">
      <c r="A8250" s="2" t="s">
        <v>20549</v>
      </c>
      <c r="B8250" s="2" t="s">
        <v>20550</v>
      </c>
      <c r="C8250" s="2" t="s">
        <v>105</v>
      </c>
      <c r="D8250" s="2" t="s">
        <v>27</v>
      </c>
      <c r="E8250" s="4">
        <v>-31938</v>
      </c>
      <c r="F8250" s="3" t="s">
        <v>370</v>
      </c>
      <c r="G8250" s="3" t="s">
        <v>371</v>
      </c>
      <c r="H8250" s="2" t="s">
        <v>21</v>
      </c>
      <c r="I8250" s="2" t="s">
        <v>20551</v>
      </c>
      <c r="J8250" s="3" t="str">
        <f>HYPERLINK("https://www.boe.es/gazeta/dias/1812/07/21/pdfs/GRE-1812-91.pdf#page=8","Abrir facsímil")</f>
        <v>Abrir facsímil</v>
      </c>
      <c r="K8250" s="3" t="s">
        <v>23</v>
      </c>
    </row>
    <row r="8251" spans="1:11" ht="42" customHeight="1">
      <c r="A8251" s="2" t="s">
        <v>20552</v>
      </c>
      <c r="B8251" s="2" t="s">
        <v>20553</v>
      </c>
      <c r="C8251" s="2" t="s">
        <v>549</v>
      </c>
      <c r="D8251" s="2" t="s">
        <v>27</v>
      </c>
      <c r="E8251" s="4">
        <v>-32050</v>
      </c>
      <c r="F8251" s="3" t="s">
        <v>864</v>
      </c>
      <c r="G8251" s="3" t="s">
        <v>29</v>
      </c>
      <c r="H8251" s="2" t="s">
        <v>21</v>
      </c>
      <c r="I8251" s="2" t="s">
        <v>20554</v>
      </c>
      <c r="J8251" s="3" t="str">
        <f>HYPERLINK("https://www.boe.es/gazeta/dias/1812/03/31/pdfs/GRE-1812-40.pdf#page=8","Abrir facsímil")</f>
        <v>Abrir facsímil</v>
      </c>
      <c r="K8251" s="3" t="s">
        <v>23</v>
      </c>
    </row>
    <row r="8252" spans="1:11" ht="42" customHeight="1">
      <c r="A8252" s="2" t="s">
        <v>20555</v>
      </c>
      <c r="B8252" s="2" t="s">
        <v>20556</v>
      </c>
      <c r="C8252" s="2" t="s">
        <v>26</v>
      </c>
      <c r="D8252" s="2" t="s">
        <v>27</v>
      </c>
      <c r="E8252" s="4">
        <v>-32034</v>
      </c>
      <c r="F8252" s="3" t="s">
        <v>28</v>
      </c>
      <c r="G8252" s="3" t="s">
        <v>130</v>
      </c>
      <c r="H8252" s="2" t="s">
        <v>21</v>
      </c>
      <c r="I8252" s="2" t="s">
        <v>20557</v>
      </c>
      <c r="J8252" s="3" t="str">
        <f>HYPERLINK("https://www.boe.es/gazeta/dias/1812/04/16/pdfs/GMD-1812-107.pdf#page=4","Abrir facsímil")</f>
        <v>Abrir facsímil</v>
      </c>
      <c r="K8252" s="3" t="s">
        <v>23</v>
      </c>
    </row>
    <row r="8253" spans="1:11" ht="42" customHeight="1">
      <c r="A8253" s="2" t="s">
        <v>20558</v>
      </c>
      <c r="B8253" s="2" t="s">
        <v>20559</v>
      </c>
      <c r="C8253" s="2" t="s">
        <v>49</v>
      </c>
      <c r="D8253" s="2" t="s">
        <v>275</v>
      </c>
      <c r="E8253" s="4">
        <v>-31857</v>
      </c>
      <c r="F8253" s="3" t="s">
        <v>2176</v>
      </c>
      <c r="G8253" s="3" t="s">
        <v>217</v>
      </c>
      <c r="H8253" s="2" t="s">
        <v>21</v>
      </c>
      <c r="I8253" s="2" t="s">
        <v>20560</v>
      </c>
      <c r="J8253" s="3" t="str">
        <f>HYPERLINK("https://www.boe.es/gazeta/dias/1812/10/10/pdfs/GMR-1812-25.pdf#page=7","Abrir facsímil")</f>
        <v>Abrir facsímil</v>
      </c>
      <c r="K8253" s="3" t="s">
        <v>23</v>
      </c>
    </row>
    <row r="8254" spans="1:11" ht="42" customHeight="1">
      <c r="A8254" s="2" t="s">
        <v>20561</v>
      </c>
      <c r="B8254" s="2" t="s">
        <v>20562</v>
      </c>
      <c r="C8254" s="2" t="s">
        <v>17</v>
      </c>
      <c r="D8254" s="2" t="s">
        <v>27</v>
      </c>
      <c r="E8254" s="4">
        <v>-32109</v>
      </c>
      <c r="F8254" s="3" t="s">
        <v>62</v>
      </c>
      <c r="G8254" s="3" t="s">
        <v>63</v>
      </c>
      <c r="H8254" s="2" t="s">
        <v>21</v>
      </c>
      <c r="I8254" s="2" t="s">
        <v>20563</v>
      </c>
      <c r="J8254" s="3" t="str">
        <f>HYPERLINK("https://www.boe.es/gazeta/dias/1812/02/01/pdfs/GRE-1812-14.pdf#page=10","Abrir facsímil")</f>
        <v>Abrir facsímil</v>
      </c>
      <c r="K8254" s="3" t="s">
        <v>23</v>
      </c>
    </row>
    <row r="8255" spans="1:11" ht="42" customHeight="1">
      <c r="A8255" s="2" t="s">
        <v>20564</v>
      </c>
      <c r="B8255" s="2" t="s">
        <v>20564</v>
      </c>
      <c r="C8255" s="2" t="s">
        <v>17</v>
      </c>
      <c r="D8255" s="2" t="s">
        <v>27</v>
      </c>
      <c r="E8255" s="4">
        <v>-31824</v>
      </c>
      <c r="F8255" s="3" t="s">
        <v>3123</v>
      </c>
      <c r="G8255" s="3" t="s">
        <v>3897</v>
      </c>
      <c r="H8255" s="2" t="s">
        <v>21</v>
      </c>
      <c r="I8255" s="2" t="s">
        <v>20565</v>
      </c>
      <c r="J8255" s="3" t="str">
        <f>HYPERLINK("https://www.boe.es/gazeta/dias/1812/11/12/pdfs/GRE-1812-151.pdf#page=3","Abrir facsímil")</f>
        <v>Abrir facsímil</v>
      </c>
      <c r="K8255" s="3" t="s">
        <v>23</v>
      </c>
    </row>
    <row r="8256" spans="1:11" ht="42" customHeight="1">
      <c r="A8256" s="2" t="s">
        <v>20566</v>
      </c>
      <c r="B8256" s="2" t="s">
        <v>20567</v>
      </c>
      <c r="C8256" s="2" t="s">
        <v>17</v>
      </c>
      <c r="D8256" s="2" t="s">
        <v>18</v>
      </c>
      <c r="E8256" s="4">
        <v>-31913</v>
      </c>
      <c r="F8256" s="3" t="s">
        <v>450</v>
      </c>
      <c r="G8256" s="3" t="s">
        <v>1489</v>
      </c>
      <c r="H8256" s="2" t="s">
        <v>21</v>
      </c>
      <c r="I8256" s="2" t="s">
        <v>20568</v>
      </c>
      <c r="J8256" s="3" t="str">
        <f>HYPERLINK("https://www.boe.es/gazeta/dias/1812/08/15/pdfs/GRE-1812-105.pdf#page=3","Abrir facsímil")</f>
        <v>Abrir facsímil</v>
      </c>
      <c r="K8256" s="3" t="s">
        <v>23</v>
      </c>
    </row>
    <row r="8257" spans="1:11" ht="42" customHeight="1">
      <c r="A8257" s="2" t="s">
        <v>20569</v>
      </c>
      <c r="B8257" s="2" t="s">
        <v>20570</v>
      </c>
      <c r="C8257" s="2" t="s">
        <v>26</v>
      </c>
      <c r="D8257" s="2" t="s">
        <v>27</v>
      </c>
      <c r="E8257" s="4">
        <v>-32110</v>
      </c>
      <c r="F8257" s="3" t="s">
        <v>68</v>
      </c>
      <c r="G8257" s="3" t="s">
        <v>20</v>
      </c>
      <c r="H8257" s="2" t="s">
        <v>21</v>
      </c>
      <c r="I8257" s="2" t="s">
        <v>20571</v>
      </c>
      <c r="J8257" s="3" t="str">
        <f>HYPERLINK("https://www.boe.es/gazeta/dias/1812/01/31/pdfs/GMD-1812-31.pdf#page=3","Abrir facsímil")</f>
        <v>Abrir facsímil</v>
      </c>
      <c r="K8257" s="3" t="s">
        <v>23</v>
      </c>
    </row>
    <row r="8258" spans="1:11" ht="42" customHeight="1">
      <c r="A8258" s="2" t="s">
        <v>20572</v>
      </c>
      <c r="B8258" s="2" t="s">
        <v>20573</v>
      </c>
      <c r="C8258" s="2" t="s">
        <v>17</v>
      </c>
      <c r="D8258" s="2" t="s">
        <v>27</v>
      </c>
      <c r="E8258" s="4">
        <v>-32055</v>
      </c>
      <c r="F8258" s="3" t="s">
        <v>459</v>
      </c>
      <c r="G8258" s="3" t="s">
        <v>20</v>
      </c>
      <c r="H8258" s="2" t="s">
        <v>21</v>
      </c>
      <c r="I8258" s="2" t="s">
        <v>20574</v>
      </c>
      <c r="J8258" s="3" t="str">
        <f>HYPERLINK("https://www.boe.es/gazeta/dias/1812/03/26/pdfs/GRE-1812-38.pdf#page=8","Abrir facsímil")</f>
        <v>Abrir facsímil</v>
      </c>
      <c r="K8258" s="3" t="s">
        <v>23</v>
      </c>
    </row>
    <row r="8259" spans="1:11" ht="42" customHeight="1">
      <c r="A8259" s="2" t="s">
        <v>20575</v>
      </c>
      <c r="B8259" s="2" t="s">
        <v>20576</v>
      </c>
      <c r="C8259" s="2" t="s">
        <v>17</v>
      </c>
      <c r="D8259" s="2" t="s">
        <v>27</v>
      </c>
      <c r="E8259" s="4">
        <v>-32053</v>
      </c>
      <c r="F8259" s="3" t="s">
        <v>910</v>
      </c>
      <c r="G8259" s="3" t="s">
        <v>620</v>
      </c>
      <c r="H8259" s="2" t="s">
        <v>21</v>
      </c>
      <c r="I8259" s="2" t="s">
        <v>20577</v>
      </c>
      <c r="J8259" s="3" t="str">
        <f>HYPERLINK("https://www.boe.es/gazeta/dias/1812/03/28/pdfs/GRE-1812-39.pdf#page=3","Abrir facsímil")</f>
        <v>Abrir facsímil</v>
      </c>
      <c r="K8259" s="3" t="s">
        <v>23</v>
      </c>
    </row>
    <row r="8260" spans="1:11" ht="42" customHeight="1">
      <c r="A8260" s="2" t="s">
        <v>20575</v>
      </c>
      <c r="B8260" s="2" t="s">
        <v>20576</v>
      </c>
      <c r="C8260" s="2" t="s">
        <v>26</v>
      </c>
      <c r="D8260" s="2" t="s">
        <v>275</v>
      </c>
      <c r="E8260" s="4">
        <v>-31964</v>
      </c>
      <c r="F8260" s="3" t="s">
        <v>305</v>
      </c>
      <c r="G8260" s="3" t="s">
        <v>58</v>
      </c>
      <c r="H8260" s="2" t="s">
        <v>21</v>
      </c>
      <c r="I8260" s="2" t="s">
        <v>20578</v>
      </c>
      <c r="J8260" s="3" t="str">
        <f>HYPERLINK("https://www.boe.es/gazeta/dias/1812/06/25/pdfs/GMD-1812-177.pdf#page=2","Abrir facsímil")</f>
        <v>Abrir facsímil</v>
      </c>
      <c r="K8260" s="3" t="s">
        <v>23</v>
      </c>
    </row>
    <row r="8261" spans="1:11" ht="42" customHeight="1">
      <c r="A8261" s="2" t="s">
        <v>20579</v>
      </c>
      <c r="B8261" s="2" t="s">
        <v>20580</v>
      </c>
      <c r="C8261" s="2" t="s">
        <v>26</v>
      </c>
      <c r="D8261" s="2" t="s">
        <v>27</v>
      </c>
      <c r="E8261" s="4">
        <v>-32034</v>
      </c>
      <c r="F8261" s="3" t="s">
        <v>28</v>
      </c>
      <c r="G8261" s="3" t="s">
        <v>45</v>
      </c>
      <c r="H8261" s="2" t="s">
        <v>21</v>
      </c>
      <c r="I8261" s="2" t="s">
        <v>20581</v>
      </c>
      <c r="J8261" s="3" t="str">
        <f>HYPERLINK("https://www.boe.es/gazeta/dias/1812/04/16/pdfs/GMD-1812-107.pdf#page=5","Abrir facsímil")</f>
        <v>Abrir facsímil</v>
      </c>
      <c r="K8261" s="3" t="s">
        <v>23</v>
      </c>
    </row>
    <row r="8262" spans="1:11" ht="42" customHeight="1">
      <c r="A8262" s="2" t="s">
        <v>20582</v>
      </c>
      <c r="B8262" s="2" t="s">
        <v>20583</v>
      </c>
      <c r="C8262" s="2" t="s">
        <v>26</v>
      </c>
      <c r="D8262" s="2" t="s">
        <v>27</v>
      </c>
      <c r="E8262" s="4">
        <v>-32127</v>
      </c>
      <c r="F8262" s="3" t="s">
        <v>88</v>
      </c>
      <c r="G8262" s="3" t="s">
        <v>89</v>
      </c>
      <c r="H8262" s="2" t="s">
        <v>21</v>
      </c>
      <c r="I8262" s="2" t="s">
        <v>20584</v>
      </c>
      <c r="J8262" s="3" t="str">
        <f>HYPERLINK("https://www.boe.es/gazeta/dias/1812/01/14/pdfs/GEI-1812-6.pdf#page=8","Abrir facsímil")</f>
        <v>Abrir facsímil</v>
      </c>
      <c r="K8262" s="3" t="s">
        <v>23</v>
      </c>
    </row>
    <row r="8263" spans="1:11" ht="42" customHeight="1">
      <c r="A8263" s="2" t="s">
        <v>20582</v>
      </c>
      <c r="B8263" s="2" t="s">
        <v>20583</v>
      </c>
      <c r="C8263" s="2" t="s">
        <v>82</v>
      </c>
      <c r="D8263" s="2" t="s">
        <v>27</v>
      </c>
      <c r="E8263" s="4">
        <v>-32095</v>
      </c>
      <c r="F8263" s="3" t="s">
        <v>284</v>
      </c>
      <c r="G8263" s="3" t="s">
        <v>29</v>
      </c>
      <c r="H8263" s="2" t="s">
        <v>21</v>
      </c>
      <c r="I8263" s="2" t="s">
        <v>20585</v>
      </c>
      <c r="J8263" s="3" t="str">
        <f>HYPERLINK("https://www.boe.es/gazeta/dias/1812/02/15/pdfs/GRE-1812-20.pdf#page=8","Abrir facsímil")</f>
        <v>Abrir facsímil</v>
      </c>
      <c r="K8263" s="3" t="s">
        <v>23</v>
      </c>
    </row>
    <row r="8264" spans="1:11" ht="42" customHeight="1">
      <c r="A8264" s="2" t="s">
        <v>20586</v>
      </c>
      <c r="B8264" s="2" t="s">
        <v>20587</v>
      </c>
      <c r="C8264" s="2" t="s">
        <v>26</v>
      </c>
      <c r="D8264" s="2" t="s">
        <v>27</v>
      </c>
      <c r="E8264" s="4">
        <v>-31938</v>
      </c>
      <c r="F8264" s="3" t="s">
        <v>324</v>
      </c>
      <c r="G8264" s="3" t="s">
        <v>497</v>
      </c>
      <c r="H8264" s="2" t="s">
        <v>21</v>
      </c>
      <c r="I8264" s="2" t="s">
        <v>20588</v>
      </c>
      <c r="J8264" s="3" t="str">
        <f>HYPERLINK("https://www.boe.es/gazeta/dias/1812/07/21/pdfs/GMD-1812-203.pdf#page=3","Abrir facsímil")</f>
        <v>Abrir facsímil</v>
      </c>
      <c r="K8264" s="3" t="s">
        <v>23</v>
      </c>
    </row>
    <row r="8265" spans="1:11" ht="42" customHeight="1">
      <c r="A8265" s="2" t="s">
        <v>20589</v>
      </c>
      <c r="B8265" s="2" t="s">
        <v>20590</v>
      </c>
      <c r="C8265" s="2" t="s">
        <v>26</v>
      </c>
      <c r="D8265" s="2" t="s">
        <v>27</v>
      </c>
      <c r="E8265" s="4">
        <v>-32015</v>
      </c>
      <c r="F8265" s="3" t="s">
        <v>77</v>
      </c>
      <c r="G8265" s="3" t="s">
        <v>204</v>
      </c>
      <c r="H8265" s="2" t="s">
        <v>21</v>
      </c>
      <c r="I8265" s="2" t="s">
        <v>20591</v>
      </c>
      <c r="J8265" s="3" t="str">
        <f>HYPERLINK("https://www.boe.es/gazeta/dias/1812/05/05/pdfs/GRE-1812-56.pdf#page=3","Abrir facsímil")</f>
        <v>Abrir facsímil</v>
      </c>
      <c r="K8265" s="3" t="s">
        <v>23</v>
      </c>
    </row>
    <row r="8266" spans="1:11" ht="42" customHeight="1">
      <c r="A8266" s="2" t="s">
        <v>20592</v>
      </c>
      <c r="B8266" s="2" t="s">
        <v>20593</v>
      </c>
      <c r="C8266" s="2" t="s">
        <v>67</v>
      </c>
      <c r="D8266" s="2" t="s">
        <v>27</v>
      </c>
      <c r="E8266" s="4">
        <v>-31942</v>
      </c>
      <c r="F8266" s="3" t="s">
        <v>3065</v>
      </c>
      <c r="G8266" s="3" t="s">
        <v>3066</v>
      </c>
      <c r="H8266" s="2" t="s">
        <v>21</v>
      </c>
      <c r="I8266" s="2" t="s">
        <v>20594</v>
      </c>
      <c r="J8266" s="3" t="str">
        <f>HYPERLINK("https://www.boe.es/gazeta/dias/1812/07/17/pdfs/GMD-1812-199.pdf#page=3","Abrir facsímil")</f>
        <v>Abrir facsímil</v>
      </c>
      <c r="K8266" s="3" t="s">
        <v>23</v>
      </c>
    </row>
    <row r="8267" spans="1:11" ht="42" customHeight="1">
      <c r="A8267" s="2" t="s">
        <v>20595</v>
      </c>
      <c r="B8267" s="2" t="s">
        <v>20595</v>
      </c>
      <c r="C8267" s="2" t="s">
        <v>17</v>
      </c>
      <c r="D8267" s="2" t="s">
        <v>134</v>
      </c>
      <c r="E8267" s="4">
        <v>-31910</v>
      </c>
      <c r="F8267" s="3" t="s">
        <v>2149</v>
      </c>
      <c r="G8267" s="3" t="s">
        <v>514</v>
      </c>
      <c r="H8267" s="2" t="s">
        <v>21</v>
      </c>
      <c r="I8267" s="2" t="s">
        <v>20596</v>
      </c>
      <c r="J8267" s="3" t="str">
        <f>HYPERLINK("https://www.boe.es/gazeta/dias/1812/08/18/pdfs/GRE-F-1812-106.pdf#page=3","Abrir facsímil")</f>
        <v>Abrir facsímil</v>
      </c>
      <c r="K8267" s="3" t="s">
        <v>23</v>
      </c>
    </row>
    <row r="8268" spans="1:11" ht="42" customHeight="1">
      <c r="A8268" s="2" t="s">
        <v>20595</v>
      </c>
      <c r="B8268" s="2" t="s">
        <v>20595</v>
      </c>
      <c r="C8268" s="2" t="s">
        <v>17</v>
      </c>
      <c r="D8268" s="2" t="s">
        <v>27</v>
      </c>
      <c r="E8268" s="4">
        <v>-31892</v>
      </c>
      <c r="F8268" s="3" t="s">
        <v>1825</v>
      </c>
      <c r="G8268" s="3" t="s">
        <v>3975</v>
      </c>
      <c r="H8268" s="2" t="s">
        <v>21</v>
      </c>
      <c r="I8268" s="2" t="s">
        <v>20597</v>
      </c>
      <c r="J8268" s="3" t="str">
        <f>HYPERLINK("https://www.boe.es/gazeta/dias/1812/09/05/pdfs/GMR-1812-10.pdf#page=9","Abrir facsímil")</f>
        <v>Abrir facsímil</v>
      </c>
      <c r="K8268" s="3" t="s">
        <v>23</v>
      </c>
    </row>
    <row r="8269" spans="1:11" ht="42" customHeight="1">
      <c r="A8269" s="2" t="s">
        <v>20598</v>
      </c>
      <c r="B8269" s="2" t="s">
        <v>20599</v>
      </c>
      <c r="C8269" s="2" t="s">
        <v>26</v>
      </c>
      <c r="D8269" s="2" t="s">
        <v>27</v>
      </c>
      <c r="E8269" s="4">
        <v>-31938</v>
      </c>
      <c r="F8269" s="3" t="s">
        <v>370</v>
      </c>
      <c r="G8269" s="3" t="s">
        <v>371</v>
      </c>
      <c r="H8269" s="2" t="s">
        <v>21</v>
      </c>
      <c r="I8269" s="2" t="s">
        <v>20600</v>
      </c>
      <c r="J8269" s="3" t="str">
        <f>HYPERLINK("https://www.boe.es/gazeta/dias/1812/07/21/pdfs/GRE-1812-91.pdf#page=8","Abrir facsímil")</f>
        <v>Abrir facsímil</v>
      </c>
      <c r="K8269" s="3" t="s">
        <v>23</v>
      </c>
    </row>
    <row r="8270" spans="1:11" ht="42" customHeight="1">
      <c r="A8270" s="2" t="s">
        <v>20601</v>
      </c>
      <c r="B8270" s="2" t="s">
        <v>20602</v>
      </c>
      <c r="C8270" s="2" t="s">
        <v>26</v>
      </c>
      <c r="D8270" s="2" t="s">
        <v>27</v>
      </c>
      <c r="E8270" s="4">
        <v>-32088</v>
      </c>
      <c r="F8270" s="3" t="s">
        <v>1217</v>
      </c>
      <c r="G8270" s="3" t="s">
        <v>1218</v>
      </c>
      <c r="H8270" s="2" t="s">
        <v>21</v>
      </c>
      <c r="I8270" s="2" t="s">
        <v>20603</v>
      </c>
      <c r="J8270" s="3" t="str">
        <f>HYPERLINK("https://www.boe.es/gazeta/dias/1812/02/22/pdfs/GMD-1812-53.pdf#page=4","Abrir facsímil")</f>
        <v>Abrir facsímil</v>
      </c>
      <c r="K8270" s="3" t="s">
        <v>23</v>
      </c>
    </row>
    <row r="8271" spans="1:11" ht="42" customHeight="1">
      <c r="A8271" s="2" t="s">
        <v>20604</v>
      </c>
      <c r="B8271" s="2" t="s">
        <v>20605</v>
      </c>
      <c r="C8271" s="2" t="s">
        <v>17</v>
      </c>
      <c r="D8271" s="2" t="s">
        <v>18</v>
      </c>
      <c r="E8271" s="4">
        <v>-31992</v>
      </c>
      <c r="F8271" s="3" t="s">
        <v>1292</v>
      </c>
      <c r="G8271" s="3" t="s">
        <v>678</v>
      </c>
      <c r="H8271" s="2" t="s">
        <v>21</v>
      </c>
      <c r="I8271" s="2" t="s">
        <v>20606</v>
      </c>
      <c r="J8271" s="3" t="str">
        <f>HYPERLINK("https://www.boe.es/gazeta/dias/1812/05/28/pdfs/GRE-1812-66.pdf#page=6","Abrir facsímil")</f>
        <v>Abrir facsímil</v>
      </c>
      <c r="K8271" s="3" t="s">
        <v>23</v>
      </c>
    </row>
    <row r="8272" spans="1:11" ht="42" customHeight="1">
      <c r="A8272" s="2" t="s">
        <v>20607</v>
      </c>
      <c r="B8272" s="2" t="s">
        <v>20608</v>
      </c>
      <c r="C8272" s="2" t="s">
        <v>67</v>
      </c>
      <c r="D8272" s="2" t="s">
        <v>27</v>
      </c>
      <c r="E8272" s="4">
        <v>-32118</v>
      </c>
      <c r="F8272" s="3" t="s">
        <v>1420</v>
      </c>
      <c r="G8272" s="3" t="s">
        <v>1128</v>
      </c>
      <c r="H8272" s="2" t="s">
        <v>21</v>
      </c>
      <c r="I8272" s="2" t="s">
        <v>20609</v>
      </c>
      <c r="J8272" s="3" t="str">
        <f>HYPERLINK("https://www.boe.es/gazeta/dias/1812/01/23/pdfs/GEI-1812-10.pdf#page=3","Abrir facsímil")</f>
        <v>Abrir facsímil</v>
      </c>
      <c r="K8272" s="3" t="s">
        <v>23</v>
      </c>
    </row>
    <row r="8273" spans="1:11" ht="42" customHeight="1">
      <c r="A8273" s="2" t="s">
        <v>20610</v>
      </c>
      <c r="B8273" s="2" t="s">
        <v>20611</v>
      </c>
      <c r="C8273" s="2" t="s">
        <v>17</v>
      </c>
      <c r="D8273" s="2" t="s">
        <v>18</v>
      </c>
      <c r="E8273" s="4">
        <v>-32118</v>
      </c>
      <c r="F8273" s="3" t="s">
        <v>1420</v>
      </c>
      <c r="G8273" s="3" t="s">
        <v>2433</v>
      </c>
      <c r="H8273" s="2" t="s">
        <v>21</v>
      </c>
      <c r="I8273" s="2" t="s">
        <v>20612</v>
      </c>
      <c r="J8273" s="3" t="str">
        <f>HYPERLINK("https://www.boe.es/gazeta/dias/1812/01/23/pdfs/GEI-1812-10.pdf#page=2","Abrir facsímil")</f>
        <v>Abrir facsímil</v>
      </c>
      <c r="K8273" s="3" t="s">
        <v>23</v>
      </c>
    </row>
    <row r="8274" spans="1:11" ht="42" customHeight="1">
      <c r="A8274" s="2" t="s">
        <v>20613</v>
      </c>
      <c r="B8274" s="2" t="s">
        <v>20614</v>
      </c>
      <c r="C8274" s="2" t="s">
        <v>105</v>
      </c>
      <c r="D8274" s="2" t="s">
        <v>27</v>
      </c>
      <c r="E8274" s="4">
        <v>-32109</v>
      </c>
      <c r="F8274" s="3" t="s">
        <v>62</v>
      </c>
      <c r="G8274" s="3" t="s">
        <v>106</v>
      </c>
      <c r="H8274" s="2" t="s">
        <v>21</v>
      </c>
      <c r="I8274" s="2" t="s">
        <v>20615</v>
      </c>
      <c r="J8274" s="3" t="str">
        <f>HYPERLINK("https://www.boe.es/gazeta/dias/1812/02/01/pdfs/GRE-1812-14.pdf#page=11","Abrir facsímil")</f>
        <v>Abrir facsímil</v>
      </c>
      <c r="K8274" s="3" t="s">
        <v>23</v>
      </c>
    </row>
    <row r="8275" spans="1:11" ht="42" customHeight="1">
      <c r="A8275" s="2" t="s">
        <v>20616</v>
      </c>
      <c r="B8275" s="2" t="s">
        <v>20617</v>
      </c>
      <c r="C8275" s="2" t="s">
        <v>26</v>
      </c>
      <c r="D8275" s="2" t="s">
        <v>27</v>
      </c>
      <c r="E8275" s="4">
        <v>-32132</v>
      </c>
      <c r="F8275" s="3" t="s">
        <v>484</v>
      </c>
      <c r="G8275" s="3" t="s">
        <v>485</v>
      </c>
      <c r="H8275" s="2" t="s">
        <v>21</v>
      </c>
      <c r="I8275" s="2" t="s">
        <v>20618</v>
      </c>
      <c r="J8275" s="3" t="str">
        <f>HYPERLINK("https://www.boe.es/gazeta/dias/1812/01/09/pdfs/GEI-1812-4.pdf#page=8","Abrir facsímil")</f>
        <v>Abrir facsímil</v>
      </c>
      <c r="K8275" s="3" t="s">
        <v>23</v>
      </c>
    </row>
    <row r="8276" spans="1:11" ht="42" customHeight="1">
      <c r="A8276" s="2" t="s">
        <v>20619</v>
      </c>
      <c r="B8276" s="2" t="s">
        <v>20620</v>
      </c>
      <c r="C8276" s="2" t="s">
        <v>17</v>
      </c>
      <c r="D8276" s="2" t="s">
        <v>27</v>
      </c>
      <c r="E8276" s="4">
        <v>-31964</v>
      </c>
      <c r="F8276" s="3" t="s">
        <v>305</v>
      </c>
      <c r="G8276" s="3" t="s">
        <v>58</v>
      </c>
      <c r="H8276" s="2" t="s">
        <v>21</v>
      </c>
      <c r="I8276" s="2" t="s">
        <v>20621</v>
      </c>
      <c r="J8276" s="3" t="str">
        <f>HYPERLINK("https://www.boe.es/gazeta/dias/1812/06/25/pdfs/GMD-1812-177.pdf#page=2","Abrir facsímil")</f>
        <v>Abrir facsímil</v>
      </c>
      <c r="K8276" s="3" t="s">
        <v>23</v>
      </c>
    </row>
    <row r="8277" spans="1:11" ht="42" customHeight="1">
      <c r="A8277" s="2" t="s">
        <v>20622</v>
      </c>
      <c r="B8277" s="2" t="s">
        <v>20623</v>
      </c>
      <c r="C8277" s="2" t="s">
        <v>17</v>
      </c>
      <c r="D8277" s="2" t="s">
        <v>27</v>
      </c>
      <c r="E8277" s="4">
        <v>-32116</v>
      </c>
      <c r="F8277" s="3" t="s">
        <v>382</v>
      </c>
      <c r="G8277" s="3" t="s">
        <v>136</v>
      </c>
      <c r="H8277" s="2" t="s">
        <v>21</v>
      </c>
      <c r="I8277" s="2" t="s">
        <v>20624</v>
      </c>
      <c r="J8277" s="3" t="str">
        <f>HYPERLINK("https://www.boe.es/gazeta/dias/1812/01/25/pdfs/GMD-1812-25.pdf#page=4","Abrir facsímil")</f>
        <v>Abrir facsímil</v>
      </c>
      <c r="K8277" s="3" t="s">
        <v>23</v>
      </c>
    </row>
    <row r="8278" spans="1:11" ht="42" customHeight="1">
      <c r="A8278" s="2" t="s">
        <v>20625</v>
      </c>
      <c r="B8278" s="2" t="s">
        <v>20626</v>
      </c>
      <c r="C8278" s="2" t="s">
        <v>115</v>
      </c>
      <c r="D8278" s="2" t="s">
        <v>27</v>
      </c>
      <c r="E8278" s="4">
        <v>-31962</v>
      </c>
      <c r="F8278" s="3" t="s">
        <v>643</v>
      </c>
      <c r="G8278" s="3" t="s">
        <v>6986</v>
      </c>
      <c r="H8278" s="2" t="s">
        <v>21</v>
      </c>
      <c r="I8278" s="2" t="s">
        <v>20627</v>
      </c>
      <c r="J8278" s="3" t="str">
        <f>HYPERLINK("https://www.boe.es/gazeta/dias/1812/06/27/pdfs/GMD-1812-179.pdf#page=4","Abrir facsímil")</f>
        <v>Abrir facsímil</v>
      </c>
      <c r="K8278" s="3" t="s">
        <v>23</v>
      </c>
    </row>
    <row r="8279" spans="1:11" ht="42" customHeight="1">
      <c r="A8279" s="2" t="s">
        <v>20628</v>
      </c>
      <c r="B8279" s="2" t="s">
        <v>20629</v>
      </c>
      <c r="C8279" s="2" t="s">
        <v>26</v>
      </c>
      <c r="D8279" s="2" t="s">
        <v>27</v>
      </c>
      <c r="E8279" s="4">
        <v>-32120</v>
      </c>
      <c r="F8279" s="3" t="s">
        <v>3524</v>
      </c>
      <c r="G8279" s="3" t="s">
        <v>644</v>
      </c>
      <c r="H8279" s="2" t="s">
        <v>21</v>
      </c>
      <c r="I8279" s="2" t="s">
        <v>20630</v>
      </c>
      <c r="J8279" s="3" t="str">
        <f>HYPERLINK("https://www.boe.es/gazeta/dias/1812/01/21/pdfs/GEI-1812-9.pdf#page=4","Abrir facsímil")</f>
        <v>Abrir facsímil</v>
      </c>
      <c r="K8279" s="3" t="s">
        <v>23</v>
      </c>
    </row>
    <row r="8280" spans="1:11" ht="42" customHeight="1">
      <c r="A8280" s="2" t="s">
        <v>20631</v>
      </c>
      <c r="B8280" s="2" t="s">
        <v>20632</v>
      </c>
      <c r="C8280" s="2" t="s">
        <v>26</v>
      </c>
      <c r="D8280" s="2" t="s">
        <v>27</v>
      </c>
      <c r="E8280" s="4">
        <v>-32095</v>
      </c>
      <c r="F8280" s="3" t="s">
        <v>284</v>
      </c>
      <c r="G8280" s="3" t="s">
        <v>29</v>
      </c>
      <c r="H8280" s="2" t="s">
        <v>21</v>
      </c>
      <c r="I8280" s="2" t="s">
        <v>20633</v>
      </c>
      <c r="J8280" s="3" t="str">
        <f>HYPERLINK("https://www.boe.es/gazeta/dias/1812/02/15/pdfs/GRE-1812-20.pdf#page=8","Abrir facsímil")</f>
        <v>Abrir facsímil</v>
      </c>
      <c r="K8280" s="3" t="s">
        <v>23</v>
      </c>
    </row>
    <row r="8281" spans="1:11" ht="42" customHeight="1">
      <c r="A8281" s="2" t="s">
        <v>20634</v>
      </c>
      <c r="B8281" s="2" t="s">
        <v>20635</v>
      </c>
      <c r="C8281" s="2" t="s">
        <v>26</v>
      </c>
      <c r="D8281" s="2" t="s">
        <v>27</v>
      </c>
      <c r="E8281" s="4">
        <v>-31864</v>
      </c>
      <c r="F8281" s="3" t="s">
        <v>3014</v>
      </c>
      <c r="G8281" s="3" t="s">
        <v>8995</v>
      </c>
      <c r="H8281" s="2" t="s">
        <v>21</v>
      </c>
      <c r="I8281" s="2" t="s">
        <v>20636</v>
      </c>
      <c r="J8281" s="3" t="str">
        <f>HYPERLINK("https://www.boe.es/gazeta/dias/1812/10/03/pdfs/GRE-1812-134.pdf#page=7","Abrir facsímil")</f>
        <v>Abrir facsímil</v>
      </c>
      <c r="K8281" s="3" t="s">
        <v>23</v>
      </c>
    </row>
    <row r="8282" spans="1:11" ht="42" customHeight="1">
      <c r="A8282" s="2" t="s">
        <v>20637</v>
      </c>
      <c r="B8282" s="2" t="s">
        <v>20638</v>
      </c>
      <c r="C8282" s="2" t="s">
        <v>26</v>
      </c>
      <c r="D8282" s="2" t="s">
        <v>27</v>
      </c>
      <c r="E8282" s="4">
        <v>-32034</v>
      </c>
      <c r="F8282" s="3" t="s">
        <v>28</v>
      </c>
      <c r="G8282" s="3" t="s">
        <v>29</v>
      </c>
      <c r="H8282" s="2" t="s">
        <v>21</v>
      </c>
      <c r="I8282" s="2" t="s">
        <v>20639</v>
      </c>
      <c r="J8282" s="3" t="str">
        <f>HYPERLINK("https://www.boe.es/gazeta/dias/1812/04/16/pdfs/GMD-1812-107.pdf#page=8","Abrir facsímil")</f>
        <v>Abrir facsímil</v>
      </c>
      <c r="K8282" s="3" t="s">
        <v>23</v>
      </c>
    </row>
    <row r="8283" spans="1:11" ht="42" customHeight="1">
      <c r="A8283" s="2" t="s">
        <v>20640</v>
      </c>
      <c r="B8283" s="2" t="s">
        <v>20641</v>
      </c>
      <c r="C8283" s="2" t="s">
        <v>17</v>
      </c>
      <c r="D8283" s="2" t="s">
        <v>27</v>
      </c>
      <c r="E8283" s="4">
        <v>-31838</v>
      </c>
      <c r="F8283" s="3" t="s">
        <v>1452</v>
      </c>
      <c r="G8283" s="3" t="s">
        <v>29</v>
      </c>
      <c r="H8283" s="2" t="s">
        <v>21</v>
      </c>
      <c r="I8283" s="2" t="s">
        <v>20642</v>
      </c>
      <c r="J8283" s="3" t="str">
        <f>HYPERLINK("https://www.boe.es/gazeta/dias/1812/10/29/pdfs/GMR-1812-33.pdf#page=8","Abrir facsímil")</f>
        <v>Abrir facsímil</v>
      </c>
      <c r="K8283" s="3" t="s">
        <v>23</v>
      </c>
    </row>
    <row r="8284" spans="1:11" ht="42" customHeight="1">
      <c r="A8284" s="2" t="s">
        <v>20643</v>
      </c>
      <c r="B8284" s="2" t="s">
        <v>20643</v>
      </c>
      <c r="C8284" s="2" t="s">
        <v>17</v>
      </c>
      <c r="D8284" s="2" t="s">
        <v>27</v>
      </c>
      <c r="E8284" s="4">
        <v>-31906</v>
      </c>
      <c r="F8284" s="3" t="s">
        <v>1815</v>
      </c>
      <c r="G8284" s="3" t="s">
        <v>136</v>
      </c>
      <c r="H8284" s="2" t="s">
        <v>21</v>
      </c>
      <c r="I8284" s="2" t="s">
        <v>20644</v>
      </c>
      <c r="J8284" s="3" t="str">
        <f>HYPERLINK("https://www.boe.es/gazeta/dias/1812/08/22/pdfs/GMR-1812-3.pdf#page=4","Abrir facsímil")</f>
        <v>Abrir facsímil</v>
      </c>
      <c r="K8284" s="3" t="s">
        <v>23</v>
      </c>
    </row>
    <row r="8285" spans="1:11" ht="42" customHeight="1">
      <c r="A8285" s="2" t="s">
        <v>20645</v>
      </c>
      <c r="B8285" s="2" t="s">
        <v>20646</v>
      </c>
      <c r="C8285" s="2" t="s">
        <v>26</v>
      </c>
      <c r="D8285" s="2" t="s">
        <v>27</v>
      </c>
      <c r="E8285" s="4">
        <v>-32034</v>
      </c>
      <c r="F8285" s="3" t="s">
        <v>1008</v>
      </c>
      <c r="G8285" s="3" t="s">
        <v>1009</v>
      </c>
      <c r="H8285" s="2" t="s">
        <v>21</v>
      </c>
      <c r="I8285" s="2" t="s">
        <v>20647</v>
      </c>
      <c r="J8285" s="3" t="str">
        <f>HYPERLINK("https://www.boe.es/gazeta/dias/1812/04/16/pdfs/GRE-1812-48.pdf#page=8","Abrir facsímil")</f>
        <v>Abrir facsímil</v>
      </c>
      <c r="K8285" s="3" t="s">
        <v>23</v>
      </c>
    </row>
    <row r="8286" spans="1:11" ht="42" customHeight="1">
      <c r="A8286" s="2" t="s">
        <v>20648</v>
      </c>
      <c r="B8286" s="2" t="s">
        <v>20649</v>
      </c>
      <c r="C8286" s="2" t="s">
        <v>26</v>
      </c>
      <c r="D8286" s="2" t="s">
        <v>27</v>
      </c>
      <c r="E8286" s="4">
        <v>-31922</v>
      </c>
      <c r="F8286" s="3" t="s">
        <v>622</v>
      </c>
      <c r="G8286" s="3" t="s">
        <v>623</v>
      </c>
      <c r="H8286" s="2" t="s">
        <v>30</v>
      </c>
      <c r="I8286" s="2" t="s">
        <v>20650</v>
      </c>
      <c r="J8286" s="3" t="str">
        <f>HYPERLINK("https://www.boe.es/gazeta/dias/1812/08/06/pdfs/GMD-1812-219.pdf#page=1","Abrir facsímil")</f>
        <v>Abrir facsímil</v>
      </c>
      <c r="K8286" s="3" t="s">
        <v>32</v>
      </c>
    </row>
    <row r="8287" spans="1:11" ht="42" customHeight="1">
      <c r="A8287" s="2" t="s">
        <v>20651</v>
      </c>
      <c r="B8287" s="2" t="s">
        <v>20651</v>
      </c>
      <c r="C8287" s="2" t="s">
        <v>17</v>
      </c>
      <c r="D8287" s="2" t="s">
        <v>27</v>
      </c>
      <c r="E8287" s="4">
        <v>-31850</v>
      </c>
      <c r="F8287" s="3" t="s">
        <v>2178</v>
      </c>
      <c r="G8287" s="3" t="s">
        <v>7130</v>
      </c>
      <c r="H8287" s="2" t="s">
        <v>21</v>
      </c>
      <c r="I8287" s="2" t="s">
        <v>20652</v>
      </c>
      <c r="J8287" s="3" t="str">
        <f>HYPERLINK("https://www.boe.es/gazeta/dias/1812/10/17/pdfs/GRE-1812-140.pdf#page=7","Abrir facsímil")</f>
        <v>Abrir facsímil</v>
      </c>
      <c r="K8287" s="3" t="s">
        <v>23</v>
      </c>
    </row>
    <row r="8288" spans="1:11" ht="42" customHeight="1">
      <c r="A8288" s="2" t="s">
        <v>20653</v>
      </c>
      <c r="B8288" s="2" t="s">
        <v>20653</v>
      </c>
      <c r="C8288" s="2" t="s">
        <v>17</v>
      </c>
      <c r="D8288" s="2" t="s">
        <v>194</v>
      </c>
      <c r="E8288" s="4">
        <v>-31964</v>
      </c>
      <c r="F8288" s="3" t="s">
        <v>305</v>
      </c>
      <c r="G8288" s="3" t="s">
        <v>45</v>
      </c>
      <c r="H8288" s="2" t="s">
        <v>21</v>
      </c>
      <c r="I8288" s="2" t="s">
        <v>20654</v>
      </c>
      <c r="J8288" s="3" t="str">
        <f>HYPERLINK("https://www.boe.es/gazeta/dias/1812/06/25/pdfs/GMD-1812-177.pdf#page=1","Abrir facsímil")</f>
        <v>Abrir facsímil</v>
      </c>
      <c r="K8288" s="3" t="s">
        <v>23</v>
      </c>
    </row>
    <row r="8289" spans="1:11" ht="42" customHeight="1">
      <c r="A8289" s="2" t="s">
        <v>20655</v>
      </c>
      <c r="B8289" s="2" t="s">
        <v>20655</v>
      </c>
      <c r="C8289" s="2" t="s">
        <v>26</v>
      </c>
      <c r="D8289" s="2" t="s">
        <v>27</v>
      </c>
      <c r="E8289" s="4">
        <v>-31887</v>
      </c>
      <c r="F8289" s="3" t="s">
        <v>703</v>
      </c>
      <c r="G8289" s="3" t="s">
        <v>196</v>
      </c>
      <c r="H8289" s="2" t="s">
        <v>21</v>
      </c>
      <c r="I8289" s="2" t="s">
        <v>20656</v>
      </c>
      <c r="J8289" s="3" t="str">
        <f>HYPERLINK("https://www.boe.es/gazeta/dias/1812/09/10/pdfs/GRE-1812-122.pdf#page=1","Abrir facsímil")</f>
        <v>Abrir facsímil</v>
      </c>
      <c r="K8289" s="3" t="s">
        <v>23</v>
      </c>
    </row>
    <row r="8290" spans="1:11" ht="42" customHeight="1">
      <c r="A8290" s="2" t="s">
        <v>20657</v>
      </c>
      <c r="B8290" s="2" t="s">
        <v>20658</v>
      </c>
      <c r="C8290" s="2" t="s">
        <v>17</v>
      </c>
      <c r="D8290" s="2" t="s">
        <v>27</v>
      </c>
      <c r="E8290" s="4">
        <v>-32078</v>
      </c>
      <c r="F8290" s="3" t="s">
        <v>145</v>
      </c>
      <c r="G8290" s="3" t="s">
        <v>366</v>
      </c>
      <c r="H8290" s="2" t="s">
        <v>21</v>
      </c>
      <c r="I8290" s="2" t="s">
        <v>20659</v>
      </c>
      <c r="J8290" s="3" t="str">
        <f>HYPERLINK("https://www.boe.es/gazeta/dias/1812/03/03/pdfs/GRE-1812-28.pdf#page=6","Abrir facsímil")</f>
        <v>Abrir facsímil</v>
      </c>
      <c r="K8290" s="3" t="s">
        <v>23</v>
      </c>
    </row>
    <row r="8291" spans="1:11" ht="42" customHeight="1">
      <c r="A8291" s="2" t="s">
        <v>20660</v>
      </c>
      <c r="B8291" s="2" t="s">
        <v>20660</v>
      </c>
      <c r="C8291" s="2" t="s">
        <v>17</v>
      </c>
      <c r="D8291" s="2" t="s">
        <v>18</v>
      </c>
      <c r="E8291" s="4">
        <v>-31880</v>
      </c>
      <c r="F8291" s="3" t="s">
        <v>9383</v>
      </c>
      <c r="G8291" s="3" t="s">
        <v>9384</v>
      </c>
      <c r="H8291" s="2" t="s">
        <v>21</v>
      </c>
      <c r="I8291" s="2" t="s">
        <v>20661</v>
      </c>
      <c r="J8291" s="3" t="str">
        <f>HYPERLINK("https://www.boe.es/gazeta/dias/1812/09/17/pdfs/GRE-F-1812-126.pdf#page=4","Abrir facsímil")</f>
        <v>Abrir facsímil</v>
      </c>
      <c r="K8291" s="3" t="s">
        <v>23</v>
      </c>
    </row>
    <row r="8292" spans="1:11" ht="42" customHeight="1">
      <c r="A8292" s="2" t="s">
        <v>20662</v>
      </c>
      <c r="B8292" s="2" t="s">
        <v>20663</v>
      </c>
      <c r="C8292" s="2" t="s">
        <v>26</v>
      </c>
      <c r="D8292" s="2" t="s">
        <v>27</v>
      </c>
      <c r="E8292" s="4">
        <v>-31976</v>
      </c>
      <c r="F8292" s="3" t="s">
        <v>54</v>
      </c>
      <c r="G8292" s="3" t="s">
        <v>55</v>
      </c>
      <c r="H8292" s="2" t="s">
        <v>21</v>
      </c>
      <c r="I8292" s="2" t="s">
        <v>20664</v>
      </c>
      <c r="J8292" s="3" t="str">
        <f>HYPERLINK("https://www.boe.es/gazeta/dias/1812/06/13/pdfs/GRE-1812-73.pdf#page=6","Abrir facsímil")</f>
        <v>Abrir facsímil</v>
      </c>
      <c r="K8292" s="3" t="s">
        <v>23</v>
      </c>
    </row>
    <row r="8293" spans="1:11" ht="42" customHeight="1">
      <c r="A8293" s="2" t="s">
        <v>20665</v>
      </c>
      <c r="B8293" s="2" t="s">
        <v>20666</v>
      </c>
      <c r="C8293" s="2" t="s">
        <v>67</v>
      </c>
      <c r="D8293" s="2" t="s">
        <v>27</v>
      </c>
      <c r="E8293" s="4">
        <v>-32048</v>
      </c>
      <c r="F8293" s="3" t="s">
        <v>20667</v>
      </c>
      <c r="G8293" s="3" t="s">
        <v>217</v>
      </c>
      <c r="H8293" s="2" t="s">
        <v>21</v>
      </c>
      <c r="I8293" s="2" t="s">
        <v>20668</v>
      </c>
      <c r="J8293" s="3" t="str">
        <f>HYPERLINK("https://www.boe.es/gazeta/dias/1812/04/02/pdfs/GRE-1812-41.pdf#page=5","Abrir facsímil")</f>
        <v>Abrir facsímil</v>
      </c>
      <c r="K8293" s="3" t="s">
        <v>23</v>
      </c>
    </row>
    <row r="8294" spans="1:11" ht="42" customHeight="1">
      <c r="A8294" s="2" t="s">
        <v>20669</v>
      </c>
      <c r="B8294" s="2" t="s">
        <v>20670</v>
      </c>
      <c r="C8294" s="2" t="s">
        <v>17</v>
      </c>
      <c r="D8294" s="2" t="s">
        <v>27</v>
      </c>
      <c r="E8294" s="4">
        <v>-32129</v>
      </c>
      <c r="F8294" s="3" t="s">
        <v>3162</v>
      </c>
      <c r="G8294" s="3" t="s">
        <v>2313</v>
      </c>
      <c r="H8294" s="2" t="s">
        <v>21</v>
      </c>
      <c r="I8294" s="2" t="s">
        <v>20671</v>
      </c>
      <c r="J8294" s="3" t="str">
        <f>HYPERLINK("https://www.boe.es/gazeta/dias/1812/01/12/pdfs/GMD-1812-12.pdf#page=4","Abrir facsímil")</f>
        <v>Abrir facsímil</v>
      </c>
      <c r="K8294" s="3" t="s">
        <v>23</v>
      </c>
    </row>
    <row r="8295" spans="1:11" ht="42" customHeight="1">
      <c r="A8295" s="2" t="s">
        <v>20672</v>
      </c>
      <c r="B8295" s="2" t="s">
        <v>20672</v>
      </c>
      <c r="C8295" s="2" t="s">
        <v>26</v>
      </c>
      <c r="D8295" s="2" t="s">
        <v>27</v>
      </c>
      <c r="E8295" s="4">
        <v>-31984</v>
      </c>
      <c r="F8295" s="3" t="s">
        <v>5154</v>
      </c>
      <c r="G8295" s="3" t="s">
        <v>1076</v>
      </c>
      <c r="H8295" s="2" t="s">
        <v>21</v>
      </c>
      <c r="I8295" s="2" t="s">
        <v>20673</v>
      </c>
      <c r="J8295" s="3" t="str">
        <f>HYPERLINK("https://www.boe.es/gazeta/dias/1812/06/05/pdfs/GMD-1812-157.pdf#page=1","Abrir facsímil")</f>
        <v>Abrir facsímil</v>
      </c>
      <c r="K8295" s="3" t="s">
        <v>23</v>
      </c>
    </row>
    <row r="8296" spans="1:11" ht="42" customHeight="1">
      <c r="A8296" s="2" t="s">
        <v>20674</v>
      </c>
      <c r="B8296" s="2" t="s">
        <v>20674</v>
      </c>
      <c r="C8296" s="2" t="s">
        <v>17</v>
      </c>
      <c r="D8296" s="2" t="s">
        <v>18</v>
      </c>
      <c r="E8296" s="4">
        <v>-31868</v>
      </c>
      <c r="F8296" s="3" t="s">
        <v>1833</v>
      </c>
      <c r="G8296" s="3" t="s">
        <v>2280</v>
      </c>
      <c r="H8296" s="2" t="s">
        <v>21</v>
      </c>
      <c r="I8296" s="2" t="s">
        <v>20675</v>
      </c>
      <c r="J8296" s="3" t="str">
        <f>HYPERLINK("https://www.boe.es/gazeta/dias/1812/09/29/pdfs/GMR-1812-20.pdf#page=1","Abrir facsímil")</f>
        <v>Abrir facsímil</v>
      </c>
      <c r="K8296" s="3" t="s">
        <v>23</v>
      </c>
    </row>
    <row r="8297" spans="1:11" ht="42" customHeight="1">
      <c r="A8297" s="2" t="s">
        <v>20676</v>
      </c>
      <c r="B8297" s="2" t="s">
        <v>20676</v>
      </c>
      <c r="C8297" s="2" t="s">
        <v>17</v>
      </c>
      <c r="D8297" s="2" t="s">
        <v>18</v>
      </c>
      <c r="E8297" s="4">
        <v>-31868</v>
      </c>
      <c r="F8297" s="3" t="s">
        <v>1833</v>
      </c>
      <c r="G8297" s="3" t="s">
        <v>45</v>
      </c>
      <c r="H8297" s="2" t="s">
        <v>21</v>
      </c>
      <c r="I8297" s="2" t="s">
        <v>20677</v>
      </c>
      <c r="J8297" s="3" t="str">
        <f>HYPERLINK("https://www.boe.es/gazeta/dias/1812/09/29/pdfs/GMR-1812-20.pdf#page=2","Abrir facsímil")</f>
        <v>Abrir facsímil</v>
      </c>
      <c r="K8297" s="3" t="s">
        <v>23</v>
      </c>
    </row>
    <row r="8298" spans="1:11" ht="42" customHeight="1">
      <c r="A8298" s="2" t="s">
        <v>20678</v>
      </c>
      <c r="B8298" s="2" t="s">
        <v>20678</v>
      </c>
      <c r="C8298" s="2" t="s">
        <v>115</v>
      </c>
      <c r="D8298" s="2" t="s">
        <v>27</v>
      </c>
      <c r="E8298" s="4">
        <v>-31843</v>
      </c>
      <c r="F8298" s="3" t="s">
        <v>3493</v>
      </c>
      <c r="G8298" s="3" t="s">
        <v>214</v>
      </c>
      <c r="H8298" s="2" t="s">
        <v>21</v>
      </c>
      <c r="I8298" s="2" t="s">
        <v>20679</v>
      </c>
      <c r="J8298" s="3" t="str">
        <f>HYPERLINK("https://www.boe.es/gazeta/dias/1812/10/24/pdfs/GMR-1812-31.pdf#page=1","Abrir facsímil")</f>
        <v>Abrir facsímil</v>
      </c>
      <c r="K8298" s="3" t="s">
        <v>23</v>
      </c>
    </row>
    <row r="8299" spans="1:11" ht="42" customHeight="1">
      <c r="A8299" s="2" t="s">
        <v>20680</v>
      </c>
      <c r="B8299" s="2" t="s">
        <v>20680</v>
      </c>
      <c r="C8299" s="2" t="s">
        <v>17</v>
      </c>
      <c r="D8299" s="2" t="s">
        <v>18</v>
      </c>
      <c r="E8299" s="4">
        <v>-32090</v>
      </c>
      <c r="F8299" s="3" t="s">
        <v>142</v>
      </c>
      <c r="G8299" s="3" t="s">
        <v>11430</v>
      </c>
      <c r="H8299" s="2" t="s">
        <v>21</v>
      </c>
      <c r="I8299" s="2" t="s">
        <v>20681</v>
      </c>
      <c r="J8299" s="3" t="str">
        <f>HYPERLINK("https://www.boe.es/gazeta/dias/1812/02/20/pdfs/GRE-1812-22.pdf#page=3","Abrir facsímil")</f>
        <v>Abrir facsímil</v>
      </c>
      <c r="K8299" s="3" t="s">
        <v>23</v>
      </c>
    </row>
    <row r="8300" spans="1:11" ht="42" customHeight="1">
      <c r="A8300" s="2" t="s">
        <v>20682</v>
      </c>
      <c r="B8300" s="2" t="s">
        <v>20682</v>
      </c>
      <c r="C8300" s="2" t="s">
        <v>26</v>
      </c>
      <c r="D8300" s="2" t="s">
        <v>27</v>
      </c>
      <c r="E8300" s="4">
        <v>-32122</v>
      </c>
      <c r="F8300" s="3" t="s">
        <v>1389</v>
      </c>
      <c r="G8300" s="3" t="s">
        <v>404</v>
      </c>
      <c r="H8300" s="2" t="s">
        <v>21</v>
      </c>
      <c r="I8300" s="2" t="s">
        <v>20683</v>
      </c>
      <c r="J8300" s="3" t="str">
        <f>HYPERLINK("https://www.boe.es/gazeta/dias/1812/01/19/pdfs/GMD-1812-19.pdf#page=3","Abrir facsímil")</f>
        <v>Abrir facsímil</v>
      </c>
      <c r="K8300" s="3" t="s">
        <v>23</v>
      </c>
    </row>
    <row r="8301" spans="1:11" ht="42" customHeight="1">
      <c r="A8301" s="2" t="s">
        <v>20684</v>
      </c>
      <c r="B8301" s="2" t="s">
        <v>20685</v>
      </c>
      <c r="C8301" s="2" t="s">
        <v>17</v>
      </c>
      <c r="D8301" s="2" t="s">
        <v>134</v>
      </c>
      <c r="E8301" s="4">
        <v>-31955</v>
      </c>
      <c r="F8301" s="3" t="s">
        <v>135</v>
      </c>
      <c r="G8301" s="3" t="s">
        <v>136</v>
      </c>
      <c r="H8301" s="2" t="s">
        <v>21</v>
      </c>
      <c r="I8301" s="2" t="s">
        <v>20686</v>
      </c>
      <c r="J8301" s="3" t="str">
        <f>HYPERLINK("https://www.boe.es/gazeta/dias/1812/07/04/pdfs/GRE-F-1812-82.pdf#page=8","Abrir facsímil")</f>
        <v>Abrir facsímil</v>
      </c>
      <c r="K8301" s="3" t="s">
        <v>23</v>
      </c>
    </row>
    <row r="8302" spans="1:11" ht="42" customHeight="1">
      <c r="A8302" s="2" t="s">
        <v>20687</v>
      </c>
      <c r="B8302" s="2" t="s">
        <v>20688</v>
      </c>
      <c r="C8302" s="2" t="s">
        <v>82</v>
      </c>
      <c r="D8302" s="2" t="s">
        <v>275</v>
      </c>
      <c r="E8302" s="4">
        <v>-32085</v>
      </c>
      <c r="F8302" s="3" t="s">
        <v>3321</v>
      </c>
      <c r="G8302" s="3" t="s">
        <v>3409</v>
      </c>
      <c r="H8302" s="2" t="s">
        <v>21</v>
      </c>
      <c r="I8302" s="2" t="s">
        <v>20689</v>
      </c>
      <c r="J8302" s="3" t="str">
        <f>HYPERLINK("https://www.boe.es/gazeta/dias/1812/02/25/pdfs/GRE-1812-25.pdf#page=1","Abrir facsímil")</f>
        <v>Abrir facsímil</v>
      </c>
      <c r="K8302" s="3" t="s">
        <v>23</v>
      </c>
    </row>
    <row r="8303" spans="1:11" ht="42" customHeight="1">
      <c r="A8303" s="2" t="s">
        <v>20690</v>
      </c>
      <c r="B8303" s="2" t="s">
        <v>20690</v>
      </c>
      <c r="C8303" s="2" t="s">
        <v>17</v>
      </c>
      <c r="D8303" s="2" t="s">
        <v>27</v>
      </c>
      <c r="E8303" s="4">
        <v>-31992</v>
      </c>
      <c r="F8303" s="3" t="s">
        <v>1292</v>
      </c>
      <c r="G8303" s="3" t="s">
        <v>10046</v>
      </c>
      <c r="H8303" s="2" t="s">
        <v>21</v>
      </c>
      <c r="I8303" s="2" t="s">
        <v>20691</v>
      </c>
      <c r="J8303" s="3" t="str">
        <f>HYPERLINK("https://www.boe.es/gazeta/dias/1812/05/28/pdfs/GRE-1812-66.pdf#page=1","Abrir facsímil")</f>
        <v>Abrir facsímil</v>
      </c>
      <c r="K8303" s="3" t="s">
        <v>23</v>
      </c>
    </row>
    <row r="8304" spans="1:11" ht="42" customHeight="1">
      <c r="A8304" s="2" t="s">
        <v>20692</v>
      </c>
      <c r="B8304" s="2" t="s">
        <v>20693</v>
      </c>
      <c r="C8304" s="2" t="s">
        <v>26</v>
      </c>
      <c r="D8304" s="2" t="s">
        <v>27</v>
      </c>
      <c r="E8304" s="4">
        <v>-32100</v>
      </c>
      <c r="F8304" s="3" t="s">
        <v>492</v>
      </c>
      <c r="G8304" s="3" t="s">
        <v>493</v>
      </c>
      <c r="H8304" s="2" t="s">
        <v>21</v>
      </c>
      <c r="I8304" s="2" t="s">
        <v>20694</v>
      </c>
      <c r="J8304" s="3" t="str">
        <f>HYPERLINK("https://www.boe.es/gazeta/dias/1812/02/10/pdfs/GRE-1812-31.pdf#page=8","Abrir facsímil")</f>
        <v>Abrir facsímil</v>
      </c>
      <c r="K8304" s="3" t="s">
        <v>23</v>
      </c>
    </row>
    <row r="8305" spans="1:11" ht="42" customHeight="1">
      <c r="A8305" s="2" t="s">
        <v>20692</v>
      </c>
      <c r="B8305" s="2" t="s">
        <v>20693</v>
      </c>
      <c r="C8305" s="2" t="s">
        <v>26</v>
      </c>
      <c r="D8305" s="2" t="s">
        <v>27</v>
      </c>
      <c r="E8305" s="4">
        <v>-32071</v>
      </c>
      <c r="F8305" s="3" t="s">
        <v>492</v>
      </c>
      <c r="G8305" s="3" t="s">
        <v>493</v>
      </c>
      <c r="H8305" s="2" t="s">
        <v>21</v>
      </c>
      <c r="I8305" s="2" t="s">
        <v>20694</v>
      </c>
      <c r="J8305" s="3" t="str">
        <f>HYPERLINK("https://www.boe.es/gazeta/dias/1812/03/10/pdfs/GRE-1812-31.pdf#page=8","Abrir facsímil")</f>
        <v>Abrir facsímil</v>
      </c>
      <c r="K8305" s="3" t="s">
        <v>23</v>
      </c>
    </row>
    <row r="8306" spans="1:11" ht="42" customHeight="1">
      <c r="A8306" s="2" t="s">
        <v>20695</v>
      </c>
      <c r="B8306" s="2" t="s">
        <v>20695</v>
      </c>
      <c r="C8306" s="2" t="s">
        <v>17</v>
      </c>
      <c r="D8306" s="2" t="s">
        <v>18</v>
      </c>
      <c r="E8306" s="4">
        <v>-31778</v>
      </c>
      <c r="F8306" s="3" t="s">
        <v>1966</v>
      </c>
      <c r="G8306" s="3" t="s">
        <v>45</v>
      </c>
      <c r="H8306" s="2" t="s">
        <v>21</v>
      </c>
      <c r="I8306" s="2" t="s">
        <v>20696</v>
      </c>
      <c r="J8306" s="3" t="str">
        <f>HYPERLINK("https://www.boe.es/gazeta/dias/1812/12/28/pdfs/GMD-1812-251.pdf#page=4","Abrir facsímil")</f>
        <v>Abrir facsímil</v>
      </c>
      <c r="K8306" s="3" t="s">
        <v>23</v>
      </c>
    </row>
    <row r="8307" spans="1:11" ht="42" customHeight="1">
      <c r="A8307" s="2" t="s">
        <v>20697</v>
      </c>
      <c r="B8307" s="2" t="s">
        <v>20697</v>
      </c>
      <c r="C8307" s="2" t="s">
        <v>17</v>
      </c>
      <c r="D8307" s="2" t="s">
        <v>18</v>
      </c>
      <c r="E8307" s="4">
        <v>-31899</v>
      </c>
      <c r="F8307" s="3" t="s">
        <v>1396</v>
      </c>
      <c r="G8307" s="3" t="s">
        <v>1805</v>
      </c>
      <c r="H8307" s="2" t="s">
        <v>21</v>
      </c>
      <c r="I8307" s="2" t="s">
        <v>20698</v>
      </c>
      <c r="J8307" s="3" t="str">
        <f>HYPERLINK("https://www.boe.es/gazeta/dias/1812/08/29/pdfs/GMR-1812-7.pdf#page=1","Abrir facsímil")</f>
        <v>Abrir facsímil</v>
      </c>
      <c r="K8307" s="3" t="s">
        <v>23</v>
      </c>
    </row>
    <row r="8308" spans="1:11" ht="42" customHeight="1">
      <c r="A8308" s="2" t="s">
        <v>20699</v>
      </c>
      <c r="B8308" s="2" t="s">
        <v>20699</v>
      </c>
      <c r="C8308" s="2" t="s">
        <v>17</v>
      </c>
      <c r="D8308" s="2" t="s">
        <v>27</v>
      </c>
      <c r="E8308" s="4">
        <v>-32025</v>
      </c>
      <c r="F8308" s="3" t="s">
        <v>2323</v>
      </c>
      <c r="G8308" s="3" t="s">
        <v>130</v>
      </c>
      <c r="H8308" s="2" t="s">
        <v>21</v>
      </c>
      <c r="I8308" s="2" t="s">
        <v>20700</v>
      </c>
      <c r="J8308" s="3" t="str">
        <f>HYPERLINK("https://www.boe.es/gazeta/dias/1812/04/25/pdfs/GRE-1812-52.pdf#page=4","Abrir facsímil")</f>
        <v>Abrir facsímil</v>
      </c>
      <c r="K8308" s="3" t="s">
        <v>23</v>
      </c>
    </row>
    <row r="8309" spans="1:11" ht="42" customHeight="1">
      <c r="A8309" s="2" t="s">
        <v>20701</v>
      </c>
      <c r="B8309" s="2" t="s">
        <v>20702</v>
      </c>
      <c r="C8309" s="2" t="s">
        <v>26</v>
      </c>
      <c r="D8309" s="2" t="s">
        <v>27</v>
      </c>
      <c r="E8309" s="4">
        <v>-31945</v>
      </c>
      <c r="F8309" s="3" t="s">
        <v>1485</v>
      </c>
      <c r="G8309" s="3" t="s">
        <v>2905</v>
      </c>
      <c r="H8309" s="2" t="s">
        <v>21</v>
      </c>
      <c r="I8309" s="2" t="s">
        <v>20703</v>
      </c>
      <c r="J8309" s="3" t="str">
        <f>HYPERLINK("https://www.boe.es/gazeta/dias/1812/07/14/pdfs/GRE-1812-88.pdf#page=2","Abrir facsímil")</f>
        <v>Abrir facsímil</v>
      </c>
      <c r="K8309" s="3" t="s">
        <v>23</v>
      </c>
    </row>
    <row r="8310" spans="1:11" ht="42" customHeight="1">
      <c r="A8310" s="2" t="s">
        <v>20704</v>
      </c>
      <c r="B8310" s="2" t="s">
        <v>20704</v>
      </c>
      <c r="C8310" s="2" t="s">
        <v>17</v>
      </c>
      <c r="D8310" s="2" t="s">
        <v>27</v>
      </c>
      <c r="E8310" s="4">
        <v>-32139</v>
      </c>
      <c r="F8310" s="3" t="s">
        <v>518</v>
      </c>
      <c r="G8310" s="3" t="s">
        <v>125</v>
      </c>
      <c r="H8310" s="2" t="s">
        <v>21</v>
      </c>
      <c r="I8310" s="2" t="s">
        <v>20705</v>
      </c>
      <c r="J8310" s="3" t="str">
        <f>HYPERLINK("https://www.boe.es/gazeta/dias/1812/01/02/pdfs/GEI-1812-1.pdf#page=3","Abrir facsímil")</f>
        <v>Abrir facsímil</v>
      </c>
      <c r="K8310" s="3" t="s">
        <v>23</v>
      </c>
    </row>
    <row r="8311" spans="1:11" ht="42" customHeight="1">
      <c r="A8311" s="2" t="s">
        <v>20706</v>
      </c>
      <c r="B8311" s="2" t="s">
        <v>20706</v>
      </c>
      <c r="C8311" s="2" t="s">
        <v>17</v>
      </c>
      <c r="D8311" s="2" t="s">
        <v>27</v>
      </c>
      <c r="E8311" s="4">
        <v>-32025</v>
      </c>
      <c r="F8311" s="3" t="s">
        <v>2323</v>
      </c>
      <c r="G8311" s="3" t="s">
        <v>2445</v>
      </c>
      <c r="H8311" s="2" t="s">
        <v>21</v>
      </c>
      <c r="I8311" s="2" t="s">
        <v>20707</v>
      </c>
      <c r="J8311" s="3" t="str">
        <f>HYPERLINK("https://www.boe.es/gazeta/dias/1812/04/25/pdfs/GRE-1812-52.pdf#page=5","Abrir facsímil")</f>
        <v>Abrir facsímil</v>
      </c>
      <c r="K8311" s="3" t="s">
        <v>23</v>
      </c>
    </row>
    <row r="8312" spans="1:11" ht="42" customHeight="1">
      <c r="A8312" s="2" t="s">
        <v>20708</v>
      </c>
      <c r="B8312" s="2" t="s">
        <v>20708</v>
      </c>
      <c r="C8312" s="2" t="s">
        <v>17</v>
      </c>
      <c r="D8312" s="2" t="s">
        <v>194</v>
      </c>
      <c r="E8312" s="4">
        <v>-31921</v>
      </c>
      <c r="F8312" s="3" t="s">
        <v>785</v>
      </c>
      <c r="G8312" s="3" t="s">
        <v>1128</v>
      </c>
      <c r="H8312" s="2" t="s">
        <v>21</v>
      </c>
      <c r="I8312" s="2" t="s">
        <v>20709</v>
      </c>
      <c r="J8312" s="3" t="str">
        <f>HYPERLINK("https://www.boe.es/gazeta/dias/1812/08/07/pdfs/GRE-1812-101E.pdf#page=7","Abrir facsímil")</f>
        <v>Abrir facsímil</v>
      </c>
      <c r="K8312" s="3" t="s">
        <v>23</v>
      </c>
    </row>
    <row r="8313" spans="1:11" ht="42" customHeight="1">
      <c r="A8313" s="2" t="s">
        <v>20708</v>
      </c>
      <c r="B8313" s="2" t="s">
        <v>20708</v>
      </c>
      <c r="C8313" s="2" t="s">
        <v>17</v>
      </c>
      <c r="D8313" s="2" t="s">
        <v>18</v>
      </c>
      <c r="E8313" s="4">
        <v>-31905</v>
      </c>
      <c r="F8313" s="3" t="s">
        <v>855</v>
      </c>
      <c r="G8313" s="3" t="s">
        <v>1826</v>
      </c>
      <c r="H8313" s="2" t="s">
        <v>21</v>
      </c>
      <c r="I8313" s="2" t="s">
        <v>20710</v>
      </c>
      <c r="J8313" s="3" t="str">
        <f>HYPERLINK("https://www.boe.es/gazeta/dias/1812/08/23/pdfs/GMR-1812-4.pdf#page=7","Abrir facsímil")</f>
        <v>Abrir facsímil</v>
      </c>
      <c r="K8313" s="3" t="s">
        <v>23</v>
      </c>
    </row>
    <row r="8314" spans="1:11" ht="42" customHeight="1">
      <c r="A8314" s="2" t="s">
        <v>20711</v>
      </c>
      <c r="B8314" s="2" t="s">
        <v>20712</v>
      </c>
      <c r="C8314" s="2" t="s">
        <v>17</v>
      </c>
      <c r="D8314" s="2" t="s">
        <v>194</v>
      </c>
      <c r="E8314" s="4">
        <v>-31789</v>
      </c>
      <c r="F8314" s="3" t="s">
        <v>873</v>
      </c>
      <c r="G8314" s="3" t="s">
        <v>217</v>
      </c>
      <c r="H8314" s="2" t="s">
        <v>21</v>
      </c>
      <c r="I8314" s="2" t="s">
        <v>20713</v>
      </c>
      <c r="J8314" s="3" t="str">
        <f>HYPERLINK("https://www.boe.es/gazeta/dias/1812/12/17/pdfs/GMD-1812-240.pdf#page=1","Abrir facsímil")</f>
        <v>Abrir facsímil</v>
      </c>
      <c r="K8314" s="3" t="s">
        <v>23</v>
      </c>
    </row>
    <row r="8315" spans="1:11" ht="42" customHeight="1">
      <c r="A8315" s="2" t="s">
        <v>20714</v>
      </c>
      <c r="B8315" s="2" t="s">
        <v>20714</v>
      </c>
      <c r="C8315" s="2" t="s">
        <v>17</v>
      </c>
      <c r="D8315" s="2" t="s">
        <v>27</v>
      </c>
      <c r="E8315" s="4">
        <v>-32025</v>
      </c>
      <c r="F8315" s="3" t="s">
        <v>2323</v>
      </c>
      <c r="G8315" s="3" t="s">
        <v>45</v>
      </c>
      <c r="H8315" s="2" t="s">
        <v>21</v>
      </c>
      <c r="I8315" s="2" t="s">
        <v>20715</v>
      </c>
      <c r="J8315" s="3" t="str">
        <f>HYPERLINK("https://www.boe.es/gazeta/dias/1812/04/25/pdfs/GRE-1812-52.pdf#page=6","Abrir facsímil")</f>
        <v>Abrir facsímil</v>
      </c>
      <c r="K8315" s="3" t="s">
        <v>23</v>
      </c>
    </row>
    <row r="8316" spans="1:11" ht="42" customHeight="1">
      <c r="A8316" s="2" t="s">
        <v>20716</v>
      </c>
      <c r="B8316" s="2" t="s">
        <v>20716</v>
      </c>
      <c r="C8316" s="2" t="s">
        <v>17</v>
      </c>
      <c r="D8316" s="2" t="s">
        <v>18</v>
      </c>
      <c r="E8316" s="4">
        <v>-32139</v>
      </c>
      <c r="F8316" s="3" t="s">
        <v>518</v>
      </c>
      <c r="G8316" s="3" t="s">
        <v>125</v>
      </c>
      <c r="H8316" s="2" t="s">
        <v>21</v>
      </c>
      <c r="I8316" s="2" t="s">
        <v>20717</v>
      </c>
      <c r="J8316" s="3" t="str">
        <f>HYPERLINK("https://www.boe.es/gazeta/dias/1812/01/02/pdfs/GEI-1812-1.pdf#page=3","Abrir facsímil")</f>
        <v>Abrir facsímil</v>
      </c>
      <c r="K8316" s="3" t="s">
        <v>23</v>
      </c>
    </row>
    <row r="8317" spans="1:11" ht="42" customHeight="1">
      <c r="A8317" s="2" t="s">
        <v>20718</v>
      </c>
      <c r="B8317" s="2" t="s">
        <v>20718</v>
      </c>
      <c r="C8317" s="2" t="s">
        <v>17</v>
      </c>
      <c r="D8317" s="2" t="s">
        <v>194</v>
      </c>
      <c r="E8317" s="4">
        <v>-31906</v>
      </c>
      <c r="F8317" s="3" t="s">
        <v>1815</v>
      </c>
      <c r="G8317" s="3" t="s">
        <v>196</v>
      </c>
      <c r="H8317" s="2" t="s">
        <v>21</v>
      </c>
      <c r="I8317" s="2" t="s">
        <v>20719</v>
      </c>
      <c r="J8317" s="3" t="str">
        <f>HYPERLINK("https://www.boe.es/gazeta/dias/1812/08/22/pdfs/GMR-1812-3.pdf#page=1","Abrir facsímil")</f>
        <v>Abrir facsímil</v>
      </c>
      <c r="K8317" s="3" t="s">
        <v>23</v>
      </c>
    </row>
    <row r="8318" spans="1:11" ht="42" customHeight="1">
      <c r="A8318" s="2" t="s">
        <v>20720</v>
      </c>
      <c r="B8318" s="2" t="s">
        <v>20720</v>
      </c>
      <c r="C8318" s="2" t="s">
        <v>17</v>
      </c>
      <c r="D8318" s="2" t="s">
        <v>573</v>
      </c>
      <c r="E8318" s="4">
        <v>-31921</v>
      </c>
      <c r="F8318" s="3" t="s">
        <v>785</v>
      </c>
      <c r="G8318" s="3" t="s">
        <v>1128</v>
      </c>
      <c r="H8318" s="2" t="s">
        <v>21</v>
      </c>
      <c r="I8318" s="2" t="s">
        <v>20721</v>
      </c>
      <c r="J8318" s="3" t="str">
        <f>HYPERLINK("https://www.boe.es/gazeta/dias/1812/08/07/pdfs/GRE-1812-101E.pdf#page=7","Abrir facsímil")</f>
        <v>Abrir facsímil</v>
      </c>
      <c r="K8318" s="3" t="s">
        <v>23</v>
      </c>
    </row>
    <row r="8319" spans="1:11" ht="42" customHeight="1">
      <c r="A8319" s="2" t="s">
        <v>20722</v>
      </c>
      <c r="B8319" s="2" t="s">
        <v>20722</v>
      </c>
      <c r="C8319" s="2" t="s">
        <v>17</v>
      </c>
      <c r="D8319" s="2" t="s">
        <v>18</v>
      </c>
      <c r="E8319" s="4">
        <v>-31998</v>
      </c>
      <c r="F8319" s="3" t="s">
        <v>7890</v>
      </c>
      <c r="G8319" s="3" t="s">
        <v>1448</v>
      </c>
      <c r="H8319" s="2" t="s">
        <v>21</v>
      </c>
      <c r="I8319" s="2" t="s">
        <v>20723</v>
      </c>
      <c r="J8319" s="3" t="str">
        <f>HYPERLINK("https://www.boe.es/gazeta/dias/1812/05/22/pdfs/GMD-1812-143.pdf#page=1","Abrir facsímil")</f>
        <v>Abrir facsímil</v>
      </c>
      <c r="K8319" s="3" t="s">
        <v>23</v>
      </c>
    </row>
    <row r="8320" spans="1:11" ht="42" customHeight="1">
      <c r="A8320" s="2" t="s">
        <v>20724</v>
      </c>
      <c r="B8320" s="2" t="s">
        <v>20724</v>
      </c>
      <c r="C8320" s="2" t="s">
        <v>17</v>
      </c>
      <c r="D8320" s="2" t="s">
        <v>194</v>
      </c>
      <c r="E8320" s="4">
        <v>-31900</v>
      </c>
      <c r="F8320" s="3" t="s">
        <v>276</v>
      </c>
      <c r="G8320" s="3" t="s">
        <v>45</v>
      </c>
      <c r="H8320" s="2" t="s">
        <v>21</v>
      </c>
      <c r="I8320" s="2" t="s">
        <v>20725</v>
      </c>
      <c r="J8320" s="3" t="str">
        <f>HYPERLINK("https://www.boe.es/gazeta/dias/1812/08/28/pdfs/GRE-1812-113E.pdf#page=6","Abrir facsímil")</f>
        <v>Abrir facsímil</v>
      </c>
      <c r="K8320" s="3" t="s">
        <v>23</v>
      </c>
    </row>
    <row r="8321" spans="1:11" ht="42" customHeight="1">
      <c r="A8321" s="2" t="s">
        <v>20726</v>
      </c>
      <c r="B8321" s="2" t="s">
        <v>20726</v>
      </c>
      <c r="C8321" s="2" t="s">
        <v>17</v>
      </c>
      <c r="D8321" s="2" t="s">
        <v>27</v>
      </c>
      <c r="E8321" s="4">
        <v>-32048</v>
      </c>
      <c r="F8321" s="3" t="s">
        <v>3938</v>
      </c>
      <c r="G8321" s="3" t="s">
        <v>2871</v>
      </c>
      <c r="H8321" s="2" t="s">
        <v>21</v>
      </c>
      <c r="I8321" s="2" t="s">
        <v>20727</v>
      </c>
      <c r="J8321" s="3" t="str">
        <f>HYPERLINK("https://www.boe.es/gazeta/dias/1812/04/02/pdfs/GMD-1812-93.pdf#page=1","Abrir facsímil")</f>
        <v>Abrir facsímil</v>
      </c>
      <c r="K8321" s="3" t="s">
        <v>23</v>
      </c>
    </row>
    <row r="8322" spans="1:11" ht="42" customHeight="1">
      <c r="A8322" s="2" t="s">
        <v>20728</v>
      </c>
      <c r="B8322" s="2" t="s">
        <v>20728</v>
      </c>
      <c r="C8322" s="2" t="s">
        <v>17</v>
      </c>
      <c r="D8322" s="2" t="s">
        <v>27</v>
      </c>
      <c r="E8322" s="4">
        <v>-32132</v>
      </c>
      <c r="F8322" s="3" t="s">
        <v>484</v>
      </c>
      <c r="G8322" s="3" t="s">
        <v>2895</v>
      </c>
      <c r="H8322" s="2" t="s">
        <v>21</v>
      </c>
      <c r="I8322" s="2" t="s">
        <v>20729</v>
      </c>
      <c r="J8322" s="3" t="str">
        <f>HYPERLINK("https://www.boe.es/gazeta/dias/1812/01/09/pdfs/GEI-1812-4.pdf#page=7","Abrir facsímil")</f>
        <v>Abrir facsímil</v>
      </c>
      <c r="K8322" s="3" t="s">
        <v>23</v>
      </c>
    </row>
    <row r="8323" spans="1:11" ht="42" customHeight="1">
      <c r="A8323" s="2" t="s">
        <v>20728</v>
      </c>
      <c r="B8323" s="2" t="s">
        <v>20728</v>
      </c>
      <c r="C8323" s="2" t="s">
        <v>49</v>
      </c>
      <c r="D8323" s="2" t="s">
        <v>27</v>
      </c>
      <c r="E8323" s="4">
        <v>-31936</v>
      </c>
      <c r="F8323" s="3" t="s">
        <v>614</v>
      </c>
      <c r="G8323" s="3" t="s">
        <v>1886</v>
      </c>
      <c r="H8323" s="2" t="s">
        <v>21</v>
      </c>
      <c r="I8323" s="2" t="s">
        <v>20730</v>
      </c>
      <c r="J8323" s="3" t="str">
        <f>HYPERLINK("https://www.boe.es/gazeta/dias/1812/07/23/pdfs/GRE-1812-92.pdf#page=1","Abrir facsímil")</f>
        <v>Abrir facsímil</v>
      </c>
      <c r="K8323" s="3" t="s">
        <v>23</v>
      </c>
    </row>
    <row r="8324" spans="1:11" ht="42" customHeight="1">
      <c r="A8324" s="2" t="s">
        <v>20731</v>
      </c>
      <c r="B8324" s="2" t="s">
        <v>20732</v>
      </c>
      <c r="C8324" s="2" t="s">
        <v>17</v>
      </c>
      <c r="D8324" s="2" t="s">
        <v>27</v>
      </c>
      <c r="E8324" s="4">
        <v>-32109</v>
      </c>
      <c r="F8324" s="3" t="s">
        <v>62</v>
      </c>
      <c r="G8324" s="3" t="s">
        <v>506</v>
      </c>
      <c r="H8324" s="2" t="s">
        <v>21</v>
      </c>
      <c r="I8324" s="2" t="s">
        <v>20733</v>
      </c>
      <c r="J8324" s="3" t="str">
        <f>HYPERLINK("https://www.boe.es/gazeta/dias/1812/02/01/pdfs/GRE-1812-14.pdf#page=2","Abrir facsímil")</f>
        <v>Abrir facsímil</v>
      </c>
      <c r="K8324" s="3" t="s">
        <v>23</v>
      </c>
    </row>
    <row r="8325" spans="1:11" ht="42" customHeight="1">
      <c r="A8325" s="2" t="s">
        <v>20734</v>
      </c>
      <c r="B8325" s="2" t="s">
        <v>20735</v>
      </c>
      <c r="C8325" s="2" t="s">
        <v>26</v>
      </c>
      <c r="D8325" s="2" t="s">
        <v>27</v>
      </c>
      <c r="E8325" s="4">
        <v>-32025</v>
      </c>
      <c r="F8325" s="3" t="s">
        <v>2323</v>
      </c>
      <c r="G8325" s="3" t="s">
        <v>20736</v>
      </c>
      <c r="H8325" s="2" t="s">
        <v>21</v>
      </c>
      <c r="I8325" s="2" t="s">
        <v>20737</v>
      </c>
      <c r="J8325" s="3" t="str">
        <f>HYPERLINK("https://www.boe.es/gazeta/dias/1812/04/25/pdfs/GRE-1812-52.pdf#page=3","Abrir facsímil")</f>
        <v>Abrir facsímil</v>
      </c>
      <c r="K8325" s="3" t="s">
        <v>23</v>
      </c>
    </row>
    <row r="8326" spans="1:11" ht="42" customHeight="1">
      <c r="A8326" s="2" t="s">
        <v>20738</v>
      </c>
      <c r="B8326" s="2" t="s">
        <v>20739</v>
      </c>
      <c r="C8326" s="2" t="s">
        <v>17</v>
      </c>
      <c r="D8326" s="2" t="s">
        <v>18</v>
      </c>
      <c r="E8326" s="4">
        <v>-31805</v>
      </c>
      <c r="F8326" s="3" t="s">
        <v>895</v>
      </c>
      <c r="G8326" s="3" t="s">
        <v>217</v>
      </c>
      <c r="H8326" s="2" t="s">
        <v>21</v>
      </c>
      <c r="I8326" s="2" t="s">
        <v>20740</v>
      </c>
      <c r="J8326" s="3" t="str">
        <f>HYPERLINK("https://www.boe.es/gazeta/dias/1812/12/01/pdfs/GMR-1812-39.pdf#page=8","Abrir facsímil")</f>
        <v>Abrir facsímil</v>
      </c>
      <c r="K8326" s="3" t="s">
        <v>23</v>
      </c>
    </row>
    <row r="8327" spans="1:11" ht="42" customHeight="1">
      <c r="A8327" s="2" t="s">
        <v>20741</v>
      </c>
      <c r="B8327" s="2" t="s">
        <v>20741</v>
      </c>
      <c r="C8327" s="2" t="s">
        <v>17</v>
      </c>
      <c r="D8327" s="2" t="s">
        <v>18</v>
      </c>
      <c r="E8327" s="4">
        <v>-32095</v>
      </c>
      <c r="F8327" s="3" t="s">
        <v>284</v>
      </c>
      <c r="G8327" s="3" t="s">
        <v>20742</v>
      </c>
      <c r="H8327" s="2" t="s">
        <v>21</v>
      </c>
      <c r="I8327" s="2" t="s">
        <v>20743</v>
      </c>
      <c r="J8327" s="3" t="str">
        <f>HYPERLINK("https://www.boe.es/gazeta/dias/1812/02/15/pdfs/GRE-1812-20.pdf#page=6","Abrir facsímil")</f>
        <v>Abrir facsímil</v>
      </c>
      <c r="K8327" s="3" t="s">
        <v>23</v>
      </c>
    </row>
    <row r="8328" spans="1:11" ht="42" customHeight="1">
      <c r="A8328" s="2" t="s">
        <v>20741</v>
      </c>
      <c r="B8328" s="2" t="s">
        <v>20741</v>
      </c>
      <c r="C8328" s="2" t="s">
        <v>17</v>
      </c>
      <c r="D8328" s="2" t="s">
        <v>18</v>
      </c>
      <c r="E8328" s="4">
        <v>-31801</v>
      </c>
      <c r="F8328" s="3" t="s">
        <v>632</v>
      </c>
      <c r="G8328" s="3" t="s">
        <v>214</v>
      </c>
      <c r="H8328" s="2" t="s">
        <v>21</v>
      </c>
      <c r="I8328" s="2" t="s">
        <v>20744</v>
      </c>
      <c r="J8328" s="3" t="str">
        <f>HYPERLINK("https://www.boe.es/gazeta/dias/1812/12/05/pdfs/GMD-1812-228.pdf#page=3","Abrir facsímil")</f>
        <v>Abrir facsímil</v>
      </c>
      <c r="K8328" s="3" t="s">
        <v>23</v>
      </c>
    </row>
    <row r="8329" spans="1:11" ht="42" customHeight="1">
      <c r="A8329" s="2" t="s">
        <v>20741</v>
      </c>
      <c r="B8329" s="2" t="s">
        <v>20741</v>
      </c>
      <c r="C8329" s="2" t="s">
        <v>17</v>
      </c>
      <c r="D8329" s="2" t="s">
        <v>27</v>
      </c>
      <c r="E8329" s="4">
        <v>-31778</v>
      </c>
      <c r="F8329" s="3" t="s">
        <v>1966</v>
      </c>
      <c r="G8329" s="3" t="s">
        <v>237</v>
      </c>
      <c r="H8329" s="2" t="s">
        <v>21</v>
      </c>
      <c r="I8329" s="2" t="s">
        <v>20745</v>
      </c>
      <c r="J8329" s="3" t="str">
        <f>HYPERLINK("https://www.boe.es/gazeta/dias/1812/12/28/pdfs/GMD-1812-251.pdf#page=2","Abrir facsímil")</f>
        <v>Abrir facsímil</v>
      </c>
      <c r="K8329" s="3" t="s">
        <v>23</v>
      </c>
    </row>
    <row r="8330" spans="1:11" ht="42" customHeight="1">
      <c r="A8330" s="2" t="s">
        <v>20746</v>
      </c>
      <c r="B8330" s="2" t="s">
        <v>20746</v>
      </c>
      <c r="C8330" s="2" t="s">
        <v>17</v>
      </c>
      <c r="D8330" s="2" t="s">
        <v>27</v>
      </c>
      <c r="E8330" s="4">
        <v>-32089</v>
      </c>
      <c r="F8330" s="3" t="s">
        <v>1918</v>
      </c>
      <c r="G8330" s="3" t="s">
        <v>1919</v>
      </c>
      <c r="H8330" s="2" t="s">
        <v>21</v>
      </c>
      <c r="I8330" s="2" t="s">
        <v>20747</v>
      </c>
      <c r="J8330" s="3" t="str">
        <f>HYPERLINK("https://www.boe.es/gazeta/dias/1812/02/21/pdfs/GMD-1812-52.pdf#page=3","Abrir facsímil")</f>
        <v>Abrir facsímil</v>
      </c>
      <c r="K8330" s="3" t="s">
        <v>23</v>
      </c>
    </row>
    <row r="8331" spans="1:11" ht="42" customHeight="1">
      <c r="A8331" s="2" t="s">
        <v>20748</v>
      </c>
      <c r="B8331" s="2" t="s">
        <v>20748</v>
      </c>
      <c r="C8331" s="2" t="s">
        <v>17</v>
      </c>
      <c r="D8331" s="2" t="s">
        <v>27</v>
      </c>
      <c r="E8331" s="4">
        <v>-31777</v>
      </c>
      <c r="F8331" s="3" t="s">
        <v>960</v>
      </c>
      <c r="G8331" s="3" t="s">
        <v>58</v>
      </c>
      <c r="H8331" s="2" t="s">
        <v>21</v>
      </c>
      <c r="I8331" s="2" t="s">
        <v>20749</v>
      </c>
      <c r="J8331" s="3" t="str">
        <f>HYPERLINK("https://www.boe.es/gazeta/dias/1812/12/29/pdfs/GMD-1812-252.pdf#page=1","Abrir facsímil")</f>
        <v>Abrir facsímil</v>
      </c>
      <c r="K8331" s="3" t="s">
        <v>23</v>
      </c>
    </row>
    <row r="8332" spans="1:11" ht="42" customHeight="1">
      <c r="A8332" s="2" t="s">
        <v>20750</v>
      </c>
      <c r="B8332" s="2" t="s">
        <v>20750</v>
      </c>
      <c r="C8332" s="2" t="s">
        <v>17</v>
      </c>
      <c r="D8332" s="2" t="s">
        <v>27</v>
      </c>
      <c r="E8332" s="4">
        <v>-32095</v>
      </c>
      <c r="F8332" s="3" t="s">
        <v>181</v>
      </c>
      <c r="G8332" s="3" t="s">
        <v>777</v>
      </c>
      <c r="H8332" s="2" t="s">
        <v>21</v>
      </c>
      <c r="I8332" s="2" t="s">
        <v>20751</v>
      </c>
      <c r="J8332" s="3" t="str">
        <f>HYPERLINK("https://www.boe.es/gazeta/dias/1812/02/15/pdfs/GMD-1812-47.pdf#page=3","Abrir facsímil")</f>
        <v>Abrir facsímil</v>
      </c>
      <c r="K8332" s="3" t="s">
        <v>23</v>
      </c>
    </row>
    <row r="8333" spans="1:11" ht="42" customHeight="1">
      <c r="A8333" s="2" t="s">
        <v>20750</v>
      </c>
      <c r="B8333" s="2" t="s">
        <v>20750</v>
      </c>
      <c r="C8333" s="2" t="s">
        <v>17</v>
      </c>
      <c r="D8333" s="2" t="s">
        <v>27</v>
      </c>
      <c r="E8333" s="4">
        <v>-32094</v>
      </c>
      <c r="F8333" s="3" t="s">
        <v>181</v>
      </c>
      <c r="G8333" s="3" t="s">
        <v>777</v>
      </c>
      <c r="H8333" s="2" t="s">
        <v>21</v>
      </c>
      <c r="I8333" s="2" t="s">
        <v>20751</v>
      </c>
      <c r="J8333" s="3" t="str">
        <f>HYPERLINK("https://www.boe.es/gazeta/dias/1812/02/16/pdfs/GMD-1812-47.pdf#page=3","Abrir facsímil")</f>
        <v>Abrir facsímil</v>
      </c>
      <c r="K8333" s="3" t="s">
        <v>23</v>
      </c>
    </row>
    <row r="8334" spans="1:11" ht="42" customHeight="1">
      <c r="A8334" s="2" t="s">
        <v>20752</v>
      </c>
      <c r="B8334" s="2" t="s">
        <v>20752</v>
      </c>
      <c r="C8334" s="2" t="s">
        <v>17</v>
      </c>
      <c r="D8334" s="2" t="s">
        <v>194</v>
      </c>
      <c r="E8334" s="4">
        <v>-31995</v>
      </c>
      <c r="F8334" s="3" t="s">
        <v>100</v>
      </c>
      <c r="G8334" s="3" t="s">
        <v>101</v>
      </c>
      <c r="H8334" s="2" t="s">
        <v>21</v>
      </c>
      <c r="I8334" s="2" t="s">
        <v>20753</v>
      </c>
      <c r="J8334" s="3" t="str">
        <f>HYPERLINK("https://www.boe.es/gazeta/dias/1812/05/25/pdfs/GMD-1812-146.pdf#page=1","Abrir facsímil")</f>
        <v>Abrir facsímil</v>
      </c>
      <c r="K8334" s="3" t="s">
        <v>23</v>
      </c>
    </row>
    <row r="8335" spans="1:11" ht="42" customHeight="1">
      <c r="A8335" s="2" t="s">
        <v>20754</v>
      </c>
      <c r="B8335" s="2" t="s">
        <v>20755</v>
      </c>
      <c r="C8335" s="2" t="s">
        <v>26</v>
      </c>
      <c r="D8335" s="2" t="s">
        <v>194</v>
      </c>
      <c r="E8335" s="4">
        <v>-32116</v>
      </c>
      <c r="F8335" s="3" t="s">
        <v>993</v>
      </c>
      <c r="G8335" s="3" t="s">
        <v>2708</v>
      </c>
      <c r="H8335" s="2" t="s">
        <v>21</v>
      </c>
      <c r="I8335" s="2" t="s">
        <v>20756</v>
      </c>
      <c r="J8335" s="3" t="str">
        <f>HYPERLINK("https://www.boe.es/gazeta/dias/1812/01/25/pdfs/GEI-1812-11.pdf#page=7","Abrir facsímil")</f>
        <v>Abrir facsímil</v>
      </c>
      <c r="K8335" s="3" t="s">
        <v>23</v>
      </c>
    </row>
    <row r="8336" spans="1:11" ht="42" customHeight="1">
      <c r="A8336" s="2" t="s">
        <v>20757</v>
      </c>
      <c r="B8336" s="2" t="s">
        <v>20757</v>
      </c>
      <c r="C8336" s="2" t="s">
        <v>17</v>
      </c>
      <c r="D8336" s="2" t="s">
        <v>18</v>
      </c>
      <c r="E8336" s="4">
        <v>-31801</v>
      </c>
      <c r="F8336" s="3" t="s">
        <v>632</v>
      </c>
      <c r="G8336" s="3" t="s">
        <v>214</v>
      </c>
      <c r="H8336" s="2" t="s">
        <v>21</v>
      </c>
      <c r="I8336" s="2" t="s">
        <v>20758</v>
      </c>
      <c r="J8336" s="3" t="str">
        <f>HYPERLINK("https://www.boe.es/gazeta/dias/1812/12/05/pdfs/GMD-1812-228.pdf#page=3","Abrir facsímil")</f>
        <v>Abrir facsímil</v>
      </c>
      <c r="K8336" s="3" t="s">
        <v>23</v>
      </c>
    </row>
    <row r="8337" spans="1:11" ht="42" customHeight="1">
      <c r="A8337" s="2" t="s">
        <v>20759</v>
      </c>
      <c r="B8337" s="2" t="s">
        <v>20759</v>
      </c>
      <c r="C8337" s="2" t="s">
        <v>17</v>
      </c>
      <c r="D8337" s="2" t="s">
        <v>27</v>
      </c>
      <c r="E8337" s="4">
        <v>-31798</v>
      </c>
      <c r="F8337" s="3" t="s">
        <v>1849</v>
      </c>
      <c r="G8337" s="3" t="s">
        <v>237</v>
      </c>
      <c r="H8337" s="2" t="s">
        <v>21</v>
      </c>
      <c r="I8337" s="2" t="s">
        <v>20760</v>
      </c>
      <c r="J8337" s="3" t="str">
        <f>HYPERLINK("https://www.boe.es/gazeta/dias/1812/12/08/pdfs/GMD-1812-231.pdf#page=2","Abrir facsímil")</f>
        <v>Abrir facsímil</v>
      </c>
      <c r="K8337" s="3" t="s">
        <v>23</v>
      </c>
    </row>
    <row r="8338" spans="1:11" ht="42" customHeight="1">
      <c r="A8338" s="2" t="s">
        <v>20761</v>
      </c>
      <c r="B8338" s="2" t="s">
        <v>20761</v>
      </c>
      <c r="C8338" s="2" t="s">
        <v>17</v>
      </c>
      <c r="D8338" s="2" t="s">
        <v>27</v>
      </c>
      <c r="E8338" s="4">
        <v>-31952</v>
      </c>
      <c r="F8338" s="3" t="s">
        <v>694</v>
      </c>
      <c r="G8338" s="3" t="s">
        <v>2895</v>
      </c>
      <c r="H8338" s="2" t="s">
        <v>21</v>
      </c>
      <c r="I8338" s="2" t="s">
        <v>20762</v>
      </c>
      <c r="J8338" s="3" t="str">
        <f>HYPERLINK("https://www.boe.es/gazeta/dias/1812/07/07/pdfs/GMD-1812-189.pdf#page=4","Abrir facsímil")</f>
        <v>Abrir facsímil</v>
      </c>
      <c r="K8338" s="3" t="s">
        <v>23</v>
      </c>
    </row>
    <row r="8339" spans="1:11" ht="42" customHeight="1">
      <c r="A8339" s="2" t="s">
        <v>20763</v>
      </c>
      <c r="B8339" s="2" t="s">
        <v>20763</v>
      </c>
      <c r="C8339" s="2" t="s">
        <v>17</v>
      </c>
      <c r="D8339" s="2" t="s">
        <v>27</v>
      </c>
      <c r="E8339" s="4">
        <v>-31796</v>
      </c>
      <c r="F8339" s="3" t="s">
        <v>741</v>
      </c>
      <c r="G8339" s="3" t="s">
        <v>742</v>
      </c>
      <c r="H8339" s="2" t="s">
        <v>21</v>
      </c>
      <c r="I8339" s="2" t="s">
        <v>20764</v>
      </c>
      <c r="J8339" s="3" t="str">
        <f>HYPERLINK("https://www.boe.es/gazeta/dias/1812/12/10/pdfs/GRE-1812-163.pdf#page=2","Abrir facsímil")</f>
        <v>Abrir facsímil</v>
      </c>
      <c r="K8339" s="3" t="s">
        <v>23</v>
      </c>
    </row>
    <row r="8340" spans="1:11" ht="42" customHeight="1">
      <c r="A8340" s="2" t="s">
        <v>20765</v>
      </c>
      <c r="B8340" s="2" t="s">
        <v>20765</v>
      </c>
      <c r="C8340" s="2" t="s">
        <v>26</v>
      </c>
      <c r="D8340" s="2" t="s">
        <v>27</v>
      </c>
      <c r="E8340" s="4">
        <v>-32085</v>
      </c>
      <c r="F8340" s="3" t="s">
        <v>1877</v>
      </c>
      <c r="G8340" s="3" t="s">
        <v>4321</v>
      </c>
      <c r="H8340" s="2" t="s">
        <v>21</v>
      </c>
      <c r="I8340" s="2" t="s">
        <v>20766</v>
      </c>
      <c r="J8340" s="3" t="str">
        <f>HYPERLINK("https://www.boe.es/gazeta/dias/1812/02/25/pdfs/GMD-1812-56.pdf#page=2","Abrir facsímil")</f>
        <v>Abrir facsímil</v>
      </c>
      <c r="K8340" s="3" t="s">
        <v>23</v>
      </c>
    </row>
    <row r="8341" spans="1:11" ht="42" customHeight="1">
      <c r="A8341" s="2" t="s">
        <v>20765</v>
      </c>
      <c r="B8341" s="2" t="s">
        <v>20765</v>
      </c>
      <c r="C8341" s="2" t="s">
        <v>17</v>
      </c>
      <c r="D8341" s="2" t="s">
        <v>194</v>
      </c>
      <c r="E8341" s="4">
        <v>-31921</v>
      </c>
      <c r="F8341" s="3" t="s">
        <v>785</v>
      </c>
      <c r="G8341" s="3" t="s">
        <v>1128</v>
      </c>
      <c r="H8341" s="2" t="s">
        <v>21</v>
      </c>
      <c r="I8341" s="2" t="s">
        <v>20767</v>
      </c>
      <c r="J8341" s="3" t="str">
        <f>HYPERLINK("https://www.boe.es/gazeta/dias/1812/08/07/pdfs/GRE-1812-101E.pdf#page=7","Abrir facsímil")</f>
        <v>Abrir facsímil</v>
      </c>
      <c r="K8341" s="3" t="s">
        <v>23</v>
      </c>
    </row>
    <row r="8342" spans="1:11" ht="42" customHeight="1">
      <c r="A8342" s="2" t="s">
        <v>20768</v>
      </c>
      <c r="B8342" s="2" t="s">
        <v>20768</v>
      </c>
      <c r="C8342" s="2" t="s">
        <v>17</v>
      </c>
      <c r="D8342" s="2" t="s">
        <v>27</v>
      </c>
      <c r="E8342" s="4">
        <v>-31990</v>
      </c>
      <c r="F8342" s="3" t="s">
        <v>629</v>
      </c>
      <c r="G8342" s="3" t="s">
        <v>101</v>
      </c>
      <c r="H8342" s="2" t="s">
        <v>21</v>
      </c>
      <c r="I8342" s="2" t="s">
        <v>20769</v>
      </c>
      <c r="J8342" s="3" t="str">
        <f>HYPERLINK("https://www.boe.es/gazeta/dias/1812/05/30/pdfs/GMD-1812-151.pdf#page=1","Abrir facsímil")</f>
        <v>Abrir facsímil</v>
      </c>
      <c r="K8342" s="3" t="s">
        <v>23</v>
      </c>
    </row>
    <row r="8343" spans="1:11" ht="42" customHeight="1">
      <c r="A8343" s="2" t="s">
        <v>20768</v>
      </c>
      <c r="B8343" s="2" t="s">
        <v>20768</v>
      </c>
      <c r="C8343" s="2" t="s">
        <v>17</v>
      </c>
      <c r="D8343" s="2" t="s">
        <v>18</v>
      </c>
      <c r="E8343" s="4">
        <v>-31905</v>
      </c>
      <c r="F8343" s="3" t="s">
        <v>855</v>
      </c>
      <c r="G8343" s="3" t="s">
        <v>1826</v>
      </c>
      <c r="H8343" s="2" t="s">
        <v>21</v>
      </c>
      <c r="I8343" s="2" t="s">
        <v>20770</v>
      </c>
      <c r="J8343" s="3" t="str">
        <f>HYPERLINK("https://www.boe.es/gazeta/dias/1812/08/23/pdfs/GMR-1812-4.pdf#page=7","Abrir facsímil")</f>
        <v>Abrir facsímil</v>
      </c>
      <c r="K8343" s="3" t="s">
        <v>23</v>
      </c>
    </row>
    <row r="8344" spans="1:11" ht="42" customHeight="1">
      <c r="A8344" s="2" t="s">
        <v>20771</v>
      </c>
      <c r="B8344" s="2" t="s">
        <v>20771</v>
      </c>
      <c r="C8344" s="2" t="s">
        <v>26</v>
      </c>
      <c r="D8344" s="2" t="s">
        <v>27</v>
      </c>
      <c r="E8344" s="4">
        <v>-32107</v>
      </c>
      <c r="F8344" s="3" t="s">
        <v>9281</v>
      </c>
      <c r="G8344" s="3" t="s">
        <v>45</v>
      </c>
      <c r="H8344" s="2" t="s">
        <v>21</v>
      </c>
      <c r="I8344" s="2" t="s">
        <v>20772</v>
      </c>
      <c r="J8344" s="3" t="str">
        <f>HYPERLINK("https://www.boe.es/gazeta/dias/1812/02/03/pdfs/GMD-1812-34.pdf#page=3","Abrir facsímil")</f>
        <v>Abrir facsímil</v>
      </c>
      <c r="K8344" s="3" t="s">
        <v>23</v>
      </c>
    </row>
    <row r="8345" spans="1:11" ht="42" customHeight="1">
      <c r="A8345" s="2" t="s">
        <v>20771</v>
      </c>
      <c r="B8345" s="2" t="s">
        <v>20771</v>
      </c>
      <c r="C8345" s="2" t="s">
        <v>26</v>
      </c>
      <c r="D8345" s="2" t="s">
        <v>27</v>
      </c>
      <c r="E8345" s="4">
        <v>-32106</v>
      </c>
      <c r="F8345" s="3" t="s">
        <v>9281</v>
      </c>
      <c r="G8345" s="3" t="s">
        <v>45</v>
      </c>
      <c r="H8345" s="2" t="s">
        <v>21</v>
      </c>
      <c r="I8345" s="2" t="s">
        <v>20772</v>
      </c>
      <c r="J8345" s="3" t="str">
        <f>HYPERLINK("https://www.boe.es/gazeta/dias/1812/02/04/pdfs/GMD-1812-34.pdf#page=3","Abrir facsímil")</f>
        <v>Abrir facsímil</v>
      </c>
      <c r="K8345" s="3" t="s">
        <v>23</v>
      </c>
    </row>
    <row r="8346" spans="1:11" ht="42" customHeight="1">
      <c r="A8346" s="2" t="s">
        <v>20773</v>
      </c>
      <c r="B8346" s="2" t="s">
        <v>20773</v>
      </c>
      <c r="C8346" s="2" t="s">
        <v>17</v>
      </c>
      <c r="D8346" s="2" t="s">
        <v>194</v>
      </c>
      <c r="E8346" s="4">
        <v>-31871</v>
      </c>
      <c r="F8346" s="3" t="s">
        <v>1399</v>
      </c>
      <c r="G8346" s="3" t="s">
        <v>20</v>
      </c>
      <c r="H8346" s="2" t="s">
        <v>21</v>
      </c>
      <c r="I8346" s="2" t="s">
        <v>20774</v>
      </c>
      <c r="J8346" s="3" t="str">
        <f>HYPERLINK("https://www.boe.es/gazeta/dias/1812/09/26/pdfs/GMR-1812-19.pdf#page=4","Abrir facsímil")</f>
        <v>Abrir facsímil</v>
      </c>
      <c r="K8346" s="3" t="s">
        <v>23</v>
      </c>
    </row>
    <row r="8347" spans="1:11" ht="42" customHeight="1">
      <c r="A8347" s="2" t="s">
        <v>20775</v>
      </c>
      <c r="B8347" s="2" t="s">
        <v>20775</v>
      </c>
      <c r="C8347" s="2" t="s">
        <v>17</v>
      </c>
      <c r="D8347" s="2" t="s">
        <v>27</v>
      </c>
      <c r="E8347" s="4">
        <v>-31978</v>
      </c>
      <c r="F8347" s="3" t="s">
        <v>1790</v>
      </c>
      <c r="G8347" s="3" t="s">
        <v>130</v>
      </c>
      <c r="H8347" s="2" t="s">
        <v>21</v>
      </c>
      <c r="I8347" s="2" t="s">
        <v>20776</v>
      </c>
      <c r="J8347" s="3" t="str">
        <f>HYPERLINK("https://www.boe.es/gazeta/dias/1812/06/11/pdfs/GRE-1812-72.pdf#page=4","Abrir facsímil")</f>
        <v>Abrir facsímil</v>
      </c>
      <c r="K8347" s="3" t="s">
        <v>23</v>
      </c>
    </row>
    <row r="8348" spans="1:11" ht="42" customHeight="1">
      <c r="A8348" s="2" t="s">
        <v>20777</v>
      </c>
      <c r="B8348" s="2" t="s">
        <v>20777</v>
      </c>
      <c r="C8348" s="2" t="s">
        <v>26</v>
      </c>
      <c r="D8348" s="2" t="s">
        <v>27</v>
      </c>
      <c r="E8348" s="4">
        <v>-32004</v>
      </c>
      <c r="F8348" s="3" t="s">
        <v>148</v>
      </c>
      <c r="G8348" s="3" t="s">
        <v>149</v>
      </c>
      <c r="H8348" s="2" t="s">
        <v>21</v>
      </c>
      <c r="I8348" s="2" t="s">
        <v>20778</v>
      </c>
      <c r="J8348" s="3" t="str">
        <f>HYPERLINK("https://www.boe.es/gazeta/dias/1812/05/16/pdfs/GRE-1812-61.pdf#page=3","Abrir facsímil")</f>
        <v>Abrir facsímil</v>
      </c>
      <c r="K8348" s="3" t="s">
        <v>23</v>
      </c>
    </row>
    <row r="8349" spans="1:11" ht="42" customHeight="1">
      <c r="A8349" s="2" t="s">
        <v>20779</v>
      </c>
      <c r="B8349" s="2" t="s">
        <v>20780</v>
      </c>
      <c r="C8349" s="2" t="s">
        <v>17</v>
      </c>
      <c r="D8349" s="2" t="s">
        <v>27</v>
      </c>
      <c r="E8349" s="4">
        <v>-32081</v>
      </c>
      <c r="F8349" s="3" t="s">
        <v>232</v>
      </c>
      <c r="G8349" s="3" t="s">
        <v>233</v>
      </c>
      <c r="H8349" s="2" t="s">
        <v>21</v>
      </c>
      <c r="I8349" s="2" t="s">
        <v>20781</v>
      </c>
      <c r="J8349" s="3" t="str">
        <f>HYPERLINK("https://www.boe.es/gazeta/dias/1812/02/29/pdfs/GRE-1812-27.pdf#page=8","Abrir facsímil")</f>
        <v>Abrir facsímil</v>
      </c>
      <c r="K8349" s="3" t="s">
        <v>23</v>
      </c>
    </row>
    <row r="8350" spans="1:11" ht="42" customHeight="1">
      <c r="A8350" s="2" t="s">
        <v>20782</v>
      </c>
      <c r="B8350" s="2" t="s">
        <v>20782</v>
      </c>
      <c r="C8350" s="2" t="s">
        <v>17</v>
      </c>
      <c r="D8350" s="2" t="s">
        <v>27</v>
      </c>
      <c r="E8350" s="4">
        <v>-31901</v>
      </c>
      <c r="F8350" s="3" t="s">
        <v>2199</v>
      </c>
      <c r="G8350" s="3" t="s">
        <v>2919</v>
      </c>
      <c r="H8350" s="2" t="s">
        <v>21</v>
      </c>
      <c r="I8350" s="2" t="s">
        <v>20783</v>
      </c>
      <c r="J8350" s="3" t="str">
        <f>HYPERLINK("https://www.boe.es/gazeta/dias/1812/08/27/pdfs/GRE-1812-111.pdf#page=2","Abrir facsímil")</f>
        <v>Abrir facsímil</v>
      </c>
      <c r="K8350" s="3" t="s">
        <v>23</v>
      </c>
    </row>
    <row r="8351" spans="1:11" ht="42" customHeight="1">
      <c r="A8351" s="2" t="s">
        <v>20784</v>
      </c>
      <c r="B8351" s="2" t="s">
        <v>20784</v>
      </c>
      <c r="C8351" s="2" t="s">
        <v>17</v>
      </c>
      <c r="D8351" s="2" t="s">
        <v>27</v>
      </c>
      <c r="E8351" s="4">
        <v>-31805</v>
      </c>
      <c r="F8351" s="3" t="s">
        <v>895</v>
      </c>
      <c r="G8351" s="3" t="s">
        <v>1845</v>
      </c>
      <c r="H8351" s="2" t="s">
        <v>21</v>
      </c>
      <c r="I8351" s="2" t="s">
        <v>20785</v>
      </c>
      <c r="J8351" s="3" t="str">
        <f>HYPERLINK("https://www.boe.es/gazeta/dias/1812/12/01/pdfs/GMR-1812-39.pdf#page=3","Abrir facsímil")</f>
        <v>Abrir facsímil</v>
      </c>
      <c r="K8351" s="3" t="s">
        <v>23</v>
      </c>
    </row>
    <row r="8352" spans="1:11" ht="42" customHeight="1">
      <c r="A8352" s="2" t="s">
        <v>20784</v>
      </c>
      <c r="B8352" s="2" t="s">
        <v>20784</v>
      </c>
      <c r="C8352" s="2" t="s">
        <v>17</v>
      </c>
      <c r="D8352" s="2" t="s">
        <v>18</v>
      </c>
      <c r="E8352" s="4">
        <v>-31805</v>
      </c>
      <c r="F8352" s="3" t="s">
        <v>895</v>
      </c>
      <c r="G8352" s="3" t="s">
        <v>2367</v>
      </c>
      <c r="H8352" s="2" t="s">
        <v>21</v>
      </c>
      <c r="I8352" s="2" t="s">
        <v>20786</v>
      </c>
      <c r="J8352" s="3" t="str">
        <f>HYPERLINK("https://www.boe.es/gazeta/dias/1812/12/01/pdfs/GMR-1812-39.pdf#page=4","Abrir facsímil")</f>
        <v>Abrir facsímil</v>
      </c>
      <c r="K8352" s="3" t="s">
        <v>23</v>
      </c>
    </row>
    <row r="8353" spans="1:11" ht="42" customHeight="1">
      <c r="A8353" s="2" t="s">
        <v>20787</v>
      </c>
      <c r="B8353" s="2" t="s">
        <v>20787</v>
      </c>
      <c r="C8353" s="2" t="s">
        <v>17</v>
      </c>
      <c r="D8353" s="2" t="s">
        <v>27</v>
      </c>
      <c r="E8353" s="4">
        <v>-31805</v>
      </c>
      <c r="F8353" s="3" t="s">
        <v>895</v>
      </c>
      <c r="G8353" s="3" t="s">
        <v>3294</v>
      </c>
      <c r="H8353" s="2" t="s">
        <v>21</v>
      </c>
      <c r="I8353" s="2" t="s">
        <v>20788</v>
      </c>
      <c r="J8353" s="3" t="str">
        <f>HYPERLINK("https://www.boe.es/gazeta/dias/1812/12/01/pdfs/GMR-1812-39.pdf#page=6","Abrir facsímil")</f>
        <v>Abrir facsímil</v>
      </c>
      <c r="K8353" s="3" t="s">
        <v>23</v>
      </c>
    </row>
    <row r="8354" spans="1:11" ht="42" customHeight="1">
      <c r="A8354" s="2" t="s">
        <v>20789</v>
      </c>
      <c r="B8354" s="2" t="s">
        <v>20789</v>
      </c>
      <c r="C8354" s="2" t="s">
        <v>17</v>
      </c>
      <c r="D8354" s="2" t="s">
        <v>27</v>
      </c>
      <c r="E8354" s="4">
        <v>-31801</v>
      </c>
      <c r="F8354" s="3" t="s">
        <v>1914</v>
      </c>
      <c r="G8354" s="3" t="s">
        <v>196</v>
      </c>
      <c r="H8354" s="2" t="s">
        <v>21</v>
      </c>
      <c r="I8354" s="2" t="s">
        <v>20790</v>
      </c>
      <c r="J8354" s="3" t="str">
        <f>HYPERLINK("https://www.boe.es/gazeta/dias/1812/12/05/pdfs/GRE-1812-161.pdf#page=1","Abrir facsímil")</f>
        <v>Abrir facsímil</v>
      </c>
      <c r="K8354" s="3" t="s">
        <v>23</v>
      </c>
    </row>
    <row r="8355" spans="1:11" ht="42" customHeight="1">
      <c r="A8355" s="2" t="s">
        <v>20789</v>
      </c>
      <c r="B8355" s="2" t="s">
        <v>20789</v>
      </c>
      <c r="C8355" s="2" t="s">
        <v>17</v>
      </c>
      <c r="D8355" s="2" t="s">
        <v>18</v>
      </c>
      <c r="E8355" s="4">
        <v>-31801</v>
      </c>
      <c r="F8355" s="3" t="s">
        <v>1914</v>
      </c>
      <c r="G8355" s="3" t="s">
        <v>11918</v>
      </c>
      <c r="H8355" s="2" t="s">
        <v>21</v>
      </c>
      <c r="I8355" s="2" t="s">
        <v>20791</v>
      </c>
      <c r="J8355" s="3" t="str">
        <f>HYPERLINK("https://www.boe.es/gazeta/dias/1812/12/05/pdfs/GRE-1812-161.pdf#page=2","Abrir facsímil")</f>
        <v>Abrir facsímil</v>
      </c>
      <c r="K8355" s="3" t="s">
        <v>23</v>
      </c>
    </row>
    <row r="8356" spans="1:11" ht="42" customHeight="1">
      <c r="A8356" s="2" t="s">
        <v>20789</v>
      </c>
      <c r="B8356" s="2" t="s">
        <v>20789</v>
      </c>
      <c r="C8356" s="2" t="s">
        <v>17</v>
      </c>
      <c r="D8356" s="2" t="s">
        <v>18</v>
      </c>
      <c r="E8356" s="4">
        <v>-31784</v>
      </c>
      <c r="F8356" s="3" t="s">
        <v>6524</v>
      </c>
      <c r="G8356" s="3" t="s">
        <v>801</v>
      </c>
      <c r="H8356" s="2" t="s">
        <v>21</v>
      </c>
      <c r="I8356" s="2" t="s">
        <v>20792</v>
      </c>
      <c r="J8356" s="3" t="str">
        <f>HYPERLINK("https://www.boe.es/gazeta/dias/1812/12/22/pdfs/GRE-1812-168.pdf#page=4","Abrir facsímil")</f>
        <v>Abrir facsímil</v>
      </c>
      <c r="K8356" s="3" t="s">
        <v>23</v>
      </c>
    </row>
    <row r="8357" spans="1:11" ht="42" customHeight="1">
      <c r="A8357" s="2" t="s">
        <v>20789</v>
      </c>
      <c r="B8357" s="2" t="s">
        <v>20789</v>
      </c>
      <c r="C8357" s="2" t="s">
        <v>17</v>
      </c>
      <c r="D8357" s="2" t="s">
        <v>18</v>
      </c>
      <c r="E8357" s="4">
        <v>-31775</v>
      </c>
      <c r="F8357" s="3" t="s">
        <v>660</v>
      </c>
      <c r="G8357" s="3" t="s">
        <v>1626</v>
      </c>
      <c r="H8357" s="2" t="s">
        <v>21</v>
      </c>
      <c r="I8357" s="2" t="s">
        <v>20793</v>
      </c>
      <c r="J8357" s="3" t="str">
        <f>HYPERLINK("https://www.boe.es/gazeta/dias/1812/12/31/pdfs/GRE-1812-172.pdf#page=5","Abrir facsímil")</f>
        <v>Abrir facsímil</v>
      </c>
      <c r="K8357" s="3" t="s">
        <v>23</v>
      </c>
    </row>
    <row r="8358" spans="1:11" ht="42" customHeight="1">
      <c r="A8358" s="2" t="s">
        <v>20794</v>
      </c>
      <c r="B8358" s="2" t="s">
        <v>20794</v>
      </c>
      <c r="C8358" s="2" t="s">
        <v>17</v>
      </c>
      <c r="D8358" s="2" t="s">
        <v>18</v>
      </c>
      <c r="E8358" s="4">
        <v>-31782</v>
      </c>
      <c r="F8358" s="3" t="s">
        <v>860</v>
      </c>
      <c r="G8358" s="3" t="s">
        <v>2381</v>
      </c>
      <c r="H8358" s="2" t="s">
        <v>21</v>
      </c>
      <c r="I8358" s="2" t="s">
        <v>20795</v>
      </c>
      <c r="J8358" s="3" t="str">
        <f>HYPERLINK("https://www.boe.es/gazeta/dias/1812/12/24/pdfs/GRE-1812-169.pdf#page=4","Abrir facsímil")</f>
        <v>Abrir facsímil</v>
      </c>
      <c r="K8358" s="3" t="s">
        <v>23</v>
      </c>
    </row>
    <row r="8359" spans="1:11" ht="42" customHeight="1">
      <c r="A8359" s="2" t="s">
        <v>20796</v>
      </c>
      <c r="B8359" s="2" t="s">
        <v>20796</v>
      </c>
      <c r="C8359" s="2" t="s">
        <v>17</v>
      </c>
      <c r="D8359" s="2" t="s">
        <v>27</v>
      </c>
      <c r="E8359" s="4">
        <v>-31805</v>
      </c>
      <c r="F8359" s="3" t="s">
        <v>4346</v>
      </c>
      <c r="G8359" s="3" t="s">
        <v>11916</v>
      </c>
      <c r="H8359" s="2" t="s">
        <v>21</v>
      </c>
      <c r="I8359" s="2" t="s">
        <v>20797</v>
      </c>
      <c r="J8359" s="3" t="str">
        <f>HYPERLINK("https://www.boe.es/gazeta/dias/1812/12/01/pdfs/GRE-1812-159.pdf#page=2","Abrir facsímil")</f>
        <v>Abrir facsímil</v>
      </c>
      <c r="K8359" s="3" t="s">
        <v>23</v>
      </c>
    </row>
    <row r="8360" spans="1:11" ht="42" customHeight="1">
      <c r="A8360" s="2" t="s">
        <v>20798</v>
      </c>
      <c r="B8360" s="2" t="s">
        <v>20798</v>
      </c>
      <c r="C8360" s="2" t="s">
        <v>17</v>
      </c>
      <c r="D8360" s="2" t="s">
        <v>18</v>
      </c>
      <c r="E8360" s="4">
        <v>-31777</v>
      </c>
      <c r="F8360" s="3" t="s">
        <v>1118</v>
      </c>
      <c r="G8360" s="3" t="s">
        <v>11008</v>
      </c>
      <c r="H8360" s="2" t="s">
        <v>21</v>
      </c>
      <c r="I8360" s="2" t="s">
        <v>20799</v>
      </c>
      <c r="J8360" s="3" t="str">
        <f>HYPERLINK("https://www.boe.es/gazeta/dias/1812/12/29/pdfs/GRE-1812-171.pdf#page=2","Abrir facsímil")</f>
        <v>Abrir facsímil</v>
      </c>
      <c r="K8360" s="3" t="s">
        <v>23</v>
      </c>
    </row>
    <row r="8361" spans="1:11" ht="42" customHeight="1">
      <c r="A8361" s="2" t="s">
        <v>20800</v>
      </c>
      <c r="B8361" s="2" t="s">
        <v>20800</v>
      </c>
      <c r="C8361" s="2" t="s">
        <v>17</v>
      </c>
      <c r="D8361" s="2" t="s">
        <v>27</v>
      </c>
      <c r="E8361" s="4">
        <v>-31901</v>
      </c>
      <c r="F8361" s="3" t="s">
        <v>2199</v>
      </c>
      <c r="G8361" s="3" t="s">
        <v>2919</v>
      </c>
      <c r="H8361" s="2" t="s">
        <v>21</v>
      </c>
      <c r="I8361" s="2" t="s">
        <v>20801</v>
      </c>
      <c r="J8361" s="3" t="str">
        <f>HYPERLINK("https://www.boe.es/gazeta/dias/1812/08/27/pdfs/GRE-1812-111.pdf#page=2","Abrir facsímil")</f>
        <v>Abrir facsímil</v>
      </c>
      <c r="K8361" s="3" t="s">
        <v>23</v>
      </c>
    </row>
    <row r="8362" spans="1:11" ht="42" customHeight="1">
      <c r="A8362" s="2" t="s">
        <v>20802</v>
      </c>
      <c r="B8362" s="2" t="s">
        <v>20802</v>
      </c>
      <c r="C8362" s="2" t="s">
        <v>17</v>
      </c>
      <c r="D8362" s="2" t="s">
        <v>27</v>
      </c>
      <c r="E8362" s="4">
        <v>-31787</v>
      </c>
      <c r="F8362" s="3" t="s">
        <v>1560</v>
      </c>
      <c r="G8362" s="3" t="s">
        <v>514</v>
      </c>
      <c r="H8362" s="2" t="s">
        <v>21</v>
      </c>
      <c r="I8362" s="2" t="s">
        <v>20803</v>
      </c>
      <c r="J8362" s="3" t="str">
        <f>HYPERLINK("https://www.boe.es/gazeta/dias/1812/12/19/pdfs/GRE-1812-167.pdf#page=3","Abrir facsímil")</f>
        <v>Abrir facsímil</v>
      </c>
      <c r="K8362" s="3" t="s">
        <v>23</v>
      </c>
    </row>
    <row r="8363" spans="1:11" ht="42" customHeight="1">
      <c r="A8363" s="2" t="s">
        <v>20804</v>
      </c>
      <c r="B8363" s="2" t="s">
        <v>20804</v>
      </c>
      <c r="C8363" s="2" t="s">
        <v>17</v>
      </c>
      <c r="D8363" s="2" t="s">
        <v>18</v>
      </c>
      <c r="E8363" s="4">
        <v>-31969</v>
      </c>
      <c r="F8363" s="3" t="s">
        <v>83</v>
      </c>
      <c r="G8363" s="3" t="s">
        <v>1570</v>
      </c>
      <c r="H8363" s="2" t="s">
        <v>21</v>
      </c>
      <c r="I8363" s="2" t="s">
        <v>20805</v>
      </c>
      <c r="J8363" s="3" t="str">
        <f>HYPERLINK("https://www.boe.es/gazeta/dias/1812/06/20/pdfs/GRE-1812-76.pdf#page=4","Abrir facsímil")</f>
        <v>Abrir facsímil</v>
      </c>
      <c r="K8363" s="3" t="s">
        <v>23</v>
      </c>
    </row>
    <row r="8364" spans="1:11" ht="42" customHeight="1">
      <c r="A8364" s="2" t="s">
        <v>20806</v>
      </c>
      <c r="B8364" s="2" t="s">
        <v>20806</v>
      </c>
      <c r="C8364" s="2" t="s">
        <v>17</v>
      </c>
      <c r="D8364" s="2" t="s">
        <v>27</v>
      </c>
      <c r="E8364" s="4">
        <v>-31878</v>
      </c>
      <c r="F8364" s="3" t="s">
        <v>1831</v>
      </c>
      <c r="G8364" s="3" t="s">
        <v>20</v>
      </c>
      <c r="H8364" s="2" t="s">
        <v>21</v>
      </c>
      <c r="I8364" s="2" t="s">
        <v>20807</v>
      </c>
      <c r="J8364" s="3" t="str">
        <f>HYPERLINK("https://www.boe.es/gazeta/dias/1812/09/19/pdfs/GMR-1812-16.pdf#page=2","Abrir facsímil")</f>
        <v>Abrir facsímil</v>
      </c>
      <c r="K8364" s="3" t="s">
        <v>23</v>
      </c>
    </row>
    <row r="8365" spans="1:11" ht="42" customHeight="1">
      <c r="A8365" s="2" t="s">
        <v>20808</v>
      </c>
      <c r="B8365" s="2" t="s">
        <v>20808</v>
      </c>
      <c r="C8365" s="2" t="s">
        <v>17</v>
      </c>
      <c r="D8365" s="2" t="s">
        <v>27</v>
      </c>
      <c r="E8365" s="4">
        <v>-31896</v>
      </c>
      <c r="F8365" s="3" t="s">
        <v>1808</v>
      </c>
      <c r="G8365" s="3" t="s">
        <v>58</v>
      </c>
      <c r="H8365" s="2" t="s">
        <v>21</v>
      </c>
      <c r="I8365" s="2" t="s">
        <v>20809</v>
      </c>
      <c r="J8365" s="3" t="str">
        <f>HYPERLINK("https://www.boe.es/gazeta/dias/1812/09/01/pdfs/GMR-1812-8.pdf#page=3","Abrir facsímil")</f>
        <v>Abrir facsímil</v>
      </c>
      <c r="K8365" s="3" t="s">
        <v>23</v>
      </c>
    </row>
    <row r="8366" spans="1:11" ht="42" customHeight="1">
      <c r="A8366" s="2" t="s">
        <v>20810</v>
      </c>
      <c r="B8366" s="2" t="s">
        <v>20810</v>
      </c>
      <c r="C8366" s="2" t="s">
        <v>17</v>
      </c>
      <c r="D8366" s="2" t="s">
        <v>27</v>
      </c>
      <c r="E8366" s="4">
        <v>-31896</v>
      </c>
      <c r="F8366" s="3" t="s">
        <v>1808</v>
      </c>
      <c r="G8366" s="3" t="s">
        <v>140</v>
      </c>
      <c r="H8366" s="2" t="s">
        <v>21</v>
      </c>
      <c r="I8366" s="2" t="s">
        <v>20811</v>
      </c>
      <c r="J8366" s="3" t="str">
        <f>HYPERLINK("https://www.boe.es/gazeta/dias/1812/09/01/pdfs/GMR-1812-8.pdf#page=2","Abrir facsímil")</f>
        <v>Abrir facsímil</v>
      </c>
      <c r="K8366" s="3" t="s">
        <v>23</v>
      </c>
    </row>
    <row r="8367" spans="1:11" ht="42" customHeight="1">
      <c r="A8367" s="2" t="s">
        <v>20810</v>
      </c>
      <c r="B8367" s="2" t="s">
        <v>20810</v>
      </c>
      <c r="C8367" s="2" t="s">
        <v>17</v>
      </c>
      <c r="D8367" s="2" t="s">
        <v>18</v>
      </c>
      <c r="E8367" s="4">
        <v>-31892</v>
      </c>
      <c r="F8367" s="3" t="s">
        <v>1825</v>
      </c>
      <c r="G8367" s="3" t="s">
        <v>217</v>
      </c>
      <c r="H8367" s="2" t="s">
        <v>21</v>
      </c>
      <c r="I8367" s="2" t="s">
        <v>20812</v>
      </c>
      <c r="J8367" s="3" t="str">
        <f>HYPERLINK("https://www.boe.es/gazeta/dias/1812/09/05/pdfs/GMR-1812-10.pdf#page=7","Abrir facsímil")</f>
        <v>Abrir facsímil</v>
      </c>
      <c r="K8367" s="3" t="s">
        <v>23</v>
      </c>
    </row>
    <row r="8368" spans="1:11" ht="42" customHeight="1">
      <c r="A8368" s="2" t="s">
        <v>20810</v>
      </c>
      <c r="B8368" s="2" t="s">
        <v>20810</v>
      </c>
      <c r="C8368" s="2" t="s">
        <v>17</v>
      </c>
      <c r="D8368" s="2" t="s">
        <v>18</v>
      </c>
      <c r="E8368" s="4">
        <v>-31889</v>
      </c>
      <c r="F8368" s="3" t="s">
        <v>424</v>
      </c>
      <c r="G8368" s="3" t="s">
        <v>58</v>
      </c>
      <c r="H8368" s="2" t="s">
        <v>21</v>
      </c>
      <c r="I8368" s="2" t="s">
        <v>20813</v>
      </c>
      <c r="J8368" s="3" t="str">
        <f>HYPERLINK("https://www.boe.es/gazeta/dias/1812/09/08/pdfs/GRE-1812-121.pdf#page=2","Abrir facsímil")</f>
        <v>Abrir facsímil</v>
      </c>
      <c r="K8368" s="3" t="s">
        <v>23</v>
      </c>
    </row>
    <row r="8369" spans="1:11" ht="42" customHeight="1">
      <c r="A8369" s="2" t="s">
        <v>20810</v>
      </c>
      <c r="B8369" s="2" t="s">
        <v>20810</v>
      </c>
      <c r="C8369" s="2" t="s">
        <v>17</v>
      </c>
      <c r="D8369" s="2" t="s">
        <v>18</v>
      </c>
      <c r="E8369" s="4">
        <v>-31885</v>
      </c>
      <c r="F8369" s="3" t="s">
        <v>750</v>
      </c>
      <c r="G8369" s="3" t="s">
        <v>36</v>
      </c>
      <c r="H8369" s="2" t="s">
        <v>21</v>
      </c>
      <c r="I8369" s="2" t="s">
        <v>20814</v>
      </c>
      <c r="J8369" s="3" t="str">
        <f>HYPERLINK("https://www.boe.es/gazeta/dias/1812/09/12/pdfs/GMR-1812-13.pdf#page=3","Abrir facsímil")</f>
        <v>Abrir facsímil</v>
      </c>
      <c r="K8369" s="3" t="s">
        <v>23</v>
      </c>
    </row>
    <row r="8370" spans="1:11" ht="42" customHeight="1">
      <c r="A8370" s="2" t="s">
        <v>20810</v>
      </c>
      <c r="B8370" s="2" t="s">
        <v>20810</v>
      </c>
      <c r="C8370" s="2" t="s">
        <v>17</v>
      </c>
      <c r="D8370" s="2" t="s">
        <v>27</v>
      </c>
      <c r="E8370" s="4">
        <v>-31878</v>
      </c>
      <c r="F8370" s="3" t="s">
        <v>1831</v>
      </c>
      <c r="G8370" s="3" t="s">
        <v>20</v>
      </c>
      <c r="H8370" s="2" t="s">
        <v>21</v>
      </c>
      <c r="I8370" s="2" t="s">
        <v>20815</v>
      </c>
      <c r="J8370" s="3" t="str">
        <f>HYPERLINK("https://www.boe.es/gazeta/dias/1812/09/19/pdfs/GMR-1812-16.pdf#page=2","Abrir facsímil")</f>
        <v>Abrir facsímil</v>
      </c>
      <c r="K8370" s="3" t="s">
        <v>23</v>
      </c>
    </row>
    <row r="8371" spans="1:11" ht="42" customHeight="1">
      <c r="A8371" s="2" t="s">
        <v>20810</v>
      </c>
      <c r="B8371" s="2" t="s">
        <v>20810</v>
      </c>
      <c r="C8371" s="2" t="s">
        <v>17</v>
      </c>
      <c r="D8371" s="2" t="s">
        <v>18</v>
      </c>
      <c r="E8371" s="4">
        <v>-31868</v>
      </c>
      <c r="F8371" s="3" t="s">
        <v>1833</v>
      </c>
      <c r="G8371" s="3" t="s">
        <v>58</v>
      </c>
      <c r="H8371" s="2" t="s">
        <v>21</v>
      </c>
      <c r="I8371" s="2" t="s">
        <v>20816</v>
      </c>
      <c r="J8371" s="3" t="str">
        <f>HYPERLINK("https://www.boe.es/gazeta/dias/1812/09/29/pdfs/GMR-1812-20.pdf#page=3","Abrir facsímil")</f>
        <v>Abrir facsímil</v>
      </c>
      <c r="K8371" s="3" t="s">
        <v>23</v>
      </c>
    </row>
    <row r="8372" spans="1:11" ht="42" customHeight="1">
      <c r="A8372" s="2" t="s">
        <v>20810</v>
      </c>
      <c r="B8372" s="2" t="s">
        <v>20810</v>
      </c>
      <c r="C8372" s="2" t="s">
        <v>17</v>
      </c>
      <c r="D8372" s="2" t="s">
        <v>27</v>
      </c>
      <c r="E8372" s="4">
        <v>-31861</v>
      </c>
      <c r="F8372" s="3" t="s">
        <v>1080</v>
      </c>
      <c r="G8372" s="3" t="s">
        <v>125</v>
      </c>
      <c r="H8372" s="2" t="s">
        <v>21</v>
      </c>
      <c r="I8372" s="2" t="s">
        <v>20817</v>
      </c>
      <c r="J8372" s="3" t="str">
        <f>HYPERLINK("https://www.boe.es/gazeta/dias/1812/10/06/pdfs/GMR-1812-23.pdf#page=3","Abrir facsímil")</f>
        <v>Abrir facsímil</v>
      </c>
      <c r="K8372" s="3" t="s">
        <v>23</v>
      </c>
    </row>
    <row r="8373" spans="1:11" ht="42" customHeight="1">
      <c r="A8373" s="2" t="s">
        <v>20810</v>
      </c>
      <c r="B8373" s="2" t="s">
        <v>20810</v>
      </c>
      <c r="C8373" s="2" t="s">
        <v>26</v>
      </c>
      <c r="D8373" s="2" t="s">
        <v>27</v>
      </c>
      <c r="E8373" s="4">
        <v>-31852</v>
      </c>
      <c r="F8373" s="3" t="s">
        <v>4370</v>
      </c>
      <c r="G8373" s="3" t="s">
        <v>214</v>
      </c>
      <c r="H8373" s="2" t="s">
        <v>21</v>
      </c>
      <c r="I8373" s="2" t="s">
        <v>20818</v>
      </c>
      <c r="J8373" s="3" t="str">
        <f>HYPERLINK("https://www.boe.es/gazeta/dias/1812/10/15/pdfs/GMR-1812-27.pdf#page=2","Abrir facsímil")</f>
        <v>Abrir facsímil</v>
      </c>
      <c r="K8373" s="3" t="s">
        <v>23</v>
      </c>
    </row>
    <row r="8374" spans="1:11" ht="42" customHeight="1">
      <c r="A8374" s="2" t="s">
        <v>20810</v>
      </c>
      <c r="B8374" s="2" t="s">
        <v>20810</v>
      </c>
      <c r="C8374" s="2" t="s">
        <v>17</v>
      </c>
      <c r="D8374" s="2" t="s">
        <v>27</v>
      </c>
      <c r="E8374" s="4">
        <v>-31801</v>
      </c>
      <c r="F8374" s="3" t="s">
        <v>1914</v>
      </c>
      <c r="G8374" s="3" t="s">
        <v>196</v>
      </c>
      <c r="H8374" s="2" t="s">
        <v>21</v>
      </c>
      <c r="I8374" s="2" t="s">
        <v>20819</v>
      </c>
      <c r="J8374" s="3" t="str">
        <f>HYPERLINK("https://www.boe.es/gazeta/dias/1812/12/05/pdfs/GRE-1812-161.pdf#page=1","Abrir facsímil")</f>
        <v>Abrir facsímil</v>
      </c>
      <c r="K8374" s="3" t="s">
        <v>23</v>
      </c>
    </row>
    <row r="8375" spans="1:11" ht="42" customHeight="1">
      <c r="A8375" s="2" t="s">
        <v>20810</v>
      </c>
      <c r="B8375" s="2" t="s">
        <v>20810</v>
      </c>
      <c r="C8375" s="2" t="s">
        <v>26</v>
      </c>
      <c r="D8375" s="2" t="s">
        <v>27</v>
      </c>
      <c r="E8375" s="4">
        <v>-31801</v>
      </c>
      <c r="F8375" s="3" t="s">
        <v>1914</v>
      </c>
      <c r="G8375" s="3" t="s">
        <v>1915</v>
      </c>
      <c r="H8375" s="2" t="s">
        <v>21</v>
      </c>
      <c r="I8375" s="2" t="s">
        <v>20820</v>
      </c>
      <c r="J8375" s="3" t="str">
        <f>HYPERLINK("https://www.boe.es/gazeta/dias/1812/12/05/pdfs/GRE-1812-161.pdf#page=3","Abrir facsímil")</f>
        <v>Abrir facsímil</v>
      </c>
      <c r="K8375" s="3" t="s">
        <v>23</v>
      </c>
    </row>
    <row r="8376" spans="1:11" ht="42" customHeight="1">
      <c r="A8376" s="2" t="s">
        <v>20810</v>
      </c>
      <c r="B8376" s="2" t="s">
        <v>20810</v>
      </c>
      <c r="C8376" s="2" t="s">
        <v>17</v>
      </c>
      <c r="D8376" s="2" t="s">
        <v>18</v>
      </c>
      <c r="E8376" s="4">
        <v>-31798</v>
      </c>
      <c r="F8376" s="3" t="s">
        <v>1849</v>
      </c>
      <c r="G8376" s="3" t="s">
        <v>214</v>
      </c>
      <c r="H8376" s="2" t="s">
        <v>21</v>
      </c>
      <c r="I8376" s="2" t="s">
        <v>20821</v>
      </c>
      <c r="J8376" s="3" t="str">
        <f>HYPERLINK("https://www.boe.es/gazeta/dias/1812/12/08/pdfs/GMD-1812-231.pdf#page=1","Abrir facsímil")</f>
        <v>Abrir facsímil</v>
      </c>
      <c r="K8376" s="3" t="s">
        <v>23</v>
      </c>
    </row>
    <row r="8377" spans="1:11" ht="42" customHeight="1">
      <c r="A8377" s="2" t="s">
        <v>20810</v>
      </c>
      <c r="B8377" s="2" t="s">
        <v>20810</v>
      </c>
      <c r="C8377" s="2" t="s">
        <v>17</v>
      </c>
      <c r="D8377" s="2" t="s">
        <v>27</v>
      </c>
      <c r="E8377" s="4">
        <v>-31780</v>
      </c>
      <c r="F8377" s="3" t="s">
        <v>3317</v>
      </c>
      <c r="G8377" s="3" t="s">
        <v>7918</v>
      </c>
      <c r="H8377" s="2" t="s">
        <v>21</v>
      </c>
      <c r="I8377" s="2" t="s">
        <v>20822</v>
      </c>
      <c r="J8377" s="3" t="str">
        <f>HYPERLINK("https://www.boe.es/gazeta/dias/1812/12/26/pdfs/GRE-1812-170.pdf#page=1","Abrir facsímil")</f>
        <v>Abrir facsímil</v>
      </c>
      <c r="K8377" s="3" t="s">
        <v>23</v>
      </c>
    </row>
    <row r="8378" spans="1:11" ht="42" customHeight="1">
      <c r="A8378" s="2" t="s">
        <v>20810</v>
      </c>
      <c r="B8378" s="2" t="s">
        <v>20810</v>
      </c>
      <c r="C8378" s="2" t="s">
        <v>17</v>
      </c>
      <c r="D8378" s="2" t="s">
        <v>18</v>
      </c>
      <c r="E8378" s="4">
        <v>-31778</v>
      </c>
      <c r="F8378" s="3" t="s">
        <v>1966</v>
      </c>
      <c r="G8378" s="3" t="s">
        <v>45</v>
      </c>
      <c r="H8378" s="2" t="s">
        <v>21</v>
      </c>
      <c r="I8378" s="2" t="s">
        <v>20823</v>
      </c>
      <c r="J8378" s="3" t="str">
        <f>HYPERLINK("https://www.boe.es/gazeta/dias/1812/12/28/pdfs/GMD-1812-251.pdf#page=4","Abrir facsímil")</f>
        <v>Abrir facsímil</v>
      </c>
      <c r="K8378" s="3" t="s">
        <v>23</v>
      </c>
    </row>
    <row r="8379" spans="1:11" ht="42" customHeight="1">
      <c r="A8379" s="2" t="s">
        <v>20810</v>
      </c>
      <c r="B8379" s="2" t="s">
        <v>20810</v>
      </c>
      <c r="C8379" s="2" t="s">
        <v>17</v>
      </c>
      <c r="D8379" s="2" t="s">
        <v>27</v>
      </c>
      <c r="E8379" s="4">
        <v>-31777</v>
      </c>
      <c r="F8379" s="3" t="s">
        <v>1118</v>
      </c>
      <c r="G8379" s="3" t="s">
        <v>7302</v>
      </c>
      <c r="H8379" s="2" t="s">
        <v>21</v>
      </c>
      <c r="I8379" s="2" t="s">
        <v>20824</v>
      </c>
      <c r="J8379" s="3" t="str">
        <f>HYPERLINK("https://www.boe.es/gazeta/dias/1812/12/29/pdfs/GRE-1812-171.pdf#page=3","Abrir facsímil")</f>
        <v>Abrir facsímil</v>
      </c>
      <c r="K8379" s="3" t="s">
        <v>23</v>
      </c>
    </row>
    <row r="8380" spans="1:11" ht="42" customHeight="1">
      <c r="A8380" s="2" t="s">
        <v>20810</v>
      </c>
      <c r="B8380" s="2" t="s">
        <v>20810</v>
      </c>
      <c r="C8380" s="2" t="s">
        <v>17</v>
      </c>
      <c r="D8380" s="2" t="s">
        <v>27</v>
      </c>
      <c r="E8380" s="4">
        <v>-31775</v>
      </c>
      <c r="F8380" s="3" t="s">
        <v>660</v>
      </c>
      <c r="G8380" s="3" t="s">
        <v>36</v>
      </c>
      <c r="H8380" s="2" t="s">
        <v>21</v>
      </c>
      <c r="I8380" s="2" t="s">
        <v>20825</v>
      </c>
      <c r="J8380" s="3" t="str">
        <f>HYPERLINK("https://www.boe.es/gazeta/dias/1812/12/31/pdfs/GRE-1812-172.pdf#page=3","Abrir facsímil")</f>
        <v>Abrir facsímil</v>
      </c>
      <c r="K8380" s="3" t="s">
        <v>23</v>
      </c>
    </row>
    <row r="8381" spans="1:11" ht="42" customHeight="1">
      <c r="A8381" s="2" t="s">
        <v>20826</v>
      </c>
      <c r="B8381" s="2" t="s">
        <v>20827</v>
      </c>
      <c r="C8381" s="2" t="s">
        <v>26</v>
      </c>
      <c r="D8381" s="2" t="s">
        <v>194</v>
      </c>
      <c r="E8381" s="4">
        <v>-32138</v>
      </c>
      <c r="F8381" s="3" t="s">
        <v>2714</v>
      </c>
      <c r="G8381" s="3" t="s">
        <v>196</v>
      </c>
      <c r="H8381" s="2" t="s">
        <v>21</v>
      </c>
      <c r="I8381" s="2" t="s">
        <v>20828</v>
      </c>
      <c r="J8381" s="3" t="str">
        <f>HYPERLINK("https://www.boe.es/gazeta/dias/1812/01/03/pdfs/GMD-1812-3.pdf#page=1","Abrir facsímil")</f>
        <v>Abrir facsímil</v>
      </c>
      <c r="K8381" s="3" t="s">
        <v>23</v>
      </c>
    </row>
    <row r="8382" spans="1:11" ht="42" customHeight="1">
      <c r="A8382" s="2" t="s">
        <v>20829</v>
      </c>
      <c r="B8382" s="2" t="s">
        <v>20829</v>
      </c>
      <c r="C8382" s="2" t="s">
        <v>67</v>
      </c>
      <c r="D8382" s="2" t="s">
        <v>27</v>
      </c>
      <c r="E8382" s="4">
        <v>-31889</v>
      </c>
      <c r="F8382" s="3" t="s">
        <v>424</v>
      </c>
      <c r="G8382" s="3" t="s">
        <v>36</v>
      </c>
      <c r="H8382" s="2" t="s">
        <v>21</v>
      </c>
      <c r="I8382" s="2" t="s">
        <v>20830</v>
      </c>
      <c r="J8382" s="3" t="str">
        <f>HYPERLINK("https://www.boe.es/gazeta/dias/1812/09/08/pdfs/GRE-1812-121.pdf#page=3","Abrir facsímil")</f>
        <v>Abrir facsímil</v>
      </c>
      <c r="K8382" s="3" t="s">
        <v>23</v>
      </c>
    </row>
    <row r="8383" spans="1:11" ht="42" customHeight="1">
      <c r="A8383" s="2" t="s">
        <v>20831</v>
      </c>
      <c r="B8383" s="2" t="s">
        <v>20831</v>
      </c>
      <c r="C8383" s="2" t="s">
        <v>105</v>
      </c>
      <c r="D8383" s="2" t="s">
        <v>27</v>
      </c>
      <c r="E8383" s="4">
        <v>-32077</v>
      </c>
      <c r="F8383" s="3" t="s">
        <v>639</v>
      </c>
      <c r="G8383" s="3" t="s">
        <v>742</v>
      </c>
      <c r="H8383" s="2" t="s">
        <v>21</v>
      </c>
      <c r="I8383" s="2" t="s">
        <v>20832</v>
      </c>
      <c r="J8383" s="3" t="str">
        <f>HYPERLINK("https://www.boe.es/gazeta/dias/1812/03/04/pdfs/GMD-1812-64.pdf#page=1","Abrir facsímil")</f>
        <v>Abrir facsímil</v>
      </c>
      <c r="K8383" s="3" t="s">
        <v>23</v>
      </c>
    </row>
    <row r="8384" spans="1:11" ht="42" customHeight="1">
      <c r="A8384" s="2" t="s">
        <v>20833</v>
      </c>
      <c r="B8384" s="2" t="s">
        <v>20833</v>
      </c>
      <c r="C8384" s="2" t="s">
        <v>82</v>
      </c>
      <c r="D8384" s="2" t="s">
        <v>27</v>
      </c>
      <c r="E8384" s="4">
        <v>-32055</v>
      </c>
      <c r="F8384" s="3" t="s">
        <v>1271</v>
      </c>
      <c r="G8384" s="3" t="s">
        <v>3288</v>
      </c>
      <c r="H8384" s="2" t="s">
        <v>21</v>
      </c>
      <c r="I8384" s="2" t="s">
        <v>20834</v>
      </c>
      <c r="J8384" s="3" t="str">
        <f>HYPERLINK("https://www.boe.es/gazeta/dias/1812/03/26/pdfs/GMD-1812-86.pdf#page=1","Abrir facsímil")</f>
        <v>Abrir facsímil</v>
      </c>
      <c r="K8384" s="3" t="s">
        <v>23</v>
      </c>
    </row>
    <row r="8385" spans="1:11" ht="42" customHeight="1">
      <c r="A8385" s="2" t="s">
        <v>20835</v>
      </c>
      <c r="B8385" s="2" t="s">
        <v>20835</v>
      </c>
      <c r="C8385" s="2" t="s">
        <v>82</v>
      </c>
      <c r="D8385" s="2" t="s">
        <v>27</v>
      </c>
      <c r="E8385" s="4">
        <v>-31925</v>
      </c>
      <c r="F8385" s="3" t="s">
        <v>20836</v>
      </c>
      <c r="G8385" s="3" t="s">
        <v>20837</v>
      </c>
      <c r="H8385" s="2" t="s">
        <v>21</v>
      </c>
      <c r="I8385" s="2" t="s">
        <v>20838</v>
      </c>
      <c r="J8385" s="3" t="str">
        <f>HYPERLINK("https://www.boe.es/gazeta/dias/1812/08/03/pdfs/GMD-1812-216.pdf#page=2","Abrir facsímil")</f>
        <v>Abrir facsímil</v>
      </c>
      <c r="K8385" s="3" t="s">
        <v>23</v>
      </c>
    </row>
    <row r="8386" spans="1:11" ht="42" customHeight="1">
      <c r="A8386" s="2" t="s">
        <v>20839</v>
      </c>
      <c r="B8386" s="2" t="s">
        <v>20839</v>
      </c>
      <c r="C8386" s="2" t="s">
        <v>17</v>
      </c>
      <c r="D8386" s="2" t="s">
        <v>27</v>
      </c>
      <c r="E8386" s="4">
        <v>-32090</v>
      </c>
      <c r="F8386" s="3" t="s">
        <v>142</v>
      </c>
      <c r="G8386" s="3" t="s">
        <v>11430</v>
      </c>
      <c r="H8386" s="2" t="s">
        <v>21</v>
      </c>
      <c r="I8386" s="2" t="s">
        <v>20840</v>
      </c>
      <c r="J8386" s="3" t="str">
        <f>HYPERLINK("https://www.boe.es/gazeta/dias/1812/02/20/pdfs/GRE-1812-22.pdf#page=3","Abrir facsímil")</f>
        <v>Abrir facsímil</v>
      </c>
      <c r="K8386" s="3" t="s">
        <v>23</v>
      </c>
    </row>
    <row r="8387" spans="1:11" ht="42" customHeight="1">
      <c r="A8387" s="2" t="s">
        <v>20841</v>
      </c>
      <c r="B8387" s="2" t="s">
        <v>20841</v>
      </c>
      <c r="C8387" s="2" t="s">
        <v>17</v>
      </c>
      <c r="D8387" s="2" t="s">
        <v>18</v>
      </c>
      <c r="E8387" s="4">
        <v>-31905</v>
      </c>
      <c r="F8387" s="3" t="s">
        <v>855</v>
      </c>
      <c r="G8387" s="3" t="s">
        <v>1826</v>
      </c>
      <c r="H8387" s="2" t="s">
        <v>21</v>
      </c>
      <c r="I8387" s="2" t="s">
        <v>20842</v>
      </c>
      <c r="J8387" s="3" t="str">
        <f>HYPERLINK("https://www.boe.es/gazeta/dias/1812/08/23/pdfs/GMR-1812-4.pdf#page=7","Abrir facsímil")</f>
        <v>Abrir facsímil</v>
      </c>
      <c r="K8387" s="3" t="s">
        <v>23</v>
      </c>
    </row>
    <row r="8388" spans="1:11" ht="42" customHeight="1">
      <c r="A8388" s="2" t="s">
        <v>20843</v>
      </c>
      <c r="B8388" s="2" t="s">
        <v>20843</v>
      </c>
      <c r="C8388" s="2" t="s">
        <v>17</v>
      </c>
      <c r="D8388" s="2" t="s">
        <v>27</v>
      </c>
      <c r="E8388" s="4">
        <v>-31819</v>
      </c>
      <c r="F8388" s="3" t="s">
        <v>1856</v>
      </c>
      <c r="G8388" s="3" t="s">
        <v>20</v>
      </c>
      <c r="H8388" s="2" t="s">
        <v>21</v>
      </c>
      <c r="I8388" s="2" t="s">
        <v>20844</v>
      </c>
      <c r="J8388" s="3" t="str">
        <f>HYPERLINK("https://www.boe.es/gazeta/dias/1812/11/17/pdfs/GMR-1812-35.pdf#page=2","Abrir facsímil")</f>
        <v>Abrir facsímil</v>
      </c>
      <c r="K8388" s="3" t="s">
        <v>23</v>
      </c>
    </row>
    <row r="8389" spans="1:11" ht="42" customHeight="1">
      <c r="A8389" s="2" t="s">
        <v>20845</v>
      </c>
      <c r="B8389" s="2" t="s">
        <v>20846</v>
      </c>
      <c r="C8389" s="2" t="s">
        <v>26</v>
      </c>
      <c r="D8389" s="2" t="s">
        <v>27</v>
      </c>
      <c r="E8389" s="4">
        <v>-32034</v>
      </c>
      <c r="F8389" s="3" t="s">
        <v>28</v>
      </c>
      <c r="G8389" s="3" t="s">
        <v>794</v>
      </c>
      <c r="H8389" s="2" t="s">
        <v>21</v>
      </c>
      <c r="I8389" s="2" t="s">
        <v>20847</v>
      </c>
      <c r="J8389" s="3" t="str">
        <f>HYPERLINK("https://www.boe.es/gazeta/dias/1812/04/16/pdfs/GMD-1812-107.pdf#page=7","Abrir facsímil")</f>
        <v>Abrir facsímil</v>
      </c>
      <c r="K8389" s="3" t="s">
        <v>23</v>
      </c>
    </row>
    <row r="8390" spans="1:11" ht="42" customHeight="1">
      <c r="A8390" s="2" t="s">
        <v>20848</v>
      </c>
      <c r="B8390" s="2" t="s">
        <v>20848</v>
      </c>
      <c r="C8390" s="2" t="s">
        <v>17</v>
      </c>
      <c r="D8390" s="2" t="s">
        <v>18</v>
      </c>
      <c r="E8390" s="4">
        <v>-31861</v>
      </c>
      <c r="F8390" s="3" t="s">
        <v>1080</v>
      </c>
      <c r="G8390" s="3" t="s">
        <v>58</v>
      </c>
      <c r="H8390" s="2" t="s">
        <v>21</v>
      </c>
      <c r="I8390" s="2" t="s">
        <v>20849</v>
      </c>
      <c r="J8390" s="3" t="str">
        <f>HYPERLINK("https://www.boe.es/gazeta/dias/1812/10/06/pdfs/GMR-1812-23.pdf#page=8","Abrir facsímil")</f>
        <v>Abrir facsímil</v>
      </c>
      <c r="K8390" s="3" t="s">
        <v>23</v>
      </c>
    </row>
    <row r="8391" spans="1:11" ht="42" customHeight="1">
      <c r="A8391" s="2" t="s">
        <v>20848</v>
      </c>
      <c r="B8391" s="2" t="s">
        <v>20848</v>
      </c>
      <c r="C8391" s="2" t="s">
        <v>17</v>
      </c>
      <c r="D8391" s="2" t="s">
        <v>18</v>
      </c>
      <c r="E8391" s="4">
        <v>-31852</v>
      </c>
      <c r="F8391" s="3" t="s">
        <v>4370</v>
      </c>
      <c r="G8391" s="3" t="s">
        <v>214</v>
      </c>
      <c r="H8391" s="2" t="s">
        <v>21</v>
      </c>
      <c r="I8391" s="2" t="s">
        <v>20850</v>
      </c>
      <c r="J8391" s="3" t="str">
        <f>HYPERLINK("https://www.boe.es/gazeta/dias/1812/10/15/pdfs/GMR-1812-27.pdf#page=2","Abrir facsímil")</f>
        <v>Abrir facsímil</v>
      </c>
      <c r="K8391" s="3" t="s">
        <v>23</v>
      </c>
    </row>
    <row r="8392" spans="1:11" ht="42" customHeight="1">
      <c r="A8392" s="2" t="s">
        <v>20848</v>
      </c>
      <c r="B8392" s="2" t="s">
        <v>20848</v>
      </c>
      <c r="C8392" s="2" t="s">
        <v>17</v>
      </c>
      <c r="D8392" s="2" t="s">
        <v>18</v>
      </c>
      <c r="E8392" s="4">
        <v>-31838</v>
      </c>
      <c r="F8392" s="3" t="s">
        <v>1452</v>
      </c>
      <c r="G8392" s="3" t="s">
        <v>1076</v>
      </c>
      <c r="H8392" s="2" t="s">
        <v>21</v>
      </c>
      <c r="I8392" s="2" t="s">
        <v>20851</v>
      </c>
      <c r="J8392" s="3" t="str">
        <f>HYPERLINK("https://www.boe.es/gazeta/dias/1812/10/29/pdfs/GMR-1812-33.pdf#page=1","Abrir facsímil")</f>
        <v>Abrir facsímil</v>
      </c>
      <c r="K8392" s="3" t="s">
        <v>23</v>
      </c>
    </row>
    <row r="8393" spans="1:11" ht="42" customHeight="1">
      <c r="A8393" s="2" t="s">
        <v>20848</v>
      </c>
      <c r="B8393" s="2" t="s">
        <v>20848</v>
      </c>
      <c r="C8393" s="2" t="s">
        <v>17</v>
      </c>
      <c r="D8393" s="2" t="s">
        <v>27</v>
      </c>
      <c r="E8393" s="4">
        <v>-31831</v>
      </c>
      <c r="F8393" s="3" t="s">
        <v>1963</v>
      </c>
      <c r="G8393" s="3" t="s">
        <v>6027</v>
      </c>
      <c r="H8393" s="2" t="s">
        <v>21</v>
      </c>
      <c r="I8393" s="2" t="s">
        <v>20852</v>
      </c>
      <c r="J8393" s="3" t="str">
        <f>HYPERLINK("https://www.boe.es/gazeta/dias/1812/11/05/pdfs/GRE-1812-148.pdf#page=2","Abrir facsímil")</f>
        <v>Abrir facsímil</v>
      </c>
      <c r="K8393" s="3" t="s">
        <v>23</v>
      </c>
    </row>
    <row r="8394" spans="1:11" ht="42" customHeight="1">
      <c r="A8394" s="2" t="s">
        <v>20848</v>
      </c>
      <c r="B8394" s="2" t="s">
        <v>20848</v>
      </c>
      <c r="C8394" s="2" t="s">
        <v>17</v>
      </c>
      <c r="D8394" s="2" t="s">
        <v>18</v>
      </c>
      <c r="E8394" s="4">
        <v>-31793</v>
      </c>
      <c r="F8394" s="3" t="s">
        <v>2570</v>
      </c>
      <c r="G8394" s="3" t="s">
        <v>1953</v>
      </c>
      <c r="H8394" s="2" t="s">
        <v>21</v>
      </c>
      <c r="I8394" s="2" t="s">
        <v>20853</v>
      </c>
      <c r="J8394" s="3" t="str">
        <f>HYPERLINK("https://www.boe.es/gazeta/dias/1812/12/13/pdfs/GMD-1812-236.pdf#page=3","Abrir facsímil")</f>
        <v>Abrir facsímil</v>
      </c>
      <c r="K8394" s="3" t="s">
        <v>23</v>
      </c>
    </row>
    <row r="8395" spans="1:11" ht="42" customHeight="1">
      <c r="A8395" s="2" t="s">
        <v>20854</v>
      </c>
      <c r="B8395" s="2" t="s">
        <v>20854</v>
      </c>
      <c r="C8395" s="2" t="s">
        <v>186</v>
      </c>
      <c r="D8395" s="2" t="s">
        <v>27</v>
      </c>
      <c r="E8395" s="4">
        <v>-31971</v>
      </c>
      <c r="F8395" s="3" t="s">
        <v>587</v>
      </c>
      <c r="G8395" s="3" t="s">
        <v>588</v>
      </c>
      <c r="H8395" s="2" t="s">
        <v>21</v>
      </c>
      <c r="I8395" s="2" t="s">
        <v>20855</v>
      </c>
      <c r="J8395" s="3" t="str">
        <f>HYPERLINK("https://www.boe.es/gazeta/dias/1812/06/18/pdfs/GMD-1812-170.pdf#page=4","Abrir facsímil")</f>
        <v>Abrir facsímil</v>
      </c>
      <c r="K8395" s="3" t="s">
        <v>23</v>
      </c>
    </row>
    <row r="8396" spans="1:11" ht="42" customHeight="1">
      <c r="A8396" s="2" t="s">
        <v>20856</v>
      </c>
      <c r="B8396" s="2" t="s">
        <v>20856</v>
      </c>
      <c r="C8396" s="2" t="s">
        <v>186</v>
      </c>
      <c r="D8396" s="2" t="s">
        <v>27</v>
      </c>
      <c r="E8396" s="4">
        <v>-32093</v>
      </c>
      <c r="F8396" s="3" t="s">
        <v>4503</v>
      </c>
      <c r="G8396" s="3" t="s">
        <v>217</v>
      </c>
      <c r="H8396" s="2" t="s">
        <v>30</v>
      </c>
      <c r="I8396" s="2" t="s">
        <v>20857</v>
      </c>
      <c r="J8396" s="3" t="str">
        <f>HYPERLINK("https://www.boe.es/gazeta/dias/1812/02/17/pdfs/GMD-1812-48.pdf#page=1","Abrir facsímil")</f>
        <v>Abrir facsímil</v>
      </c>
      <c r="K8396" s="3" t="s">
        <v>32</v>
      </c>
    </row>
    <row r="8397" spans="1:11" ht="42" customHeight="1">
      <c r="A8397" s="2" t="s">
        <v>20858</v>
      </c>
      <c r="B8397" s="2" t="s">
        <v>20858</v>
      </c>
      <c r="C8397" s="2" t="s">
        <v>17</v>
      </c>
      <c r="D8397" s="2" t="s">
        <v>194</v>
      </c>
      <c r="E8397" s="4">
        <v>-31906</v>
      </c>
      <c r="F8397" s="3" t="s">
        <v>1815</v>
      </c>
      <c r="G8397" s="3" t="s">
        <v>196</v>
      </c>
      <c r="H8397" s="2" t="s">
        <v>21</v>
      </c>
      <c r="I8397" s="2" t="s">
        <v>20859</v>
      </c>
      <c r="J8397" s="3" t="str">
        <f>HYPERLINK("https://www.boe.es/gazeta/dias/1812/08/22/pdfs/GMR-1812-3.pdf#page=1","Abrir facsímil")</f>
        <v>Abrir facsímil</v>
      </c>
      <c r="K8397" s="3" t="s">
        <v>23</v>
      </c>
    </row>
    <row r="8398" spans="1:11" ht="42" customHeight="1">
      <c r="A8398" s="2" t="s">
        <v>20860</v>
      </c>
      <c r="B8398" s="2" t="s">
        <v>20861</v>
      </c>
      <c r="C8398" s="2" t="s">
        <v>17</v>
      </c>
      <c r="D8398" s="2" t="s">
        <v>18</v>
      </c>
      <c r="E8398" s="4">
        <v>-32083</v>
      </c>
      <c r="F8398" s="3" t="s">
        <v>1496</v>
      </c>
      <c r="G8398" s="3" t="s">
        <v>2658</v>
      </c>
      <c r="H8398" s="2" t="s">
        <v>30</v>
      </c>
      <c r="I8398" s="2" t="s">
        <v>20862</v>
      </c>
      <c r="J8398" s="3" t="str">
        <f>HYPERLINK("https://www.boe.es/gazeta/dias/1812/02/27/pdfs/GRE-1812-26.pdf#page=7","Abrir facsímil")</f>
        <v>Abrir facsímil</v>
      </c>
      <c r="K8398" s="3" t="s">
        <v>32</v>
      </c>
    </row>
    <row r="8399" spans="1:11" ht="42" customHeight="1">
      <c r="A8399" s="2" t="s">
        <v>20863</v>
      </c>
      <c r="B8399" s="2" t="s">
        <v>20864</v>
      </c>
      <c r="C8399" s="2" t="s">
        <v>26</v>
      </c>
      <c r="D8399" s="2" t="s">
        <v>27</v>
      </c>
      <c r="E8399" s="4">
        <v>-32044</v>
      </c>
      <c r="F8399" s="3" t="s">
        <v>1031</v>
      </c>
      <c r="G8399" s="3" t="s">
        <v>1873</v>
      </c>
      <c r="H8399" s="2" t="s">
        <v>30</v>
      </c>
      <c r="I8399" s="2" t="s">
        <v>20865</v>
      </c>
      <c r="J8399" s="3" t="str">
        <f>HYPERLINK("https://www.boe.es/gazeta/dias/1812/04/06/pdfs/GMD-1812-97.pdf#page=4","Abrir facsímil")</f>
        <v>Abrir facsímil</v>
      </c>
      <c r="K8399" s="3" t="s">
        <v>32</v>
      </c>
    </row>
    <row r="8400" spans="1:11" ht="42" customHeight="1">
      <c r="A8400" s="2" t="s">
        <v>20866</v>
      </c>
      <c r="B8400" s="2" t="s">
        <v>20867</v>
      </c>
      <c r="C8400" s="2" t="s">
        <v>26</v>
      </c>
      <c r="D8400" s="2" t="s">
        <v>27</v>
      </c>
      <c r="E8400" s="4">
        <v>-32034</v>
      </c>
      <c r="F8400" s="3" t="s">
        <v>1008</v>
      </c>
      <c r="G8400" s="3" t="s">
        <v>1009</v>
      </c>
      <c r="H8400" s="2" t="s">
        <v>30</v>
      </c>
      <c r="I8400" s="2" t="s">
        <v>20868</v>
      </c>
      <c r="J8400" s="3" t="str">
        <f>HYPERLINK("https://www.boe.es/gazeta/dias/1812/04/16/pdfs/GRE-1812-48.pdf#page=8","Abrir facsímil")</f>
        <v>Abrir facsímil</v>
      </c>
      <c r="K8400" s="3" t="s">
        <v>32</v>
      </c>
    </row>
    <row r="8401" spans="1:11" ht="42" customHeight="1">
      <c r="A8401" s="2" t="s">
        <v>20869</v>
      </c>
      <c r="B8401" s="2" t="s">
        <v>20870</v>
      </c>
      <c r="C8401" s="2" t="s">
        <v>82</v>
      </c>
      <c r="D8401" s="2" t="s">
        <v>27</v>
      </c>
      <c r="E8401" s="4">
        <v>-31939</v>
      </c>
      <c r="F8401" s="3" t="s">
        <v>408</v>
      </c>
      <c r="G8401" s="3" t="s">
        <v>409</v>
      </c>
      <c r="H8401" s="2" t="s">
        <v>30</v>
      </c>
      <c r="I8401" s="2" t="s">
        <v>20871</v>
      </c>
      <c r="J8401" s="3" t="str">
        <f>HYPERLINK("https://www.boe.es/gazeta/dias/1812/07/20/pdfs/GMD-1812-202.pdf#page=3","Abrir facsímil")</f>
        <v>Abrir facsímil</v>
      </c>
      <c r="K8401" s="3" t="s">
        <v>32</v>
      </c>
    </row>
    <row r="8402" spans="1:11" ht="42" customHeight="1">
      <c r="A8402" s="2" t="s">
        <v>20872</v>
      </c>
      <c r="B8402" s="2" t="s">
        <v>20873</v>
      </c>
      <c r="C8402" s="2" t="s">
        <v>26</v>
      </c>
      <c r="D8402" s="2" t="s">
        <v>27</v>
      </c>
      <c r="E8402" s="4">
        <v>-31982</v>
      </c>
      <c r="F8402" s="3" t="s">
        <v>1630</v>
      </c>
      <c r="G8402" s="3" t="s">
        <v>1631</v>
      </c>
      <c r="H8402" s="2" t="s">
        <v>21</v>
      </c>
      <c r="I8402" s="2" t="s">
        <v>20874</v>
      </c>
      <c r="J8402" s="3" t="str">
        <f>HYPERLINK("https://www.boe.es/gazeta/dias/1812/06/07/pdfs/GMD-1812-159.pdf#page=4","Abrir facsímil")</f>
        <v>Abrir facsímil</v>
      </c>
      <c r="K8402" s="3" t="s">
        <v>23</v>
      </c>
    </row>
    <row r="8403" spans="1:11" ht="42" customHeight="1">
      <c r="A8403" s="2" t="s">
        <v>20875</v>
      </c>
      <c r="B8403" s="2" t="s">
        <v>20876</v>
      </c>
      <c r="C8403" s="2" t="s">
        <v>26</v>
      </c>
      <c r="D8403" s="2" t="s">
        <v>27</v>
      </c>
      <c r="E8403" s="4">
        <v>-32044</v>
      </c>
      <c r="F8403" s="3" t="s">
        <v>1031</v>
      </c>
      <c r="G8403" s="3" t="s">
        <v>1873</v>
      </c>
      <c r="H8403" s="2" t="s">
        <v>21</v>
      </c>
      <c r="I8403" s="2" t="s">
        <v>20877</v>
      </c>
      <c r="J8403" s="3" t="str">
        <f>HYPERLINK("https://www.boe.es/gazeta/dias/1812/04/06/pdfs/GMD-1812-97.pdf#page=4","Abrir facsímil")</f>
        <v>Abrir facsímil</v>
      </c>
      <c r="K8403" s="3" t="s">
        <v>23</v>
      </c>
    </row>
    <row r="8404" spans="1:11" ht="42" customHeight="1">
      <c r="A8404" s="2" t="s">
        <v>20878</v>
      </c>
      <c r="B8404" s="2" t="s">
        <v>20879</v>
      </c>
      <c r="C8404" s="2" t="s">
        <v>17</v>
      </c>
      <c r="D8404" s="2" t="s">
        <v>18</v>
      </c>
      <c r="E8404" s="4">
        <v>-31968</v>
      </c>
      <c r="F8404" s="3" t="s">
        <v>4011</v>
      </c>
      <c r="G8404" s="3" t="s">
        <v>237</v>
      </c>
      <c r="H8404" s="2" t="s">
        <v>21</v>
      </c>
      <c r="I8404" s="2" t="s">
        <v>20880</v>
      </c>
      <c r="J8404" s="3" t="str">
        <f>HYPERLINK("https://www.boe.es/gazeta/dias/1812/06/21/pdfs/GMD-1812-173.pdf#page=4","Abrir facsímil")</f>
        <v>Abrir facsímil</v>
      </c>
      <c r="K8404" s="3" t="s">
        <v>23</v>
      </c>
    </row>
    <row r="8405" spans="1:11" ht="42" customHeight="1">
      <c r="A8405" s="2" t="s">
        <v>20881</v>
      </c>
      <c r="B8405" s="2" t="s">
        <v>20882</v>
      </c>
      <c r="C8405" s="2" t="s">
        <v>26</v>
      </c>
      <c r="D8405" s="2" t="s">
        <v>275</v>
      </c>
      <c r="E8405" s="4">
        <v>-32034</v>
      </c>
      <c r="F8405" s="3" t="s">
        <v>28</v>
      </c>
      <c r="G8405" s="3" t="s">
        <v>794</v>
      </c>
      <c r="H8405" s="2" t="s">
        <v>21</v>
      </c>
      <c r="I8405" s="2" t="s">
        <v>20883</v>
      </c>
      <c r="J8405" s="3" t="str">
        <f>HYPERLINK("https://www.boe.es/gazeta/dias/1812/04/16/pdfs/GMD-1812-107.pdf#page=7","Abrir facsímil")</f>
        <v>Abrir facsímil</v>
      </c>
      <c r="K8405" s="3" t="s">
        <v>23</v>
      </c>
    </row>
    <row r="8406" spans="1:11" ht="42" customHeight="1">
      <c r="A8406" s="2" t="s">
        <v>20884</v>
      </c>
      <c r="B8406" s="2" t="s">
        <v>20884</v>
      </c>
      <c r="C8406" s="2" t="s">
        <v>17</v>
      </c>
      <c r="D8406" s="2" t="s">
        <v>18</v>
      </c>
      <c r="E8406" s="4">
        <v>-32063</v>
      </c>
      <c r="F8406" s="3" t="s">
        <v>384</v>
      </c>
      <c r="G8406" s="3" t="s">
        <v>20</v>
      </c>
      <c r="H8406" s="2" t="s">
        <v>21</v>
      </c>
      <c r="I8406" s="2" t="s">
        <v>20885</v>
      </c>
      <c r="J8406" s="3" t="str">
        <f>HYPERLINK("https://www.boe.es/gazeta/dias/1812/03/18/pdfs/GMD-1812-78.pdf#page=4","Abrir facsímil")</f>
        <v>Abrir facsímil</v>
      </c>
      <c r="K8406" s="3" t="s">
        <v>23</v>
      </c>
    </row>
    <row r="8407" spans="1:11" ht="42" customHeight="1">
      <c r="A8407" s="2" t="s">
        <v>20884</v>
      </c>
      <c r="B8407" s="2" t="s">
        <v>20884</v>
      </c>
      <c r="C8407" s="2" t="s">
        <v>17</v>
      </c>
      <c r="D8407" s="2" t="s">
        <v>275</v>
      </c>
      <c r="E8407" s="4">
        <v>-31976</v>
      </c>
      <c r="F8407" s="3" t="s">
        <v>54</v>
      </c>
      <c r="G8407" s="3" t="s">
        <v>1335</v>
      </c>
      <c r="H8407" s="2" t="s">
        <v>21</v>
      </c>
      <c r="I8407" s="2" t="s">
        <v>20886</v>
      </c>
      <c r="J8407" s="3" t="str">
        <f>HYPERLINK("https://www.boe.es/gazeta/dias/1812/06/13/pdfs/GRE-1812-73.pdf#page=7","Abrir facsímil")</f>
        <v>Abrir facsímil</v>
      </c>
      <c r="K8407" s="3" t="s">
        <v>23</v>
      </c>
    </row>
    <row r="8408" spans="1:11" ht="42" customHeight="1">
      <c r="A8408" s="2" t="s">
        <v>20887</v>
      </c>
      <c r="B8408" s="2" t="s">
        <v>20888</v>
      </c>
      <c r="C8408" s="2" t="s">
        <v>26</v>
      </c>
      <c r="D8408" s="2" t="s">
        <v>27</v>
      </c>
      <c r="E8408" s="4">
        <v>-31980</v>
      </c>
      <c r="F8408" s="3" t="s">
        <v>40</v>
      </c>
      <c r="G8408" s="3" t="s">
        <v>41</v>
      </c>
      <c r="H8408" s="2" t="s">
        <v>21</v>
      </c>
      <c r="I8408" s="2" t="s">
        <v>20889</v>
      </c>
      <c r="J8408" s="3" t="str">
        <f>HYPERLINK("https://www.boe.es/gazeta/dias/1812/06/09/pdfs/GRE-1812-71.pdf#page=6","Abrir facsímil")</f>
        <v>Abrir facsímil</v>
      </c>
      <c r="K8408" s="3" t="s">
        <v>23</v>
      </c>
    </row>
    <row r="8409" spans="1:11" ht="42" customHeight="1">
      <c r="A8409" s="2" t="s">
        <v>20890</v>
      </c>
      <c r="B8409" s="2" t="s">
        <v>20891</v>
      </c>
      <c r="C8409" s="2" t="s">
        <v>67</v>
      </c>
      <c r="D8409" s="2" t="s">
        <v>275</v>
      </c>
      <c r="E8409" s="4">
        <v>-32063</v>
      </c>
      <c r="F8409" s="3" t="s">
        <v>384</v>
      </c>
      <c r="G8409" s="3" t="s">
        <v>20</v>
      </c>
      <c r="H8409" s="2" t="s">
        <v>21</v>
      </c>
      <c r="I8409" s="2" t="s">
        <v>20892</v>
      </c>
      <c r="J8409" s="3" t="str">
        <f>HYPERLINK("https://www.boe.es/gazeta/dias/1812/03/18/pdfs/GMD-1812-78.pdf#page=4","Abrir facsímil")</f>
        <v>Abrir facsímil</v>
      </c>
      <c r="K8409" s="3" t="s">
        <v>23</v>
      </c>
    </row>
    <row r="8410" spans="1:11" ht="42" customHeight="1">
      <c r="A8410" s="2" t="s">
        <v>20890</v>
      </c>
      <c r="B8410" s="2" t="s">
        <v>20891</v>
      </c>
      <c r="C8410" s="2" t="s">
        <v>26</v>
      </c>
      <c r="D8410" s="2" t="s">
        <v>27</v>
      </c>
      <c r="E8410" s="4">
        <v>-32034</v>
      </c>
      <c r="F8410" s="3" t="s">
        <v>28</v>
      </c>
      <c r="G8410" s="3" t="s">
        <v>29</v>
      </c>
      <c r="H8410" s="2" t="s">
        <v>21</v>
      </c>
      <c r="I8410" s="2" t="s">
        <v>20893</v>
      </c>
      <c r="J8410" s="3" t="str">
        <f>HYPERLINK("https://www.boe.es/gazeta/dias/1812/04/16/pdfs/GMD-1812-107.pdf#page=8","Abrir facsímil")</f>
        <v>Abrir facsímil</v>
      </c>
      <c r="K8410" s="3" t="s">
        <v>23</v>
      </c>
    </row>
    <row r="8411" spans="1:11" ht="42" customHeight="1">
      <c r="A8411" s="2" t="s">
        <v>20890</v>
      </c>
      <c r="B8411" s="2" t="s">
        <v>20891</v>
      </c>
      <c r="C8411" s="2" t="s">
        <v>26</v>
      </c>
      <c r="D8411" s="2" t="s">
        <v>27</v>
      </c>
      <c r="E8411" s="4">
        <v>-32018</v>
      </c>
      <c r="F8411" s="3" t="s">
        <v>365</v>
      </c>
      <c r="G8411" s="3" t="s">
        <v>366</v>
      </c>
      <c r="H8411" s="2" t="s">
        <v>21</v>
      </c>
      <c r="I8411" s="2" t="s">
        <v>20894</v>
      </c>
      <c r="J8411" s="3" t="str">
        <f>HYPERLINK("https://www.boe.es/gazeta/dias/1812/05/02/pdfs/GRE-1812-55.pdf#page=3","Abrir facsímil")</f>
        <v>Abrir facsímil</v>
      </c>
      <c r="K8411" s="3" t="s">
        <v>23</v>
      </c>
    </row>
    <row r="8412" spans="1:11" ht="42" customHeight="1">
      <c r="A8412" s="2" t="s">
        <v>20895</v>
      </c>
      <c r="B8412" s="2" t="s">
        <v>20896</v>
      </c>
      <c r="C8412" s="2" t="s">
        <v>26</v>
      </c>
      <c r="D8412" s="2" t="s">
        <v>27</v>
      </c>
      <c r="E8412" s="4">
        <v>-32045</v>
      </c>
      <c r="F8412" s="3" t="s">
        <v>129</v>
      </c>
      <c r="G8412" s="3" t="s">
        <v>130</v>
      </c>
      <c r="H8412" s="2" t="s">
        <v>21</v>
      </c>
      <c r="I8412" s="2" t="s">
        <v>20897</v>
      </c>
      <c r="J8412" s="3" t="str">
        <f>HYPERLINK("https://www.boe.es/gazeta/dias/1812/04/05/pdfs/GMD-1812-96.pdf#page=4","Abrir facsímil")</f>
        <v>Abrir facsímil</v>
      </c>
      <c r="K8412" s="3" t="s">
        <v>23</v>
      </c>
    </row>
    <row r="8413" spans="1:11" ht="42" customHeight="1">
      <c r="A8413" s="2" t="s">
        <v>20898</v>
      </c>
      <c r="B8413" s="2" t="s">
        <v>20899</v>
      </c>
      <c r="C8413" s="2" t="s">
        <v>26</v>
      </c>
      <c r="D8413" s="2" t="s">
        <v>194</v>
      </c>
      <c r="E8413" s="4">
        <v>-32123</v>
      </c>
      <c r="F8413" s="3" t="s">
        <v>2642</v>
      </c>
      <c r="G8413" s="3" t="s">
        <v>20</v>
      </c>
      <c r="H8413" s="2" t="s">
        <v>21</v>
      </c>
      <c r="I8413" s="2" t="s">
        <v>20900</v>
      </c>
      <c r="J8413" s="3" t="str">
        <f>HYPERLINK("https://www.boe.es/gazeta/dias/1812/01/18/pdfs/GMD-1812-18.pdf#page=4","Abrir facsímil")</f>
        <v>Abrir facsímil</v>
      </c>
      <c r="K8413" s="3" t="s">
        <v>23</v>
      </c>
    </row>
    <row r="8414" spans="1:11" ht="42" customHeight="1">
      <c r="A8414" s="2" t="s">
        <v>20901</v>
      </c>
      <c r="B8414" s="2" t="s">
        <v>20902</v>
      </c>
      <c r="C8414" s="2" t="s">
        <v>105</v>
      </c>
      <c r="D8414" s="2" t="s">
        <v>27</v>
      </c>
      <c r="E8414" s="4">
        <v>-32048</v>
      </c>
      <c r="F8414" s="3" t="s">
        <v>20667</v>
      </c>
      <c r="G8414" s="3" t="s">
        <v>5912</v>
      </c>
      <c r="H8414" s="2" t="s">
        <v>21</v>
      </c>
      <c r="I8414" s="2" t="s">
        <v>20903</v>
      </c>
      <c r="J8414" s="3" t="str">
        <f>HYPERLINK("https://www.boe.es/gazeta/dias/1812/04/02/pdfs/GRE-1812-41.pdf#page=1","Abrir facsímil")</f>
        <v>Abrir facsímil</v>
      </c>
      <c r="K8414" s="3" t="s">
        <v>23</v>
      </c>
    </row>
    <row r="8415" spans="1:11" ht="42" customHeight="1">
      <c r="A8415" s="2" t="s">
        <v>20904</v>
      </c>
      <c r="B8415" s="2" t="s">
        <v>20905</v>
      </c>
      <c r="C8415" s="2" t="s">
        <v>105</v>
      </c>
      <c r="D8415" s="2" t="s">
        <v>27</v>
      </c>
      <c r="E8415" s="4">
        <v>-31833</v>
      </c>
      <c r="F8415" s="3" t="s">
        <v>267</v>
      </c>
      <c r="G8415" s="3" t="s">
        <v>268</v>
      </c>
      <c r="H8415" s="2" t="s">
        <v>21</v>
      </c>
      <c r="I8415" s="2" t="s">
        <v>20906</v>
      </c>
      <c r="J8415" s="3" t="str">
        <f>HYPERLINK("https://www.boe.es/gazeta/dias/1812/11/03/pdfs/GRE-1812-147.pdf#page=8","Abrir facsímil")</f>
        <v>Abrir facsímil</v>
      </c>
      <c r="K8415" s="3" t="s">
        <v>23</v>
      </c>
    </row>
    <row r="8416" spans="1:11" ht="42" customHeight="1">
      <c r="A8416" s="2" t="s">
        <v>20907</v>
      </c>
      <c r="B8416" s="2" t="s">
        <v>20908</v>
      </c>
      <c r="C8416" s="2" t="s">
        <v>186</v>
      </c>
      <c r="D8416" s="2" t="s">
        <v>27</v>
      </c>
      <c r="E8416" s="4">
        <v>-31992</v>
      </c>
      <c r="F8416" s="3" t="s">
        <v>2239</v>
      </c>
      <c r="G8416" s="3" t="s">
        <v>20</v>
      </c>
      <c r="H8416" s="2" t="s">
        <v>21</v>
      </c>
      <c r="I8416" s="2" t="s">
        <v>20909</v>
      </c>
      <c r="J8416" s="3" t="str">
        <f>HYPERLINK("https://www.boe.es/gazeta/dias/1812/05/28/pdfs/GMD-1812-149.pdf#page=4","Abrir facsímil")</f>
        <v>Abrir facsímil</v>
      </c>
      <c r="K8416" s="3" t="s">
        <v>23</v>
      </c>
    </row>
    <row r="8417" spans="1:11" ht="42" customHeight="1">
      <c r="A8417" s="2" t="s">
        <v>20910</v>
      </c>
      <c r="B8417" s="2" t="s">
        <v>20911</v>
      </c>
      <c r="C8417" s="2" t="s">
        <v>26</v>
      </c>
      <c r="D8417" s="2" t="s">
        <v>27</v>
      </c>
      <c r="E8417" s="4">
        <v>-31940</v>
      </c>
      <c r="F8417" s="3" t="s">
        <v>187</v>
      </c>
      <c r="G8417" s="3" t="s">
        <v>404</v>
      </c>
      <c r="H8417" s="2" t="s">
        <v>21</v>
      </c>
      <c r="I8417" s="2" t="s">
        <v>20912</v>
      </c>
      <c r="J8417" s="3" t="str">
        <f>HYPERLINK("https://www.boe.es/gazeta/dias/1812/07/19/pdfs/GMD-1812-201.pdf#page=3","Abrir facsímil")</f>
        <v>Abrir facsímil</v>
      </c>
      <c r="K8417" s="3" t="s">
        <v>23</v>
      </c>
    </row>
    <row r="8418" spans="1:11" ht="42" customHeight="1">
      <c r="A8418" s="2" t="s">
        <v>20913</v>
      </c>
      <c r="B8418" s="2" t="s">
        <v>20914</v>
      </c>
      <c r="C8418" s="2" t="s">
        <v>26</v>
      </c>
      <c r="D8418" s="2" t="s">
        <v>27</v>
      </c>
      <c r="E8418" s="4">
        <v>-32034</v>
      </c>
      <c r="F8418" s="3" t="s">
        <v>28</v>
      </c>
      <c r="G8418" s="3" t="s">
        <v>130</v>
      </c>
      <c r="H8418" s="2" t="s">
        <v>21</v>
      </c>
      <c r="I8418" s="2" t="s">
        <v>20915</v>
      </c>
      <c r="J8418" s="3" t="str">
        <f>HYPERLINK("https://www.boe.es/gazeta/dias/1812/04/16/pdfs/GMD-1812-107.pdf#page=4","Abrir facsímil")</f>
        <v>Abrir facsímil</v>
      </c>
      <c r="K8418" s="3" t="s">
        <v>23</v>
      </c>
    </row>
    <row r="8419" spans="1:11" ht="42" customHeight="1">
      <c r="A8419" s="2" t="s">
        <v>20916</v>
      </c>
      <c r="B8419" s="2" t="s">
        <v>20917</v>
      </c>
      <c r="C8419" s="2" t="s">
        <v>17</v>
      </c>
      <c r="D8419" s="2" t="s">
        <v>18</v>
      </c>
      <c r="E8419" s="4">
        <v>-32130</v>
      </c>
      <c r="F8419" s="3" t="s">
        <v>927</v>
      </c>
      <c r="G8419" s="3" t="s">
        <v>130</v>
      </c>
      <c r="H8419" s="2" t="s">
        <v>21</v>
      </c>
      <c r="I8419" s="2" t="s">
        <v>20918</v>
      </c>
      <c r="J8419" s="3" t="str">
        <f>HYPERLINK("https://www.boe.es/gazeta/dias/1812/01/11/pdfs/GMD-1812-11.pdf#page=4","Abrir facsímil")</f>
        <v>Abrir facsímil</v>
      </c>
      <c r="K8419" s="3" t="s">
        <v>23</v>
      </c>
    </row>
    <row r="8420" spans="1:11" ht="42" customHeight="1">
      <c r="A8420" s="2" t="s">
        <v>20916</v>
      </c>
      <c r="B8420" s="2" t="s">
        <v>20917</v>
      </c>
      <c r="C8420" s="2" t="s">
        <v>26</v>
      </c>
      <c r="D8420" s="2" t="s">
        <v>27</v>
      </c>
      <c r="E8420" s="4">
        <v>-32121</v>
      </c>
      <c r="F8420" s="3" t="s">
        <v>1237</v>
      </c>
      <c r="G8420" s="3" t="s">
        <v>404</v>
      </c>
      <c r="H8420" s="2" t="s">
        <v>21</v>
      </c>
      <c r="I8420" s="2" t="s">
        <v>20919</v>
      </c>
      <c r="J8420" s="3" t="str">
        <f>HYPERLINK("https://www.boe.es/gazeta/dias/1812/01/20/pdfs/GMD-1812-20.pdf#page=4","Abrir facsímil")</f>
        <v>Abrir facsímil</v>
      </c>
      <c r="K8420" s="3" t="s">
        <v>23</v>
      </c>
    </row>
    <row r="8421" spans="1:11" ht="42" customHeight="1">
      <c r="A8421" s="2" t="s">
        <v>20920</v>
      </c>
      <c r="B8421" s="2" t="s">
        <v>20921</v>
      </c>
      <c r="C8421" s="2" t="s">
        <v>17</v>
      </c>
      <c r="D8421" s="2" t="s">
        <v>27</v>
      </c>
      <c r="E8421" s="4">
        <v>-32067</v>
      </c>
      <c r="F8421" s="3" t="s">
        <v>199</v>
      </c>
      <c r="G8421" s="3" t="s">
        <v>237</v>
      </c>
      <c r="H8421" s="2" t="s">
        <v>21</v>
      </c>
      <c r="I8421" s="2" t="s">
        <v>20922</v>
      </c>
      <c r="J8421" s="3" t="str">
        <f>HYPERLINK("https://www.boe.es/gazeta/dias/1812/03/14/pdfs/GRE-1812-33.pdf#page=8","Abrir facsímil")</f>
        <v>Abrir facsímil</v>
      </c>
      <c r="K8421" s="3" t="s">
        <v>23</v>
      </c>
    </row>
    <row r="8422" spans="1:11" ht="42" customHeight="1">
      <c r="A8422" s="2" t="s">
        <v>20923</v>
      </c>
      <c r="B8422" s="2" t="s">
        <v>20924</v>
      </c>
      <c r="C8422" s="2" t="s">
        <v>17</v>
      </c>
      <c r="D8422" s="2" t="s">
        <v>18</v>
      </c>
      <c r="E8422" s="4">
        <v>-32127</v>
      </c>
      <c r="F8422" s="3" t="s">
        <v>88</v>
      </c>
      <c r="G8422" s="3" t="s">
        <v>89</v>
      </c>
      <c r="H8422" s="2" t="s">
        <v>21</v>
      </c>
      <c r="I8422" s="2" t="s">
        <v>20925</v>
      </c>
      <c r="J8422" s="3" t="str">
        <f>HYPERLINK("https://www.boe.es/gazeta/dias/1812/01/14/pdfs/GEI-1812-6.pdf#page=8","Abrir facsímil")</f>
        <v>Abrir facsímil</v>
      </c>
      <c r="K8422" s="3" t="s">
        <v>23</v>
      </c>
    </row>
    <row r="8423" spans="1:11" ht="42" customHeight="1">
      <c r="A8423" s="2" t="s">
        <v>20926</v>
      </c>
      <c r="B8423" s="2" t="s">
        <v>20927</v>
      </c>
      <c r="C8423" s="2" t="s">
        <v>26</v>
      </c>
      <c r="D8423" s="2" t="s">
        <v>27</v>
      </c>
      <c r="E8423" s="4">
        <v>-31938</v>
      </c>
      <c r="F8423" s="3" t="s">
        <v>324</v>
      </c>
      <c r="G8423" s="3" t="s">
        <v>404</v>
      </c>
      <c r="H8423" s="2" t="s">
        <v>21</v>
      </c>
      <c r="I8423" s="2" t="s">
        <v>20928</v>
      </c>
      <c r="J8423" s="3" t="str">
        <f>HYPERLINK("https://www.boe.es/gazeta/dias/1812/07/21/pdfs/GMD-1812-203.pdf#page=4","Abrir facsímil")</f>
        <v>Abrir facsímil</v>
      </c>
      <c r="K8423" s="3" t="s">
        <v>23</v>
      </c>
    </row>
    <row r="8424" spans="1:11" ht="42" customHeight="1">
      <c r="A8424" s="2" t="s">
        <v>20929</v>
      </c>
      <c r="B8424" s="2" t="s">
        <v>20930</v>
      </c>
      <c r="C8424" s="2" t="s">
        <v>26</v>
      </c>
      <c r="D8424" s="2" t="s">
        <v>27</v>
      </c>
      <c r="E8424" s="4">
        <v>-32075</v>
      </c>
      <c r="F8424" s="3" t="s">
        <v>301</v>
      </c>
      <c r="G8424" s="3" t="s">
        <v>20</v>
      </c>
      <c r="H8424" s="2" t="s">
        <v>21</v>
      </c>
      <c r="I8424" s="2" t="s">
        <v>20931</v>
      </c>
      <c r="J8424" s="3" t="str">
        <f>HYPERLINK("https://www.boe.es/gazeta/dias/1812/03/06/pdfs/GMD-1812-66.pdf#page=4","Abrir facsímil")</f>
        <v>Abrir facsímil</v>
      </c>
      <c r="K8424" s="3" t="s">
        <v>23</v>
      </c>
    </row>
    <row r="8425" spans="1:11" ht="42" customHeight="1">
      <c r="A8425" s="2" t="s">
        <v>20932</v>
      </c>
      <c r="B8425" s="2" t="s">
        <v>20933</v>
      </c>
      <c r="C8425" s="2" t="s">
        <v>26</v>
      </c>
      <c r="D8425" s="2" t="s">
        <v>27</v>
      </c>
      <c r="E8425" s="4">
        <v>-32034</v>
      </c>
      <c r="F8425" s="3" t="s">
        <v>28</v>
      </c>
      <c r="G8425" s="3" t="s">
        <v>45</v>
      </c>
      <c r="H8425" s="2" t="s">
        <v>21</v>
      </c>
      <c r="I8425" s="2" t="s">
        <v>20934</v>
      </c>
      <c r="J8425" s="3" t="str">
        <f>HYPERLINK("https://www.boe.es/gazeta/dias/1812/04/16/pdfs/GMD-1812-107.pdf#page=5","Abrir facsímil")</f>
        <v>Abrir facsímil</v>
      </c>
      <c r="K8425" s="3" t="s">
        <v>23</v>
      </c>
    </row>
    <row r="8426" spans="1:11" ht="42" customHeight="1">
      <c r="A8426" s="2" t="s">
        <v>20935</v>
      </c>
      <c r="B8426" s="2" t="s">
        <v>20936</v>
      </c>
      <c r="C8426" s="2" t="s">
        <v>26</v>
      </c>
      <c r="D8426" s="2" t="s">
        <v>27</v>
      </c>
      <c r="E8426" s="4">
        <v>-31939</v>
      </c>
      <c r="F8426" s="3" t="s">
        <v>408</v>
      </c>
      <c r="G8426" s="3" t="s">
        <v>20</v>
      </c>
      <c r="H8426" s="2" t="s">
        <v>21</v>
      </c>
      <c r="I8426" s="2" t="s">
        <v>20937</v>
      </c>
      <c r="J8426" s="3" t="str">
        <f>HYPERLINK("https://www.boe.es/gazeta/dias/1812/07/20/pdfs/GMD-1812-202.pdf#page=4","Abrir facsímil")</f>
        <v>Abrir facsímil</v>
      </c>
      <c r="K8426" s="3" t="s">
        <v>23</v>
      </c>
    </row>
    <row r="8427" spans="1:11" ht="42" customHeight="1">
      <c r="A8427" s="2" t="s">
        <v>20938</v>
      </c>
      <c r="B8427" s="2" t="s">
        <v>20939</v>
      </c>
      <c r="C8427" s="2" t="s">
        <v>26</v>
      </c>
      <c r="D8427" s="2" t="s">
        <v>27</v>
      </c>
      <c r="E8427" s="4">
        <v>-32034</v>
      </c>
      <c r="F8427" s="3" t="s">
        <v>28</v>
      </c>
      <c r="G8427" s="3" t="s">
        <v>29</v>
      </c>
      <c r="H8427" s="2" t="s">
        <v>21</v>
      </c>
      <c r="I8427" s="2" t="s">
        <v>20940</v>
      </c>
      <c r="J8427" s="3" t="str">
        <f>HYPERLINK("https://www.boe.es/gazeta/dias/1812/04/16/pdfs/GMD-1812-107.pdf#page=8","Abrir facsímil")</f>
        <v>Abrir facsímil</v>
      </c>
      <c r="K8427" s="3" t="s">
        <v>23</v>
      </c>
    </row>
    <row r="8428" spans="1:11" ht="42" customHeight="1">
      <c r="A8428" s="2" t="s">
        <v>20941</v>
      </c>
      <c r="B8428" s="2" t="s">
        <v>20942</v>
      </c>
      <c r="C8428" s="2" t="s">
        <v>26</v>
      </c>
      <c r="D8428" s="2" t="s">
        <v>27</v>
      </c>
      <c r="E8428" s="4">
        <v>-31937</v>
      </c>
      <c r="F8428" s="3" t="s">
        <v>1198</v>
      </c>
      <c r="G8428" s="3" t="s">
        <v>237</v>
      </c>
      <c r="H8428" s="2" t="s">
        <v>21</v>
      </c>
      <c r="I8428" s="2" t="s">
        <v>20943</v>
      </c>
      <c r="J8428" s="3" t="str">
        <f>HYPERLINK("https://www.boe.es/gazeta/dias/1812/07/22/pdfs/GMD-1812-204.pdf#page=4","Abrir facsímil")</f>
        <v>Abrir facsímil</v>
      </c>
      <c r="K8428" s="3" t="s">
        <v>23</v>
      </c>
    </row>
    <row r="8429" spans="1:11" ht="42" customHeight="1">
      <c r="A8429" s="2" t="s">
        <v>20944</v>
      </c>
      <c r="B8429" s="2" t="s">
        <v>20945</v>
      </c>
      <c r="C8429" s="2" t="s">
        <v>26</v>
      </c>
      <c r="D8429" s="2" t="s">
        <v>27</v>
      </c>
      <c r="E8429" s="4">
        <v>-32139</v>
      </c>
      <c r="F8429" s="3" t="s">
        <v>518</v>
      </c>
      <c r="G8429" s="3" t="s">
        <v>125</v>
      </c>
      <c r="H8429" s="2" t="s">
        <v>21</v>
      </c>
      <c r="I8429" s="2" t="s">
        <v>20946</v>
      </c>
      <c r="J8429" s="3" t="str">
        <f>HYPERLINK("https://www.boe.es/gazeta/dias/1812/01/02/pdfs/GEI-1812-1.pdf#page=8","Abrir facsímil")</f>
        <v>Abrir facsímil</v>
      </c>
      <c r="K8429" s="3" t="s">
        <v>23</v>
      </c>
    </row>
    <row r="8430" spans="1:11" ht="42" customHeight="1">
      <c r="A8430" s="2" t="s">
        <v>20947</v>
      </c>
      <c r="B8430" s="2" t="s">
        <v>20948</v>
      </c>
      <c r="C8430" s="2" t="s">
        <v>549</v>
      </c>
      <c r="D8430" s="2" t="s">
        <v>27</v>
      </c>
      <c r="E8430" s="4">
        <v>-31864</v>
      </c>
      <c r="F8430" s="3" t="s">
        <v>4258</v>
      </c>
      <c r="G8430" s="3" t="s">
        <v>4321</v>
      </c>
      <c r="H8430" s="2" t="s">
        <v>21</v>
      </c>
      <c r="I8430" s="2" t="s">
        <v>20949</v>
      </c>
      <c r="J8430" s="3" t="str">
        <f>HYPERLINK("https://www.boe.es/gazeta/dias/1812/10/03/pdfs/GMR-1812-22.pdf#page=5","Abrir facsímil")</f>
        <v>Abrir facsímil</v>
      </c>
      <c r="K8430" s="3" t="s">
        <v>23</v>
      </c>
    </row>
    <row r="8431" spans="1:11" ht="42" customHeight="1">
      <c r="A8431" s="2" t="s">
        <v>20950</v>
      </c>
      <c r="B8431" s="2" t="s">
        <v>20951</v>
      </c>
      <c r="C8431" s="2" t="s">
        <v>82</v>
      </c>
      <c r="D8431" s="2" t="s">
        <v>27</v>
      </c>
      <c r="E8431" s="4">
        <v>-31941</v>
      </c>
      <c r="F8431" s="3" t="s">
        <v>57</v>
      </c>
      <c r="G8431" s="3" t="s">
        <v>125</v>
      </c>
      <c r="H8431" s="2" t="s">
        <v>21</v>
      </c>
      <c r="I8431" s="2" t="s">
        <v>20952</v>
      </c>
      <c r="J8431" s="3" t="str">
        <f>HYPERLINK("https://www.boe.es/gazeta/dias/1812/07/18/pdfs/GMD-1812-200.pdf#page=3","Abrir facsímil")</f>
        <v>Abrir facsímil</v>
      </c>
      <c r="K8431" s="3" t="s">
        <v>23</v>
      </c>
    </row>
    <row r="8432" spans="1:11" ht="42" customHeight="1">
      <c r="A8432" s="2" t="s">
        <v>20953</v>
      </c>
      <c r="B8432" s="2" t="s">
        <v>20954</v>
      </c>
      <c r="C8432" s="2" t="s">
        <v>26</v>
      </c>
      <c r="D8432" s="2" t="s">
        <v>27</v>
      </c>
      <c r="E8432" s="4">
        <v>-32044</v>
      </c>
      <c r="F8432" s="3" t="s">
        <v>1031</v>
      </c>
      <c r="G8432" s="3" t="s">
        <v>1873</v>
      </c>
      <c r="H8432" s="2" t="s">
        <v>21</v>
      </c>
      <c r="I8432" s="2" t="s">
        <v>20955</v>
      </c>
      <c r="J8432" s="3" t="str">
        <f>HYPERLINK("https://www.boe.es/gazeta/dias/1812/04/06/pdfs/GMD-1812-97.pdf#page=4","Abrir facsímil")</f>
        <v>Abrir facsímil</v>
      </c>
      <c r="K8432" s="3" t="s">
        <v>23</v>
      </c>
    </row>
    <row r="8433" spans="1:11" ht="42" customHeight="1">
      <c r="A8433" s="2" t="s">
        <v>20956</v>
      </c>
      <c r="B8433" s="2" t="s">
        <v>20957</v>
      </c>
      <c r="C8433" s="2" t="s">
        <v>82</v>
      </c>
      <c r="D8433" s="2" t="s">
        <v>275</v>
      </c>
      <c r="E8433" s="4">
        <v>-31922</v>
      </c>
      <c r="F8433" s="3" t="s">
        <v>375</v>
      </c>
      <c r="G8433" s="3" t="s">
        <v>376</v>
      </c>
      <c r="H8433" s="2" t="s">
        <v>21</v>
      </c>
      <c r="I8433" s="2" t="s">
        <v>20958</v>
      </c>
      <c r="J8433" s="3" t="str">
        <f>HYPERLINK("https://www.boe.es/gazeta/dias/1812/08/06/pdfs/GRE-1812-100.pdf#page=7","Abrir facsímil")</f>
        <v>Abrir facsímil</v>
      </c>
      <c r="K8433" s="3" t="s">
        <v>23</v>
      </c>
    </row>
    <row r="8434" spans="1:11" ht="42" customHeight="1">
      <c r="A8434" s="2" t="s">
        <v>20959</v>
      </c>
      <c r="B8434" s="2" t="s">
        <v>20960</v>
      </c>
      <c r="C8434" s="2" t="s">
        <v>26</v>
      </c>
      <c r="D8434" s="2" t="s">
        <v>27</v>
      </c>
      <c r="E8434" s="4">
        <v>-31933</v>
      </c>
      <c r="F8434" s="3" t="s">
        <v>1946</v>
      </c>
      <c r="G8434" s="3" t="s">
        <v>6742</v>
      </c>
      <c r="H8434" s="2" t="s">
        <v>21</v>
      </c>
      <c r="I8434" s="2" t="s">
        <v>20961</v>
      </c>
      <c r="J8434" s="3" t="str">
        <f>HYPERLINK("https://www.boe.es/gazeta/dias/1812/07/26/pdfs/GMD-1812-208.pdf#page=4","Abrir facsímil")</f>
        <v>Abrir facsímil</v>
      </c>
      <c r="K8434" s="3" t="s">
        <v>23</v>
      </c>
    </row>
    <row r="8435" spans="1:11" ht="42" customHeight="1">
      <c r="A8435" s="2" t="s">
        <v>20962</v>
      </c>
      <c r="B8435" s="2" t="s">
        <v>20962</v>
      </c>
      <c r="C8435" s="2" t="s">
        <v>26</v>
      </c>
      <c r="D8435" s="2" t="s">
        <v>27</v>
      </c>
      <c r="E8435" s="4">
        <v>-32118</v>
      </c>
      <c r="F8435" s="3" t="s">
        <v>10707</v>
      </c>
      <c r="G8435" s="3" t="s">
        <v>2708</v>
      </c>
      <c r="H8435" s="2" t="s">
        <v>21</v>
      </c>
      <c r="I8435" s="2" t="s">
        <v>20963</v>
      </c>
      <c r="J8435" s="3" t="str">
        <f>HYPERLINK("https://www.boe.es/gazeta/dias/1812/01/23/pdfs/GMD-1812-23.pdf#page=2","Abrir facsímil")</f>
        <v>Abrir facsímil</v>
      </c>
      <c r="K8435" s="3" t="s">
        <v>23</v>
      </c>
    </row>
    <row r="8436" spans="1:11" ht="42" customHeight="1">
      <c r="A8436" s="2" t="s">
        <v>20964</v>
      </c>
      <c r="B8436" s="2" t="s">
        <v>20964</v>
      </c>
      <c r="C8436" s="2" t="s">
        <v>17</v>
      </c>
      <c r="D8436" s="2" t="s">
        <v>18</v>
      </c>
      <c r="E8436" s="4">
        <v>-31831</v>
      </c>
      <c r="F8436" s="3" t="s">
        <v>11847</v>
      </c>
      <c r="G8436" s="3" t="s">
        <v>20</v>
      </c>
      <c r="H8436" s="2" t="s">
        <v>21</v>
      </c>
      <c r="I8436" s="2" t="s">
        <v>20965</v>
      </c>
      <c r="J8436" s="3" t="str">
        <f>HYPERLINK("https://www.boe.es/gazeta/dias/1812/11/05/pdfs/GMD-1812-225.pdf#page=2","Abrir facsímil")</f>
        <v>Abrir facsímil</v>
      </c>
      <c r="K8436" s="3" t="s">
        <v>23</v>
      </c>
    </row>
    <row r="8437" spans="1:11" ht="42" customHeight="1">
      <c r="A8437" s="2" t="s">
        <v>20966</v>
      </c>
      <c r="B8437" s="2" t="s">
        <v>20966</v>
      </c>
      <c r="C8437" s="2" t="s">
        <v>17</v>
      </c>
      <c r="D8437" s="2" t="s">
        <v>194</v>
      </c>
      <c r="E8437" s="4">
        <v>-31892</v>
      </c>
      <c r="F8437" s="3" t="s">
        <v>1825</v>
      </c>
      <c r="G8437" s="3" t="s">
        <v>182</v>
      </c>
      <c r="H8437" s="2" t="s">
        <v>21</v>
      </c>
      <c r="I8437" s="2" t="s">
        <v>20967</v>
      </c>
      <c r="J8437" s="3" t="str">
        <f>HYPERLINK("https://www.boe.es/gazeta/dias/1812/09/05/pdfs/GMR-1812-10.pdf#page=4","Abrir facsímil")</f>
        <v>Abrir facsímil</v>
      </c>
      <c r="K8437" s="3" t="s">
        <v>23</v>
      </c>
    </row>
    <row r="8438" spans="1:11" ht="42" customHeight="1">
      <c r="A8438" s="2" t="s">
        <v>20968</v>
      </c>
      <c r="B8438" s="2" t="s">
        <v>20969</v>
      </c>
      <c r="C8438" s="2" t="s">
        <v>26</v>
      </c>
      <c r="D8438" s="2" t="s">
        <v>27</v>
      </c>
      <c r="E8438" s="4">
        <v>-31980</v>
      </c>
      <c r="F8438" s="3" t="s">
        <v>40</v>
      </c>
      <c r="G8438" s="3" t="s">
        <v>41</v>
      </c>
      <c r="H8438" s="2" t="s">
        <v>30</v>
      </c>
      <c r="I8438" s="2" t="s">
        <v>20970</v>
      </c>
      <c r="J8438" s="3" t="str">
        <f>HYPERLINK("https://www.boe.es/gazeta/dias/1812/06/09/pdfs/GRE-1812-71.pdf#page=6","Abrir facsímil")</f>
        <v>Abrir facsímil</v>
      </c>
      <c r="K8438" s="3" t="s">
        <v>32</v>
      </c>
    </row>
    <row r="8439" spans="1:11" ht="42" customHeight="1">
      <c r="A8439" s="2" t="s">
        <v>20971</v>
      </c>
      <c r="B8439" s="2" t="s">
        <v>20972</v>
      </c>
      <c r="C8439" s="2" t="s">
        <v>26</v>
      </c>
      <c r="D8439" s="2" t="s">
        <v>27</v>
      </c>
      <c r="E8439" s="4">
        <v>-31940</v>
      </c>
      <c r="F8439" s="3" t="s">
        <v>187</v>
      </c>
      <c r="G8439" s="3" t="s">
        <v>404</v>
      </c>
      <c r="H8439" s="2" t="s">
        <v>30</v>
      </c>
      <c r="I8439" s="2" t="s">
        <v>20973</v>
      </c>
      <c r="J8439" s="3" t="str">
        <f>HYPERLINK("https://www.boe.es/gazeta/dias/1812/07/19/pdfs/GMD-1812-201.pdf#page=4","Abrir facsímil")</f>
        <v>Abrir facsímil</v>
      </c>
      <c r="K8439" s="3" t="s">
        <v>32</v>
      </c>
    </row>
    <row r="8440" spans="1:11" ht="42" customHeight="1">
      <c r="A8440" s="2" t="s">
        <v>20974</v>
      </c>
      <c r="B8440" s="2" t="s">
        <v>20975</v>
      </c>
      <c r="C8440" s="2" t="s">
        <v>186</v>
      </c>
      <c r="D8440" s="2" t="s">
        <v>275</v>
      </c>
      <c r="E8440" s="4">
        <v>-31826</v>
      </c>
      <c r="F8440" s="3" t="s">
        <v>7488</v>
      </c>
      <c r="G8440" s="3" t="s">
        <v>16779</v>
      </c>
      <c r="H8440" s="2" t="s">
        <v>30</v>
      </c>
      <c r="I8440" s="2" t="s">
        <v>20976</v>
      </c>
      <c r="J8440" s="3" t="str">
        <f>HYPERLINK("https://www.boe.es/gazeta/dias/1812/11/10/pdfs/GRE-1812-150.pdf#page=8","Abrir facsímil")</f>
        <v>Abrir facsímil</v>
      </c>
      <c r="K8440" s="3" t="s">
        <v>32</v>
      </c>
    </row>
    <row r="8441" spans="1:11" ht="42" customHeight="1">
      <c r="A8441" s="2" t="s">
        <v>20977</v>
      </c>
      <c r="B8441" s="2" t="s">
        <v>20978</v>
      </c>
      <c r="C8441" s="2" t="s">
        <v>105</v>
      </c>
      <c r="D8441" s="2" t="s">
        <v>27</v>
      </c>
      <c r="E8441" s="4">
        <v>-31819</v>
      </c>
      <c r="F8441" s="3" t="s">
        <v>1770</v>
      </c>
      <c r="G8441" s="3" t="s">
        <v>45</v>
      </c>
      <c r="H8441" s="2" t="s">
        <v>30</v>
      </c>
      <c r="I8441" s="2" t="s">
        <v>20979</v>
      </c>
      <c r="J8441" s="3" t="str">
        <f>HYPERLINK("https://www.boe.es/gazeta/dias/1812/11/17/pdfs/GRE-1812-153.pdf#page=3","Abrir facsímil")</f>
        <v>Abrir facsímil</v>
      </c>
      <c r="K8441" s="3" t="s">
        <v>32</v>
      </c>
    </row>
    <row r="8442" spans="1:11" ht="42" customHeight="1">
      <c r="A8442" s="2" t="s">
        <v>20980</v>
      </c>
      <c r="B8442" s="2" t="s">
        <v>20981</v>
      </c>
      <c r="C8442" s="2" t="s">
        <v>26</v>
      </c>
      <c r="D8442" s="2" t="s">
        <v>27</v>
      </c>
      <c r="E8442" s="4">
        <v>-31941</v>
      </c>
      <c r="F8442" s="3" t="s">
        <v>57</v>
      </c>
      <c r="G8442" s="3" t="s">
        <v>58</v>
      </c>
      <c r="H8442" s="2" t="s">
        <v>30</v>
      </c>
      <c r="I8442" s="2" t="s">
        <v>20982</v>
      </c>
      <c r="J8442" s="3" t="str">
        <f>HYPERLINK("https://www.boe.es/gazeta/dias/1812/07/18/pdfs/GMD-1812-200.pdf#page=4","Abrir facsímil")</f>
        <v>Abrir facsímil</v>
      </c>
      <c r="K8442" s="3" t="s">
        <v>32</v>
      </c>
    </row>
    <row r="8443" spans="1:11" ht="42" customHeight="1">
      <c r="A8443" s="2" t="s">
        <v>20983</v>
      </c>
      <c r="B8443" s="2" t="s">
        <v>20984</v>
      </c>
      <c r="C8443" s="2" t="s">
        <v>26</v>
      </c>
      <c r="D8443" s="2" t="s">
        <v>27</v>
      </c>
      <c r="E8443" s="4">
        <v>-31934</v>
      </c>
      <c r="F8443" s="3" t="s">
        <v>6490</v>
      </c>
      <c r="G8443" s="3" t="s">
        <v>233</v>
      </c>
      <c r="H8443" s="2" t="s">
        <v>30</v>
      </c>
      <c r="I8443" s="2" t="s">
        <v>20985</v>
      </c>
      <c r="J8443" s="3" t="str">
        <f>HYPERLINK("https://www.boe.es/gazeta/dias/1812/07/25/pdfs/GMD-1812-207.pdf#page=2","Abrir facsímil")</f>
        <v>Abrir facsímil</v>
      </c>
      <c r="K8443" s="3" t="s">
        <v>32</v>
      </c>
    </row>
    <row r="8444" spans="1:11" ht="42" customHeight="1">
      <c r="A8444" s="2" t="s">
        <v>20986</v>
      </c>
      <c r="B8444" s="2" t="s">
        <v>20987</v>
      </c>
      <c r="C8444" s="2" t="s">
        <v>26</v>
      </c>
      <c r="D8444" s="2" t="s">
        <v>27</v>
      </c>
      <c r="E8444" s="4">
        <v>-31936</v>
      </c>
      <c r="F8444" s="3" t="s">
        <v>603</v>
      </c>
      <c r="G8444" s="3" t="s">
        <v>2410</v>
      </c>
      <c r="H8444" s="2" t="s">
        <v>30</v>
      </c>
      <c r="I8444" s="2" t="s">
        <v>20988</v>
      </c>
      <c r="J8444" s="3" t="str">
        <f>HYPERLINK("https://www.boe.es/gazeta/dias/1812/07/23/pdfs/GMD-1812-205.pdf#page=4","Abrir facsímil")</f>
        <v>Abrir facsímil</v>
      </c>
      <c r="K8444" s="3" t="s">
        <v>32</v>
      </c>
    </row>
    <row r="8445" spans="1:11" ht="42" customHeight="1">
      <c r="A8445" s="2" t="s">
        <v>20989</v>
      </c>
      <c r="B8445" s="2" t="s">
        <v>20990</v>
      </c>
      <c r="C8445" s="2" t="s">
        <v>26</v>
      </c>
      <c r="D8445" s="2" t="s">
        <v>27</v>
      </c>
      <c r="E8445" s="4">
        <v>-32075</v>
      </c>
      <c r="F8445" s="3" t="s">
        <v>301</v>
      </c>
      <c r="G8445" s="3" t="s">
        <v>20</v>
      </c>
      <c r="H8445" s="2" t="s">
        <v>30</v>
      </c>
      <c r="I8445" s="2" t="s">
        <v>20991</v>
      </c>
      <c r="J8445" s="3" t="str">
        <f>HYPERLINK("https://www.boe.es/gazeta/dias/1812/03/06/pdfs/GMD-1812-66.pdf#page=4","Abrir facsímil")</f>
        <v>Abrir facsímil</v>
      </c>
      <c r="K8445" s="3" t="s">
        <v>32</v>
      </c>
    </row>
    <row r="8446" spans="1:11" ht="42" customHeight="1">
      <c r="A8446" s="2" t="s">
        <v>20992</v>
      </c>
      <c r="B8446" s="2" t="s">
        <v>20993</v>
      </c>
      <c r="C8446" s="2" t="s">
        <v>186</v>
      </c>
      <c r="D8446" s="2" t="s">
        <v>27</v>
      </c>
      <c r="E8446" s="4">
        <v>-32044</v>
      </c>
      <c r="F8446" s="3" t="s">
        <v>1031</v>
      </c>
      <c r="G8446" s="3" t="s">
        <v>20</v>
      </c>
      <c r="H8446" s="2" t="s">
        <v>30</v>
      </c>
      <c r="I8446" s="2" t="s">
        <v>20994</v>
      </c>
      <c r="J8446" s="3" t="str">
        <f>HYPERLINK("https://www.boe.es/gazeta/dias/1812/04/06/pdfs/GMD-1812-97.pdf#page=3","Abrir facsímil")</f>
        <v>Abrir facsímil</v>
      </c>
      <c r="K8446" s="3" t="s">
        <v>32</v>
      </c>
    </row>
    <row r="8447" spans="1:11" ht="42" customHeight="1">
      <c r="A8447" s="2" t="s">
        <v>20995</v>
      </c>
      <c r="B8447" s="2" t="s">
        <v>20996</v>
      </c>
      <c r="C8447" s="2" t="s">
        <v>17</v>
      </c>
      <c r="D8447" s="2" t="s">
        <v>27</v>
      </c>
      <c r="E8447" s="4">
        <v>-31873</v>
      </c>
      <c r="F8447" s="3" t="s">
        <v>654</v>
      </c>
      <c r="G8447" s="3" t="s">
        <v>1842</v>
      </c>
      <c r="H8447" s="2" t="s">
        <v>30</v>
      </c>
      <c r="I8447" s="2" t="s">
        <v>20997</v>
      </c>
      <c r="J8447" s="3" t="str">
        <f>HYPERLINK("https://www.boe.es/gazeta/dias/1812/09/24/pdfs/GRE-1812-130.pdf#page=4","Abrir facsímil")</f>
        <v>Abrir facsímil</v>
      </c>
      <c r="K8447" s="3" t="s">
        <v>32</v>
      </c>
    </row>
    <row r="8448" spans="1:11" ht="42" customHeight="1">
      <c r="A8448" s="2" t="s">
        <v>20998</v>
      </c>
      <c r="B8448" s="2" t="s">
        <v>20999</v>
      </c>
      <c r="C8448" s="2" t="s">
        <v>26</v>
      </c>
      <c r="D8448" s="2" t="s">
        <v>27</v>
      </c>
      <c r="E8448" s="4">
        <v>-31939</v>
      </c>
      <c r="F8448" s="3" t="s">
        <v>408</v>
      </c>
      <c r="G8448" s="3" t="s">
        <v>404</v>
      </c>
      <c r="H8448" s="2" t="s">
        <v>30</v>
      </c>
      <c r="I8448" s="2" t="s">
        <v>21000</v>
      </c>
      <c r="J8448" s="3" t="str">
        <f>HYPERLINK("https://www.boe.es/gazeta/dias/1812/07/20/pdfs/GMD-1812-202.pdf#page=2","Abrir facsímil")</f>
        <v>Abrir facsímil</v>
      </c>
      <c r="K8448" s="3" t="s">
        <v>32</v>
      </c>
    </row>
    <row r="8449" spans="1:11" ht="42" customHeight="1">
      <c r="A8449" s="2" t="s">
        <v>21001</v>
      </c>
      <c r="B8449" s="2" t="s">
        <v>21002</v>
      </c>
      <c r="C8449" s="2" t="s">
        <v>26</v>
      </c>
      <c r="D8449" s="2" t="s">
        <v>275</v>
      </c>
      <c r="E8449" s="4">
        <v>-31822</v>
      </c>
      <c r="F8449" s="3" t="s">
        <v>541</v>
      </c>
      <c r="G8449" s="3" t="s">
        <v>1459</v>
      </c>
      <c r="H8449" s="2" t="s">
        <v>30</v>
      </c>
      <c r="I8449" s="2" t="s">
        <v>21003</v>
      </c>
      <c r="J8449" s="3" t="str">
        <f>HYPERLINK("https://www.boe.es/gazeta/dias/1812/11/14/pdfs/GRE-1812-152.pdf#page=8","Abrir facsímil")</f>
        <v>Abrir facsímil</v>
      </c>
      <c r="K8449" s="3" t="s">
        <v>32</v>
      </c>
    </row>
    <row r="8450" spans="1:11" ht="42" customHeight="1">
      <c r="A8450" s="2" t="s">
        <v>21004</v>
      </c>
      <c r="B8450" s="2" t="s">
        <v>21005</v>
      </c>
      <c r="C8450" s="2" t="s">
        <v>17</v>
      </c>
      <c r="D8450" s="2" t="s">
        <v>27</v>
      </c>
      <c r="E8450" s="4">
        <v>-31922</v>
      </c>
      <c r="F8450" s="3" t="s">
        <v>375</v>
      </c>
      <c r="G8450" s="3" t="s">
        <v>5327</v>
      </c>
      <c r="H8450" s="2" t="s">
        <v>30</v>
      </c>
      <c r="I8450" s="2" t="s">
        <v>21006</v>
      </c>
      <c r="J8450" s="3" t="str">
        <f>HYPERLINK("https://www.boe.es/gazeta/dias/1812/08/06/pdfs/GRE-1812-100.pdf#page=3","Abrir facsímil")</f>
        <v>Abrir facsímil</v>
      </c>
      <c r="K8450" s="3" t="s">
        <v>32</v>
      </c>
    </row>
    <row r="8451" spans="1:11" ht="42" customHeight="1">
      <c r="A8451" s="2" t="s">
        <v>21007</v>
      </c>
      <c r="B8451" s="2" t="s">
        <v>21008</v>
      </c>
      <c r="C8451" s="2" t="s">
        <v>82</v>
      </c>
      <c r="D8451" s="2" t="s">
        <v>27</v>
      </c>
      <c r="E8451" s="4">
        <v>-31936</v>
      </c>
      <c r="F8451" s="3" t="s">
        <v>603</v>
      </c>
      <c r="G8451" s="3" t="s">
        <v>2410</v>
      </c>
      <c r="H8451" s="2" t="s">
        <v>30</v>
      </c>
      <c r="I8451" s="2" t="s">
        <v>21009</v>
      </c>
      <c r="J8451" s="3" t="str">
        <f>HYPERLINK("https://www.boe.es/gazeta/dias/1812/07/23/pdfs/GMD-1812-205.pdf#page=4","Abrir facsímil")</f>
        <v>Abrir facsímil</v>
      </c>
      <c r="K8451" s="3" t="s">
        <v>32</v>
      </c>
    </row>
    <row r="8452" spans="1:11" ht="42" customHeight="1">
      <c r="A8452" s="2" t="s">
        <v>21010</v>
      </c>
      <c r="B8452" s="2" t="s">
        <v>21011</v>
      </c>
      <c r="C8452" s="2" t="s">
        <v>17</v>
      </c>
      <c r="D8452" s="2" t="s">
        <v>27</v>
      </c>
      <c r="E8452" s="4">
        <v>-31922</v>
      </c>
      <c r="F8452" s="3" t="s">
        <v>375</v>
      </c>
      <c r="G8452" s="3" t="s">
        <v>986</v>
      </c>
      <c r="H8452" s="2" t="s">
        <v>30</v>
      </c>
      <c r="I8452" s="2" t="s">
        <v>21012</v>
      </c>
      <c r="J8452" s="3" t="str">
        <f>HYPERLINK("https://www.boe.es/gazeta/dias/1812/08/06/pdfs/GRE-1812-100.pdf#page=8","Abrir facsímil")</f>
        <v>Abrir facsímil</v>
      </c>
      <c r="K8452" s="3" t="s">
        <v>32</v>
      </c>
    </row>
    <row r="8453" spans="1:11" ht="42" customHeight="1">
      <c r="A8453" s="2" t="s">
        <v>21013</v>
      </c>
      <c r="B8453" s="2" t="s">
        <v>21014</v>
      </c>
      <c r="C8453" s="2" t="s">
        <v>82</v>
      </c>
      <c r="D8453" s="2" t="s">
        <v>275</v>
      </c>
      <c r="E8453" s="4">
        <v>-32085</v>
      </c>
      <c r="F8453" s="3" t="s">
        <v>3321</v>
      </c>
      <c r="G8453" s="3" t="s">
        <v>3409</v>
      </c>
      <c r="H8453" s="2" t="s">
        <v>30</v>
      </c>
      <c r="I8453" s="2" t="s">
        <v>21015</v>
      </c>
      <c r="J8453" s="3" t="str">
        <f>HYPERLINK("https://www.boe.es/gazeta/dias/1812/02/25/pdfs/GRE-1812-25.pdf#page=1","Abrir facsímil")</f>
        <v>Abrir facsímil</v>
      </c>
      <c r="K8453" s="3" t="s">
        <v>32</v>
      </c>
    </row>
    <row r="8454" spans="1:11" ht="42" customHeight="1">
      <c r="A8454" s="2" t="s">
        <v>21016</v>
      </c>
      <c r="B8454" s="2" t="s">
        <v>21017</v>
      </c>
      <c r="C8454" s="2" t="s">
        <v>26</v>
      </c>
      <c r="D8454" s="2" t="s">
        <v>27</v>
      </c>
      <c r="E8454" s="4">
        <v>-31936</v>
      </c>
      <c r="F8454" s="3" t="s">
        <v>603</v>
      </c>
      <c r="G8454" s="3" t="s">
        <v>2410</v>
      </c>
      <c r="H8454" s="2" t="s">
        <v>30</v>
      </c>
      <c r="I8454" s="2" t="s">
        <v>21018</v>
      </c>
      <c r="J8454" s="3" t="str">
        <f>HYPERLINK("https://www.boe.es/gazeta/dias/1812/07/23/pdfs/GMD-1812-205.pdf#page=4","Abrir facsímil")</f>
        <v>Abrir facsímil</v>
      </c>
      <c r="K8454" s="3" t="s">
        <v>32</v>
      </c>
    </row>
    <row r="8455" spans="1:11" ht="42" customHeight="1">
      <c r="A8455" s="2" t="s">
        <v>21019</v>
      </c>
      <c r="B8455" s="2" t="s">
        <v>21020</v>
      </c>
      <c r="C8455" s="2" t="s">
        <v>17</v>
      </c>
      <c r="D8455" s="2" t="s">
        <v>18</v>
      </c>
      <c r="E8455" s="4">
        <v>-32072</v>
      </c>
      <c r="F8455" s="3" t="s">
        <v>8696</v>
      </c>
      <c r="G8455" s="3" t="s">
        <v>336</v>
      </c>
      <c r="H8455" s="2" t="s">
        <v>30</v>
      </c>
      <c r="I8455" s="2" t="s">
        <v>21021</v>
      </c>
      <c r="J8455" s="3" t="str">
        <f>HYPERLINK("https://www.boe.es/gazeta/dias/1812/03/09/pdfs/GMD-1812-69.pdf#page=4","Abrir facsímil")</f>
        <v>Abrir facsímil</v>
      </c>
      <c r="K8455" s="3" t="s">
        <v>32</v>
      </c>
    </row>
    <row r="8456" spans="1:11" ht="42" customHeight="1">
      <c r="A8456" s="2" t="s">
        <v>21022</v>
      </c>
      <c r="B8456" s="2" t="s">
        <v>21023</v>
      </c>
      <c r="C8456" s="2" t="s">
        <v>105</v>
      </c>
      <c r="D8456" s="2" t="s">
        <v>194</v>
      </c>
      <c r="E8456" s="4">
        <v>-31847</v>
      </c>
      <c r="F8456" s="3" t="s">
        <v>4133</v>
      </c>
      <c r="G8456" s="3" t="s">
        <v>237</v>
      </c>
      <c r="H8456" s="2" t="s">
        <v>30</v>
      </c>
      <c r="I8456" s="2" t="s">
        <v>21024</v>
      </c>
      <c r="J8456" s="3" t="str">
        <f>HYPERLINK("https://www.boe.es/gazeta/dias/1812/10/20/pdfs/GMR-1812-29.pdf#page=2","Abrir facsímil")</f>
        <v>Abrir facsímil</v>
      </c>
      <c r="K8456" s="3" t="s">
        <v>32</v>
      </c>
    </row>
    <row r="8457" spans="1:11" ht="42" customHeight="1">
      <c r="A8457" s="2" t="s">
        <v>21025</v>
      </c>
      <c r="B8457" s="2" t="s">
        <v>21026</v>
      </c>
      <c r="C8457" s="2" t="s">
        <v>17</v>
      </c>
      <c r="D8457" s="2" t="s">
        <v>27</v>
      </c>
      <c r="E8457" s="4">
        <v>-31864</v>
      </c>
      <c r="F8457" s="3" t="s">
        <v>3014</v>
      </c>
      <c r="G8457" s="3" t="s">
        <v>8928</v>
      </c>
      <c r="H8457" s="2" t="s">
        <v>30</v>
      </c>
      <c r="I8457" s="2" t="s">
        <v>21027</v>
      </c>
      <c r="J8457" s="3" t="str">
        <f>HYPERLINK("https://www.boe.es/gazeta/dias/1812/10/03/pdfs/GRE-1812-134.pdf#page=6","Abrir facsímil")</f>
        <v>Abrir facsímil</v>
      </c>
      <c r="K8457" s="3" t="s">
        <v>32</v>
      </c>
    </row>
    <row r="8458" spans="1:11" ht="42" customHeight="1">
      <c r="A8458" s="2" t="s">
        <v>21028</v>
      </c>
      <c r="B8458" s="2" t="s">
        <v>21029</v>
      </c>
      <c r="C8458" s="2" t="s">
        <v>105</v>
      </c>
      <c r="D8458" s="2" t="s">
        <v>194</v>
      </c>
      <c r="E8458" s="4">
        <v>-31850</v>
      </c>
      <c r="F8458" s="3" t="s">
        <v>2178</v>
      </c>
      <c r="G8458" s="3" t="s">
        <v>1497</v>
      </c>
      <c r="H8458" s="2" t="s">
        <v>30</v>
      </c>
      <c r="I8458" s="2" t="s">
        <v>21030</v>
      </c>
      <c r="J8458" s="3" t="str">
        <f>HYPERLINK("https://www.boe.es/gazeta/dias/1812/10/17/pdfs/GRE-1812-140.pdf#page=2","Abrir facsímil")</f>
        <v>Abrir facsímil</v>
      </c>
      <c r="K8458" s="3" t="s">
        <v>32</v>
      </c>
    </row>
    <row r="8459" spans="1:11" ht="42" customHeight="1">
      <c r="A8459" s="2" t="s">
        <v>21031</v>
      </c>
      <c r="B8459" s="2" t="s">
        <v>21032</v>
      </c>
      <c r="C8459" s="2" t="s">
        <v>26</v>
      </c>
      <c r="D8459" s="2" t="s">
        <v>27</v>
      </c>
      <c r="E8459" s="4">
        <v>-31938</v>
      </c>
      <c r="F8459" s="3" t="s">
        <v>324</v>
      </c>
      <c r="G8459" s="3" t="s">
        <v>497</v>
      </c>
      <c r="H8459" s="2" t="s">
        <v>30</v>
      </c>
      <c r="I8459" s="2" t="s">
        <v>21033</v>
      </c>
      <c r="J8459" s="3" t="str">
        <f>HYPERLINK("https://www.boe.es/gazeta/dias/1812/07/21/pdfs/GMD-1812-203.pdf#page=3","Abrir facsímil")</f>
        <v>Abrir facsímil</v>
      </c>
      <c r="K8459" s="3" t="s">
        <v>32</v>
      </c>
    </row>
    <row r="8460" spans="1:11" ht="42" customHeight="1">
      <c r="A8460" s="2" t="s">
        <v>21034</v>
      </c>
      <c r="B8460" s="2" t="s">
        <v>21035</v>
      </c>
      <c r="C8460" s="2" t="s">
        <v>17</v>
      </c>
      <c r="D8460" s="2" t="s">
        <v>18</v>
      </c>
      <c r="E8460" s="4">
        <v>-31934</v>
      </c>
      <c r="F8460" s="3" t="s">
        <v>509</v>
      </c>
      <c r="G8460" s="3" t="s">
        <v>4482</v>
      </c>
      <c r="H8460" s="2" t="s">
        <v>30</v>
      </c>
      <c r="I8460" s="2" t="s">
        <v>21036</v>
      </c>
      <c r="J8460" s="3" t="str">
        <f>HYPERLINK("https://www.boe.es/gazeta/dias/1812/07/25/pdfs/GRE-1812-93.pdf#page=8","Abrir facsímil")</f>
        <v>Abrir facsímil</v>
      </c>
      <c r="K8460" s="3" t="s">
        <v>32</v>
      </c>
    </row>
    <row r="8461" spans="1:11" ht="42" customHeight="1">
      <c r="A8461" s="2" t="s">
        <v>21037</v>
      </c>
      <c r="B8461" s="2" t="s">
        <v>21038</v>
      </c>
      <c r="C8461" s="2" t="s">
        <v>49</v>
      </c>
      <c r="D8461" s="2" t="s">
        <v>27</v>
      </c>
      <c r="E8461" s="4">
        <v>-32075</v>
      </c>
      <c r="F8461" s="3" t="s">
        <v>301</v>
      </c>
      <c r="G8461" s="3" t="s">
        <v>20</v>
      </c>
      <c r="H8461" s="2" t="s">
        <v>30</v>
      </c>
      <c r="I8461" s="2" t="s">
        <v>21039</v>
      </c>
      <c r="J8461" s="3" t="str">
        <f>HYPERLINK("https://www.boe.es/gazeta/dias/1812/03/06/pdfs/GMD-1812-66.pdf#page=4","Abrir facsímil")</f>
        <v>Abrir facsímil</v>
      </c>
      <c r="K8461" s="3" t="s">
        <v>32</v>
      </c>
    </row>
    <row r="8462" spans="1:11" ht="42" customHeight="1">
      <c r="A8462" s="2" t="s">
        <v>21040</v>
      </c>
      <c r="B8462" s="2" t="s">
        <v>21041</v>
      </c>
      <c r="C8462" s="2" t="s">
        <v>17</v>
      </c>
      <c r="D8462" s="2" t="s">
        <v>134</v>
      </c>
      <c r="E8462" s="4">
        <v>-31880</v>
      </c>
      <c r="F8462" s="3" t="s">
        <v>9383</v>
      </c>
      <c r="G8462" s="3" t="s">
        <v>18844</v>
      </c>
      <c r="H8462" s="2" t="s">
        <v>30</v>
      </c>
      <c r="I8462" s="2" t="s">
        <v>21042</v>
      </c>
      <c r="J8462" s="3" t="str">
        <f>HYPERLINK("https://www.boe.es/gazeta/dias/1812/09/17/pdfs/GRE-F-1812-126.pdf#page=1","Abrir facsímil")</f>
        <v>Abrir facsímil</v>
      </c>
      <c r="K8462" s="3" t="s">
        <v>32</v>
      </c>
    </row>
    <row r="8463" spans="1:11" ht="42" customHeight="1">
      <c r="A8463" s="2" t="s">
        <v>21043</v>
      </c>
      <c r="B8463" s="2" t="s">
        <v>21044</v>
      </c>
      <c r="C8463" s="2" t="s">
        <v>26</v>
      </c>
      <c r="D8463" s="2" t="s">
        <v>27</v>
      </c>
      <c r="E8463" s="4">
        <v>-32125</v>
      </c>
      <c r="F8463" s="3" t="s">
        <v>964</v>
      </c>
      <c r="G8463" s="3" t="s">
        <v>1842</v>
      </c>
      <c r="H8463" s="2" t="s">
        <v>30</v>
      </c>
      <c r="I8463" s="2" t="s">
        <v>21045</v>
      </c>
      <c r="J8463" s="3" t="str">
        <f>HYPERLINK("https://www.boe.es/gazeta/dias/1812/01/16/pdfs/GEI-H-1812-7.pdf#page=4","Abrir facsímil")</f>
        <v>Abrir facsímil</v>
      </c>
      <c r="K8463" s="3" t="s">
        <v>32</v>
      </c>
    </row>
    <row r="8464" spans="1:11" ht="42" customHeight="1">
      <c r="A8464" s="2" t="s">
        <v>21046</v>
      </c>
      <c r="B8464" s="2" t="s">
        <v>21047</v>
      </c>
      <c r="C8464" s="2" t="s">
        <v>26</v>
      </c>
      <c r="D8464" s="2" t="s">
        <v>27</v>
      </c>
      <c r="E8464" s="4">
        <v>-31875</v>
      </c>
      <c r="F8464" s="3" t="s">
        <v>708</v>
      </c>
      <c r="G8464" s="3" t="s">
        <v>130</v>
      </c>
      <c r="H8464" s="2" t="s">
        <v>30</v>
      </c>
      <c r="I8464" s="2" t="s">
        <v>21048</v>
      </c>
      <c r="J8464" s="3" t="str">
        <f>HYPERLINK("https://www.boe.es/gazeta/dias/1812/09/22/pdfs/GMR-1812-17.pdf#page=4","Abrir facsímil")</f>
        <v>Abrir facsímil</v>
      </c>
      <c r="K8464" s="3" t="s">
        <v>32</v>
      </c>
    </row>
    <row r="8465" spans="1:11" ht="42" customHeight="1">
      <c r="A8465" s="2" t="s">
        <v>21049</v>
      </c>
      <c r="B8465" s="2" t="s">
        <v>21050</v>
      </c>
      <c r="C8465" s="2" t="s">
        <v>26</v>
      </c>
      <c r="D8465" s="2" t="s">
        <v>275</v>
      </c>
      <c r="E8465" s="4">
        <v>-31805</v>
      </c>
      <c r="F8465" s="3" t="s">
        <v>895</v>
      </c>
      <c r="G8465" s="3" t="s">
        <v>896</v>
      </c>
      <c r="H8465" s="2" t="s">
        <v>30</v>
      </c>
      <c r="I8465" s="2" t="s">
        <v>21051</v>
      </c>
      <c r="J8465" s="3" t="str">
        <f>HYPERLINK("https://www.boe.es/gazeta/dias/1812/12/01/pdfs/GMR-1812-39.pdf#page=15","Abrir facsímil")</f>
        <v>Abrir facsímil</v>
      </c>
      <c r="K8465" s="3" t="s">
        <v>32</v>
      </c>
    </row>
    <row r="8466" spans="1:11" ht="42" customHeight="1">
      <c r="A8466" s="2" t="s">
        <v>21052</v>
      </c>
      <c r="B8466" s="2" t="s">
        <v>21053</v>
      </c>
      <c r="C8466" s="2" t="s">
        <v>67</v>
      </c>
      <c r="D8466" s="2" t="s">
        <v>27</v>
      </c>
      <c r="E8466" s="4">
        <v>-32088</v>
      </c>
      <c r="F8466" s="3" t="s">
        <v>1217</v>
      </c>
      <c r="G8466" s="3" t="s">
        <v>1218</v>
      </c>
      <c r="H8466" s="2" t="s">
        <v>30</v>
      </c>
      <c r="I8466" s="2" t="s">
        <v>21054</v>
      </c>
      <c r="J8466" s="3" t="str">
        <f>HYPERLINK("https://www.boe.es/gazeta/dias/1812/02/22/pdfs/GMD-1812-53.pdf#page=4","Abrir facsímil")</f>
        <v>Abrir facsímil</v>
      </c>
      <c r="K8466" s="3" t="s">
        <v>32</v>
      </c>
    </row>
    <row r="8467" spans="1:11" ht="42" customHeight="1">
      <c r="A8467" s="2" t="s">
        <v>21055</v>
      </c>
      <c r="B8467" s="2" t="s">
        <v>21056</v>
      </c>
      <c r="C8467" s="2" t="s">
        <v>115</v>
      </c>
      <c r="D8467" s="2" t="s">
        <v>27</v>
      </c>
      <c r="E8467" s="4">
        <v>-31871</v>
      </c>
      <c r="F8467" s="3" t="s">
        <v>1399</v>
      </c>
      <c r="G8467" s="3" t="s">
        <v>237</v>
      </c>
      <c r="H8467" s="2" t="s">
        <v>30</v>
      </c>
      <c r="I8467" s="2" t="s">
        <v>21057</v>
      </c>
      <c r="J8467" s="3" t="str">
        <f>HYPERLINK("https://www.boe.es/gazeta/dias/1812/09/26/pdfs/GMR-1812-19.pdf#page=2","Abrir facsímil")</f>
        <v>Abrir facsímil</v>
      </c>
      <c r="K8467" s="3" t="s">
        <v>32</v>
      </c>
    </row>
    <row r="8468" spans="1:11" ht="42" customHeight="1">
      <c r="A8468" s="2" t="s">
        <v>21058</v>
      </c>
      <c r="B8468" s="2" t="s">
        <v>21059</v>
      </c>
      <c r="C8468" s="2" t="s">
        <v>26</v>
      </c>
      <c r="D8468" s="2" t="s">
        <v>27</v>
      </c>
      <c r="E8468" s="4">
        <v>-31931</v>
      </c>
      <c r="F8468" s="3" t="s">
        <v>4174</v>
      </c>
      <c r="G8468" s="3" t="s">
        <v>336</v>
      </c>
      <c r="H8468" s="2" t="s">
        <v>30</v>
      </c>
      <c r="I8468" s="2" t="s">
        <v>21060</v>
      </c>
      <c r="J8468" s="3" t="str">
        <f>HYPERLINK("https://www.boe.es/gazeta/dias/1812/07/28/pdfs/GRE-1812-94.pdf#page=7","Abrir facsímil")</f>
        <v>Abrir facsímil</v>
      </c>
      <c r="K8468" s="3" t="s">
        <v>32</v>
      </c>
    </row>
    <row r="8469" spans="1:11" ht="42" customHeight="1">
      <c r="A8469" s="2" t="s">
        <v>21061</v>
      </c>
      <c r="B8469" s="2" t="s">
        <v>21062</v>
      </c>
      <c r="C8469" s="2" t="s">
        <v>26</v>
      </c>
      <c r="D8469" s="2" t="s">
        <v>27</v>
      </c>
      <c r="E8469" s="4">
        <v>-31775</v>
      </c>
      <c r="F8469" s="3" t="s">
        <v>660</v>
      </c>
      <c r="G8469" s="3" t="s">
        <v>2138</v>
      </c>
      <c r="H8469" s="2" t="s">
        <v>30</v>
      </c>
      <c r="I8469" s="2" t="s">
        <v>21063</v>
      </c>
      <c r="J8469" s="3" t="str">
        <f>HYPERLINK("https://www.boe.es/gazeta/dias/1812/12/31/pdfs/GRE-1812-172.pdf#page=8","Abrir facsímil")</f>
        <v>Abrir facsímil</v>
      </c>
      <c r="K8469" s="3" t="s">
        <v>32</v>
      </c>
    </row>
    <row r="8470" spans="1:11" ht="42" customHeight="1">
      <c r="A8470" s="2" t="s">
        <v>21064</v>
      </c>
      <c r="B8470" s="2" t="s">
        <v>21065</v>
      </c>
      <c r="C8470" s="2" t="s">
        <v>105</v>
      </c>
      <c r="D8470" s="2" t="s">
        <v>27</v>
      </c>
      <c r="E8470" s="4">
        <v>-31819</v>
      </c>
      <c r="F8470" s="3" t="s">
        <v>1770</v>
      </c>
      <c r="G8470" s="3" t="s">
        <v>45</v>
      </c>
      <c r="H8470" s="2" t="s">
        <v>30</v>
      </c>
      <c r="I8470" s="2" t="s">
        <v>21066</v>
      </c>
      <c r="J8470" s="3" t="str">
        <f>HYPERLINK("https://www.boe.es/gazeta/dias/1812/11/17/pdfs/GRE-1812-153.pdf#page=3","Abrir facsímil")</f>
        <v>Abrir facsímil</v>
      </c>
      <c r="K8470" s="3" t="s">
        <v>32</v>
      </c>
    </row>
    <row r="8471" spans="1:11" ht="42" customHeight="1">
      <c r="A8471" s="2" t="s">
        <v>21067</v>
      </c>
      <c r="B8471" s="2" t="s">
        <v>21068</v>
      </c>
      <c r="C8471" s="2" t="s">
        <v>186</v>
      </c>
      <c r="D8471" s="2" t="s">
        <v>275</v>
      </c>
      <c r="E8471" s="4">
        <v>-32132</v>
      </c>
      <c r="F8471" s="3" t="s">
        <v>484</v>
      </c>
      <c r="G8471" s="3" t="s">
        <v>485</v>
      </c>
      <c r="H8471" s="2" t="s">
        <v>30</v>
      </c>
      <c r="I8471" s="2" t="s">
        <v>21069</v>
      </c>
      <c r="J8471" s="3" t="str">
        <f>HYPERLINK("https://www.boe.es/gazeta/dias/1812/01/09/pdfs/GEI-1812-4.pdf#page=8","Abrir facsímil")</f>
        <v>Abrir facsímil</v>
      </c>
      <c r="K8471" s="3" t="s">
        <v>32</v>
      </c>
    </row>
    <row r="8472" spans="1:11" ht="42" customHeight="1">
      <c r="A8472" s="2" t="s">
        <v>21070</v>
      </c>
      <c r="B8472" s="2" t="s">
        <v>21071</v>
      </c>
      <c r="C8472" s="2" t="s">
        <v>26</v>
      </c>
      <c r="D8472" s="2" t="s">
        <v>27</v>
      </c>
      <c r="E8472" s="4">
        <v>-32022</v>
      </c>
      <c r="F8472" s="3" t="s">
        <v>1186</v>
      </c>
      <c r="G8472" s="3" t="s">
        <v>336</v>
      </c>
      <c r="H8472" s="2" t="s">
        <v>30</v>
      </c>
      <c r="I8472" s="2" t="s">
        <v>21072</v>
      </c>
      <c r="J8472" s="3" t="str">
        <f>HYPERLINK("https://www.boe.es/gazeta/dias/1812/04/28/pdfs/GRE-1812-53.pdf#page=8","Abrir facsímil")</f>
        <v>Abrir facsímil</v>
      </c>
      <c r="K8472" s="3" t="s">
        <v>32</v>
      </c>
    </row>
    <row r="8473" spans="1:11" ht="42" customHeight="1">
      <c r="A8473" s="2" t="s">
        <v>21073</v>
      </c>
      <c r="B8473" s="2" t="s">
        <v>21074</v>
      </c>
      <c r="C8473" s="2" t="s">
        <v>26</v>
      </c>
      <c r="D8473" s="2" t="s">
        <v>27</v>
      </c>
      <c r="E8473" s="4">
        <v>-31938</v>
      </c>
      <c r="F8473" s="3" t="s">
        <v>324</v>
      </c>
      <c r="G8473" s="3" t="s">
        <v>497</v>
      </c>
      <c r="H8473" s="2" t="s">
        <v>30</v>
      </c>
      <c r="I8473" s="2" t="s">
        <v>21075</v>
      </c>
      <c r="J8473" s="3" t="str">
        <f>HYPERLINK("https://www.boe.es/gazeta/dias/1812/07/21/pdfs/GMD-1812-203.pdf#page=3","Abrir facsímil")</f>
        <v>Abrir facsímil</v>
      </c>
      <c r="K8473" s="3" t="s">
        <v>32</v>
      </c>
    </row>
    <row r="8474" spans="1:11" ht="42" customHeight="1">
      <c r="A8474" s="2" t="s">
        <v>21076</v>
      </c>
      <c r="B8474" s="2" t="s">
        <v>21077</v>
      </c>
      <c r="C8474" s="2" t="s">
        <v>105</v>
      </c>
      <c r="D8474" s="2" t="s">
        <v>27</v>
      </c>
      <c r="E8474" s="4">
        <v>-31980</v>
      </c>
      <c r="F8474" s="3" t="s">
        <v>40</v>
      </c>
      <c r="G8474" s="3" t="s">
        <v>41</v>
      </c>
      <c r="H8474" s="2" t="s">
        <v>30</v>
      </c>
      <c r="I8474" s="2" t="s">
        <v>21078</v>
      </c>
      <c r="J8474" s="3" t="str">
        <f>HYPERLINK("https://www.boe.es/gazeta/dias/1812/06/09/pdfs/GRE-1812-71.pdf#page=6","Abrir facsímil")</f>
        <v>Abrir facsímil</v>
      </c>
      <c r="K8474" s="3" t="s">
        <v>32</v>
      </c>
    </row>
    <row r="8475" spans="1:11" ht="42" customHeight="1">
      <c r="A8475" s="2" t="s">
        <v>21079</v>
      </c>
      <c r="B8475" s="2" t="s">
        <v>21080</v>
      </c>
      <c r="C8475" s="2" t="s">
        <v>17</v>
      </c>
      <c r="D8475" s="2" t="s">
        <v>275</v>
      </c>
      <c r="E8475" s="4">
        <v>-32069</v>
      </c>
      <c r="F8475" s="3" t="s">
        <v>445</v>
      </c>
      <c r="G8475" s="3" t="s">
        <v>446</v>
      </c>
      <c r="H8475" s="2" t="s">
        <v>30</v>
      </c>
      <c r="I8475" s="2" t="s">
        <v>21081</v>
      </c>
      <c r="J8475" s="3" t="str">
        <f>HYPERLINK("https://www.boe.es/gazeta/dias/1812/03/12/pdfs/GRE-1812-32.pdf#page=8","Abrir facsímil")</f>
        <v>Abrir facsímil</v>
      </c>
      <c r="K8475" s="3" t="s">
        <v>32</v>
      </c>
    </row>
    <row r="8476" spans="1:11" ht="42" customHeight="1">
      <c r="A8476" s="2" t="s">
        <v>21082</v>
      </c>
      <c r="B8476" s="2" t="s">
        <v>21083</v>
      </c>
      <c r="C8476" s="2" t="s">
        <v>26</v>
      </c>
      <c r="D8476" s="2" t="s">
        <v>275</v>
      </c>
      <c r="E8476" s="4">
        <v>-31964</v>
      </c>
      <c r="F8476" s="3" t="s">
        <v>305</v>
      </c>
      <c r="G8476" s="3" t="s">
        <v>58</v>
      </c>
      <c r="H8476" s="2" t="s">
        <v>30</v>
      </c>
      <c r="I8476" s="2" t="s">
        <v>21084</v>
      </c>
      <c r="J8476" s="3" t="str">
        <f>HYPERLINK("https://www.boe.es/gazeta/dias/1812/06/25/pdfs/GMD-1812-177.pdf#page=2","Abrir facsímil")</f>
        <v>Abrir facsímil</v>
      </c>
      <c r="K8476" s="3" t="s">
        <v>32</v>
      </c>
    </row>
    <row r="8477" spans="1:11" ht="42" customHeight="1">
      <c r="A8477" s="2" t="s">
        <v>21085</v>
      </c>
      <c r="B8477" s="2" t="s">
        <v>21086</v>
      </c>
      <c r="C8477" s="2" t="s">
        <v>26</v>
      </c>
      <c r="D8477" s="2" t="s">
        <v>27</v>
      </c>
      <c r="E8477" s="4">
        <v>-32139</v>
      </c>
      <c r="F8477" s="3" t="s">
        <v>518</v>
      </c>
      <c r="G8477" s="3" t="s">
        <v>125</v>
      </c>
      <c r="H8477" s="2" t="s">
        <v>30</v>
      </c>
      <c r="I8477" s="2" t="s">
        <v>21087</v>
      </c>
      <c r="J8477" s="3" t="str">
        <f>HYPERLINK("https://www.boe.es/gazeta/dias/1812/01/02/pdfs/GEI-1812-1.pdf#page=8","Abrir facsímil")</f>
        <v>Abrir facsímil</v>
      </c>
      <c r="K8477" s="3" t="s">
        <v>32</v>
      </c>
    </row>
    <row r="8478" spans="1:11" ht="42" customHeight="1">
      <c r="A8478" s="2" t="s">
        <v>21088</v>
      </c>
      <c r="B8478" s="2" t="s">
        <v>21089</v>
      </c>
      <c r="C8478" s="2" t="s">
        <v>17</v>
      </c>
      <c r="D8478" s="2" t="s">
        <v>18</v>
      </c>
      <c r="E8478" s="4">
        <v>-31956</v>
      </c>
      <c r="F8478" s="3" t="s">
        <v>19</v>
      </c>
      <c r="G8478" s="3" t="s">
        <v>20</v>
      </c>
      <c r="H8478" s="2" t="s">
        <v>30</v>
      </c>
      <c r="I8478" s="2" t="s">
        <v>21090</v>
      </c>
      <c r="J8478" s="3" t="str">
        <f>HYPERLINK("https://www.boe.es/gazeta/dias/1812/07/03/pdfs/GMD-1812-185.pdf#page=2","Abrir facsímil")</f>
        <v>Abrir facsímil</v>
      </c>
      <c r="K8478" s="3" t="s">
        <v>32</v>
      </c>
    </row>
    <row r="8479" spans="1:11" ht="42" customHeight="1">
      <c r="A8479" s="2" t="s">
        <v>21091</v>
      </c>
      <c r="B8479" s="2" t="s">
        <v>21092</v>
      </c>
      <c r="C8479" s="2" t="s">
        <v>26</v>
      </c>
      <c r="D8479" s="2" t="s">
        <v>27</v>
      </c>
      <c r="E8479" s="4">
        <v>-31822</v>
      </c>
      <c r="F8479" s="3" t="s">
        <v>541</v>
      </c>
      <c r="G8479" s="3" t="s">
        <v>3583</v>
      </c>
      <c r="H8479" s="2" t="s">
        <v>30</v>
      </c>
      <c r="I8479" s="2" t="s">
        <v>21093</v>
      </c>
      <c r="J8479" s="3" t="str">
        <f>HYPERLINK("https://www.boe.es/gazeta/dias/1812/11/14/pdfs/GRE-1812-152.pdf#page=6","Abrir facsímil")</f>
        <v>Abrir facsímil</v>
      </c>
      <c r="K8479" s="3" t="s">
        <v>32</v>
      </c>
    </row>
    <row r="8480" spans="1:11" ht="42" customHeight="1">
      <c r="A8480" s="2" t="s">
        <v>21094</v>
      </c>
      <c r="B8480" s="2" t="s">
        <v>21095</v>
      </c>
      <c r="C8480" s="2" t="s">
        <v>186</v>
      </c>
      <c r="D8480" s="2" t="s">
        <v>27</v>
      </c>
      <c r="E8480" s="4">
        <v>-32020</v>
      </c>
      <c r="F8480" s="3" t="s">
        <v>1860</v>
      </c>
      <c r="G8480" s="3" t="s">
        <v>36</v>
      </c>
      <c r="H8480" s="2" t="s">
        <v>30</v>
      </c>
      <c r="I8480" s="2" t="s">
        <v>21096</v>
      </c>
      <c r="J8480" s="3" t="str">
        <f>HYPERLINK("https://www.boe.es/gazeta/dias/1812/04/30/pdfs/GMD-1812-121.pdf#page=3","Abrir facsímil")</f>
        <v>Abrir facsímil</v>
      </c>
      <c r="K8480" s="3" t="s">
        <v>32</v>
      </c>
    </row>
    <row r="8481" spans="1:11" ht="42" customHeight="1">
      <c r="A8481" s="2" t="s">
        <v>21097</v>
      </c>
      <c r="B8481" s="2" t="s">
        <v>21098</v>
      </c>
      <c r="C8481" s="2" t="s">
        <v>26</v>
      </c>
      <c r="D8481" s="2" t="s">
        <v>27</v>
      </c>
      <c r="E8481" s="4">
        <v>-32044</v>
      </c>
      <c r="F8481" s="3" t="s">
        <v>1031</v>
      </c>
      <c r="G8481" s="3" t="s">
        <v>1873</v>
      </c>
      <c r="H8481" s="2" t="s">
        <v>30</v>
      </c>
      <c r="I8481" s="2" t="s">
        <v>21099</v>
      </c>
      <c r="J8481" s="3" t="str">
        <f>HYPERLINK("https://www.boe.es/gazeta/dias/1812/04/06/pdfs/GMD-1812-97.pdf#page=4","Abrir facsímil")</f>
        <v>Abrir facsímil</v>
      </c>
      <c r="K8481" s="3" t="s">
        <v>32</v>
      </c>
    </row>
    <row r="8482" spans="1:11" ht="42" customHeight="1">
      <c r="A8482" s="2" t="s">
        <v>21100</v>
      </c>
      <c r="B8482" s="2" t="s">
        <v>21101</v>
      </c>
      <c r="C8482" s="2" t="s">
        <v>17</v>
      </c>
      <c r="D8482" s="2" t="s">
        <v>27</v>
      </c>
      <c r="E8482" s="4">
        <v>-32139</v>
      </c>
      <c r="F8482" s="3" t="s">
        <v>518</v>
      </c>
      <c r="G8482" s="3" t="s">
        <v>1923</v>
      </c>
      <c r="H8482" s="2" t="s">
        <v>30</v>
      </c>
      <c r="I8482" s="2" t="s">
        <v>21102</v>
      </c>
      <c r="J8482" s="3" t="str">
        <f>HYPERLINK("https://www.boe.es/gazeta/dias/1812/01/02/pdfs/GEI-1812-1.pdf#page=1","Abrir facsímil")</f>
        <v>Abrir facsímil</v>
      </c>
      <c r="K8482" s="3" t="s">
        <v>32</v>
      </c>
    </row>
    <row r="8483" spans="1:11" ht="42" customHeight="1">
      <c r="A8483" s="2" t="s">
        <v>21103</v>
      </c>
      <c r="B8483" s="2" t="s">
        <v>21104</v>
      </c>
      <c r="C8483" s="2" t="s">
        <v>17</v>
      </c>
      <c r="D8483" s="2" t="s">
        <v>27</v>
      </c>
      <c r="E8483" s="4">
        <v>-31948</v>
      </c>
      <c r="F8483" s="3" t="s">
        <v>431</v>
      </c>
      <c r="G8483" s="3" t="s">
        <v>432</v>
      </c>
      <c r="H8483" s="2" t="s">
        <v>30</v>
      </c>
      <c r="I8483" s="2" t="s">
        <v>21105</v>
      </c>
      <c r="J8483" s="3" t="str">
        <f>HYPERLINK("https://www.boe.es/gazeta/dias/1812/07/11/pdfs/GRE-1812-86.pdf#page=5","Abrir facsímil")</f>
        <v>Abrir facsímil</v>
      </c>
      <c r="K8483" s="3" t="s">
        <v>32</v>
      </c>
    </row>
    <row r="8484" spans="1:11" ht="42" customHeight="1">
      <c r="A8484" s="2" t="s">
        <v>21106</v>
      </c>
      <c r="B8484" s="2" t="s">
        <v>21107</v>
      </c>
      <c r="C8484" s="2" t="s">
        <v>17</v>
      </c>
      <c r="D8484" s="2" t="s">
        <v>27</v>
      </c>
      <c r="E8484" s="4">
        <v>-32005</v>
      </c>
      <c r="F8484" s="3" t="s">
        <v>2696</v>
      </c>
      <c r="G8484" s="3" t="s">
        <v>1293</v>
      </c>
      <c r="H8484" s="2" t="s">
        <v>30</v>
      </c>
      <c r="I8484" s="2" t="s">
        <v>21108</v>
      </c>
      <c r="J8484" s="3" t="str">
        <f>HYPERLINK("https://www.boe.es/gazeta/dias/1812/05/15/pdfs/GMD-1812-136.pdf#page=1","Abrir facsímil")</f>
        <v>Abrir facsímil</v>
      </c>
      <c r="K8484" s="3" t="s">
        <v>32</v>
      </c>
    </row>
    <row r="8485" spans="1:11" ht="42" customHeight="1">
      <c r="A8485" s="2" t="s">
        <v>21106</v>
      </c>
      <c r="B8485" s="2" t="s">
        <v>21107</v>
      </c>
      <c r="C8485" s="2" t="s">
        <v>82</v>
      </c>
      <c r="D8485" s="2" t="s">
        <v>27</v>
      </c>
      <c r="E8485" s="4">
        <v>-32004</v>
      </c>
      <c r="F8485" s="3" t="s">
        <v>5305</v>
      </c>
      <c r="G8485" s="3" t="s">
        <v>140</v>
      </c>
      <c r="H8485" s="2" t="s">
        <v>30</v>
      </c>
      <c r="I8485" s="2" t="s">
        <v>21109</v>
      </c>
      <c r="J8485" s="3" t="str">
        <f>HYPERLINK("https://www.boe.es/gazeta/dias/1812/05/16/pdfs/GMD-1812-137.pdf#page=2","Abrir facsímil")</f>
        <v>Abrir facsímil</v>
      </c>
      <c r="K8485" s="3" t="s">
        <v>32</v>
      </c>
    </row>
    <row r="8486" spans="1:11" ht="42" customHeight="1">
      <c r="A8486" s="2" t="s">
        <v>21110</v>
      </c>
      <c r="B8486" s="2" t="s">
        <v>21111</v>
      </c>
      <c r="C8486" s="2" t="s">
        <v>26</v>
      </c>
      <c r="D8486" s="2" t="s">
        <v>27</v>
      </c>
      <c r="E8486" s="4">
        <v>-31821</v>
      </c>
      <c r="F8486" s="3" t="s">
        <v>1979</v>
      </c>
      <c r="G8486" s="3" t="s">
        <v>317</v>
      </c>
      <c r="H8486" s="2" t="s">
        <v>30</v>
      </c>
      <c r="I8486" s="2" t="s">
        <v>21112</v>
      </c>
      <c r="J8486" s="3" t="str">
        <f>HYPERLINK("https://www.boe.es/gazeta/dias/1812/11/15/pdfs/GMR-1812-34.pdf#page=6","Abrir facsímil")</f>
        <v>Abrir facsímil</v>
      </c>
      <c r="K8486" s="3" t="s">
        <v>32</v>
      </c>
    </row>
    <row r="8487" spans="1:11" ht="42" customHeight="1">
      <c r="A8487" s="2" t="s">
        <v>21113</v>
      </c>
      <c r="B8487" s="2" t="s">
        <v>21114</v>
      </c>
      <c r="C8487" s="2" t="s">
        <v>17</v>
      </c>
      <c r="D8487" s="2" t="s">
        <v>18</v>
      </c>
      <c r="E8487" s="4">
        <v>-31880</v>
      </c>
      <c r="F8487" s="3" t="s">
        <v>3148</v>
      </c>
      <c r="G8487" s="3" t="s">
        <v>4839</v>
      </c>
      <c r="H8487" s="2" t="s">
        <v>30</v>
      </c>
      <c r="I8487" s="2" t="s">
        <v>21115</v>
      </c>
      <c r="J8487" s="3" t="str">
        <f>HYPERLINK("https://www.boe.es/gazeta/dias/1812/09/17/pdfs/GRE-1812-126.pdf#page=5","Abrir facsímil")</f>
        <v>Abrir facsímil</v>
      </c>
      <c r="K8487" s="3" t="s">
        <v>32</v>
      </c>
    </row>
    <row r="8488" spans="1:11" ht="42" customHeight="1">
      <c r="A8488" s="2" t="s">
        <v>21116</v>
      </c>
      <c r="B8488" s="2" t="s">
        <v>21117</v>
      </c>
      <c r="C8488" s="2" t="s">
        <v>26</v>
      </c>
      <c r="D8488" s="2" t="s">
        <v>27</v>
      </c>
      <c r="E8488" s="4">
        <v>-31913</v>
      </c>
      <c r="F8488" s="3" t="s">
        <v>450</v>
      </c>
      <c r="G8488" s="3" t="s">
        <v>2131</v>
      </c>
      <c r="H8488" s="2" t="s">
        <v>30</v>
      </c>
      <c r="I8488" s="2" t="s">
        <v>21118</v>
      </c>
      <c r="J8488" s="3" t="str">
        <f>HYPERLINK("https://www.boe.es/gazeta/dias/1812/08/15/pdfs/GRE-1812-105.pdf#page=5","Abrir facsímil")</f>
        <v>Abrir facsímil</v>
      </c>
      <c r="K8488" s="3" t="s">
        <v>32</v>
      </c>
    </row>
    <row r="8489" spans="1:11" ht="42" customHeight="1">
      <c r="A8489" s="2" t="s">
        <v>21119</v>
      </c>
      <c r="B8489" s="2" t="s">
        <v>21120</v>
      </c>
      <c r="C8489" s="2" t="s">
        <v>26</v>
      </c>
      <c r="D8489" s="2" t="s">
        <v>27</v>
      </c>
      <c r="E8489" s="4">
        <v>-32015</v>
      </c>
      <c r="F8489" s="3" t="s">
        <v>77</v>
      </c>
      <c r="G8489" s="3" t="s">
        <v>78</v>
      </c>
      <c r="H8489" s="2" t="s">
        <v>30</v>
      </c>
      <c r="I8489" s="2" t="s">
        <v>21121</v>
      </c>
      <c r="J8489" s="3" t="str">
        <f>HYPERLINK("https://www.boe.es/gazeta/dias/1812/05/05/pdfs/GRE-1812-56.pdf#page=8","Abrir facsímil")</f>
        <v>Abrir facsímil</v>
      </c>
      <c r="K8489" s="3" t="s">
        <v>32</v>
      </c>
    </row>
    <row r="8490" spans="1:11" ht="42" customHeight="1">
      <c r="A8490" s="2" t="s">
        <v>21122</v>
      </c>
      <c r="B8490" s="2" t="s">
        <v>21123</v>
      </c>
      <c r="C8490" s="2" t="s">
        <v>17</v>
      </c>
      <c r="D8490" s="2" t="s">
        <v>18</v>
      </c>
      <c r="E8490" s="4">
        <v>-32039</v>
      </c>
      <c r="F8490" s="3" t="s">
        <v>557</v>
      </c>
      <c r="G8490" s="3" t="s">
        <v>20</v>
      </c>
      <c r="H8490" s="2" t="s">
        <v>30</v>
      </c>
      <c r="I8490" s="2" t="s">
        <v>21124</v>
      </c>
      <c r="J8490" s="3" t="str">
        <f>HYPERLINK("https://www.boe.es/gazeta/dias/1812/04/11/pdfs/GMD-1812-102.pdf#page=4","Abrir facsímil")</f>
        <v>Abrir facsímil</v>
      </c>
      <c r="K8490" s="3" t="s">
        <v>32</v>
      </c>
    </row>
    <row r="8491" spans="1:11" ht="42" customHeight="1">
      <c r="A8491" s="2" t="s">
        <v>21125</v>
      </c>
      <c r="B8491" s="2" t="s">
        <v>21126</v>
      </c>
      <c r="C8491" s="2" t="s">
        <v>26</v>
      </c>
      <c r="D8491" s="2" t="s">
        <v>27</v>
      </c>
      <c r="E8491" s="4">
        <v>-32018</v>
      </c>
      <c r="F8491" s="3" t="s">
        <v>365</v>
      </c>
      <c r="G8491" s="3" t="s">
        <v>366</v>
      </c>
      <c r="H8491" s="2" t="s">
        <v>30</v>
      </c>
      <c r="I8491" s="2" t="s">
        <v>21127</v>
      </c>
      <c r="J8491" s="3" t="str">
        <f>HYPERLINK("https://www.boe.es/gazeta/dias/1812/05/02/pdfs/GRE-1812-55.pdf#page=3","Abrir facsímil")</f>
        <v>Abrir facsímil</v>
      </c>
      <c r="K8491" s="3" t="s">
        <v>32</v>
      </c>
    </row>
    <row r="8492" spans="1:11" ht="42" customHeight="1">
      <c r="A8492" s="2" t="s">
        <v>21128</v>
      </c>
      <c r="B8492" s="2" t="s">
        <v>21129</v>
      </c>
      <c r="C8492" s="2" t="s">
        <v>17</v>
      </c>
      <c r="D8492" s="2" t="s">
        <v>18</v>
      </c>
      <c r="E8492" s="4">
        <v>-31945</v>
      </c>
      <c r="F8492" s="3" t="s">
        <v>1485</v>
      </c>
      <c r="G8492" s="3" t="s">
        <v>4494</v>
      </c>
      <c r="H8492" s="2" t="s">
        <v>30</v>
      </c>
      <c r="I8492" s="2" t="s">
        <v>21130</v>
      </c>
      <c r="J8492" s="3" t="str">
        <f>HYPERLINK("https://www.boe.es/gazeta/dias/1812/07/14/pdfs/GRE-1812-88.pdf#page=8","Abrir facsímil")</f>
        <v>Abrir facsímil</v>
      </c>
      <c r="K8492" s="3" t="s">
        <v>32</v>
      </c>
    </row>
    <row r="8493" spans="1:11" ht="42" customHeight="1">
      <c r="A8493" s="2" t="s">
        <v>21131</v>
      </c>
      <c r="B8493" s="2" t="s">
        <v>21132</v>
      </c>
      <c r="C8493" s="2" t="s">
        <v>26</v>
      </c>
      <c r="D8493" s="2" t="s">
        <v>275</v>
      </c>
      <c r="E8493" s="4">
        <v>-32116</v>
      </c>
      <c r="F8493" s="3" t="s">
        <v>382</v>
      </c>
      <c r="G8493" s="3" t="s">
        <v>136</v>
      </c>
      <c r="H8493" s="2" t="s">
        <v>30</v>
      </c>
      <c r="I8493" s="2" t="s">
        <v>21133</v>
      </c>
      <c r="J8493" s="3" t="str">
        <f>HYPERLINK("https://www.boe.es/gazeta/dias/1812/01/25/pdfs/GMD-1812-25.pdf#page=4","Abrir facsímil")</f>
        <v>Abrir facsímil</v>
      </c>
      <c r="K8493" s="3" t="s">
        <v>32</v>
      </c>
    </row>
    <row r="8494" spans="1:11" ht="42" customHeight="1">
      <c r="A8494" s="2" t="s">
        <v>21134</v>
      </c>
      <c r="B8494" s="2" t="s">
        <v>21135</v>
      </c>
      <c r="C8494" s="2" t="s">
        <v>17</v>
      </c>
      <c r="D8494" s="2" t="s">
        <v>27</v>
      </c>
      <c r="E8494" s="4">
        <v>-32018</v>
      </c>
      <c r="F8494" s="3" t="s">
        <v>365</v>
      </c>
      <c r="G8494" s="3" t="s">
        <v>2171</v>
      </c>
      <c r="H8494" s="2" t="s">
        <v>30</v>
      </c>
      <c r="I8494" s="2" t="s">
        <v>21136</v>
      </c>
      <c r="J8494" s="3" t="str">
        <f>HYPERLINK("https://www.boe.es/gazeta/dias/1812/05/02/pdfs/GRE-1812-55.pdf#page=7","Abrir facsímil")</f>
        <v>Abrir facsímil</v>
      </c>
      <c r="K8494" s="3" t="s">
        <v>32</v>
      </c>
    </row>
    <row r="8495" spans="1:11" ht="42" customHeight="1">
      <c r="A8495" s="2" t="s">
        <v>21137</v>
      </c>
      <c r="B8495" s="2" t="s">
        <v>21138</v>
      </c>
      <c r="C8495" s="2" t="s">
        <v>105</v>
      </c>
      <c r="D8495" s="2" t="s">
        <v>27</v>
      </c>
      <c r="E8495" s="4">
        <v>-31931</v>
      </c>
      <c r="F8495" s="3" t="s">
        <v>4174</v>
      </c>
      <c r="G8495" s="3" t="s">
        <v>214</v>
      </c>
      <c r="H8495" s="2" t="s">
        <v>30</v>
      </c>
      <c r="I8495" s="2" t="s">
        <v>21139</v>
      </c>
      <c r="J8495" s="3" t="str">
        <f>HYPERLINK("https://www.boe.es/gazeta/dias/1812/07/28/pdfs/GRE-1812-94.pdf#page=3","Abrir facsímil")</f>
        <v>Abrir facsímil</v>
      </c>
      <c r="K8495" s="3" t="s">
        <v>32</v>
      </c>
    </row>
    <row r="8496" spans="1:11" ht="42" customHeight="1">
      <c r="A8496" s="2" t="s">
        <v>21140</v>
      </c>
      <c r="B8496" s="2" t="s">
        <v>21141</v>
      </c>
      <c r="C8496" s="2" t="s">
        <v>26</v>
      </c>
      <c r="D8496" s="2" t="s">
        <v>27</v>
      </c>
      <c r="E8496" s="4">
        <v>-32065</v>
      </c>
      <c r="F8496" s="3" t="s">
        <v>259</v>
      </c>
      <c r="G8496" s="3" t="s">
        <v>20</v>
      </c>
      <c r="H8496" s="2" t="s">
        <v>30</v>
      </c>
      <c r="I8496" s="2" t="s">
        <v>21142</v>
      </c>
      <c r="J8496" s="3" t="str">
        <f>HYPERLINK("https://www.boe.es/gazeta/dias/1812/03/16/pdfs/GMD-1812-76.pdf#page=4","Abrir facsímil")</f>
        <v>Abrir facsímil</v>
      </c>
      <c r="K8496" s="3" t="s">
        <v>32</v>
      </c>
    </row>
    <row r="8497" spans="1:11" ht="42" customHeight="1">
      <c r="A8497" s="2" t="s">
        <v>21143</v>
      </c>
      <c r="B8497" s="2" t="s">
        <v>21144</v>
      </c>
      <c r="C8497" s="2" t="s">
        <v>26</v>
      </c>
      <c r="D8497" s="2" t="s">
        <v>27</v>
      </c>
      <c r="E8497" s="4">
        <v>-31948</v>
      </c>
      <c r="F8497" s="3" t="s">
        <v>431</v>
      </c>
      <c r="G8497" s="3" t="s">
        <v>432</v>
      </c>
      <c r="H8497" s="2" t="s">
        <v>30</v>
      </c>
      <c r="I8497" s="2" t="s">
        <v>21145</v>
      </c>
      <c r="J8497" s="3" t="str">
        <f>HYPERLINK("https://www.boe.es/gazeta/dias/1812/07/11/pdfs/GRE-1812-86.pdf#page=5","Abrir facsímil")</f>
        <v>Abrir facsímil</v>
      </c>
      <c r="K8497" s="3" t="s">
        <v>32</v>
      </c>
    </row>
    <row r="8498" spans="1:11" ht="42" customHeight="1">
      <c r="A8498" s="2" t="s">
        <v>21146</v>
      </c>
      <c r="B8498" s="2" t="s">
        <v>21147</v>
      </c>
      <c r="C8498" s="2" t="s">
        <v>49</v>
      </c>
      <c r="D8498" s="2" t="s">
        <v>27</v>
      </c>
      <c r="E8498" s="4">
        <v>-32125</v>
      </c>
      <c r="F8498" s="3" t="s">
        <v>335</v>
      </c>
      <c r="G8498" s="3" t="s">
        <v>1698</v>
      </c>
      <c r="H8498" s="2" t="s">
        <v>30</v>
      </c>
      <c r="I8498" s="2" t="s">
        <v>21148</v>
      </c>
      <c r="J8498" s="3" t="str">
        <f>HYPERLINK("https://www.boe.es/gazeta/dias/1812/01/16/pdfs/GEI-1812-7.pdf#page=7","Abrir facsímil")</f>
        <v>Abrir facsímil</v>
      </c>
      <c r="K8498" s="3" t="s">
        <v>32</v>
      </c>
    </row>
    <row r="8499" spans="1:11" ht="42" customHeight="1">
      <c r="A8499" s="2" t="s">
        <v>21149</v>
      </c>
      <c r="B8499" s="2" t="s">
        <v>21150</v>
      </c>
      <c r="C8499" s="2" t="s">
        <v>26</v>
      </c>
      <c r="D8499" s="2" t="s">
        <v>27</v>
      </c>
      <c r="E8499" s="4">
        <v>-32015</v>
      </c>
      <c r="F8499" s="3" t="s">
        <v>77</v>
      </c>
      <c r="G8499" s="3" t="s">
        <v>78</v>
      </c>
      <c r="H8499" s="2" t="s">
        <v>30</v>
      </c>
      <c r="I8499" s="2" t="s">
        <v>21151</v>
      </c>
      <c r="J8499" s="3" t="str">
        <f>HYPERLINK("https://www.boe.es/gazeta/dias/1812/05/05/pdfs/GRE-1812-56.pdf#page=8","Abrir facsímil")</f>
        <v>Abrir facsímil</v>
      </c>
      <c r="K8499" s="3" t="s">
        <v>32</v>
      </c>
    </row>
    <row r="8500" spans="1:11" ht="42" customHeight="1">
      <c r="A8500" s="2" t="s">
        <v>21152</v>
      </c>
      <c r="B8500" s="2" t="s">
        <v>21153</v>
      </c>
      <c r="C8500" s="2" t="s">
        <v>67</v>
      </c>
      <c r="D8500" s="2" t="s">
        <v>275</v>
      </c>
      <c r="E8500" s="4">
        <v>-32125</v>
      </c>
      <c r="F8500" s="3" t="s">
        <v>964</v>
      </c>
      <c r="G8500" s="3" t="s">
        <v>1842</v>
      </c>
      <c r="H8500" s="2" t="s">
        <v>30</v>
      </c>
      <c r="I8500" s="2" t="s">
        <v>21154</v>
      </c>
      <c r="J8500" s="3" t="str">
        <f>HYPERLINK("https://www.boe.es/gazeta/dias/1812/01/16/pdfs/GEI-H-1812-7.pdf#page=4","Abrir facsímil")</f>
        <v>Abrir facsímil</v>
      </c>
      <c r="K8500" s="3" t="s">
        <v>32</v>
      </c>
    </row>
    <row r="8501" spans="1:11" ht="42" customHeight="1">
      <c r="A8501" s="2" t="s">
        <v>21155</v>
      </c>
      <c r="B8501" s="2" t="s">
        <v>21156</v>
      </c>
      <c r="C8501" s="2" t="s">
        <v>26</v>
      </c>
      <c r="D8501" s="2" t="s">
        <v>27</v>
      </c>
      <c r="E8501" s="4">
        <v>-31910</v>
      </c>
      <c r="F8501" s="3" t="s">
        <v>72</v>
      </c>
      <c r="G8501" s="3" t="s">
        <v>73</v>
      </c>
      <c r="H8501" s="2" t="s">
        <v>30</v>
      </c>
      <c r="I8501" s="2" t="s">
        <v>21157</v>
      </c>
      <c r="J8501" s="3" t="str">
        <f>HYPERLINK("https://www.boe.es/gazeta/dias/1812/08/18/pdfs/GRE-1812-106.pdf#page=4","Abrir facsímil")</f>
        <v>Abrir facsímil</v>
      </c>
      <c r="K8501" s="3" t="s">
        <v>32</v>
      </c>
    </row>
    <row r="8502" spans="1:11" ht="42" customHeight="1">
      <c r="A8502" s="2" t="s">
        <v>21158</v>
      </c>
      <c r="B8502" s="2" t="s">
        <v>21159</v>
      </c>
      <c r="C8502" s="2" t="s">
        <v>26</v>
      </c>
      <c r="D8502" s="2" t="s">
        <v>27</v>
      </c>
      <c r="E8502" s="4">
        <v>-32123</v>
      </c>
      <c r="F8502" s="3" t="s">
        <v>2642</v>
      </c>
      <c r="G8502" s="3" t="s">
        <v>20</v>
      </c>
      <c r="H8502" s="2" t="s">
        <v>30</v>
      </c>
      <c r="I8502" s="2" t="s">
        <v>21160</v>
      </c>
      <c r="J8502" s="3" t="str">
        <f>HYPERLINK("https://www.boe.es/gazeta/dias/1812/01/18/pdfs/GMD-1812-18.pdf#page=4","Abrir facsímil")</f>
        <v>Abrir facsímil</v>
      </c>
      <c r="K8502" s="3" t="s">
        <v>32</v>
      </c>
    </row>
    <row r="8503" spans="1:11" ht="42" customHeight="1">
      <c r="A8503" s="2" t="s">
        <v>21161</v>
      </c>
      <c r="B8503" s="2" t="s">
        <v>21162</v>
      </c>
      <c r="C8503" s="2" t="s">
        <v>26</v>
      </c>
      <c r="D8503" s="2" t="s">
        <v>27</v>
      </c>
      <c r="E8503" s="4">
        <v>-31994</v>
      </c>
      <c r="F8503" s="3" t="s">
        <v>207</v>
      </c>
      <c r="G8503" s="3" t="s">
        <v>125</v>
      </c>
      <c r="H8503" s="2" t="s">
        <v>30</v>
      </c>
      <c r="I8503" s="2" t="s">
        <v>21163</v>
      </c>
      <c r="J8503" s="3" t="str">
        <f>HYPERLINK("https://www.boe.es/gazeta/dias/1812/05/26/pdfs/GRE-1812-65.pdf#page=4","Abrir facsímil")</f>
        <v>Abrir facsímil</v>
      </c>
      <c r="K8503" s="3" t="s">
        <v>32</v>
      </c>
    </row>
    <row r="8504" spans="1:11" ht="42" customHeight="1">
      <c r="A8504" s="2" t="s">
        <v>21164</v>
      </c>
      <c r="B8504" s="2" t="s">
        <v>21165</v>
      </c>
      <c r="C8504" s="2" t="s">
        <v>17</v>
      </c>
      <c r="D8504" s="2" t="s">
        <v>18</v>
      </c>
      <c r="E8504" s="4">
        <v>-32067</v>
      </c>
      <c r="F8504" s="3" t="s">
        <v>199</v>
      </c>
      <c r="G8504" s="3" t="s">
        <v>237</v>
      </c>
      <c r="H8504" s="2" t="s">
        <v>30</v>
      </c>
      <c r="I8504" s="2" t="s">
        <v>21166</v>
      </c>
      <c r="J8504" s="3" t="str">
        <f>HYPERLINK("https://www.boe.es/gazeta/dias/1812/03/14/pdfs/GRE-1812-33.pdf#page=8","Abrir facsímil")</f>
        <v>Abrir facsímil</v>
      </c>
      <c r="K8504" s="3" t="s">
        <v>32</v>
      </c>
    </row>
    <row r="8505" spans="1:11" ht="42" customHeight="1">
      <c r="A8505" s="2" t="s">
        <v>21167</v>
      </c>
      <c r="B8505" s="2" t="s">
        <v>21168</v>
      </c>
      <c r="C8505" s="2" t="s">
        <v>17</v>
      </c>
      <c r="D8505" s="2" t="s">
        <v>27</v>
      </c>
      <c r="E8505" s="4">
        <v>-32067</v>
      </c>
      <c r="F8505" s="3" t="s">
        <v>199</v>
      </c>
      <c r="G8505" s="3" t="s">
        <v>3583</v>
      </c>
      <c r="H8505" s="2" t="s">
        <v>30</v>
      </c>
      <c r="I8505" s="2" t="s">
        <v>21169</v>
      </c>
      <c r="J8505" s="3" t="str">
        <f>HYPERLINK("https://www.boe.es/gazeta/dias/1812/03/14/pdfs/GRE-1812-33.pdf#page=4","Abrir facsímil")</f>
        <v>Abrir facsímil</v>
      </c>
      <c r="K8505" s="3" t="s">
        <v>32</v>
      </c>
    </row>
    <row r="8506" spans="1:11" ht="42" customHeight="1">
      <c r="A8506" s="2" t="s">
        <v>21170</v>
      </c>
      <c r="B8506" s="2" t="s">
        <v>21171</v>
      </c>
      <c r="C8506" s="2" t="s">
        <v>17</v>
      </c>
      <c r="D8506" s="2" t="s">
        <v>27</v>
      </c>
      <c r="E8506" s="4">
        <v>-32034</v>
      </c>
      <c r="F8506" s="3" t="s">
        <v>1008</v>
      </c>
      <c r="G8506" s="3" t="s">
        <v>438</v>
      </c>
      <c r="H8506" s="2" t="s">
        <v>30</v>
      </c>
      <c r="I8506" s="2" t="s">
        <v>21172</v>
      </c>
      <c r="J8506" s="3" t="str">
        <f>HYPERLINK("https://www.boe.es/gazeta/dias/1812/04/16/pdfs/GRE-1812-48.pdf#page=6","Abrir facsímil")</f>
        <v>Abrir facsímil</v>
      </c>
      <c r="K8506" s="3" t="s">
        <v>32</v>
      </c>
    </row>
    <row r="8507" spans="1:11" ht="42" customHeight="1">
      <c r="A8507" s="2" t="s">
        <v>21173</v>
      </c>
      <c r="B8507" s="2" t="s">
        <v>21174</v>
      </c>
      <c r="C8507" s="2" t="s">
        <v>26</v>
      </c>
      <c r="D8507" s="2" t="s">
        <v>27</v>
      </c>
      <c r="E8507" s="4">
        <v>-31976</v>
      </c>
      <c r="F8507" s="3" t="s">
        <v>54</v>
      </c>
      <c r="G8507" s="3" t="s">
        <v>55</v>
      </c>
      <c r="H8507" s="2" t="s">
        <v>30</v>
      </c>
      <c r="I8507" s="2" t="s">
        <v>21175</v>
      </c>
      <c r="J8507" s="3" t="str">
        <f>HYPERLINK("https://www.boe.es/gazeta/dias/1812/06/13/pdfs/GRE-1812-73.pdf#page=6","Abrir facsímil")</f>
        <v>Abrir facsímil</v>
      </c>
      <c r="K8507" s="3" t="s">
        <v>32</v>
      </c>
    </row>
    <row r="8508" spans="1:11" ht="42" customHeight="1">
      <c r="A8508" s="2" t="s">
        <v>21176</v>
      </c>
      <c r="B8508" s="2" t="s">
        <v>21177</v>
      </c>
      <c r="C8508" s="2" t="s">
        <v>549</v>
      </c>
      <c r="D8508" s="2" t="s">
        <v>573</v>
      </c>
      <c r="E8508" s="4">
        <v>-31900</v>
      </c>
      <c r="F8508" s="3" t="s">
        <v>276</v>
      </c>
      <c r="G8508" s="3" t="s">
        <v>277</v>
      </c>
      <c r="H8508" s="2" t="s">
        <v>30</v>
      </c>
      <c r="I8508" s="2" t="s">
        <v>21178</v>
      </c>
      <c r="J8508" s="3" t="str">
        <f>HYPERLINK("https://www.boe.es/gazeta/dias/1812/08/28/pdfs/GRE-1812-113E.pdf#page=8","Abrir facsímil")</f>
        <v>Abrir facsímil</v>
      </c>
      <c r="K8508" s="3" t="s">
        <v>32</v>
      </c>
    </row>
    <row r="8509" spans="1:11" ht="42" customHeight="1">
      <c r="A8509" s="2" t="s">
        <v>21179</v>
      </c>
      <c r="B8509" s="2" t="s">
        <v>21180</v>
      </c>
      <c r="C8509" s="2" t="s">
        <v>26</v>
      </c>
      <c r="D8509" s="2" t="s">
        <v>27</v>
      </c>
      <c r="E8509" s="4">
        <v>-31885</v>
      </c>
      <c r="F8509" s="3" t="s">
        <v>750</v>
      </c>
      <c r="G8509" s="3" t="s">
        <v>5613</v>
      </c>
      <c r="H8509" s="2" t="s">
        <v>30</v>
      </c>
      <c r="I8509" s="2" t="s">
        <v>21181</v>
      </c>
      <c r="J8509" s="3" t="str">
        <f>HYPERLINK("https://www.boe.es/gazeta/dias/1812/09/12/pdfs/GMR-1812-13.pdf#page=6","Abrir facsímil")</f>
        <v>Abrir facsímil</v>
      </c>
      <c r="K8509" s="3" t="s">
        <v>32</v>
      </c>
    </row>
    <row r="8510" spans="1:11" ht="42" customHeight="1">
      <c r="A8510" s="2" t="s">
        <v>21182</v>
      </c>
      <c r="B8510" s="2" t="s">
        <v>21183</v>
      </c>
      <c r="C8510" s="2" t="s">
        <v>17</v>
      </c>
      <c r="D8510" s="2" t="s">
        <v>18</v>
      </c>
      <c r="E8510" s="4">
        <v>-32081</v>
      </c>
      <c r="F8510" s="3" t="s">
        <v>232</v>
      </c>
      <c r="G8510" s="3" t="s">
        <v>8852</v>
      </c>
      <c r="H8510" s="2" t="s">
        <v>30</v>
      </c>
      <c r="I8510" s="2" t="s">
        <v>21184</v>
      </c>
      <c r="J8510" s="3" t="str">
        <f>HYPERLINK("https://www.boe.es/gazeta/dias/1812/02/29/pdfs/GRE-1812-27.pdf#page=7","Abrir facsímil")</f>
        <v>Abrir facsímil</v>
      </c>
      <c r="K8510" s="3" t="s">
        <v>32</v>
      </c>
    </row>
    <row r="8511" spans="1:11" ht="42" customHeight="1">
      <c r="A8511" s="2" t="s">
        <v>21185</v>
      </c>
      <c r="B8511" s="2" t="s">
        <v>21186</v>
      </c>
      <c r="C8511" s="2" t="s">
        <v>17</v>
      </c>
      <c r="D8511" s="2" t="s">
        <v>27</v>
      </c>
      <c r="E8511" s="4">
        <v>-31982</v>
      </c>
      <c r="F8511" s="3" t="s">
        <v>1630</v>
      </c>
      <c r="G8511" s="3" t="s">
        <v>1631</v>
      </c>
      <c r="H8511" s="2" t="s">
        <v>30</v>
      </c>
      <c r="I8511" s="2" t="s">
        <v>21187</v>
      </c>
      <c r="J8511" s="3" t="str">
        <f>HYPERLINK("https://www.boe.es/gazeta/dias/1812/06/07/pdfs/GMD-1812-159.pdf#page=4","Abrir facsímil")</f>
        <v>Abrir facsímil</v>
      </c>
      <c r="K8511" s="3" t="s">
        <v>32</v>
      </c>
    </row>
    <row r="8512" spans="1:11" ht="42" customHeight="1">
      <c r="A8512" s="2" t="s">
        <v>21188</v>
      </c>
      <c r="B8512" s="2" t="s">
        <v>21189</v>
      </c>
      <c r="C8512" s="2" t="s">
        <v>17</v>
      </c>
      <c r="D8512" s="2" t="s">
        <v>27</v>
      </c>
      <c r="E8512" s="4">
        <v>-32015</v>
      </c>
      <c r="F8512" s="3" t="s">
        <v>77</v>
      </c>
      <c r="G8512" s="3" t="s">
        <v>78</v>
      </c>
      <c r="H8512" s="2" t="s">
        <v>30</v>
      </c>
      <c r="I8512" s="2" t="s">
        <v>21190</v>
      </c>
      <c r="J8512" s="3" t="str">
        <f>HYPERLINK("https://www.boe.es/gazeta/dias/1812/05/05/pdfs/GRE-1812-56.pdf#page=8","Abrir facsímil")</f>
        <v>Abrir facsímil</v>
      </c>
      <c r="K8512" s="3" t="s">
        <v>32</v>
      </c>
    </row>
    <row r="8513" spans="1:11" ht="42" customHeight="1">
      <c r="A8513" s="2" t="s">
        <v>21191</v>
      </c>
      <c r="B8513" s="2" t="s">
        <v>21192</v>
      </c>
      <c r="C8513" s="2" t="s">
        <v>105</v>
      </c>
      <c r="D8513" s="2" t="s">
        <v>27</v>
      </c>
      <c r="E8513" s="4">
        <v>-32015</v>
      </c>
      <c r="F8513" s="3" t="s">
        <v>77</v>
      </c>
      <c r="G8513" s="3" t="s">
        <v>78</v>
      </c>
      <c r="H8513" s="2" t="s">
        <v>30</v>
      </c>
      <c r="I8513" s="2" t="s">
        <v>21193</v>
      </c>
      <c r="J8513" s="3" t="str">
        <f>HYPERLINK("https://www.boe.es/gazeta/dias/1812/05/05/pdfs/GRE-1812-56.pdf#page=8","Abrir facsímil")</f>
        <v>Abrir facsímil</v>
      </c>
      <c r="K8513" s="3" t="s">
        <v>32</v>
      </c>
    </row>
    <row r="8514" spans="1:11" ht="42" customHeight="1">
      <c r="A8514" s="2" t="s">
        <v>21194</v>
      </c>
      <c r="B8514" s="2" t="s">
        <v>21195</v>
      </c>
      <c r="C8514" s="2" t="s">
        <v>17</v>
      </c>
      <c r="D8514" s="2" t="s">
        <v>27</v>
      </c>
      <c r="E8514" s="4">
        <v>-31822</v>
      </c>
      <c r="F8514" s="3" t="s">
        <v>541</v>
      </c>
      <c r="G8514" s="3" t="s">
        <v>542</v>
      </c>
      <c r="H8514" s="2" t="s">
        <v>30</v>
      </c>
      <c r="I8514" s="2" t="s">
        <v>21196</v>
      </c>
      <c r="J8514" s="3" t="str">
        <f>HYPERLINK("https://www.boe.es/gazeta/dias/1812/11/14/pdfs/GRE-1812-152.pdf#page=7","Abrir facsímil")</f>
        <v>Abrir facsímil</v>
      </c>
      <c r="K8514" s="3" t="s">
        <v>32</v>
      </c>
    </row>
    <row r="8515" spans="1:11" ht="42" customHeight="1">
      <c r="A8515" s="2" t="s">
        <v>21197</v>
      </c>
      <c r="B8515" s="2" t="s">
        <v>21198</v>
      </c>
      <c r="C8515" s="2" t="s">
        <v>26</v>
      </c>
      <c r="D8515" s="2" t="s">
        <v>27</v>
      </c>
      <c r="E8515" s="4">
        <v>-32018</v>
      </c>
      <c r="F8515" s="3" t="s">
        <v>365</v>
      </c>
      <c r="G8515" s="3" t="s">
        <v>1639</v>
      </c>
      <c r="H8515" s="2" t="s">
        <v>30</v>
      </c>
      <c r="I8515" s="2" t="s">
        <v>21199</v>
      </c>
      <c r="J8515" s="3" t="str">
        <f>HYPERLINK("https://www.boe.es/gazeta/dias/1812/05/02/pdfs/GRE-1812-55.pdf#page=6","Abrir facsímil")</f>
        <v>Abrir facsímil</v>
      </c>
      <c r="K8515" s="3" t="s">
        <v>32</v>
      </c>
    </row>
    <row r="8516" spans="1:11" ht="42" customHeight="1">
      <c r="A8516" s="2" t="s">
        <v>21200</v>
      </c>
      <c r="B8516" s="2" t="s">
        <v>21201</v>
      </c>
      <c r="C8516" s="2" t="s">
        <v>105</v>
      </c>
      <c r="D8516" s="2" t="s">
        <v>27</v>
      </c>
      <c r="E8516" s="4">
        <v>-31980</v>
      </c>
      <c r="F8516" s="3" t="s">
        <v>40</v>
      </c>
      <c r="G8516" s="3" t="s">
        <v>41</v>
      </c>
      <c r="H8516" s="2" t="s">
        <v>30</v>
      </c>
      <c r="I8516" s="2" t="s">
        <v>21202</v>
      </c>
      <c r="J8516" s="3" t="str">
        <f>HYPERLINK("https://www.boe.es/gazeta/dias/1812/06/09/pdfs/GRE-1812-71.pdf#page=6","Abrir facsímil")</f>
        <v>Abrir facsímil</v>
      </c>
      <c r="K8516" s="3" t="s">
        <v>32</v>
      </c>
    </row>
    <row r="8517" spans="1:11" ht="42" customHeight="1">
      <c r="A8517" s="2" t="s">
        <v>21203</v>
      </c>
      <c r="B8517" s="2" t="s">
        <v>21204</v>
      </c>
      <c r="C8517" s="2" t="s">
        <v>186</v>
      </c>
      <c r="D8517" s="2" t="s">
        <v>27</v>
      </c>
      <c r="E8517" s="4">
        <v>-31787</v>
      </c>
      <c r="F8517" s="3" t="s">
        <v>1560</v>
      </c>
      <c r="G8517" s="3" t="s">
        <v>404</v>
      </c>
      <c r="H8517" s="2" t="s">
        <v>30</v>
      </c>
      <c r="I8517" s="2" t="s">
        <v>21205</v>
      </c>
      <c r="J8517" s="3" t="str">
        <f>HYPERLINK("https://www.boe.es/gazeta/dias/1812/12/19/pdfs/GRE-1812-167.pdf#page=8","Abrir facsímil")</f>
        <v>Abrir facsímil</v>
      </c>
      <c r="K8517" s="3" t="s">
        <v>32</v>
      </c>
    </row>
    <row r="8518" spans="1:11" ht="42" customHeight="1">
      <c r="A8518" s="2" t="s">
        <v>21206</v>
      </c>
      <c r="B8518" s="2" t="s">
        <v>21207</v>
      </c>
      <c r="C8518" s="2" t="s">
        <v>17</v>
      </c>
      <c r="D8518" s="2" t="s">
        <v>27</v>
      </c>
      <c r="E8518" s="4">
        <v>-32015</v>
      </c>
      <c r="F8518" s="3" t="s">
        <v>77</v>
      </c>
      <c r="G8518" s="3" t="s">
        <v>78</v>
      </c>
      <c r="H8518" s="2" t="s">
        <v>30</v>
      </c>
      <c r="I8518" s="2" t="s">
        <v>21208</v>
      </c>
      <c r="J8518" s="3" t="str">
        <f>HYPERLINK("https://www.boe.es/gazeta/dias/1812/05/05/pdfs/GRE-1812-56.pdf#page=8","Abrir facsímil")</f>
        <v>Abrir facsímil</v>
      </c>
      <c r="K8518" s="3" t="s">
        <v>32</v>
      </c>
    </row>
    <row r="8519" spans="1:11" ht="42" customHeight="1">
      <c r="A8519" s="2" t="s">
        <v>21209</v>
      </c>
      <c r="B8519" s="2" t="s">
        <v>21210</v>
      </c>
      <c r="C8519" s="2" t="s">
        <v>105</v>
      </c>
      <c r="D8519" s="2" t="s">
        <v>27</v>
      </c>
      <c r="E8519" s="4">
        <v>-32022</v>
      </c>
      <c r="F8519" s="3" t="s">
        <v>1186</v>
      </c>
      <c r="G8519" s="3" t="s">
        <v>125</v>
      </c>
      <c r="H8519" s="2" t="s">
        <v>30</v>
      </c>
      <c r="I8519" s="2" t="s">
        <v>21211</v>
      </c>
      <c r="J8519" s="3" t="str">
        <f>HYPERLINK("https://www.boe.es/gazeta/dias/1812/04/28/pdfs/GRE-1812-53.pdf#page=5","Abrir facsímil")</f>
        <v>Abrir facsímil</v>
      </c>
      <c r="K8519" s="3" t="s">
        <v>32</v>
      </c>
    </row>
    <row r="8520" spans="1:11" ht="42" customHeight="1">
      <c r="A8520" s="2" t="s">
        <v>21212</v>
      </c>
      <c r="B8520" s="2" t="s">
        <v>21213</v>
      </c>
      <c r="C8520" s="2" t="s">
        <v>26</v>
      </c>
      <c r="D8520" s="2" t="s">
        <v>27</v>
      </c>
      <c r="E8520" s="4">
        <v>-31913</v>
      </c>
      <c r="F8520" s="3" t="s">
        <v>450</v>
      </c>
      <c r="G8520" s="3" t="s">
        <v>2131</v>
      </c>
      <c r="H8520" s="2" t="s">
        <v>30</v>
      </c>
      <c r="I8520" s="2" t="s">
        <v>21214</v>
      </c>
      <c r="J8520" s="3" t="str">
        <f>HYPERLINK("https://www.boe.es/gazeta/dias/1812/08/15/pdfs/GRE-1812-105.pdf#page=5","Abrir facsímil")</f>
        <v>Abrir facsímil</v>
      </c>
      <c r="K8520" s="3" t="s">
        <v>32</v>
      </c>
    </row>
    <row r="8521" spans="1:11" ht="42" customHeight="1">
      <c r="A8521" s="2" t="s">
        <v>21215</v>
      </c>
      <c r="B8521" s="2" t="s">
        <v>21216</v>
      </c>
      <c r="C8521" s="2" t="s">
        <v>26</v>
      </c>
      <c r="D8521" s="2" t="s">
        <v>27</v>
      </c>
      <c r="E8521" s="4">
        <v>-32018</v>
      </c>
      <c r="F8521" s="3" t="s">
        <v>365</v>
      </c>
      <c r="G8521" s="3" t="s">
        <v>366</v>
      </c>
      <c r="H8521" s="2" t="s">
        <v>30</v>
      </c>
      <c r="I8521" s="2" t="s">
        <v>21217</v>
      </c>
      <c r="J8521" s="3" t="str">
        <f>HYPERLINK("https://www.boe.es/gazeta/dias/1812/05/02/pdfs/GRE-1812-55.pdf#page=3","Abrir facsímil")</f>
        <v>Abrir facsímil</v>
      </c>
      <c r="K8521" s="3" t="s">
        <v>32</v>
      </c>
    </row>
    <row r="8522" spans="1:11" ht="42" customHeight="1">
      <c r="A8522" s="2" t="s">
        <v>21218</v>
      </c>
      <c r="B8522" s="2" t="s">
        <v>21219</v>
      </c>
      <c r="C8522" s="2" t="s">
        <v>17</v>
      </c>
      <c r="D8522" s="2" t="s">
        <v>18</v>
      </c>
      <c r="E8522" s="4">
        <v>-31950</v>
      </c>
      <c r="F8522" s="3" t="s">
        <v>1024</v>
      </c>
      <c r="G8522" s="3" t="s">
        <v>1740</v>
      </c>
      <c r="H8522" s="2" t="s">
        <v>30</v>
      </c>
      <c r="I8522" s="2" t="s">
        <v>21220</v>
      </c>
      <c r="J8522" s="3" t="str">
        <f>HYPERLINK("https://www.boe.es/gazeta/dias/1812/07/09/pdfs/GRE-1812-84.pdf#page=4","Abrir facsímil")</f>
        <v>Abrir facsímil</v>
      </c>
      <c r="K8522" s="3" t="s">
        <v>32</v>
      </c>
    </row>
    <row r="8523" spans="1:11" ht="42" customHeight="1">
      <c r="A8523" s="2" t="s">
        <v>21221</v>
      </c>
      <c r="B8523" s="2" t="s">
        <v>21222</v>
      </c>
      <c r="C8523" s="2" t="s">
        <v>17</v>
      </c>
      <c r="D8523" s="2" t="s">
        <v>18</v>
      </c>
      <c r="E8523" s="4">
        <v>-31950</v>
      </c>
      <c r="F8523" s="3" t="s">
        <v>1024</v>
      </c>
      <c r="G8523" s="3" t="s">
        <v>1740</v>
      </c>
      <c r="H8523" s="2" t="s">
        <v>30</v>
      </c>
      <c r="I8523" s="2" t="s">
        <v>21223</v>
      </c>
      <c r="J8523" s="3" t="str">
        <f>HYPERLINK("https://www.boe.es/gazeta/dias/1812/07/09/pdfs/GRE-1812-84.pdf#page=4","Abrir facsímil")</f>
        <v>Abrir facsímil</v>
      </c>
      <c r="K8523" s="3" t="s">
        <v>32</v>
      </c>
    </row>
    <row r="8524" spans="1:11" ht="42" customHeight="1">
      <c r="A8524" s="2" t="s">
        <v>21224</v>
      </c>
      <c r="B8524" s="2" t="s">
        <v>21225</v>
      </c>
      <c r="C8524" s="2" t="s">
        <v>549</v>
      </c>
      <c r="D8524" s="2" t="s">
        <v>573</v>
      </c>
      <c r="E8524" s="4">
        <v>-31900</v>
      </c>
      <c r="F8524" s="3" t="s">
        <v>276</v>
      </c>
      <c r="G8524" s="3" t="s">
        <v>277</v>
      </c>
      <c r="H8524" s="2" t="s">
        <v>30</v>
      </c>
      <c r="I8524" s="2" t="s">
        <v>21226</v>
      </c>
      <c r="J8524" s="3" t="str">
        <f>HYPERLINK("https://www.boe.es/gazeta/dias/1812/08/28/pdfs/GRE-1812-113E.pdf#page=8","Abrir facsímil")</f>
        <v>Abrir facsímil</v>
      </c>
      <c r="K8524" s="3" t="s">
        <v>32</v>
      </c>
    </row>
    <row r="8525" spans="1:11" ht="42" customHeight="1">
      <c r="A8525" s="2" t="s">
        <v>21227</v>
      </c>
      <c r="B8525" s="2" t="s">
        <v>21228</v>
      </c>
      <c r="C8525" s="2" t="s">
        <v>26</v>
      </c>
      <c r="D8525" s="2" t="s">
        <v>27</v>
      </c>
      <c r="E8525" s="4">
        <v>-31847</v>
      </c>
      <c r="F8525" s="3" t="s">
        <v>4133</v>
      </c>
      <c r="G8525" s="3" t="s">
        <v>11266</v>
      </c>
      <c r="H8525" s="2" t="s">
        <v>30</v>
      </c>
      <c r="I8525" s="2" t="s">
        <v>21229</v>
      </c>
      <c r="J8525" s="3" t="str">
        <f>HYPERLINK("https://www.boe.es/gazeta/dias/1812/10/20/pdfs/GMR-1812-29.pdf#page=11","Abrir facsímil")</f>
        <v>Abrir facsímil</v>
      </c>
      <c r="K8525" s="3" t="s">
        <v>32</v>
      </c>
    </row>
    <row r="8526" spans="1:11" ht="42" customHeight="1">
      <c r="A8526" s="2" t="s">
        <v>21230</v>
      </c>
      <c r="B8526" s="2" t="s">
        <v>21231</v>
      </c>
      <c r="C8526" s="2" t="s">
        <v>17</v>
      </c>
      <c r="D8526" s="2" t="s">
        <v>27</v>
      </c>
      <c r="E8526" s="4">
        <v>-31908</v>
      </c>
      <c r="F8526" s="3" t="s">
        <v>835</v>
      </c>
      <c r="G8526" s="3" t="s">
        <v>836</v>
      </c>
      <c r="H8526" s="2" t="s">
        <v>30</v>
      </c>
      <c r="I8526" s="2" t="s">
        <v>21232</v>
      </c>
      <c r="J8526" s="3" t="str">
        <f>HYPERLINK("https://www.boe.es/gazeta/dias/1812/08/20/pdfs/GRE-1812-107.pdf#page=4","Abrir facsímil")</f>
        <v>Abrir facsímil</v>
      </c>
      <c r="K8526" s="3" t="s">
        <v>32</v>
      </c>
    </row>
    <row r="8527" spans="1:11" ht="42" customHeight="1">
      <c r="A8527" s="2" t="s">
        <v>21233</v>
      </c>
      <c r="B8527" s="2" t="s">
        <v>21234</v>
      </c>
      <c r="C8527" s="2" t="s">
        <v>67</v>
      </c>
      <c r="D8527" s="2" t="s">
        <v>275</v>
      </c>
      <c r="E8527" s="4">
        <v>-31850</v>
      </c>
      <c r="F8527" s="3" t="s">
        <v>719</v>
      </c>
      <c r="G8527" s="3" t="s">
        <v>217</v>
      </c>
      <c r="H8527" s="2" t="s">
        <v>30</v>
      </c>
      <c r="I8527" s="2" t="s">
        <v>21235</v>
      </c>
      <c r="J8527" s="3" t="str">
        <f>HYPERLINK("https://www.boe.es/gazeta/dias/1812/10/17/pdfs/GMR-1812-28.pdf#page=5","Abrir facsímil")</f>
        <v>Abrir facsímil</v>
      </c>
      <c r="K8527" s="3" t="s">
        <v>32</v>
      </c>
    </row>
    <row r="8528" spans="1:11" ht="42" customHeight="1">
      <c r="A8528" s="2" t="s">
        <v>21236</v>
      </c>
      <c r="B8528" s="2" t="s">
        <v>21237</v>
      </c>
      <c r="C8528" s="2" t="s">
        <v>26</v>
      </c>
      <c r="D8528" s="2" t="s">
        <v>27</v>
      </c>
      <c r="E8528" s="4">
        <v>-31822</v>
      </c>
      <c r="F8528" s="3" t="s">
        <v>541</v>
      </c>
      <c r="G8528" s="3" t="s">
        <v>214</v>
      </c>
      <c r="H8528" s="2" t="s">
        <v>30</v>
      </c>
      <c r="I8528" s="2" t="s">
        <v>21238</v>
      </c>
      <c r="J8528" s="3" t="str">
        <f>HYPERLINK("https://www.boe.es/gazeta/dias/1812/11/14/pdfs/GRE-1812-152.pdf#page=3","Abrir facsímil")</f>
        <v>Abrir facsímil</v>
      </c>
      <c r="K8528" s="3" t="s">
        <v>32</v>
      </c>
    </row>
    <row r="8529" spans="1:11" ht="42" customHeight="1">
      <c r="A8529" s="2" t="s">
        <v>21239</v>
      </c>
      <c r="B8529" s="2" t="s">
        <v>21240</v>
      </c>
      <c r="C8529" s="2" t="s">
        <v>49</v>
      </c>
      <c r="D8529" s="2" t="s">
        <v>18</v>
      </c>
      <c r="E8529" s="4">
        <v>-31857</v>
      </c>
      <c r="F8529" s="3" t="s">
        <v>1000</v>
      </c>
      <c r="G8529" s="3" t="s">
        <v>1001</v>
      </c>
      <c r="H8529" s="2" t="s">
        <v>30</v>
      </c>
      <c r="I8529" s="2" t="s">
        <v>21241</v>
      </c>
      <c r="J8529" s="3" t="str">
        <f>HYPERLINK("https://www.boe.es/gazeta/dias/1812/10/10/pdfs/GRE-1812-137.pdf#page=7","Abrir facsímil")</f>
        <v>Abrir facsímil</v>
      </c>
      <c r="K8529" s="3" t="s">
        <v>32</v>
      </c>
    </row>
    <row r="8530" spans="1:11" ht="42" customHeight="1">
      <c r="A8530" s="2" t="s">
        <v>21242</v>
      </c>
      <c r="B8530" s="2" t="s">
        <v>21243</v>
      </c>
      <c r="C8530" s="2" t="s">
        <v>17</v>
      </c>
      <c r="D8530" s="2" t="s">
        <v>27</v>
      </c>
      <c r="E8530" s="4">
        <v>-32046</v>
      </c>
      <c r="F8530" s="3" t="s">
        <v>1013</v>
      </c>
      <c r="G8530" s="3" t="s">
        <v>1014</v>
      </c>
      <c r="H8530" s="2" t="s">
        <v>30</v>
      </c>
      <c r="I8530" s="2" t="s">
        <v>21244</v>
      </c>
      <c r="J8530" s="3" t="str">
        <f>HYPERLINK("https://www.boe.es/gazeta/dias/1812/04/04/pdfs/GRE-1812-42.pdf#page=4","Abrir facsímil")</f>
        <v>Abrir facsímil</v>
      </c>
      <c r="K8530" s="3" t="s">
        <v>32</v>
      </c>
    </row>
    <row r="8531" spans="1:11" ht="42" customHeight="1">
      <c r="A8531" s="2" t="s">
        <v>21245</v>
      </c>
      <c r="B8531" s="2" t="s">
        <v>21246</v>
      </c>
      <c r="C8531" s="2" t="s">
        <v>17</v>
      </c>
      <c r="D8531" s="2" t="s">
        <v>27</v>
      </c>
      <c r="E8531" s="4">
        <v>-32125</v>
      </c>
      <c r="F8531" s="3" t="s">
        <v>335</v>
      </c>
      <c r="G8531" s="3" t="s">
        <v>1698</v>
      </c>
      <c r="H8531" s="2" t="s">
        <v>30</v>
      </c>
      <c r="I8531" s="2" t="s">
        <v>21247</v>
      </c>
      <c r="J8531" s="3" t="str">
        <f>HYPERLINK("https://www.boe.es/gazeta/dias/1812/01/16/pdfs/GEI-1812-7.pdf#page=7","Abrir facsímil")</f>
        <v>Abrir facsímil</v>
      </c>
      <c r="K8531" s="3" t="s">
        <v>32</v>
      </c>
    </row>
    <row r="8532" spans="1:11" ht="42" customHeight="1">
      <c r="A8532" s="2" t="s">
        <v>21248</v>
      </c>
      <c r="B8532" s="2" t="s">
        <v>21249</v>
      </c>
      <c r="C8532" s="2" t="s">
        <v>26</v>
      </c>
      <c r="D8532" s="2" t="s">
        <v>27</v>
      </c>
      <c r="E8532" s="4">
        <v>-31950</v>
      </c>
      <c r="F8532" s="3" t="s">
        <v>1024</v>
      </c>
      <c r="G8532" s="3" t="s">
        <v>1740</v>
      </c>
      <c r="H8532" s="2" t="s">
        <v>30</v>
      </c>
      <c r="I8532" s="2" t="s">
        <v>21250</v>
      </c>
      <c r="J8532" s="3" t="str">
        <f>HYPERLINK("https://www.boe.es/gazeta/dias/1812/07/09/pdfs/GRE-1812-84.pdf#page=4","Abrir facsímil")</f>
        <v>Abrir facsímil</v>
      </c>
      <c r="K8532" s="3" t="s">
        <v>32</v>
      </c>
    </row>
    <row r="8533" spans="1:11" ht="42" customHeight="1">
      <c r="A8533" s="2" t="s">
        <v>21251</v>
      </c>
      <c r="B8533" s="2" t="s">
        <v>21252</v>
      </c>
      <c r="C8533" s="2" t="s">
        <v>17</v>
      </c>
      <c r="D8533" s="2" t="s">
        <v>18</v>
      </c>
      <c r="E8533" s="4">
        <v>-31822</v>
      </c>
      <c r="F8533" s="3" t="s">
        <v>541</v>
      </c>
      <c r="G8533" s="3" t="s">
        <v>1459</v>
      </c>
      <c r="H8533" s="2" t="s">
        <v>30</v>
      </c>
      <c r="I8533" s="2" t="s">
        <v>21253</v>
      </c>
      <c r="J8533" s="3" t="str">
        <f>HYPERLINK("https://www.boe.es/gazeta/dias/1812/11/14/pdfs/GRE-1812-152.pdf#page=8","Abrir facsímil")</f>
        <v>Abrir facsímil</v>
      </c>
      <c r="K8533" s="3" t="s">
        <v>32</v>
      </c>
    </row>
    <row r="8534" spans="1:11" ht="42" customHeight="1">
      <c r="A8534" s="2" t="s">
        <v>21254</v>
      </c>
      <c r="B8534" s="2" t="s">
        <v>21255</v>
      </c>
      <c r="C8534" s="2" t="s">
        <v>17</v>
      </c>
      <c r="D8534" s="2" t="s">
        <v>27</v>
      </c>
      <c r="E8534" s="4">
        <v>-32022</v>
      </c>
      <c r="F8534" s="3" t="s">
        <v>1186</v>
      </c>
      <c r="G8534" s="3" t="s">
        <v>336</v>
      </c>
      <c r="H8534" s="2" t="s">
        <v>30</v>
      </c>
      <c r="I8534" s="2" t="s">
        <v>21256</v>
      </c>
      <c r="J8534" s="3" t="str">
        <f>HYPERLINK("https://www.boe.es/gazeta/dias/1812/04/28/pdfs/GRE-1812-53.pdf#page=8","Abrir facsímil")</f>
        <v>Abrir facsímil</v>
      </c>
      <c r="K8534" s="3" t="s">
        <v>32</v>
      </c>
    </row>
    <row r="8535" spans="1:11" ht="42" customHeight="1">
      <c r="A8535" s="2" t="s">
        <v>21257</v>
      </c>
      <c r="B8535" s="2" t="s">
        <v>21258</v>
      </c>
      <c r="C8535" s="2" t="s">
        <v>105</v>
      </c>
      <c r="D8535" s="2" t="s">
        <v>134</v>
      </c>
      <c r="E8535" s="4">
        <v>-32099</v>
      </c>
      <c r="F8535" s="3" t="s">
        <v>7479</v>
      </c>
      <c r="G8535" s="3" t="s">
        <v>196</v>
      </c>
      <c r="H8535" s="2" t="s">
        <v>30</v>
      </c>
      <c r="I8535" s="2" t="s">
        <v>21259</v>
      </c>
      <c r="J8535" s="3" t="str">
        <f>HYPERLINK("https://www.boe.es/gazeta/dias/1812/02/11/pdfs/F00165-00168.pdf#page=1","Abrir facsímil")</f>
        <v>Abrir facsímil</v>
      </c>
      <c r="K8535" s="3" t="s">
        <v>32</v>
      </c>
    </row>
    <row r="8536" spans="1:11" ht="42" customHeight="1">
      <c r="A8536" s="2" t="s">
        <v>21260</v>
      </c>
      <c r="B8536" s="2" t="s">
        <v>21261</v>
      </c>
      <c r="C8536" s="2" t="s">
        <v>105</v>
      </c>
      <c r="D8536" s="2" t="s">
        <v>27</v>
      </c>
      <c r="E8536" s="4">
        <v>-32015</v>
      </c>
      <c r="F8536" s="3" t="s">
        <v>77</v>
      </c>
      <c r="G8536" s="3" t="s">
        <v>78</v>
      </c>
      <c r="H8536" s="2" t="s">
        <v>30</v>
      </c>
      <c r="I8536" s="2" t="s">
        <v>21262</v>
      </c>
      <c r="J8536" s="3" t="str">
        <f>HYPERLINK("https://www.boe.es/gazeta/dias/1812/05/05/pdfs/GRE-1812-56.pdf#page=8","Abrir facsímil")</f>
        <v>Abrir facsímil</v>
      </c>
      <c r="K8536" s="3" t="s">
        <v>32</v>
      </c>
    </row>
    <row r="8537" spans="1:11" ht="42" customHeight="1">
      <c r="A8537" s="2" t="s">
        <v>21263</v>
      </c>
      <c r="B8537" s="2" t="s">
        <v>21264</v>
      </c>
      <c r="C8537" s="2" t="s">
        <v>26</v>
      </c>
      <c r="D8537" s="2" t="s">
        <v>27</v>
      </c>
      <c r="E8537" s="4">
        <v>-31976</v>
      </c>
      <c r="F8537" s="3" t="s">
        <v>54</v>
      </c>
      <c r="G8537" s="3" t="s">
        <v>55</v>
      </c>
      <c r="H8537" s="2" t="s">
        <v>30</v>
      </c>
      <c r="I8537" s="2" t="s">
        <v>21265</v>
      </c>
      <c r="J8537" s="3" t="str">
        <f>HYPERLINK("https://www.boe.es/gazeta/dias/1812/06/13/pdfs/GRE-1812-73.pdf#page=6","Abrir facsímil")</f>
        <v>Abrir facsímil</v>
      </c>
      <c r="K8537" s="3" t="s">
        <v>32</v>
      </c>
    </row>
    <row r="8538" spans="1:11" ht="42" customHeight="1">
      <c r="A8538" s="2" t="s">
        <v>21266</v>
      </c>
      <c r="B8538" s="2" t="s">
        <v>21267</v>
      </c>
      <c r="C8538" s="2" t="s">
        <v>17</v>
      </c>
      <c r="D8538" s="2" t="s">
        <v>18</v>
      </c>
      <c r="E8538" s="4">
        <v>-31822</v>
      </c>
      <c r="F8538" s="3" t="s">
        <v>541</v>
      </c>
      <c r="G8538" s="3" t="s">
        <v>1297</v>
      </c>
      <c r="H8538" s="2" t="s">
        <v>30</v>
      </c>
      <c r="I8538" s="2" t="s">
        <v>21268</v>
      </c>
      <c r="J8538" s="3" t="str">
        <f>HYPERLINK("https://www.boe.es/gazeta/dias/1812/11/14/pdfs/GRE-1812-152.pdf#page=4","Abrir facsímil")</f>
        <v>Abrir facsímil</v>
      </c>
      <c r="K8538" s="3" t="s">
        <v>32</v>
      </c>
    </row>
    <row r="8539" spans="1:11" ht="42" customHeight="1">
      <c r="A8539" s="2" t="s">
        <v>21269</v>
      </c>
      <c r="B8539" s="2" t="s">
        <v>21270</v>
      </c>
      <c r="C8539" s="2" t="s">
        <v>17</v>
      </c>
      <c r="D8539" s="2" t="s">
        <v>27</v>
      </c>
      <c r="E8539" s="4">
        <v>-32113</v>
      </c>
      <c r="F8539" s="3" t="s">
        <v>121</v>
      </c>
      <c r="G8539" s="3" t="s">
        <v>2655</v>
      </c>
      <c r="H8539" s="2" t="s">
        <v>30</v>
      </c>
      <c r="I8539" s="2" t="s">
        <v>21271</v>
      </c>
      <c r="J8539" s="3" t="str">
        <f>HYPERLINK("https://www.boe.es/gazeta/dias/1812/01/28/pdfs/GRE-1812-12.pdf#page=8","Abrir facsímil")</f>
        <v>Abrir facsímil</v>
      </c>
      <c r="K8539" s="3" t="s">
        <v>32</v>
      </c>
    </row>
    <row r="8540" spans="1:11" ht="42" customHeight="1">
      <c r="A8540" s="2" t="s">
        <v>21272</v>
      </c>
      <c r="B8540" s="2" t="s">
        <v>21273</v>
      </c>
      <c r="C8540" s="2" t="s">
        <v>105</v>
      </c>
      <c r="D8540" s="2" t="s">
        <v>27</v>
      </c>
      <c r="E8540" s="4">
        <v>-32013</v>
      </c>
      <c r="F8540" s="3" t="s">
        <v>849</v>
      </c>
      <c r="G8540" s="3" t="s">
        <v>6818</v>
      </c>
      <c r="H8540" s="2" t="s">
        <v>30</v>
      </c>
      <c r="I8540" s="2" t="s">
        <v>21274</v>
      </c>
      <c r="J8540" s="3" t="str">
        <f>HYPERLINK("https://www.boe.es/gazeta/dias/1812/05/07/pdfs/GRE-1812-57.pdf#page=8","Abrir facsímil")</f>
        <v>Abrir facsímil</v>
      </c>
      <c r="K8540" s="3" t="s">
        <v>32</v>
      </c>
    </row>
    <row r="8541" spans="1:11" ht="42" customHeight="1">
      <c r="A8541" s="2" t="s">
        <v>21275</v>
      </c>
      <c r="B8541" s="2" t="s">
        <v>21276</v>
      </c>
      <c r="C8541" s="2" t="s">
        <v>17</v>
      </c>
      <c r="D8541" s="2" t="s">
        <v>18</v>
      </c>
      <c r="E8541" s="4">
        <v>-31819</v>
      </c>
      <c r="F8541" s="3" t="s">
        <v>1770</v>
      </c>
      <c r="G8541" s="3" t="s">
        <v>45</v>
      </c>
      <c r="H8541" s="2" t="s">
        <v>30</v>
      </c>
      <c r="I8541" s="2" t="s">
        <v>21277</v>
      </c>
      <c r="J8541" s="3" t="str">
        <f>HYPERLINK("https://www.boe.es/gazeta/dias/1812/11/17/pdfs/GRE-1812-153.pdf#page=3","Abrir facsímil")</f>
        <v>Abrir facsímil</v>
      </c>
      <c r="K8541" s="3" t="s">
        <v>32</v>
      </c>
    </row>
    <row r="8542" spans="1:11" ht="42" customHeight="1">
      <c r="A8542" s="2" t="s">
        <v>21278</v>
      </c>
      <c r="B8542" s="2" t="s">
        <v>21279</v>
      </c>
      <c r="C8542" s="2" t="s">
        <v>17</v>
      </c>
      <c r="D8542" s="2" t="s">
        <v>27</v>
      </c>
      <c r="E8542" s="4">
        <v>-32015</v>
      </c>
      <c r="F8542" s="3" t="s">
        <v>77</v>
      </c>
      <c r="G8542" s="3" t="s">
        <v>78</v>
      </c>
      <c r="H8542" s="2" t="s">
        <v>30</v>
      </c>
      <c r="I8542" s="2" t="s">
        <v>21280</v>
      </c>
      <c r="J8542" s="3" t="str">
        <f>HYPERLINK("https://www.boe.es/gazeta/dias/1812/05/05/pdfs/GRE-1812-56.pdf#page=8","Abrir facsímil")</f>
        <v>Abrir facsímil</v>
      </c>
      <c r="K8542" s="3" t="s">
        <v>32</v>
      </c>
    </row>
    <row r="8543" spans="1:11" ht="42" customHeight="1">
      <c r="A8543" s="2" t="s">
        <v>21281</v>
      </c>
      <c r="B8543" s="2" t="s">
        <v>21282</v>
      </c>
      <c r="C8543" s="2" t="s">
        <v>105</v>
      </c>
      <c r="D8543" s="2" t="s">
        <v>27</v>
      </c>
      <c r="E8543" s="4">
        <v>-32018</v>
      </c>
      <c r="F8543" s="3" t="s">
        <v>365</v>
      </c>
      <c r="G8543" s="3" t="s">
        <v>392</v>
      </c>
      <c r="H8543" s="2" t="s">
        <v>30</v>
      </c>
      <c r="I8543" s="2" t="s">
        <v>21283</v>
      </c>
      <c r="J8543" s="3" t="str">
        <f>HYPERLINK("https://www.boe.es/gazeta/dias/1812/05/02/pdfs/GRE-1812-55.pdf#page=2","Abrir facsímil")</f>
        <v>Abrir facsímil</v>
      </c>
      <c r="K8543" s="3" t="s">
        <v>32</v>
      </c>
    </row>
    <row r="8544" spans="1:11" ht="42" customHeight="1">
      <c r="A8544" s="2" t="s">
        <v>21284</v>
      </c>
      <c r="B8544" s="2" t="s">
        <v>21285</v>
      </c>
      <c r="C8544" s="2" t="s">
        <v>26</v>
      </c>
      <c r="D8544" s="2" t="s">
        <v>27</v>
      </c>
      <c r="E8544" s="4">
        <v>-31929</v>
      </c>
      <c r="F8544" s="3" t="s">
        <v>1148</v>
      </c>
      <c r="G8544" s="3" t="s">
        <v>1301</v>
      </c>
      <c r="H8544" s="2" t="s">
        <v>30</v>
      </c>
      <c r="I8544" s="2" t="s">
        <v>21286</v>
      </c>
      <c r="J8544" s="3" t="str">
        <f>HYPERLINK("https://www.boe.es/gazeta/dias/1812/07/30/pdfs/GRE-1812-95.pdf#page=8","Abrir facsímil")</f>
        <v>Abrir facsímil</v>
      </c>
      <c r="K8544" s="3" t="s">
        <v>32</v>
      </c>
    </row>
    <row r="8545" spans="1:11" ht="42" customHeight="1">
      <c r="A8545" s="2" t="s">
        <v>21287</v>
      </c>
      <c r="B8545" s="2" t="s">
        <v>21288</v>
      </c>
      <c r="C8545" s="2" t="s">
        <v>26</v>
      </c>
      <c r="D8545" s="2" t="s">
        <v>27</v>
      </c>
      <c r="E8545" s="4">
        <v>-32088</v>
      </c>
      <c r="F8545" s="3" t="s">
        <v>250</v>
      </c>
      <c r="G8545" s="3" t="s">
        <v>5228</v>
      </c>
      <c r="H8545" s="2" t="s">
        <v>30</v>
      </c>
      <c r="I8545" s="2" t="s">
        <v>21289</v>
      </c>
      <c r="J8545" s="3" t="str">
        <f>HYPERLINK("https://www.boe.es/gazeta/dias/1812/02/22/pdfs/GRE-1812-23.pdf#page=4","Abrir facsímil")</f>
        <v>Abrir facsímil</v>
      </c>
      <c r="K8545" s="3" t="s">
        <v>32</v>
      </c>
    </row>
    <row r="8546" spans="1:11" ht="42" customHeight="1">
      <c r="A8546" s="2" t="s">
        <v>21290</v>
      </c>
      <c r="B8546" s="2" t="s">
        <v>21291</v>
      </c>
      <c r="C8546" s="2" t="s">
        <v>115</v>
      </c>
      <c r="D8546" s="2" t="s">
        <v>134</v>
      </c>
      <c r="E8546" s="4">
        <v>-31952</v>
      </c>
      <c r="F8546" s="3" t="s">
        <v>1541</v>
      </c>
      <c r="G8546" s="3" t="s">
        <v>1542</v>
      </c>
      <c r="H8546" s="2" t="s">
        <v>30</v>
      </c>
      <c r="I8546" s="2" t="s">
        <v>21292</v>
      </c>
      <c r="J8546" s="3" t="str">
        <f>HYPERLINK("https://www.boe.es/gazeta/dias/1812/07/07/pdfs/GRE-F-1812-83.pdf#page=3","Abrir facsímil")</f>
        <v>Abrir facsímil</v>
      </c>
      <c r="K8546" s="3" t="s">
        <v>32</v>
      </c>
    </row>
    <row r="8547" spans="1:11" ht="42" customHeight="1">
      <c r="A8547" s="2" t="s">
        <v>21293</v>
      </c>
      <c r="B8547" s="2" t="s">
        <v>21294</v>
      </c>
      <c r="C8547" s="2" t="s">
        <v>105</v>
      </c>
      <c r="D8547" s="2" t="s">
        <v>27</v>
      </c>
      <c r="E8547" s="4">
        <v>-31980</v>
      </c>
      <c r="F8547" s="3" t="s">
        <v>40</v>
      </c>
      <c r="G8547" s="3" t="s">
        <v>41</v>
      </c>
      <c r="H8547" s="2" t="s">
        <v>30</v>
      </c>
      <c r="I8547" s="2" t="s">
        <v>21295</v>
      </c>
      <c r="J8547" s="3" t="str">
        <f>HYPERLINK("https://www.boe.es/gazeta/dias/1812/06/09/pdfs/GRE-1812-71.pdf#page=6","Abrir facsímil")</f>
        <v>Abrir facsímil</v>
      </c>
      <c r="K8547" s="3" t="s">
        <v>32</v>
      </c>
    </row>
    <row r="8548" spans="1:11" ht="42" customHeight="1">
      <c r="A8548" s="2" t="s">
        <v>21296</v>
      </c>
      <c r="B8548" s="2" t="s">
        <v>21297</v>
      </c>
      <c r="C8548" s="2" t="s">
        <v>17</v>
      </c>
      <c r="D8548" s="2" t="s">
        <v>275</v>
      </c>
      <c r="E8548" s="4">
        <v>-31843</v>
      </c>
      <c r="F8548" s="3" t="s">
        <v>6436</v>
      </c>
      <c r="G8548" s="3" t="s">
        <v>6439</v>
      </c>
      <c r="H8548" s="2" t="s">
        <v>30</v>
      </c>
      <c r="I8548" s="2" t="s">
        <v>21298</v>
      </c>
      <c r="J8548" s="3" t="str">
        <f>HYPERLINK("https://www.boe.es/gazeta/dias/1812/10/24/pdfs/GRE-1812-143.pdf#page=8","Abrir facsímil")</f>
        <v>Abrir facsímil</v>
      </c>
      <c r="K8548" s="3" t="s">
        <v>32</v>
      </c>
    </row>
    <row r="8549" spans="1:11" ht="42" customHeight="1">
      <c r="A8549" s="2" t="s">
        <v>21299</v>
      </c>
      <c r="B8549" s="2" t="s">
        <v>21300</v>
      </c>
      <c r="C8549" s="2" t="s">
        <v>17</v>
      </c>
      <c r="D8549" s="2" t="s">
        <v>27</v>
      </c>
      <c r="E8549" s="4">
        <v>-31964</v>
      </c>
      <c r="F8549" s="3" t="s">
        <v>93</v>
      </c>
      <c r="G8549" s="3" t="s">
        <v>125</v>
      </c>
      <c r="H8549" s="2" t="s">
        <v>30</v>
      </c>
      <c r="I8549" s="2" t="s">
        <v>21301</v>
      </c>
      <c r="J8549" s="3" t="str">
        <f>HYPERLINK("https://www.boe.es/gazeta/dias/1812/06/25/pdfs/GRE-1812-78.pdf#page=3","Abrir facsímil")</f>
        <v>Abrir facsímil</v>
      </c>
      <c r="K8549" s="3" t="s">
        <v>32</v>
      </c>
    </row>
    <row r="8550" spans="1:11" ht="42" customHeight="1">
      <c r="A8550" s="2" t="s">
        <v>21302</v>
      </c>
      <c r="B8550" s="2" t="s">
        <v>21303</v>
      </c>
      <c r="C8550" s="2" t="s">
        <v>26</v>
      </c>
      <c r="D8550" s="2" t="s">
        <v>27</v>
      </c>
      <c r="E8550" s="4">
        <v>-31964</v>
      </c>
      <c r="F8550" s="3" t="s">
        <v>93</v>
      </c>
      <c r="G8550" s="3" t="s">
        <v>4894</v>
      </c>
      <c r="H8550" s="2" t="s">
        <v>30</v>
      </c>
      <c r="I8550" s="2" t="s">
        <v>21304</v>
      </c>
      <c r="J8550" s="3" t="str">
        <f>HYPERLINK("https://www.boe.es/gazeta/dias/1812/06/25/pdfs/GRE-1812-78.pdf#page=6","Abrir facsímil")</f>
        <v>Abrir facsímil</v>
      </c>
      <c r="K8550" s="3" t="s">
        <v>32</v>
      </c>
    </row>
    <row r="8551" spans="1:11" ht="42" customHeight="1">
      <c r="A8551" s="2" t="s">
        <v>21305</v>
      </c>
      <c r="B8551" s="2" t="s">
        <v>21306</v>
      </c>
      <c r="C8551" s="2" t="s">
        <v>26</v>
      </c>
      <c r="D8551" s="2" t="s">
        <v>573</v>
      </c>
      <c r="E8551" s="4">
        <v>-31900</v>
      </c>
      <c r="F8551" s="3" t="s">
        <v>276</v>
      </c>
      <c r="G8551" s="3" t="s">
        <v>277</v>
      </c>
      <c r="H8551" s="2" t="s">
        <v>30</v>
      </c>
      <c r="I8551" s="2" t="s">
        <v>21307</v>
      </c>
      <c r="J8551" s="3" t="str">
        <f>HYPERLINK("https://www.boe.es/gazeta/dias/1812/08/28/pdfs/GRE-1812-113E.pdf#page=8","Abrir facsímil")</f>
        <v>Abrir facsímil</v>
      </c>
      <c r="K8551" s="3" t="s">
        <v>32</v>
      </c>
    </row>
    <row r="8552" spans="1:11" ht="42" customHeight="1">
      <c r="A8552" s="2" t="s">
        <v>21308</v>
      </c>
      <c r="B8552" s="2" t="s">
        <v>21309</v>
      </c>
      <c r="C8552" s="2" t="s">
        <v>49</v>
      </c>
      <c r="D8552" s="2" t="s">
        <v>18</v>
      </c>
      <c r="E8552" s="4">
        <v>-31992</v>
      </c>
      <c r="F8552" s="3" t="s">
        <v>1292</v>
      </c>
      <c r="G8552" s="3" t="s">
        <v>1424</v>
      </c>
      <c r="H8552" s="2" t="s">
        <v>30</v>
      </c>
      <c r="I8552" s="2" t="s">
        <v>21310</v>
      </c>
      <c r="J8552" s="3" t="str">
        <f>HYPERLINK("https://www.boe.es/gazeta/dias/1812/05/28/pdfs/GRE-1812-66.pdf#page=5","Abrir facsímil")</f>
        <v>Abrir facsímil</v>
      </c>
      <c r="K8552" s="3" t="s">
        <v>32</v>
      </c>
    </row>
    <row r="8553" spans="1:11" ht="42" customHeight="1">
      <c r="A8553" s="2" t="s">
        <v>21311</v>
      </c>
      <c r="B8553" s="2" t="s">
        <v>21312</v>
      </c>
      <c r="C8553" s="2" t="s">
        <v>26</v>
      </c>
      <c r="D8553" s="2" t="s">
        <v>27</v>
      </c>
      <c r="E8553" s="4">
        <v>-31980</v>
      </c>
      <c r="F8553" s="3" t="s">
        <v>40</v>
      </c>
      <c r="G8553" s="3" t="s">
        <v>41</v>
      </c>
      <c r="H8553" s="2" t="s">
        <v>30</v>
      </c>
      <c r="I8553" s="2" t="s">
        <v>21313</v>
      </c>
      <c r="J8553" s="3" t="str">
        <f>HYPERLINK("https://www.boe.es/gazeta/dias/1812/06/09/pdfs/GRE-1812-71.pdf#page=6","Abrir facsímil")</f>
        <v>Abrir facsímil</v>
      </c>
      <c r="K8553" s="3" t="s">
        <v>32</v>
      </c>
    </row>
    <row r="8554" spans="1:11" ht="42" customHeight="1">
      <c r="A8554" s="2" t="s">
        <v>21314</v>
      </c>
      <c r="B8554" s="2" t="s">
        <v>21315</v>
      </c>
      <c r="C8554" s="2" t="s">
        <v>105</v>
      </c>
      <c r="D8554" s="2" t="s">
        <v>27</v>
      </c>
      <c r="E8554" s="4">
        <v>-32069</v>
      </c>
      <c r="F8554" s="3" t="s">
        <v>445</v>
      </c>
      <c r="G8554" s="3" t="s">
        <v>446</v>
      </c>
      <c r="H8554" s="2" t="s">
        <v>30</v>
      </c>
      <c r="I8554" s="2" t="s">
        <v>21316</v>
      </c>
      <c r="J8554" s="3" t="str">
        <f>HYPERLINK("https://www.boe.es/gazeta/dias/1812/03/12/pdfs/GRE-1812-32.pdf#page=8","Abrir facsímil")</f>
        <v>Abrir facsímil</v>
      </c>
      <c r="K8554" s="3" t="s">
        <v>32</v>
      </c>
    </row>
    <row r="8555" spans="1:11" ht="42" customHeight="1">
      <c r="A8555" s="2" t="s">
        <v>21317</v>
      </c>
      <c r="B8555" s="2" t="s">
        <v>21318</v>
      </c>
      <c r="C8555" s="2" t="s">
        <v>26</v>
      </c>
      <c r="D8555" s="2" t="s">
        <v>27</v>
      </c>
      <c r="E8555" s="4">
        <v>-31857</v>
      </c>
      <c r="F8555" s="3" t="s">
        <v>1000</v>
      </c>
      <c r="G8555" s="3" t="s">
        <v>136</v>
      </c>
      <c r="H8555" s="2" t="s">
        <v>30</v>
      </c>
      <c r="I8555" s="2" t="s">
        <v>21319</v>
      </c>
      <c r="J8555" s="3" t="str">
        <f>HYPERLINK("https://www.boe.es/gazeta/dias/1812/10/10/pdfs/GRE-1812-137.pdf#page=8","Abrir facsímil")</f>
        <v>Abrir facsímil</v>
      </c>
      <c r="K8555" s="3" t="s">
        <v>32</v>
      </c>
    </row>
    <row r="8556" spans="1:11" ht="42" customHeight="1">
      <c r="A8556" s="2" t="s">
        <v>21320</v>
      </c>
      <c r="B8556" s="2" t="s">
        <v>21321</v>
      </c>
      <c r="C8556" s="2" t="s">
        <v>186</v>
      </c>
      <c r="D8556" s="2" t="s">
        <v>27</v>
      </c>
      <c r="E8556" s="4">
        <v>-31964</v>
      </c>
      <c r="F8556" s="3" t="s">
        <v>93</v>
      </c>
      <c r="G8556" s="3" t="s">
        <v>1722</v>
      </c>
      <c r="H8556" s="2" t="s">
        <v>30</v>
      </c>
      <c r="I8556" s="2" t="s">
        <v>21322</v>
      </c>
      <c r="J8556" s="3" t="str">
        <f>HYPERLINK("https://www.boe.es/gazeta/dias/1812/06/25/pdfs/GRE-1812-78.pdf#page=8","Abrir facsímil")</f>
        <v>Abrir facsímil</v>
      </c>
      <c r="K8556" s="3" t="s">
        <v>32</v>
      </c>
    </row>
    <row r="8557" spans="1:11" ht="42" customHeight="1">
      <c r="A8557" s="2" t="s">
        <v>21323</v>
      </c>
      <c r="B8557" s="2" t="s">
        <v>21324</v>
      </c>
      <c r="C8557" s="2" t="s">
        <v>49</v>
      </c>
      <c r="D8557" s="2" t="s">
        <v>18</v>
      </c>
      <c r="E8557" s="4">
        <v>-31810</v>
      </c>
      <c r="F8557" s="3" t="s">
        <v>2305</v>
      </c>
      <c r="G8557" s="3" t="s">
        <v>6004</v>
      </c>
      <c r="H8557" s="2" t="s">
        <v>30</v>
      </c>
      <c r="I8557" s="2" t="s">
        <v>21325</v>
      </c>
      <c r="J8557" s="3" t="str">
        <f>HYPERLINK("https://www.boe.es/gazeta/dias/1812/11/26/pdfs/GRE-1812-157.pdf#page=8","Abrir facsímil")</f>
        <v>Abrir facsímil</v>
      </c>
      <c r="K8557" s="3" t="s">
        <v>32</v>
      </c>
    </row>
    <row r="8558" spans="1:11" ht="42" customHeight="1">
      <c r="A8558" s="2" t="s">
        <v>21326</v>
      </c>
      <c r="B8558" s="2" t="s">
        <v>21327</v>
      </c>
      <c r="C8558" s="2" t="s">
        <v>26</v>
      </c>
      <c r="D8558" s="2" t="s">
        <v>27</v>
      </c>
      <c r="E8558" s="4">
        <v>-32018</v>
      </c>
      <c r="F8558" s="3" t="s">
        <v>365</v>
      </c>
      <c r="G8558" s="3" t="s">
        <v>392</v>
      </c>
      <c r="H8558" s="2" t="s">
        <v>30</v>
      </c>
      <c r="I8558" s="2" t="s">
        <v>21328</v>
      </c>
      <c r="J8558" s="3" t="str">
        <f>HYPERLINK("https://www.boe.es/gazeta/dias/1812/05/02/pdfs/GRE-1812-55.pdf#page=2","Abrir facsímil")</f>
        <v>Abrir facsímil</v>
      </c>
      <c r="K8558" s="3" t="s">
        <v>32</v>
      </c>
    </row>
    <row r="8559" spans="1:11" ht="42" customHeight="1">
      <c r="A8559" s="2" t="s">
        <v>21329</v>
      </c>
      <c r="B8559" s="2" t="s">
        <v>21330</v>
      </c>
      <c r="C8559" s="2" t="s">
        <v>26</v>
      </c>
      <c r="D8559" s="2" t="s">
        <v>27</v>
      </c>
      <c r="E8559" s="4">
        <v>-32044</v>
      </c>
      <c r="F8559" s="3" t="s">
        <v>1031</v>
      </c>
      <c r="G8559" s="3" t="s">
        <v>1873</v>
      </c>
      <c r="H8559" s="2" t="s">
        <v>30</v>
      </c>
      <c r="I8559" s="2" t="s">
        <v>21331</v>
      </c>
      <c r="J8559" s="3" t="str">
        <f>HYPERLINK("https://www.boe.es/gazeta/dias/1812/04/06/pdfs/GMD-1812-97.pdf#page=4","Abrir facsímil")</f>
        <v>Abrir facsímil</v>
      </c>
      <c r="K8559" s="3" t="s">
        <v>32</v>
      </c>
    </row>
    <row r="8560" spans="1:11" ht="42" customHeight="1">
      <c r="A8560" s="2" t="s">
        <v>21329</v>
      </c>
      <c r="B8560" s="2" t="s">
        <v>21330</v>
      </c>
      <c r="C8560" s="2" t="s">
        <v>26</v>
      </c>
      <c r="D8560" s="2" t="s">
        <v>27</v>
      </c>
      <c r="E8560" s="4">
        <v>-31963</v>
      </c>
      <c r="F8560" s="3" t="s">
        <v>171</v>
      </c>
      <c r="G8560" s="3" t="s">
        <v>172</v>
      </c>
      <c r="H8560" s="2" t="s">
        <v>30</v>
      </c>
      <c r="I8560" s="2" t="s">
        <v>21332</v>
      </c>
      <c r="J8560" s="3" t="str">
        <f>HYPERLINK("https://www.boe.es/gazeta/dias/1812/06/26/pdfs/GMD-1812-178.pdf#page=3","Abrir facsímil")</f>
        <v>Abrir facsímil</v>
      </c>
      <c r="K8560" s="3" t="s">
        <v>32</v>
      </c>
    </row>
    <row r="8561" spans="1:11" ht="42" customHeight="1">
      <c r="A8561" s="2" t="s">
        <v>21333</v>
      </c>
      <c r="B8561" s="2" t="s">
        <v>21334</v>
      </c>
      <c r="C8561" s="2" t="s">
        <v>17</v>
      </c>
      <c r="D8561" s="2" t="s">
        <v>134</v>
      </c>
      <c r="E8561" s="4">
        <v>-31983</v>
      </c>
      <c r="F8561" s="3" t="s">
        <v>1437</v>
      </c>
      <c r="G8561" s="3" t="s">
        <v>1438</v>
      </c>
      <c r="H8561" s="2" t="s">
        <v>30</v>
      </c>
      <c r="I8561" s="2" t="s">
        <v>21335</v>
      </c>
      <c r="J8561" s="3" t="str">
        <f>HYPERLINK("https://www.boe.es/gazeta/dias/1812/06/06/pdfs/GRE-F-1812-70.pdf#page=4","Abrir facsímil")</f>
        <v>Abrir facsímil</v>
      </c>
      <c r="K8561" s="3" t="s">
        <v>32</v>
      </c>
    </row>
    <row r="8562" spans="1:11" ht="42" customHeight="1">
      <c r="A8562" s="2" t="s">
        <v>21336</v>
      </c>
      <c r="B8562" s="2" t="s">
        <v>21337</v>
      </c>
      <c r="C8562" s="2" t="s">
        <v>17</v>
      </c>
      <c r="D8562" s="2" t="s">
        <v>27</v>
      </c>
      <c r="E8562" s="4">
        <v>-31819</v>
      </c>
      <c r="F8562" s="3" t="s">
        <v>1770</v>
      </c>
      <c r="G8562" s="3" t="s">
        <v>45</v>
      </c>
      <c r="H8562" s="2" t="s">
        <v>30</v>
      </c>
      <c r="I8562" s="2" t="s">
        <v>21338</v>
      </c>
      <c r="J8562" s="3" t="str">
        <f>HYPERLINK("https://www.boe.es/gazeta/dias/1812/11/17/pdfs/GRE-1812-153.pdf#page=3","Abrir facsímil")</f>
        <v>Abrir facsímil</v>
      </c>
      <c r="K8562" s="3" t="s">
        <v>32</v>
      </c>
    </row>
    <row r="8563" spans="1:11" ht="42" customHeight="1">
      <c r="A8563" s="2" t="s">
        <v>21339</v>
      </c>
      <c r="B8563" s="2" t="s">
        <v>21340</v>
      </c>
      <c r="C8563" s="2" t="s">
        <v>26</v>
      </c>
      <c r="D8563" s="2" t="s">
        <v>27</v>
      </c>
      <c r="E8563" s="4">
        <v>-32139</v>
      </c>
      <c r="F8563" s="3" t="s">
        <v>288</v>
      </c>
      <c r="G8563" s="3" t="s">
        <v>130</v>
      </c>
      <c r="H8563" s="2" t="s">
        <v>30</v>
      </c>
      <c r="I8563" s="2" t="s">
        <v>21341</v>
      </c>
      <c r="J8563" s="3" t="str">
        <f>HYPERLINK("https://www.boe.es/gazeta/dias/1812/01/02/pdfs/GMD-1812-2.pdf#page=4","Abrir facsímil")</f>
        <v>Abrir facsímil</v>
      </c>
      <c r="K8563" s="3" t="s">
        <v>32</v>
      </c>
    </row>
    <row r="8564" spans="1:11" ht="42" customHeight="1">
      <c r="A8564" s="2" t="s">
        <v>21342</v>
      </c>
      <c r="B8564" s="2" t="s">
        <v>21343</v>
      </c>
      <c r="C8564" s="2" t="s">
        <v>26</v>
      </c>
      <c r="D8564" s="2" t="s">
        <v>27</v>
      </c>
      <c r="E8564" s="4">
        <v>-32044</v>
      </c>
      <c r="F8564" s="3" t="s">
        <v>1031</v>
      </c>
      <c r="G8564" s="3" t="s">
        <v>1873</v>
      </c>
      <c r="H8564" s="2" t="s">
        <v>30</v>
      </c>
      <c r="I8564" s="2" t="s">
        <v>21344</v>
      </c>
      <c r="J8564" s="3" t="str">
        <f>HYPERLINK("https://www.boe.es/gazeta/dias/1812/04/06/pdfs/GMD-1812-97.pdf#page=4","Abrir facsímil")</f>
        <v>Abrir facsímil</v>
      </c>
      <c r="K8564" s="3" t="s">
        <v>32</v>
      </c>
    </row>
    <row r="8565" spans="1:11" ht="42" customHeight="1">
      <c r="A8565" s="2" t="s">
        <v>21345</v>
      </c>
      <c r="B8565" s="2" t="s">
        <v>21346</v>
      </c>
      <c r="C8565" s="2" t="s">
        <v>26</v>
      </c>
      <c r="D8565" s="2" t="s">
        <v>27</v>
      </c>
      <c r="E8565" s="4">
        <v>-31824</v>
      </c>
      <c r="F8565" s="3" t="s">
        <v>3123</v>
      </c>
      <c r="G8565" s="3" t="s">
        <v>857</v>
      </c>
      <c r="H8565" s="2" t="s">
        <v>30</v>
      </c>
      <c r="I8565" s="2" t="s">
        <v>21347</v>
      </c>
      <c r="J8565" s="3" t="str">
        <f>HYPERLINK("https://www.boe.es/gazeta/dias/1812/11/12/pdfs/GRE-1812-151.pdf#page=8","Abrir facsímil")</f>
        <v>Abrir facsímil</v>
      </c>
      <c r="K8565" s="3" t="s">
        <v>32</v>
      </c>
    </row>
    <row r="8566" spans="1:11" ht="42" customHeight="1">
      <c r="A8566" s="2" t="s">
        <v>21348</v>
      </c>
      <c r="B8566" s="2" t="s">
        <v>21349</v>
      </c>
      <c r="C8566" s="2" t="s">
        <v>49</v>
      </c>
      <c r="D8566" s="2" t="s">
        <v>18</v>
      </c>
      <c r="E8566" s="4">
        <v>-31822</v>
      </c>
      <c r="F8566" s="3" t="s">
        <v>541</v>
      </c>
      <c r="G8566" s="3" t="s">
        <v>1459</v>
      </c>
      <c r="H8566" s="2" t="s">
        <v>30</v>
      </c>
      <c r="I8566" s="2" t="s">
        <v>21350</v>
      </c>
      <c r="J8566" s="3" t="str">
        <f>HYPERLINK("https://www.boe.es/gazeta/dias/1812/11/14/pdfs/GRE-1812-152.pdf#page=8","Abrir facsímil")</f>
        <v>Abrir facsímil</v>
      </c>
      <c r="K8566" s="3" t="s">
        <v>32</v>
      </c>
    </row>
    <row r="8567" spans="1:11" ht="42" customHeight="1">
      <c r="A8567" s="2" t="s">
        <v>21351</v>
      </c>
      <c r="B8567" s="2" t="s">
        <v>21352</v>
      </c>
      <c r="C8567" s="2" t="s">
        <v>17</v>
      </c>
      <c r="D8567" s="2" t="s">
        <v>27</v>
      </c>
      <c r="E8567" s="4">
        <v>-31966</v>
      </c>
      <c r="F8567" s="3" t="s">
        <v>3665</v>
      </c>
      <c r="G8567" s="3" t="s">
        <v>3666</v>
      </c>
      <c r="H8567" s="2" t="s">
        <v>30</v>
      </c>
      <c r="I8567" s="2" t="s">
        <v>21353</v>
      </c>
      <c r="J8567" s="3" t="str">
        <f>HYPERLINK("https://www.boe.es/gazeta/dias/1812/06/23/pdfs/GRE-1812-77.pdf#page=8","Abrir facsímil")</f>
        <v>Abrir facsímil</v>
      </c>
      <c r="K8567" s="3" t="s">
        <v>32</v>
      </c>
    </row>
    <row r="8568" spans="1:11" ht="42" customHeight="1">
      <c r="A8568" s="2" t="s">
        <v>21354</v>
      </c>
      <c r="B8568" s="2" t="s">
        <v>21355</v>
      </c>
      <c r="C8568" s="2" t="s">
        <v>186</v>
      </c>
      <c r="D8568" s="2" t="s">
        <v>27</v>
      </c>
      <c r="E8568" s="4">
        <v>-31866</v>
      </c>
      <c r="F8568" s="3" t="s">
        <v>845</v>
      </c>
      <c r="G8568" s="3" t="s">
        <v>1210</v>
      </c>
      <c r="H8568" s="2" t="s">
        <v>30</v>
      </c>
      <c r="I8568" s="2" t="s">
        <v>21356</v>
      </c>
      <c r="J8568" s="3" t="str">
        <f>HYPERLINK("https://www.boe.es/gazeta/dias/1812/10/01/pdfs/GRE-1812-133.pdf#page=5","Abrir facsímil")</f>
        <v>Abrir facsímil</v>
      </c>
      <c r="K8568" s="3" t="s">
        <v>32</v>
      </c>
    </row>
    <row r="8569" spans="1:11" ht="42" customHeight="1">
      <c r="A8569" s="2" t="s">
        <v>21357</v>
      </c>
      <c r="B8569" s="2" t="s">
        <v>21358</v>
      </c>
      <c r="C8569" s="2" t="s">
        <v>17</v>
      </c>
      <c r="D8569" s="2" t="s">
        <v>18</v>
      </c>
      <c r="E8569" s="4">
        <v>-31922</v>
      </c>
      <c r="F8569" s="3" t="s">
        <v>375</v>
      </c>
      <c r="G8569" s="3" t="s">
        <v>5327</v>
      </c>
      <c r="H8569" s="2" t="s">
        <v>30</v>
      </c>
      <c r="I8569" s="2" t="s">
        <v>21359</v>
      </c>
      <c r="J8569" s="3" t="str">
        <f>HYPERLINK("https://www.boe.es/gazeta/dias/1812/08/06/pdfs/GRE-1812-100.pdf#page=3","Abrir facsímil")</f>
        <v>Abrir facsímil</v>
      </c>
      <c r="K8569" s="3" t="s">
        <v>32</v>
      </c>
    </row>
    <row r="8570" spans="1:11" ht="42" customHeight="1">
      <c r="A8570" s="2" t="s">
        <v>21360</v>
      </c>
      <c r="B8570" s="2" t="s">
        <v>21361</v>
      </c>
      <c r="C8570" s="2" t="s">
        <v>17</v>
      </c>
      <c r="D8570" s="2" t="s">
        <v>27</v>
      </c>
      <c r="E8570" s="4">
        <v>-31948</v>
      </c>
      <c r="F8570" s="3" t="s">
        <v>431</v>
      </c>
      <c r="G8570" s="3" t="s">
        <v>432</v>
      </c>
      <c r="H8570" s="2" t="s">
        <v>30</v>
      </c>
      <c r="I8570" s="2" t="s">
        <v>21362</v>
      </c>
      <c r="J8570" s="3" t="str">
        <f>HYPERLINK("https://www.boe.es/gazeta/dias/1812/07/11/pdfs/GRE-1812-86.pdf#page=5","Abrir facsímil")</f>
        <v>Abrir facsímil</v>
      </c>
      <c r="K8570" s="3" t="s">
        <v>32</v>
      </c>
    </row>
    <row r="8571" spans="1:11" ht="42" customHeight="1">
      <c r="A8571" s="2" t="s">
        <v>21363</v>
      </c>
      <c r="B8571" s="2" t="s">
        <v>21364</v>
      </c>
      <c r="C8571" s="2" t="s">
        <v>17</v>
      </c>
      <c r="D8571" s="2" t="s">
        <v>18</v>
      </c>
      <c r="E8571" s="4">
        <v>-32018</v>
      </c>
      <c r="F8571" s="3" t="s">
        <v>365</v>
      </c>
      <c r="G8571" s="3" t="s">
        <v>392</v>
      </c>
      <c r="H8571" s="2" t="s">
        <v>30</v>
      </c>
      <c r="I8571" s="2" t="s">
        <v>21365</v>
      </c>
      <c r="J8571" s="3" t="str">
        <f>HYPERLINK("https://www.boe.es/gazeta/dias/1812/05/02/pdfs/GRE-1812-55.pdf#page=2","Abrir facsímil")</f>
        <v>Abrir facsímil</v>
      </c>
      <c r="K8571" s="3" t="s">
        <v>32</v>
      </c>
    </row>
    <row r="8572" spans="1:11" ht="42" customHeight="1">
      <c r="A8572" s="2" t="s">
        <v>21366</v>
      </c>
      <c r="B8572" s="2" t="s">
        <v>21367</v>
      </c>
      <c r="C8572" s="2" t="s">
        <v>105</v>
      </c>
      <c r="D8572" s="2" t="s">
        <v>27</v>
      </c>
      <c r="E8572" s="4">
        <v>-31988</v>
      </c>
      <c r="F8572" s="3" t="s">
        <v>1094</v>
      </c>
      <c r="G8572" s="3" t="s">
        <v>1095</v>
      </c>
      <c r="H8572" s="2" t="s">
        <v>30</v>
      </c>
      <c r="I8572" s="2" t="s">
        <v>21368</v>
      </c>
      <c r="J8572" s="3" t="str">
        <f>HYPERLINK("https://www.boe.es/gazeta/dias/1812/06/01/pdfs/GMD-1812-153.pdf#page=2","Abrir facsímil")</f>
        <v>Abrir facsímil</v>
      </c>
      <c r="K8572" s="3" t="s">
        <v>32</v>
      </c>
    </row>
    <row r="8573" spans="1:11" ht="42" customHeight="1">
      <c r="A8573" s="2" t="s">
        <v>21369</v>
      </c>
      <c r="B8573" s="2" t="s">
        <v>21370</v>
      </c>
      <c r="C8573" s="2" t="s">
        <v>17</v>
      </c>
      <c r="D8573" s="2" t="s">
        <v>27</v>
      </c>
      <c r="E8573" s="4">
        <v>-32109</v>
      </c>
      <c r="F8573" s="3" t="s">
        <v>62</v>
      </c>
      <c r="G8573" s="3" t="s">
        <v>63</v>
      </c>
      <c r="H8573" s="2" t="s">
        <v>30</v>
      </c>
      <c r="I8573" s="2" t="s">
        <v>21371</v>
      </c>
      <c r="J8573" s="3" t="str">
        <f>HYPERLINK("https://www.boe.es/gazeta/dias/1812/02/01/pdfs/GRE-1812-14.pdf#page=10","Abrir facsímil")</f>
        <v>Abrir facsímil</v>
      </c>
      <c r="K8573" s="3" t="s">
        <v>32</v>
      </c>
    </row>
    <row r="8574" spans="1:11" ht="42" customHeight="1">
      <c r="A8574" s="2" t="s">
        <v>21372</v>
      </c>
      <c r="B8574" s="2" t="s">
        <v>21373</v>
      </c>
      <c r="C8574" s="2" t="s">
        <v>17</v>
      </c>
      <c r="D8574" s="2" t="s">
        <v>18</v>
      </c>
      <c r="E8574" s="4">
        <v>-32061</v>
      </c>
      <c r="F8574" s="3" t="s">
        <v>798</v>
      </c>
      <c r="G8574" s="3" t="s">
        <v>36</v>
      </c>
      <c r="H8574" s="2" t="s">
        <v>30</v>
      </c>
      <c r="I8574" s="2" t="s">
        <v>21374</v>
      </c>
      <c r="J8574" s="3" t="str">
        <f>HYPERLINK("https://www.boe.es/gazeta/dias/1812/03/20/pdfs/GMD-1812-80.pdf#page=3","Abrir facsímil")</f>
        <v>Abrir facsímil</v>
      </c>
      <c r="K8574" s="3" t="s">
        <v>32</v>
      </c>
    </row>
    <row r="8575" spans="1:11" ht="42" customHeight="1">
      <c r="A8575" s="2" t="s">
        <v>21375</v>
      </c>
      <c r="B8575" s="2" t="s">
        <v>21376</v>
      </c>
      <c r="C8575" s="2" t="s">
        <v>17</v>
      </c>
      <c r="D8575" s="2" t="s">
        <v>27</v>
      </c>
      <c r="E8575" s="4">
        <v>-31922</v>
      </c>
      <c r="F8575" s="3" t="s">
        <v>375</v>
      </c>
      <c r="G8575" s="3" t="s">
        <v>5327</v>
      </c>
      <c r="H8575" s="2" t="s">
        <v>30</v>
      </c>
      <c r="I8575" s="2" t="s">
        <v>21377</v>
      </c>
      <c r="J8575" s="3" t="str">
        <f>HYPERLINK("https://www.boe.es/gazeta/dias/1812/08/06/pdfs/GRE-1812-100.pdf#page=3","Abrir facsímil")</f>
        <v>Abrir facsímil</v>
      </c>
      <c r="K8575" s="3" t="s">
        <v>32</v>
      </c>
    </row>
    <row r="8576" spans="1:11" ht="42" customHeight="1">
      <c r="A8576" s="2" t="s">
        <v>21378</v>
      </c>
      <c r="B8576" s="2" t="s">
        <v>21379</v>
      </c>
      <c r="C8576" s="2" t="s">
        <v>17</v>
      </c>
      <c r="D8576" s="2" t="s">
        <v>27</v>
      </c>
      <c r="E8576" s="4">
        <v>-32018</v>
      </c>
      <c r="F8576" s="3" t="s">
        <v>365</v>
      </c>
      <c r="G8576" s="3" t="s">
        <v>10212</v>
      </c>
      <c r="H8576" s="2" t="s">
        <v>30</v>
      </c>
      <c r="I8576" s="2" t="s">
        <v>21380</v>
      </c>
      <c r="J8576" s="3" t="str">
        <f>HYPERLINK("https://www.boe.es/gazeta/dias/1812/05/02/pdfs/GRE-1812-55.pdf#page=5","Abrir facsímil")</f>
        <v>Abrir facsímil</v>
      </c>
      <c r="K8576" s="3" t="s">
        <v>32</v>
      </c>
    </row>
    <row r="8577" spans="1:11" ht="42" customHeight="1">
      <c r="A8577" s="2" t="s">
        <v>21381</v>
      </c>
      <c r="B8577" s="2" t="s">
        <v>21382</v>
      </c>
      <c r="C8577" s="2" t="s">
        <v>17</v>
      </c>
      <c r="D8577" s="2" t="s">
        <v>27</v>
      </c>
      <c r="E8577" s="4">
        <v>-31951</v>
      </c>
      <c r="F8577" s="3" t="s">
        <v>1603</v>
      </c>
      <c r="G8577" s="3" t="s">
        <v>214</v>
      </c>
      <c r="H8577" s="2" t="s">
        <v>30</v>
      </c>
      <c r="I8577" s="2" t="s">
        <v>21383</v>
      </c>
      <c r="J8577" s="3" t="str">
        <f>HYPERLINK("https://www.boe.es/gazeta/dias/1812/07/08/pdfs/GMD-1812-190.pdf#page=4","Abrir facsímil")</f>
        <v>Abrir facsímil</v>
      </c>
      <c r="K8577" s="3" t="s">
        <v>32</v>
      </c>
    </row>
    <row r="8578" spans="1:11" ht="42" customHeight="1">
      <c r="A8578" s="2" t="s">
        <v>21384</v>
      </c>
      <c r="B8578" s="2" t="s">
        <v>21385</v>
      </c>
      <c r="C8578" s="2" t="s">
        <v>115</v>
      </c>
      <c r="D8578" s="2" t="s">
        <v>27</v>
      </c>
      <c r="E8578" s="4">
        <v>-32066</v>
      </c>
      <c r="F8578" s="3" t="s">
        <v>291</v>
      </c>
      <c r="G8578" s="3" t="s">
        <v>125</v>
      </c>
      <c r="H8578" s="2" t="s">
        <v>30</v>
      </c>
      <c r="I8578" s="2" t="s">
        <v>21386</v>
      </c>
      <c r="J8578" s="3" t="str">
        <f>HYPERLINK("https://www.boe.es/gazeta/dias/1812/03/15/pdfs/GMD-1812-75.pdf#page=4","Abrir facsímil")</f>
        <v>Abrir facsímil</v>
      </c>
      <c r="K8578" s="3" t="s">
        <v>32</v>
      </c>
    </row>
    <row r="8579" spans="1:11" ht="42" customHeight="1">
      <c r="A8579" s="2" t="s">
        <v>21387</v>
      </c>
      <c r="B8579" s="2" t="s">
        <v>21388</v>
      </c>
      <c r="C8579" s="2" t="s">
        <v>17</v>
      </c>
      <c r="D8579" s="2" t="s">
        <v>18</v>
      </c>
      <c r="E8579" s="4">
        <v>-31822</v>
      </c>
      <c r="F8579" s="3" t="s">
        <v>541</v>
      </c>
      <c r="G8579" s="3" t="s">
        <v>1459</v>
      </c>
      <c r="H8579" s="2" t="s">
        <v>30</v>
      </c>
      <c r="I8579" s="2" t="s">
        <v>21389</v>
      </c>
      <c r="J8579" s="3" t="str">
        <f>HYPERLINK("https://www.boe.es/gazeta/dias/1812/11/14/pdfs/GRE-1812-152.pdf#page=8","Abrir facsímil")</f>
        <v>Abrir facsímil</v>
      </c>
      <c r="K8579" s="3" t="s">
        <v>32</v>
      </c>
    </row>
    <row r="8580" spans="1:11" ht="42" customHeight="1">
      <c r="A8580" s="2" t="s">
        <v>21390</v>
      </c>
      <c r="B8580" s="2" t="s">
        <v>21391</v>
      </c>
      <c r="C8580" s="2" t="s">
        <v>186</v>
      </c>
      <c r="D8580" s="2" t="s">
        <v>275</v>
      </c>
      <c r="E8580" s="4">
        <v>-31917</v>
      </c>
      <c r="F8580" s="3" t="s">
        <v>946</v>
      </c>
      <c r="G8580" s="3" t="s">
        <v>947</v>
      </c>
      <c r="H8580" s="2" t="s">
        <v>30</v>
      </c>
      <c r="I8580" s="2" t="s">
        <v>21392</v>
      </c>
      <c r="J8580" s="3" t="str">
        <f>HYPERLINK("https://www.boe.es/gazeta/dias/1812/08/11/pdfs/GRE-1812-103.pdf#page=8","Abrir facsímil")</f>
        <v>Abrir facsímil</v>
      </c>
      <c r="K8580" s="3" t="s">
        <v>32</v>
      </c>
    </row>
    <row r="8581" spans="1:11" ht="42" customHeight="1">
      <c r="A8581" s="2" t="s">
        <v>21393</v>
      </c>
      <c r="B8581" s="2" t="s">
        <v>21394</v>
      </c>
      <c r="C8581" s="2" t="s">
        <v>26</v>
      </c>
      <c r="D8581" s="2" t="s">
        <v>27</v>
      </c>
      <c r="E8581" s="4">
        <v>-31936</v>
      </c>
      <c r="F8581" s="3" t="s">
        <v>603</v>
      </c>
      <c r="G8581" s="3" t="s">
        <v>2410</v>
      </c>
      <c r="H8581" s="2" t="s">
        <v>30</v>
      </c>
      <c r="I8581" s="2" t="s">
        <v>21395</v>
      </c>
      <c r="J8581" s="3" t="str">
        <f>HYPERLINK("https://www.boe.es/gazeta/dias/1812/07/23/pdfs/GMD-1812-205.pdf#page=4","Abrir facsímil")</f>
        <v>Abrir facsímil</v>
      </c>
      <c r="K8581" s="3" t="s">
        <v>32</v>
      </c>
    </row>
    <row r="8582" spans="1:11" ht="42" customHeight="1">
      <c r="A8582" s="2" t="s">
        <v>21396</v>
      </c>
      <c r="B8582" s="2" t="s">
        <v>21397</v>
      </c>
      <c r="C8582" s="2" t="s">
        <v>17</v>
      </c>
      <c r="D8582" s="2" t="s">
        <v>27</v>
      </c>
      <c r="E8582" s="4">
        <v>-31934</v>
      </c>
      <c r="F8582" s="3" t="s">
        <v>509</v>
      </c>
      <c r="G8582" s="3" t="s">
        <v>20136</v>
      </c>
      <c r="H8582" s="2" t="s">
        <v>30</v>
      </c>
      <c r="I8582" s="2" t="s">
        <v>21398</v>
      </c>
      <c r="J8582" s="3" t="str">
        <f>HYPERLINK("https://www.boe.es/gazeta/dias/1812/07/25/pdfs/GRE-1812-93.pdf#page=7","Abrir facsímil")</f>
        <v>Abrir facsímil</v>
      </c>
      <c r="K8582" s="3" t="s">
        <v>32</v>
      </c>
    </row>
    <row r="8583" spans="1:11" ht="42" customHeight="1">
      <c r="A8583" s="2" t="s">
        <v>21399</v>
      </c>
      <c r="B8583" s="2" t="s">
        <v>21400</v>
      </c>
      <c r="C8583" s="2" t="s">
        <v>26</v>
      </c>
      <c r="D8583" s="2" t="s">
        <v>27</v>
      </c>
      <c r="E8583" s="4">
        <v>-31962</v>
      </c>
      <c r="F8583" s="3" t="s">
        <v>153</v>
      </c>
      <c r="G8583" s="3" t="s">
        <v>154</v>
      </c>
      <c r="H8583" s="2" t="s">
        <v>30</v>
      </c>
      <c r="I8583" s="2" t="s">
        <v>21401</v>
      </c>
      <c r="J8583" s="3" t="str">
        <f>HYPERLINK("https://www.boe.es/gazeta/dias/1812/06/27/pdfs/GRE-1812-79.pdf#page=8","Abrir facsímil")</f>
        <v>Abrir facsímil</v>
      </c>
      <c r="K8583" s="3" t="s">
        <v>32</v>
      </c>
    </row>
    <row r="8584" spans="1:11" ht="42" customHeight="1">
      <c r="A8584" s="2" t="s">
        <v>21402</v>
      </c>
      <c r="B8584" s="2" t="s">
        <v>21403</v>
      </c>
      <c r="C8584" s="2" t="s">
        <v>26</v>
      </c>
      <c r="D8584" s="2" t="s">
        <v>275</v>
      </c>
      <c r="E8584" s="4">
        <v>-31922</v>
      </c>
      <c r="F8584" s="3" t="s">
        <v>375</v>
      </c>
      <c r="G8584" s="3" t="s">
        <v>6978</v>
      </c>
      <c r="H8584" s="2" t="s">
        <v>30</v>
      </c>
      <c r="I8584" s="2" t="s">
        <v>21404</v>
      </c>
      <c r="J8584" s="3" t="str">
        <f>HYPERLINK("https://www.boe.es/gazeta/dias/1812/08/06/pdfs/GRE-1812-100.pdf#page=6","Abrir facsímil")</f>
        <v>Abrir facsímil</v>
      </c>
      <c r="K8584" s="3" t="s">
        <v>32</v>
      </c>
    </row>
    <row r="8585" spans="1:11" ht="42" customHeight="1">
      <c r="A8585" s="2" t="s">
        <v>21405</v>
      </c>
      <c r="B8585" s="2" t="s">
        <v>21406</v>
      </c>
      <c r="C8585" s="2" t="s">
        <v>105</v>
      </c>
      <c r="D8585" s="2" t="s">
        <v>27</v>
      </c>
      <c r="E8585" s="4">
        <v>-31852</v>
      </c>
      <c r="F8585" s="3" t="s">
        <v>2145</v>
      </c>
      <c r="G8585" s="3" t="s">
        <v>6556</v>
      </c>
      <c r="H8585" s="2" t="s">
        <v>30</v>
      </c>
      <c r="I8585" s="2" t="s">
        <v>21407</v>
      </c>
      <c r="J8585" s="3" t="str">
        <f>HYPERLINK("https://www.boe.es/gazeta/dias/1812/10/15/pdfs/GRE-1812-139.pdf#page=8","Abrir facsímil")</f>
        <v>Abrir facsímil</v>
      </c>
      <c r="K8585" s="3" t="s">
        <v>32</v>
      </c>
    </row>
    <row r="8586" spans="1:11" ht="42" customHeight="1">
      <c r="A8586" s="2" t="s">
        <v>21408</v>
      </c>
      <c r="B8586" s="2" t="s">
        <v>21409</v>
      </c>
      <c r="C8586" s="2" t="s">
        <v>26</v>
      </c>
      <c r="D8586" s="2" t="s">
        <v>27</v>
      </c>
      <c r="E8586" s="4">
        <v>-31973</v>
      </c>
      <c r="F8586" s="3" t="s">
        <v>1735</v>
      </c>
      <c r="G8586" s="3" t="s">
        <v>7777</v>
      </c>
      <c r="H8586" s="2" t="s">
        <v>30</v>
      </c>
      <c r="I8586" s="2" t="s">
        <v>21410</v>
      </c>
      <c r="J8586" s="3" t="str">
        <f>HYPERLINK("https://www.boe.es/gazeta/dias/1812/06/16/pdfs/GRE-1812-74.pdf#page=3","Abrir facsímil")</f>
        <v>Abrir facsímil</v>
      </c>
      <c r="K8586" s="3" t="s">
        <v>32</v>
      </c>
    </row>
    <row r="8587" spans="1:11" ht="42" customHeight="1">
      <c r="A8587" s="2" t="s">
        <v>21411</v>
      </c>
      <c r="B8587" s="2" t="s">
        <v>21412</v>
      </c>
      <c r="C8587" s="2" t="s">
        <v>26</v>
      </c>
      <c r="D8587" s="2" t="s">
        <v>27</v>
      </c>
      <c r="E8587" s="4">
        <v>-31976</v>
      </c>
      <c r="F8587" s="3" t="s">
        <v>54</v>
      </c>
      <c r="G8587" s="3" t="s">
        <v>55</v>
      </c>
      <c r="H8587" s="2" t="s">
        <v>30</v>
      </c>
      <c r="I8587" s="2" t="s">
        <v>21413</v>
      </c>
      <c r="J8587" s="3" t="str">
        <f>HYPERLINK("https://www.boe.es/gazeta/dias/1812/06/13/pdfs/GRE-1812-73.pdf#page=6","Abrir facsímil")</f>
        <v>Abrir facsímil</v>
      </c>
      <c r="K8587" s="3" t="s">
        <v>32</v>
      </c>
    </row>
    <row r="8588" spans="1:11" ht="42" customHeight="1">
      <c r="A8588" s="2" t="s">
        <v>21414</v>
      </c>
      <c r="B8588" s="2" t="s">
        <v>21415</v>
      </c>
      <c r="C8588" s="2" t="s">
        <v>17</v>
      </c>
      <c r="D8588" s="2" t="s">
        <v>27</v>
      </c>
      <c r="E8588" s="4">
        <v>-31875</v>
      </c>
      <c r="F8588" s="3" t="s">
        <v>708</v>
      </c>
      <c r="G8588" s="3" t="s">
        <v>2058</v>
      </c>
      <c r="H8588" s="2" t="s">
        <v>30</v>
      </c>
      <c r="I8588" s="2" t="s">
        <v>21416</v>
      </c>
      <c r="J8588" s="3" t="str">
        <f>HYPERLINK("https://www.boe.es/gazeta/dias/1812/09/22/pdfs/GMR-1812-17.pdf#page=11","Abrir facsímil")</f>
        <v>Abrir facsímil</v>
      </c>
      <c r="K8588" s="3" t="s">
        <v>32</v>
      </c>
    </row>
    <row r="8589" spans="1:11" ht="42" customHeight="1">
      <c r="A8589" s="2" t="s">
        <v>21417</v>
      </c>
      <c r="B8589" s="2" t="s">
        <v>21418</v>
      </c>
      <c r="C8589" s="2" t="s">
        <v>26</v>
      </c>
      <c r="D8589" s="2" t="s">
        <v>27</v>
      </c>
      <c r="E8589" s="4">
        <v>-31789</v>
      </c>
      <c r="F8589" s="3" t="s">
        <v>350</v>
      </c>
      <c r="G8589" s="3" t="s">
        <v>3984</v>
      </c>
      <c r="H8589" s="2" t="s">
        <v>30</v>
      </c>
      <c r="I8589" s="2" t="s">
        <v>21419</v>
      </c>
      <c r="J8589" s="3" t="str">
        <f>HYPERLINK("https://www.boe.es/gazeta/dias/1812/12/17/pdfs/GRE-1812-166.pdf#page=5","Abrir facsímil")</f>
        <v>Abrir facsímil</v>
      </c>
      <c r="K8589" s="3" t="s">
        <v>32</v>
      </c>
    </row>
    <row r="8590" spans="1:11" ht="42" customHeight="1">
      <c r="A8590" s="2" t="s">
        <v>21420</v>
      </c>
      <c r="B8590" s="2" t="s">
        <v>21421</v>
      </c>
      <c r="C8590" s="2" t="s">
        <v>49</v>
      </c>
      <c r="D8590" s="2" t="s">
        <v>27</v>
      </c>
      <c r="E8590" s="4">
        <v>-31957</v>
      </c>
      <c r="F8590" s="3" t="s">
        <v>2173</v>
      </c>
      <c r="G8590" s="3" t="s">
        <v>3034</v>
      </c>
      <c r="H8590" s="2" t="s">
        <v>30</v>
      </c>
      <c r="I8590" s="2" t="s">
        <v>21422</v>
      </c>
      <c r="J8590" s="3" t="str">
        <f>HYPERLINK("https://www.boe.es/gazeta/dias/1812/07/02/pdfs/GRE-1812-81.pdf#page=5","Abrir facsímil")</f>
        <v>Abrir facsímil</v>
      </c>
      <c r="K8590" s="3" t="s">
        <v>32</v>
      </c>
    </row>
    <row r="8591" spans="1:11" ht="42" customHeight="1">
      <c r="A8591" s="2" t="s">
        <v>21423</v>
      </c>
      <c r="B8591" s="2" t="s">
        <v>21424</v>
      </c>
      <c r="C8591" s="2" t="s">
        <v>17</v>
      </c>
      <c r="D8591" s="2" t="s">
        <v>27</v>
      </c>
      <c r="E8591" s="4">
        <v>-31822</v>
      </c>
      <c r="F8591" s="3" t="s">
        <v>541</v>
      </c>
      <c r="G8591" s="3" t="s">
        <v>1459</v>
      </c>
      <c r="H8591" s="2" t="s">
        <v>30</v>
      </c>
      <c r="I8591" s="2" t="s">
        <v>21425</v>
      </c>
      <c r="J8591" s="3" t="str">
        <f>HYPERLINK("https://www.boe.es/gazeta/dias/1812/11/14/pdfs/GRE-1812-152.pdf#page=8","Abrir facsímil")</f>
        <v>Abrir facsímil</v>
      </c>
      <c r="K8591" s="3" t="s">
        <v>32</v>
      </c>
    </row>
    <row r="8592" spans="1:11" ht="42" customHeight="1">
      <c r="A8592" s="2" t="s">
        <v>21426</v>
      </c>
      <c r="B8592" s="2" t="s">
        <v>21427</v>
      </c>
      <c r="C8592" s="2" t="s">
        <v>26</v>
      </c>
      <c r="D8592" s="2" t="s">
        <v>194</v>
      </c>
      <c r="E8592" s="4">
        <v>-31956</v>
      </c>
      <c r="F8592" s="3" t="s">
        <v>19</v>
      </c>
      <c r="G8592" s="3" t="s">
        <v>20</v>
      </c>
      <c r="H8592" s="2" t="s">
        <v>30</v>
      </c>
      <c r="I8592" s="2" t="s">
        <v>21428</v>
      </c>
      <c r="J8592" s="3" t="str">
        <f>HYPERLINK("https://www.boe.es/gazeta/dias/1812/07/03/pdfs/GMD-1812-185.pdf#page=2","Abrir facsímil")</f>
        <v>Abrir facsímil</v>
      </c>
      <c r="K8592" s="3" t="s">
        <v>32</v>
      </c>
    </row>
    <row r="8593" spans="1:11" ht="42" customHeight="1">
      <c r="A8593" s="2" t="s">
        <v>21429</v>
      </c>
      <c r="B8593" s="2" t="s">
        <v>21430</v>
      </c>
      <c r="C8593" s="2" t="s">
        <v>49</v>
      </c>
      <c r="D8593" s="2" t="s">
        <v>18</v>
      </c>
      <c r="E8593" s="4">
        <v>-32053</v>
      </c>
      <c r="F8593" s="3" t="s">
        <v>910</v>
      </c>
      <c r="G8593" s="3" t="s">
        <v>911</v>
      </c>
      <c r="H8593" s="2" t="s">
        <v>30</v>
      </c>
      <c r="I8593" s="2" t="s">
        <v>21431</v>
      </c>
      <c r="J8593" s="3" t="str">
        <f>HYPERLINK("https://www.boe.es/gazeta/dias/1812/03/28/pdfs/GRE-1812-39.pdf#page=8","Abrir facsímil")</f>
        <v>Abrir facsímil</v>
      </c>
      <c r="K8593" s="3" t="s">
        <v>32</v>
      </c>
    </row>
    <row r="8594" spans="1:11" ht="42" customHeight="1">
      <c r="A8594" s="2" t="s">
        <v>21432</v>
      </c>
      <c r="B8594" s="2" t="s">
        <v>21433</v>
      </c>
      <c r="C8594" s="2" t="s">
        <v>26</v>
      </c>
      <c r="D8594" s="2" t="s">
        <v>27</v>
      </c>
      <c r="E8594" s="4">
        <v>-32032</v>
      </c>
      <c r="F8594" s="3" t="s">
        <v>421</v>
      </c>
      <c r="G8594" s="3" t="s">
        <v>777</v>
      </c>
      <c r="H8594" s="2" t="s">
        <v>30</v>
      </c>
      <c r="I8594" s="2" t="s">
        <v>21434</v>
      </c>
      <c r="J8594" s="3" t="str">
        <f>HYPERLINK("https://www.boe.es/gazeta/dias/1812/04/18/pdfs/GRE-1812-49.pdf#page=3","Abrir facsímil")</f>
        <v>Abrir facsímil</v>
      </c>
      <c r="K8594" s="3" t="s">
        <v>32</v>
      </c>
    </row>
    <row r="8595" spans="1:11" ht="42" customHeight="1">
      <c r="A8595" s="2" t="s">
        <v>21435</v>
      </c>
      <c r="B8595" s="2" t="s">
        <v>21436</v>
      </c>
      <c r="C8595" s="2" t="s">
        <v>26</v>
      </c>
      <c r="D8595" s="2" t="s">
        <v>27</v>
      </c>
      <c r="E8595" s="4">
        <v>-31843</v>
      </c>
      <c r="F8595" s="3" t="s">
        <v>6436</v>
      </c>
      <c r="G8595" s="3" t="s">
        <v>7883</v>
      </c>
      <c r="H8595" s="2" t="s">
        <v>30</v>
      </c>
      <c r="I8595" s="2" t="s">
        <v>21437</v>
      </c>
      <c r="J8595" s="3" t="str">
        <f>HYPERLINK("https://www.boe.es/gazeta/dias/1812/10/24/pdfs/GRE-1812-143.pdf#page=3","Abrir facsímil")</f>
        <v>Abrir facsímil</v>
      </c>
      <c r="K8595" s="3" t="s">
        <v>32</v>
      </c>
    </row>
    <row r="8596" spans="1:11" ht="42" customHeight="1">
      <c r="A8596" s="2" t="s">
        <v>21438</v>
      </c>
      <c r="B8596" s="2" t="s">
        <v>21439</v>
      </c>
      <c r="C8596" s="2" t="s">
        <v>26</v>
      </c>
      <c r="D8596" s="2" t="s">
        <v>27</v>
      </c>
      <c r="E8596" s="4">
        <v>-32109</v>
      </c>
      <c r="F8596" s="3" t="s">
        <v>62</v>
      </c>
      <c r="G8596" s="3" t="s">
        <v>63</v>
      </c>
      <c r="H8596" s="2" t="s">
        <v>30</v>
      </c>
      <c r="I8596" s="2" t="s">
        <v>21440</v>
      </c>
      <c r="J8596" s="3" t="str">
        <f>HYPERLINK("https://www.boe.es/gazeta/dias/1812/02/01/pdfs/GRE-1812-14.pdf#page=10","Abrir facsímil")</f>
        <v>Abrir facsímil</v>
      </c>
      <c r="K8596" s="3" t="s">
        <v>32</v>
      </c>
    </row>
    <row r="8597" spans="1:11" ht="42" customHeight="1">
      <c r="A8597" s="2" t="s">
        <v>21441</v>
      </c>
      <c r="B8597" s="2" t="s">
        <v>21442</v>
      </c>
      <c r="C8597" s="2" t="s">
        <v>26</v>
      </c>
      <c r="D8597" s="2" t="s">
        <v>27</v>
      </c>
      <c r="E8597" s="4">
        <v>-31976</v>
      </c>
      <c r="F8597" s="3" t="s">
        <v>54</v>
      </c>
      <c r="G8597" s="3" t="s">
        <v>55</v>
      </c>
      <c r="H8597" s="2" t="s">
        <v>30</v>
      </c>
      <c r="I8597" s="2" t="s">
        <v>21443</v>
      </c>
      <c r="J8597" s="3" t="str">
        <f>HYPERLINK("https://www.boe.es/gazeta/dias/1812/06/13/pdfs/GRE-1812-73.pdf#page=6","Abrir facsímil")</f>
        <v>Abrir facsímil</v>
      </c>
      <c r="K8597" s="3" t="s">
        <v>32</v>
      </c>
    </row>
    <row r="8598" spans="1:11" ht="42" customHeight="1">
      <c r="A8598" s="2" t="s">
        <v>21444</v>
      </c>
      <c r="B8598" s="2" t="s">
        <v>21445</v>
      </c>
      <c r="C8598" s="2" t="s">
        <v>17</v>
      </c>
      <c r="D8598" s="2" t="s">
        <v>18</v>
      </c>
      <c r="E8598" s="4">
        <v>-32018</v>
      </c>
      <c r="F8598" s="3" t="s">
        <v>365</v>
      </c>
      <c r="G8598" s="3" t="s">
        <v>392</v>
      </c>
      <c r="H8598" s="2" t="s">
        <v>30</v>
      </c>
      <c r="I8598" s="2" t="s">
        <v>21446</v>
      </c>
      <c r="J8598" s="3" t="str">
        <f>HYPERLINK("https://www.boe.es/gazeta/dias/1812/05/02/pdfs/GRE-1812-55.pdf#page=2","Abrir facsímil")</f>
        <v>Abrir facsímil</v>
      </c>
      <c r="K8598" s="3" t="s">
        <v>32</v>
      </c>
    </row>
    <row r="8599" spans="1:11" ht="42" customHeight="1">
      <c r="A8599" s="2" t="s">
        <v>21447</v>
      </c>
      <c r="B8599" s="2" t="s">
        <v>21448</v>
      </c>
      <c r="C8599" s="2" t="s">
        <v>17</v>
      </c>
      <c r="D8599" s="2" t="s">
        <v>18</v>
      </c>
      <c r="E8599" s="4">
        <v>-31992</v>
      </c>
      <c r="F8599" s="3" t="s">
        <v>1292</v>
      </c>
      <c r="G8599" s="3" t="s">
        <v>1424</v>
      </c>
      <c r="H8599" s="2" t="s">
        <v>30</v>
      </c>
      <c r="I8599" s="2" t="s">
        <v>21449</v>
      </c>
      <c r="J8599" s="3" t="str">
        <f>HYPERLINK("https://www.boe.es/gazeta/dias/1812/05/28/pdfs/GRE-1812-66.pdf#page=5","Abrir facsímil")</f>
        <v>Abrir facsímil</v>
      </c>
      <c r="K8599" s="3" t="s">
        <v>32</v>
      </c>
    </row>
    <row r="8600" spans="1:11" ht="42" customHeight="1">
      <c r="A8600" s="2" t="s">
        <v>21450</v>
      </c>
      <c r="B8600" s="2" t="s">
        <v>21451</v>
      </c>
      <c r="C8600" s="2" t="s">
        <v>186</v>
      </c>
      <c r="D8600" s="2" t="s">
        <v>27</v>
      </c>
      <c r="E8600" s="4">
        <v>-31936</v>
      </c>
      <c r="F8600" s="3" t="s">
        <v>603</v>
      </c>
      <c r="G8600" s="3" t="s">
        <v>2410</v>
      </c>
      <c r="H8600" s="2" t="s">
        <v>30</v>
      </c>
      <c r="I8600" s="2" t="s">
        <v>21452</v>
      </c>
      <c r="J8600" s="3" t="str">
        <f>HYPERLINK("https://www.boe.es/gazeta/dias/1812/07/23/pdfs/GMD-1812-205.pdf#page=4","Abrir facsímil")</f>
        <v>Abrir facsímil</v>
      </c>
      <c r="K8600" s="3" t="s">
        <v>32</v>
      </c>
    </row>
    <row r="8601" spans="1:11" ht="42" customHeight="1">
      <c r="A8601" s="2" t="s">
        <v>21453</v>
      </c>
      <c r="B8601" s="2" t="s">
        <v>21454</v>
      </c>
      <c r="C8601" s="2" t="s">
        <v>115</v>
      </c>
      <c r="D8601" s="2" t="s">
        <v>573</v>
      </c>
      <c r="E8601" s="4">
        <v>-31900</v>
      </c>
      <c r="F8601" s="3" t="s">
        <v>276</v>
      </c>
      <c r="G8601" s="3" t="s">
        <v>277</v>
      </c>
      <c r="H8601" s="2" t="s">
        <v>30</v>
      </c>
      <c r="I8601" s="2" t="s">
        <v>21455</v>
      </c>
      <c r="J8601" s="3" t="str">
        <f>HYPERLINK("https://www.boe.es/gazeta/dias/1812/08/28/pdfs/GRE-1812-113E.pdf#page=8","Abrir facsímil")</f>
        <v>Abrir facsímil</v>
      </c>
      <c r="K8601" s="3" t="s">
        <v>32</v>
      </c>
    </row>
    <row r="8602" spans="1:11" ht="42" customHeight="1">
      <c r="A8602" s="2" t="s">
        <v>21456</v>
      </c>
      <c r="B8602" s="2" t="s">
        <v>21457</v>
      </c>
      <c r="C8602" s="2" t="s">
        <v>17</v>
      </c>
      <c r="D8602" s="2" t="s">
        <v>27</v>
      </c>
      <c r="E8602" s="4">
        <v>-31875</v>
      </c>
      <c r="F8602" s="3" t="s">
        <v>110</v>
      </c>
      <c r="G8602" s="3" t="s">
        <v>636</v>
      </c>
      <c r="H8602" s="2" t="s">
        <v>30</v>
      </c>
      <c r="I8602" s="2" t="s">
        <v>21458</v>
      </c>
      <c r="J8602" s="3" t="str">
        <f>HYPERLINK("https://www.boe.es/gazeta/dias/1812/09/22/pdfs/GRE-1812-128.pdf#page=7","Abrir facsímil")</f>
        <v>Abrir facsímil</v>
      </c>
      <c r="K8602" s="3" t="s">
        <v>32</v>
      </c>
    </row>
    <row r="8603" spans="1:11" ht="42" customHeight="1">
      <c r="A8603" s="2" t="s">
        <v>21459</v>
      </c>
      <c r="B8603" s="2" t="s">
        <v>21460</v>
      </c>
      <c r="C8603" s="2" t="s">
        <v>17</v>
      </c>
      <c r="D8603" s="2" t="s">
        <v>27</v>
      </c>
      <c r="E8603" s="4">
        <v>-31908</v>
      </c>
      <c r="F8603" s="3" t="s">
        <v>835</v>
      </c>
      <c r="G8603" s="3" t="s">
        <v>836</v>
      </c>
      <c r="H8603" s="2" t="s">
        <v>30</v>
      </c>
      <c r="I8603" s="2" t="s">
        <v>21461</v>
      </c>
      <c r="J8603" s="3" t="str">
        <f>HYPERLINK("https://www.boe.es/gazeta/dias/1812/08/20/pdfs/GRE-1812-107.pdf#page=4","Abrir facsímil")</f>
        <v>Abrir facsímil</v>
      </c>
      <c r="K8603" s="3" t="s">
        <v>32</v>
      </c>
    </row>
    <row r="8604" spans="1:11" ht="42" customHeight="1">
      <c r="A8604" s="2" t="s">
        <v>21462</v>
      </c>
      <c r="B8604" s="2" t="s">
        <v>21463</v>
      </c>
      <c r="C8604" s="2" t="s">
        <v>17</v>
      </c>
      <c r="D8604" s="2" t="s">
        <v>18</v>
      </c>
      <c r="E8604" s="4">
        <v>-31992</v>
      </c>
      <c r="F8604" s="3" t="s">
        <v>1292</v>
      </c>
      <c r="G8604" s="3" t="s">
        <v>1424</v>
      </c>
      <c r="H8604" s="2" t="s">
        <v>30</v>
      </c>
      <c r="I8604" s="2" t="s">
        <v>21464</v>
      </c>
      <c r="J8604" s="3" t="str">
        <f>HYPERLINK("https://www.boe.es/gazeta/dias/1812/05/28/pdfs/GRE-1812-66.pdf#page=5","Abrir facsímil")</f>
        <v>Abrir facsímil</v>
      </c>
      <c r="K8604" s="3" t="s">
        <v>32</v>
      </c>
    </row>
    <row r="8605" spans="1:11" ht="42" customHeight="1">
      <c r="A8605" s="2" t="s">
        <v>21465</v>
      </c>
      <c r="B8605" s="2" t="s">
        <v>21466</v>
      </c>
      <c r="C8605" s="2" t="s">
        <v>26</v>
      </c>
      <c r="D8605" s="2" t="s">
        <v>27</v>
      </c>
      <c r="E8605" s="4">
        <v>-31966</v>
      </c>
      <c r="F8605" s="3" t="s">
        <v>387</v>
      </c>
      <c r="G8605" s="3" t="s">
        <v>388</v>
      </c>
      <c r="H8605" s="2" t="s">
        <v>30</v>
      </c>
      <c r="I8605" s="2" t="s">
        <v>21467</v>
      </c>
      <c r="J8605" s="3" t="str">
        <f>HYPERLINK("https://www.boe.es/gazeta/dias/1812/06/23/pdfs/GMD-1812-175.pdf#page=2","Abrir facsímil")</f>
        <v>Abrir facsímil</v>
      </c>
      <c r="K8605" s="3" t="s">
        <v>32</v>
      </c>
    </row>
    <row r="8606" spans="1:11" ht="42" customHeight="1">
      <c r="A8606" s="2" t="s">
        <v>21468</v>
      </c>
      <c r="B8606" s="2" t="s">
        <v>21469</v>
      </c>
      <c r="C8606" s="2" t="s">
        <v>26</v>
      </c>
      <c r="D8606" s="2" t="s">
        <v>27</v>
      </c>
      <c r="E8606" s="4">
        <v>-31850</v>
      </c>
      <c r="F8606" s="3" t="s">
        <v>719</v>
      </c>
      <c r="G8606" s="3" t="s">
        <v>237</v>
      </c>
      <c r="H8606" s="2" t="s">
        <v>30</v>
      </c>
      <c r="I8606" s="2" t="s">
        <v>21470</v>
      </c>
      <c r="J8606" s="3" t="str">
        <f>HYPERLINK("https://www.boe.es/gazeta/dias/1812/10/17/pdfs/GMR-1812-28.pdf#page=8","Abrir facsímil")</f>
        <v>Abrir facsímil</v>
      </c>
      <c r="K8606" s="3" t="s">
        <v>32</v>
      </c>
    </row>
    <row r="8607" spans="1:11" ht="42" customHeight="1">
      <c r="A8607" s="2" t="s">
        <v>21468</v>
      </c>
      <c r="B8607" s="2" t="s">
        <v>21469</v>
      </c>
      <c r="C8607" s="2" t="s">
        <v>26</v>
      </c>
      <c r="D8607" s="2" t="s">
        <v>27</v>
      </c>
      <c r="E8607" s="4">
        <v>-31843</v>
      </c>
      <c r="F8607" s="3" t="s">
        <v>6436</v>
      </c>
      <c r="G8607" s="3" t="s">
        <v>7883</v>
      </c>
      <c r="H8607" s="2" t="s">
        <v>30</v>
      </c>
      <c r="I8607" s="2" t="s">
        <v>21471</v>
      </c>
      <c r="J8607" s="3" t="str">
        <f>HYPERLINK("https://www.boe.es/gazeta/dias/1812/10/24/pdfs/GRE-1812-143.pdf#page=3","Abrir facsímil")</f>
        <v>Abrir facsímil</v>
      </c>
      <c r="K8607" s="3" t="s">
        <v>32</v>
      </c>
    </row>
    <row r="8608" spans="1:11" ht="42" customHeight="1">
      <c r="A8608" s="2" t="s">
        <v>21472</v>
      </c>
      <c r="B8608" s="2" t="s">
        <v>21473</v>
      </c>
      <c r="C8608" s="2" t="s">
        <v>17</v>
      </c>
      <c r="D8608" s="2" t="s">
        <v>134</v>
      </c>
      <c r="E8608" s="4">
        <v>-31896</v>
      </c>
      <c r="F8608" s="3" t="s">
        <v>2506</v>
      </c>
      <c r="G8608" s="3" t="s">
        <v>196</v>
      </c>
      <c r="H8608" s="2" t="s">
        <v>30</v>
      </c>
      <c r="I8608" s="2" t="s">
        <v>21474</v>
      </c>
      <c r="J8608" s="3" t="str">
        <f>HYPERLINK("https://www.boe.es/gazeta/dias/1812/09/01/pdfs/GRE-F-1812-117.pdf#page=1","Abrir facsímil")</f>
        <v>Abrir facsímil</v>
      </c>
      <c r="K8608" s="3" t="s">
        <v>32</v>
      </c>
    </row>
    <row r="8609" spans="1:11" ht="42" customHeight="1">
      <c r="A8609" s="2" t="s">
        <v>21475</v>
      </c>
      <c r="B8609" s="2" t="s">
        <v>21476</v>
      </c>
      <c r="C8609" s="2" t="s">
        <v>17</v>
      </c>
      <c r="D8609" s="2" t="s">
        <v>18</v>
      </c>
      <c r="E8609" s="4">
        <v>-31951</v>
      </c>
      <c r="F8609" s="3" t="s">
        <v>1603</v>
      </c>
      <c r="G8609" s="3" t="s">
        <v>214</v>
      </c>
      <c r="H8609" s="2" t="s">
        <v>30</v>
      </c>
      <c r="I8609" s="2" t="s">
        <v>21477</v>
      </c>
      <c r="J8609" s="3" t="str">
        <f>HYPERLINK("https://www.boe.es/gazeta/dias/1812/07/08/pdfs/GMD-1812-190.pdf#page=4","Abrir facsímil")</f>
        <v>Abrir facsímil</v>
      </c>
      <c r="K8609" s="3" t="s">
        <v>32</v>
      </c>
    </row>
    <row r="8610" spans="1:11" ht="42" customHeight="1">
      <c r="A8610" s="2" t="s">
        <v>21478</v>
      </c>
      <c r="B8610" s="2" t="s">
        <v>21479</v>
      </c>
      <c r="C8610" s="2" t="s">
        <v>26</v>
      </c>
      <c r="D8610" s="2" t="s">
        <v>27</v>
      </c>
      <c r="E8610" s="4">
        <v>-31994</v>
      </c>
      <c r="F8610" s="3" t="s">
        <v>207</v>
      </c>
      <c r="G8610" s="3" t="s">
        <v>1176</v>
      </c>
      <c r="H8610" s="2" t="s">
        <v>30</v>
      </c>
      <c r="I8610" s="2" t="s">
        <v>21480</v>
      </c>
      <c r="J8610" s="3" t="str">
        <f>HYPERLINK("https://www.boe.es/gazeta/dias/1812/05/26/pdfs/GRE-1812-65.pdf#page=8","Abrir facsímil")</f>
        <v>Abrir facsímil</v>
      </c>
      <c r="K8610" s="3" t="s">
        <v>32</v>
      </c>
    </row>
    <row r="8611" spans="1:11" ht="42" customHeight="1">
      <c r="A8611" s="2" t="s">
        <v>21481</v>
      </c>
      <c r="B8611" s="2" t="s">
        <v>21482</v>
      </c>
      <c r="C8611" s="2" t="s">
        <v>17</v>
      </c>
      <c r="D8611" s="2" t="s">
        <v>27</v>
      </c>
      <c r="E8611" s="4">
        <v>-31980</v>
      </c>
      <c r="F8611" s="3" t="s">
        <v>40</v>
      </c>
      <c r="G8611" s="3" t="s">
        <v>41</v>
      </c>
      <c r="H8611" s="2" t="s">
        <v>30</v>
      </c>
      <c r="I8611" s="2" t="s">
        <v>21483</v>
      </c>
      <c r="J8611" s="3" t="str">
        <f>HYPERLINK("https://www.boe.es/gazeta/dias/1812/06/09/pdfs/GRE-1812-71.pdf#page=6","Abrir facsímil")</f>
        <v>Abrir facsímil</v>
      </c>
      <c r="K8611" s="3" t="s">
        <v>32</v>
      </c>
    </row>
    <row r="8612" spans="1:11" ht="42" customHeight="1">
      <c r="A8612" s="2" t="s">
        <v>21484</v>
      </c>
      <c r="B8612" s="2" t="s">
        <v>21485</v>
      </c>
      <c r="C8612" s="2" t="s">
        <v>26</v>
      </c>
      <c r="D8612" s="2" t="s">
        <v>27</v>
      </c>
      <c r="E8612" s="4">
        <v>-32046</v>
      </c>
      <c r="F8612" s="3" t="s">
        <v>1013</v>
      </c>
      <c r="G8612" s="3" t="s">
        <v>1014</v>
      </c>
      <c r="H8612" s="2" t="s">
        <v>30</v>
      </c>
      <c r="I8612" s="2" t="s">
        <v>21486</v>
      </c>
      <c r="J8612" s="3" t="str">
        <f>HYPERLINK("https://www.boe.es/gazeta/dias/1812/04/04/pdfs/GRE-1812-42.pdf#page=4","Abrir facsímil")</f>
        <v>Abrir facsímil</v>
      </c>
      <c r="K8612" s="3" t="s">
        <v>32</v>
      </c>
    </row>
    <row r="8613" spans="1:11" ht="42" customHeight="1">
      <c r="A8613" s="2" t="s">
        <v>21487</v>
      </c>
      <c r="B8613" s="2" t="s">
        <v>21488</v>
      </c>
      <c r="C8613" s="2" t="s">
        <v>105</v>
      </c>
      <c r="D8613" s="2" t="s">
        <v>27</v>
      </c>
      <c r="E8613" s="4">
        <v>-31819</v>
      </c>
      <c r="F8613" s="3" t="s">
        <v>1770</v>
      </c>
      <c r="G8613" s="3" t="s">
        <v>45</v>
      </c>
      <c r="H8613" s="2" t="s">
        <v>30</v>
      </c>
      <c r="I8613" s="2" t="s">
        <v>21489</v>
      </c>
      <c r="J8613" s="3" t="str">
        <f>HYPERLINK("https://www.boe.es/gazeta/dias/1812/11/17/pdfs/GRE-1812-153.pdf#page=3","Abrir facsímil")</f>
        <v>Abrir facsímil</v>
      </c>
      <c r="K8613" s="3" t="s">
        <v>32</v>
      </c>
    </row>
    <row r="8614" spans="1:11" ht="42" customHeight="1">
      <c r="A8614" s="2" t="s">
        <v>21490</v>
      </c>
      <c r="B8614" s="2" t="s">
        <v>21491</v>
      </c>
      <c r="C8614" s="2" t="s">
        <v>26</v>
      </c>
      <c r="D8614" s="2" t="s">
        <v>27</v>
      </c>
      <c r="E8614" s="4">
        <v>-31945</v>
      </c>
      <c r="F8614" s="3" t="s">
        <v>1485</v>
      </c>
      <c r="G8614" s="3" t="s">
        <v>4494</v>
      </c>
      <c r="H8614" s="2" t="s">
        <v>30</v>
      </c>
      <c r="I8614" s="2" t="s">
        <v>21492</v>
      </c>
      <c r="J8614" s="3" t="str">
        <f>HYPERLINK("https://www.boe.es/gazeta/dias/1812/07/14/pdfs/GRE-1812-88.pdf#page=8","Abrir facsímil")</f>
        <v>Abrir facsímil</v>
      </c>
      <c r="K8614" s="3" t="s">
        <v>32</v>
      </c>
    </row>
    <row r="8615" spans="1:11" ht="42" customHeight="1">
      <c r="A8615" s="2" t="s">
        <v>21493</v>
      </c>
      <c r="B8615" s="2" t="s">
        <v>21494</v>
      </c>
      <c r="C8615" s="2" t="s">
        <v>26</v>
      </c>
      <c r="D8615" s="2" t="s">
        <v>194</v>
      </c>
      <c r="E8615" s="4">
        <v>-32116</v>
      </c>
      <c r="F8615" s="3" t="s">
        <v>382</v>
      </c>
      <c r="G8615" s="3" t="s">
        <v>136</v>
      </c>
      <c r="H8615" s="2" t="s">
        <v>30</v>
      </c>
      <c r="I8615" s="2" t="s">
        <v>21495</v>
      </c>
      <c r="J8615" s="3" t="str">
        <f>HYPERLINK("https://www.boe.es/gazeta/dias/1812/01/25/pdfs/GMD-1812-25.pdf#page=4","Abrir facsímil")</f>
        <v>Abrir facsímil</v>
      </c>
      <c r="K8615" s="3" t="s">
        <v>32</v>
      </c>
    </row>
    <row r="8616" spans="1:11" ht="42" customHeight="1">
      <c r="A8616" s="2" t="s">
        <v>21496</v>
      </c>
      <c r="B8616" s="2" t="s">
        <v>21497</v>
      </c>
      <c r="C8616" s="2" t="s">
        <v>26</v>
      </c>
      <c r="D8616" s="2" t="s">
        <v>27</v>
      </c>
      <c r="E8616" s="4">
        <v>-31775</v>
      </c>
      <c r="F8616" s="3" t="s">
        <v>660</v>
      </c>
      <c r="G8616" s="3" t="s">
        <v>2138</v>
      </c>
      <c r="H8616" s="2" t="s">
        <v>30</v>
      </c>
      <c r="I8616" s="2" t="s">
        <v>21498</v>
      </c>
      <c r="J8616" s="3" t="str">
        <f>HYPERLINK("https://www.boe.es/gazeta/dias/1812/12/31/pdfs/GRE-1812-172.pdf#page=8","Abrir facsímil")</f>
        <v>Abrir facsímil</v>
      </c>
      <c r="K8616" s="3" t="s">
        <v>32</v>
      </c>
    </row>
    <row r="8617" spans="1:11" ht="42" customHeight="1">
      <c r="A8617" s="2" t="s">
        <v>21499</v>
      </c>
      <c r="B8617" s="2" t="s">
        <v>21500</v>
      </c>
      <c r="C8617" s="2" t="s">
        <v>26</v>
      </c>
      <c r="D8617" s="2" t="s">
        <v>275</v>
      </c>
      <c r="E8617" s="4">
        <v>-32067</v>
      </c>
      <c r="F8617" s="3" t="s">
        <v>199</v>
      </c>
      <c r="G8617" s="3" t="s">
        <v>21501</v>
      </c>
      <c r="H8617" s="2" t="s">
        <v>30</v>
      </c>
      <c r="I8617" s="2" t="s">
        <v>21502</v>
      </c>
      <c r="J8617" s="3" t="str">
        <f>HYPERLINK("https://www.boe.es/gazeta/dias/1812/03/14/pdfs/GRE-1812-33.pdf#page=5","Abrir facsímil")</f>
        <v>Abrir facsímil</v>
      </c>
      <c r="K8617" s="3" t="s">
        <v>32</v>
      </c>
    </row>
    <row r="8618" spans="1:11" ht="42" customHeight="1">
      <c r="A8618" s="2" t="s">
        <v>21503</v>
      </c>
      <c r="B8618" s="2" t="s">
        <v>21504</v>
      </c>
      <c r="C8618" s="2" t="s">
        <v>26</v>
      </c>
      <c r="D8618" s="2" t="s">
        <v>27</v>
      </c>
      <c r="E8618" s="4">
        <v>-31850</v>
      </c>
      <c r="F8618" s="3" t="s">
        <v>719</v>
      </c>
      <c r="G8618" s="3" t="s">
        <v>237</v>
      </c>
      <c r="H8618" s="2" t="s">
        <v>30</v>
      </c>
      <c r="I8618" s="2" t="s">
        <v>21505</v>
      </c>
      <c r="J8618" s="3" t="str">
        <f>HYPERLINK("https://www.boe.es/gazeta/dias/1812/10/17/pdfs/GMR-1812-28.pdf#page=8","Abrir facsímil")</f>
        <v>Abrir facsímil</v>
      </c>
      <c r="K8618" s="3" t="s">
        <v>32</v>
      </c>
    </row>
    <row r="8619" spans="1:11" ht="42" customHeight="1">
      <c r="A8619" s="2" t="s">
        <v>21503</v>
      </c>
      <c r="B8619" s="2" t="s">
        <v>21504</v>
      </c>
      <c r="C8619" s="2" t="s">
        <v>26</v>
      </c>
      <c r="D8619" s="2" t="s">
        <v>27</v>
      </c>
      <c r="E8619" s="4">
        <v>-31843</v>
      </c>
      <c r="F8619" s="3" t="s">
        <v>6436</v>
      </c>
      <c r="G8619" s="3" t="s">
        <v>7883</v>
      </c>
      <c r="H8619" s="2" t="s">
        <v>30</v>
      </c>
      <c r="I8619" s="2" t="s">
        <v>21506</v>
      </c>
      <c r="J8619" s="3" t="str">
        <f>HYPERLINK("https://www.boe.es/gazeta/dias/1812/10/24/pdfs/GRE-1812-143.pdf#page=3","Abrir facsímil")</f>
        <v>Abrir facsímil</v>
      </c>
      <c r="K8619" s="3" t="s">
        <v>32</v>
      </c>
    </row>
    <row r="8620" spans="1:11" ht="42" customHeight="1">
      <c r="A8620" s="2" t="s">
        <v>21507</v>
      </c>
      <c r="B8620" s="2" t="s">
        <v>21508</v>
      </c>
      <c r="C8620" s="2" t="s">
        <v>26</v>
      </c>
      <c r="D8620" s="2" t="s">
        <v>27</v>
      </c>
      <c r="E8620" s="4">
        <v>-31980</v>
      </c>
      <c r="F8620" s="3" t="s">
        <v>40</v>
      </c>
      <c r="G8620" s="3" t="s">
        <v>41</v>
      </c>
      <c r="H8620" s="2" t="s">
        <v>30</v>
      </c>
      <c r="I8620" s="2" t="s">
        <v>21509</v>
      </c>
      <c r="J8620" s="3" t="str">
        <f>HYPERLINK("https://www.boe.es/gazeta/dias/1812/06/09/pdfs/GRE-1812-71.pdf#page=6","Abrir facsímil")</f>
        <v>Abrir facsímil</v>
      </c>
      <c r="K8620" s="3" t="s">
        <v>32</v>
      </c>
    </row>
    <row r="8621" spans="1:11" ht="42" customHeight="1">
      <c r="A8621" s="2" t="s">
        <v>21510</v>
      </c>
      <c r="B8621" s="2" t="s">
        <v>21511</v>
      </c>
      <c r="C8621" s="2" t="s">
        <v>17</v>
      </c>
      <c r="D8621" s="2" t="s">
        <v>18</v>
      </c>
      <c r="E8621" s="4">
        <v>-31852</v>
      </c>
      <c r="F8621" s="3" t="s">
        <v>4370</v>
      </c>
      <c r="G8621" s="3" t="s">
        <v>1497</v>
      </c>
      <c r="H8621" s="2" t="s">
        <v>30</v>
      </c>
      <c r="I8621" s="2" t="s">
        <v>21512</v>
      </c>
      <c r="J8621" s="3" t="str">
        <f>HYPERLINK("https://www.boe.es/gazeta/dias/1812/10/15/pdfs/GMR-1812-27.pdf#page=5","Abrir facsímil")</f>
        <v>Abrir facsímil</v>
      </c>
      <c r="K8621" s="3" t="s">
        <v>32</v>
      </c>
    </row>
    <row r="8622" spans="1:11" ht="42" customHeight="1">
      <c r="A8622" s="2" t="s">
        <v>21513</v>
      </c>
      <c r="B8622" s="2" t="s">
        <v>21514</v>
      </c>
      <c r="C8622" s="2" t="s">
        <v>17</v>
      </c>
      <c r="D8622" s="2" t="s">
        <v>27</v>
      </c>
      <c r="E8622" s="4">
        <v>-32013</v>
      </c>
      <c r="F8622" s="3" t="s">
        <v>849</v>
      </c>
      <c r="G8622" s="3" t="s">
        <v>1154</v>
      </c>
      <c r="H8622" s="2" t="s">
        <v>30</v>
      </c>
      <c r="I8622" s="2" t="s">
        <v>21515</v>
      </c>
      <c r="J8622" s="3" t="str">
        <f>HYPERLINK("https://www.boe.es/gazeta/dias/1812/05/07/pdfs/GRE-1812-57.pdf#page=6","Abrir facsímil")</f>
        <v>Abrir facsímil</v>
      </c>
      <c r="K8622" s="3" t="s">
        <v>32</v>
      </c>
    </row>
    <row r="8623" spans="1:11" ht="42" customHeight="1">
      <c r="A8623" s="2" t="s">
        <v>21516</v>
      </c>
      <c r="B8623" s="2" t="s">
        <v>21517</v>
      </c>
      <c r="C8623" s="2" t="s">
        <v>49</v>
      </c>
      <c r="D8623" s="2" t="s">
        <v>27</v>
      </c>
      <c r="E8623" s="4">
        <v>-31824</v>
      </c>
      <c r="F8623" s="3" t="s">
        <v>3123</v>
      </c>
      <c r="G8623" s="3" t="s">
        <v>857</v>
      </c>
      <c r="H8623" s="2" t="s">
        <v>30</v>
      </c>
      <c r="I8623" s="2" t="s">
        <v>21518</v>
      </c>
      <c r="J8623" s="3" t="str">
        <f>HYPERLINK("https://www.boe.es/gazeta/dias/1812/11/12/pdfs/GRE-1812-151.pdf#page=8","Abrir facsímil")</f>
        <v>Abrir facsímil</v>
      </c>
      <c r="K8623" s="3" t="s">
        <v>32</v>
      </c>
    </row>
    <row r="8624" spans="1:11" ht="42" customHeight="1">
      <c r="A8624" s="2" t="s">
        <v>21519</v>
      </c>
      <c r="B8624" s="2" t="s">
        <v>21520</v>
      </c>
      <c r="C8624" s="2" t="s">
        <v>17</v>
      </c>
      <c r="D8624" s="2" t="s">
        <v>27</v>
      </c>
      <c r="E8624" s="4">
        <v>-31864</v>
      </c>
      <c r="F8624" s="3" t="s">
        <v>4258</v>
      </c>
      <c r="G8624" s="3" t="s">
        <v>4321</v>
      </c>
      <c r="H8624" s="2" t="s">
        <v>30</v>
      </c>
      <c r="I8624" s="2" t="s">
        <v>21521</v>
      </c>
      <c r="J8624" s="3" t="str">
        <f>HYPERLINK("https://www.boe.es/gazeta/dias/1812/10/03/pdfs/GMR-1812-22.pdf#page=5","Abrir facsímil")</f>
        <v>Abrir facsímil</v>
      </c>
      <c r="K8624" s="3" t="s">
        <v>32</v>
      </c>
    </row>
    <row r="8625" spans="1:11" ht="42" customHeight="1">
      <c r="A8625" s="2" t="s">
        <v>21522</v>
      </c>
      <c r="B8625" s="2" t="s">
        <v>21523</v>
      </c>
      <c r="C8625" s="2" t="s">
        <v>105</v>
      </c>
      <c r="D8625" s="2" t="s">
        <v>27</v>
      </c>
      <c r="E8625" s="4">
        <v>-31829</v>
      </c>
      <c r="F8625" s="3" t="s">
        <v>328</v>
      </c>
      <c r="G8625" s="3" t="s">
        <v>20</v>
      </c>
      <c r="H8625" s="2" t="s">
        <v>30</v>
      </c>
      <c r="I8625" s="2" t="s">
        <v>21524</v>
      </c>
      <c r="J8625" s="3" t="str">
        <f>HYPERLINK("https://www.boe.es/gazeta/dias/1812/11/07/pdfs/GMD-1812-227.pdf#page=4","Abrir facsímil")</f>
        <v>Abrir facsímil</v>
      </c>
      <c r="K8625" s="3" t="s">
        <v>32</v>
      </c>
    </row>
    <row r="8626" spans="1:11" ht="42" customHeight="1">
      <c r="A8626" s="2" t="s">
        <v>21525</v>
      </c>
      <c r="B8626" s="2" t="s">
        <v>21526</v>
      </c>
      <c r="C8626" s="2" t="s">
        <v>17</v>
      </c>
      <c r="D8626" s="2" t="s">
        <v>275</v>
      </c>
      <c r="E8626" s="4">
        <v>-31951</v>
      </c>
      <c r="F8626" s="3" t="s">
        <v>1603</v>
      </c>
      <c r="G8626" s="3" t="s">
        <v>214</v>
      </c>
      <c r="H8626" s="2" t="s">
        <v>30</v>
      </c>
      <c r="I8626" s="2" t="s">
        <v>21527</v>
      </c>
      <c r="J8626" s="3" t="str">
        <f>HYPERLINK("https://www.boe.es/gazeta/dias/1812/07/08/pdfs/GMD-1812-190.pdf#page=4","Abrir facsímil")</f>
        <v>Abrir facsímil</v>
      </c>
      <c r="K8626" s="3" t="s">
        <v>32</v>
      </c>
    </row>
    <row r="8627" spans="1:11" ht="42" customHeight="1">
      <c r="A8627" s="2" t="s">
        <v>21528</v>
      </c>
      <c r="B8627" s="2" t="s">
        <v>21529</v>
      </c>
      <c r="C8627" s="2" t="s">
        <v>26</v>
      </c>
      <c r="D8627" s="2" t="s">
        <v>27</v>
      </c>
      <c r="E8627" s="4">
        <v>-31885</v>
      </c>
      <c r="F8627" s="3" t="s">
        <v>750</v>
      </c>
      <c r="G8627" s="3" t="s">
        <v>5613</v>
      </c>
      <c r="H8627" s="2" t="s">
        <v>30</v>
      </c>
      <c r="I8627" s="2" t="s">
        <v>21530</v>
      </c>
      <c r="J8627" s="3" t="str">
        <f>HYPERLINK("https://www.boe.es/gazeta/dias/1812/09/12/pdfs/GMR-1812-13.pdf#page=6","Abrir facsímil")</f>
        <v>Abrir facsímil</v>
      </c>
      <c r="K8627" s="3" t="s">
        <v>32</v>
      </c>
    </row>
    <row r="8628" spans="1:11" ht="42" customHeight="1">
      <c r="A8628" s="2" t="s">
        <v>21531</v>
      </c>
      <c r="B8628" s="2" t="s">
        <v>21532</v>
      </c>
      <c r="C8628" s="2" t="s">
        <v>17</v>
      </c>
      <c r="D8628" s="2" t="s">
        <v>27</v>
      </c>
      <c r="E8628" s="4">
        <v>-32118</v>
      </c>
      <c r="F8628" s="3" t="s">
        <v>964</v>
      </c>
      <c r="G8628" s="3" t="s">
        <v>5298</v>
      </c>
      <c r="H8628" s="2" t="s">
        <v>30</v>
      </c>
      <c r="I8628" s="2" t="s">
        <v>21533</v>
      </c>
      <c r="J8628" s="3" t="str">
        <f>HYPERLINK("https://www.boe.es/gazeta/dias/1812/01/23/pdfs/GEI-H-1812-10.pdf#page=3","Abrir facsímil")</f>
        <v>Abrir facsímil</v>
      </c>
      <c r="K8628" s="3" t="s">
        <v>32</v>
      </c>
    </row>
    <row r="8629" spans="1:11" ht="42" customHeight="1">
      <c r="A8629" s="2" t="s">
        <v>21534</v>
      </c>
      <c r="B8629" s="2" t="s">
        <v>21535</v>
      </c>
      <c r="C8629" s="2" t="s">
        <v>17</v>
      </c>
      <c r="D8629" s="2" t="s">
        <v>27</v>
      </c>
      <c r="E8629" s="4">
        <v>-31922</v>
      </c>
      <c r="F8629" s="3" t="s">
        <v>375</v>
      </c>
      <c r="G8629" s="3" t="s">
        <v>5327</v>
      </c>
      <c r="H8629" s="2" t="s">
        <v>30</v>
      </c>
      <c r="I8629" s="2" t="s">
        <v>21536</v>
      </c>
      <c r="J8629" s="3" t="str">
        <f>HYPERLINK("https://www.boe.es/gazeta/dias/1812/08/06/pdfs/GRE-1812-100.pdf#page=3","Abrir facsímil")</f>
        <v>Abrir facsímil</v>
      </c>
      <c r="K8629" s="3" t="s">
        <v>32</v>
      </c>
    </row>
    <row r="8630" spans="1:11" ht="42" customHeight="1">
      <c r="A8630" s="2" t="s">
        <v>21537</v>
      </c>
      <c r="B8630" s="2" t="s">
        <v>21538</v>
      </c>
      <c r="C8630" s="2" t="s">
        <v>17</v>
      </c>
      <c r="D8630" s="2" t="s">
        <v>18</v>
      </c>
      <c r="E8630" s="4">
        <v>-31982</v>
      </c>
      <c r="F8630" s="3" t="s">
        <v>1630</v>
      </c>
      <c r="G8630" s="3" t="s">
        <v>1631</v>
      </c>
      <c r="H8630" s="2" t="s">
        <v>30</v>
      </c>
      <c r="I8630" s="2" t="s">
        <v>21539</v>
      </c>
      <c r="J8630" s="3" t="str">
        <f>HYPERLINK("https://www.boe.es/gazeta/dias/1812/06/07/pdfs/GMD-1812-159.pdf#page=4","Abrir facsímil")</f>
        <v>Abrir facsímil</v>
      </c>
      <c r="K8630" s="3" t="s">
        <v>32</v>
      </c>
    </row>
    <row r="8631" spans="1:11" ht="42" customHeight="1">
      <c r="A8631" s="2" t="s">
        <v>21540</v>
      </c>
      <c r="B8631" s="2" t="s">
        <v>21541</v>
      </c>
      <c r="C8631" s="2" t="s">
        <v>26</v>
      </c>
      <c r="D8631" s="2" t="s">
        <v>27</v>
      </c>
      <c r="E8631" s="4">
        <v>-32013</v>
      </c>
      <c r="F8631" s="3" t="s">
        <v>849</v>
      </c>
      <c r="G8631" s="3" t="s">
        <v>6831</v>
      </c>
      <c r="H8631" s="2" t="s">
        <v>30</v>
      </c>
      <c r="I8631" s="2" t="s">
        <v>21542</v>
      </c>
      <c r="J8631" s="3" t="str">
        <f>HYPERLINK("https://www.boe.es/gazeta/dias/1812/05/07/pdfs/GRE-1812-57.pdf#page=3","Abrir facsímil")</f>
        <v>Abrir facsímil</v>
      </c>
      <c r="K8631" s="3" t="s">
        <v>32</v>
      </c>
    </row>
    <row r="8632" spans="1:11" ht="42" customHeight="1">
      <c r="A8632" s="2" t="s">
        <v>21543</v>
      </c>
      <c r="B8632" s="2" t="s">
        <v>21544</v>
      </c>
      <c r="C8632" s="2" t="s">
        <v>17</v>
      </c>
      <c r="D8632" s="2" t="s">
        <v>27</v>
      </c>
      <c r="E8632" s="4">
        <v>-31840</v>
      </c>
      <c r="F8632" s="3" t="s">
        <v>7112</v>
      </c>
      <c r="G8632" s="3" t="s">
        <v>21545</v>
      </c>
      <c r="H8632" s="2" t="s">
        <v>30</v>
      </c>
      <c r="I8632" s="2" t="s">
        <v>21546</v>
      </c>
      <c r="J8632" s="3" t="str">
        <f>HYPERLINK("https://www.boe.es/gazeta/dias/1812/10/27/pdfs/GRE-1812-144.pdf#page=6","Abrir facsímil")</f>
        <v>Abrir facsímil</v>
      </c>
      <c r="K8632" s="3" t="s">
        <v>32</v>
      </c>
    </row>
    <row r="8633" spans="1:11" ht="42" customHeight="1">
      <c r="A8633" s="2" t="s">
        <v>21547</v>
      </c>
      <c r="B8633" s="2" t="s">
        <v>21548</v>
      </c>
      <c r="C8633" s="2" t="s">
        <v>17</v>
      </c>
      <c r="D8633" s="2" t="s">
        <v>27</v>
      </c>
      <c r="E8633" s="4">
        <v>-32130</v>
      </c>
      <c r="F8633" s="3" t="s">
        <v>2538</v>
      </c>
      <c r="G8633" s="3" t="s">
        <v>3583</v>
      </c>
      <c r="H8633" s="2" t="s">
        <v>30</v>
      </c>
      <c r="I8633" s="2" t="s">
        <v>21549</v>
      </c>
      <c r="J8633" s="3" t="str">
        <f>HYPERLINK("https://www.boe.es/gazeta/dias/1812/01/11/pdfs/GEI-1812-5.pdf#page=2","Abrir facsímil")</f>
        <v>Abrir facsímil</v>
      </c>
      <c r="K8633" s="3" t="s">
        <v>32</v>
      </c>
    </row>
    <row r="8634" spans="1:11" ht="42" customHeight="1">
      <c r="A8634" s="2" t="s">
        <v>21550</v>
      </c>
      <c r="B8634" s="2" t="s">
        <v>21551</v>
      </c>
      <c r="C8634" s="2" t="s">
        <v>67</v>
      </c>
      <c r="D8634" s="2" t="s">
        <v>27</v>
      </c>
      <c r="E8634" s="4">
        <v>-32003</v>
      </c>
      <c r="F8634" s="3" t="s">
        <v>585</v>
      </c>
      <c r="G8634" s="3" t="s">
        <v>404</v>
      </c>
      <c r="H8634" s="2" t="s">
        <v>30</v>
      </c>
      <c r="I8634" s="2" t="s">
        <v>21552</v>
      </c>
      <c r="J8634" s="3" t="str">
        <f>HYPERLINK("https://www.boe.es/gazeta/dias/1812/05/17/pdfs/GMD-1812-138.pdf#page=2","Abrir facsímil")</f>
        <v>Abrir facsímil</v>
      </c>
      <c r="K8634" s="3" t="s">
        <v>32</v>
      </c>
    </row>
    <row r="8635" spans="1:11" ht="42" customHeight="1">
      <c r="A8635" s="2" t="s">
        <v>21553</v>
      </c>
      <c r="B8635" s="2" t="s">
        <v>21554</v>
      </c>
      <c r="C8635" s="2" t="s">
        <v>26</v>
      </c>
      <c r="D8635" s="2" t="s">
        <v>194</v>
      </c>
      <c r="E8635" s="4">
        <v>-31981</v>
      </c>
      <c r="F8635" s="3" t="s">
        <v>5059</v>
      </c>
      <c r="G8635" s="3" t="s">
        <v>45</v>
      </c>
      <c r="H8635" s="2" t="s">
        <v>30</v>
      </c>
      <c r="I8635" s="2" t="s">
        <v>21555</v>
      </c>
      <c r="J8635" s="3" t="str">
        <f>HYPERLINK("https://www.boe.es/gazeta/dias/1812/06/08/pdfs/GMD-1812-160.pdf#page=3","Abrir facsímil")</f>
        <v>Abrir facsímil</v>
      </c>
      <c r="K8635" s="3" t="s">
        <v>32</v>
      </c>
    </row>
    <row r="8636" spans="1:11" ht="42" customHeight="1">
      <c r="A8636" s="2" t="s">
        <v>21556</v>
      </c>
      <c r="B8636" s="2" t="s">
        <v>21557</v>
      </c>
      <c r="C8636" s="2" t="s">
        <v>26</v>
      </c>
      <c r="D8636" s="2" t="s">
        <v>27</v>
      </c>
      <c r="E8636" s="4">
        <v>-31938</v>
      </c>
      <c r="F8636" s="3" t="s">
        <v>324</v>
      </c>
      <c r="G8636" s="3" t="s">
        <v>497</v>
      </c>
      <c r="H8636" s="2" t="s">
        <v>30</v>
      </c>
      <c r="I8636" s="2" t="s">
        <v>21558</v>
      </c>
      <c r="J8636" s="3" t="str">
        <f>HYPERLINK("https://www.boe.es/gazeta/dias/1812/07/21/pdfs/GMD-1812-203.pdf#page=3","Abrir facsímil")</f>
        <v>Abrir facsímil</v>
      </c>
      <c r="K8636" s="3" t="s">
        <v>32</v>
      </c>
    </row>
    <row r="8637" spans="1:11" ht="42" customHeight="1">
      <c r="A8637" s="2" t="s">
        <v>21559</v>
      </c>
      <c r="B8637" s="2" t="s">
        <v>21560</v>
      </c>
      <c r="C8637" s="2" t="s">
        <v>26</v>
      </c>
      <c r="D8637" s="2" t="s">
        <v>27</v>
      </c>
      <c r="E8637" s="4">
        <v>-32010</v>
      </c>
      <c r="F8637" s="3" t="s">
        <v>243</v>
      </c>
      <c r="G8637" s="3" t="s">
        <v>45</v>
      </c>
      <c r="H8637" s="2" t="s">
        <v>30</v>
      </c>
      <c r="I8637" s="2" t="s">
        <v>21561</v>
      </c>
      <c r="J8637" s="3" t="str">
        <f>HYPERLINK("https://www.boe.es/gazeta/dias/1812/05/10/pdfs/GMD-1812-131.pdf#page=3","Abrir facsímil")</f>
        <v>Abrir facsímil</v>
      </c>
      <c r="K8637" s="3" t="s">
        <v>32</v>
      </c>
    </row>
    <row r="8638" spans="1:11" ht="42" customHeight="1">
      <c r="A8638" s="2" t="s">
        <v>21562</v>
      </c>
      <c r="B8638" s="2" t="s">
        <v>21563</v>
      </c>
      <c r="C8638" s="2" t="s">
        <v>26</v>
      </c>
      <c r="D8638" s="2" t="s">
        <v>27</v>
      </c>
      <c r="E8638" s="4">
        <v>-31987</v>
      </c>
      <c r="F8638" s="3" t="s">
        <v>2309</v>
      </c>
      <c r="G8638" s="3" t="s">
        <v>2310</v>
      </c>
      <c r="H8638" s="2" t="s">
        <v>30</v>
      </c>
      <c r="I8638" s="2" t="s">
        <v>21564</v>
      </c>
      <c r="J8638" s="3" t="str">
        <f>HYPERLINK("https://www.boe.es/gazeta/dias/1812/06/02/pdfs/GMD-1812-154.pdf#page=2","Abrir facsímil")</f>
        <v>Abrir facsímil</v>
      </c>
      <c r="K8638" s="3" t="s">
        <v>32</v>
      </c>
    </row>
    <row r="8639" spans="1:11" ht="42" customHeight="1">
      <c r="A8639" s="2" t="s">
        <v>21565</v>
      </c>
      <c r="B8639" s="2" t="s">
        <v>21566</v>
      </c>
      <c r="C8639" s="2" t="s">
        <v>26</v>
      </c>
      <c r="D8639" s="2" t="s">
        <v>194</v>
      </c>
      <c r="E8639" s="4">
        <v>-31979</v>
      </c>
      <c r="F8639" s="3" t="s">
        <v>11385</v>
      </c>
      <c r="G8639" s="3" t="s">
        <v>36</v>
      </c>
      <c r="H8639" s="2" t="s">
        <v>30</v>
      </c>
      <c r="I8639" s="2" t="s">
        <v>21567</v>
      </c>
      <c r="J8639" s="3" t="str">
        <f>HYPERLINK("https://www.boe.es/gazeta/dias/1812/06/10/pdfs/GMD-1812-162.pdf#page=3","Abrir facsímil")</f>
        <v>Abrir facsímil</v>
      </c>
      <c r="K8639" s="3" t="s">
        <v>32</v>
      </c>
    </row>
    <row r="8640" spans="1:11" ht="42" customHeight="1">
      <c r="A8640" s="2" t="s">
        <v>21568</v>
      </c>
      <c r="B8640" s="2" t="s">
        <v>21569</v>
      </c>
      <c r="C8640" s="2" t="s">
        <v>17</v>
      </c>
      <c r="D8640" s="2" t="s">
        <v>27</v>
      </c>
      <c r="E8640" s="4">
        <v>-32109</v>
      </c>
      <c r="F8640" s="3" t="s">
        <v>62</v>
      </c>
      <c r="G8640" s="3" t="s">
        <v>472</v>
      </c>
      <c r="H8640" s="2" t="s">
        <v>30</v>
      </c>
      <c r="I8640" s="2" t="s">
        <v>21570</v>
      </c>
      <c r="J8640" s="3" t="str">
        <f>HYPERLINK("https://www.boe.es/gazeta/dias/1812/02/01/pdfs/GRE-1812-14.pdf#page=12","Abrir facsímil")</f>
        <v>Abrir facsímil</v>
      </c>
      <c r="K8640" s="3" t="s">
        <v>32</v>
      </c>
    </row>
    <row r="8641" spans="1:11" ht="42" customHeight="1">
      <c r="A8641" s="2" t="s">
        <v>21571</v>
      </c>
      <c r="B8641" s="2" t="s">
        <v>21572</v>
      </c>
      <c r="C8641" s="2" t="s">
        <v>26</v>
      </c>
      <c r="D8641" s="2" t="s">
        <v>275</v>
      </c>
      <c r="E8641" s="4">
        <v>-31952</v>
      </c>
      <c r="F8641" s="3" t="s">
        <v>694</v>
      </c>
      <c r="G8641" s="3" t="s">
        <v>2895</v>
      </c>
      <c r="H8641" s="2" t="s">
        <v>30</v>
      </c>
      <c r="I8641" s="2" t="s">
        <v>21573</v>
      </c>
      <c r="J8641" s="3" t="str">
        <f>HYPERLINK("https://www.boe.es/gazeta/dias/1812/07/07/pdfs/GMD-1812-189.pdf#page=4","Abrir facsímil")</f>
        <v>Abrir facsímil</v>
      </c>
      <c r="K8641" s="3" t="s">
        <v>32</v>
      </c>
    </row>
    <row r="8642" spans="1:11" ht="42" customHeight="1">
      <c r="A8642" s="2" t="s">
        <v>21574</v>
      </c>
      <c r="B8642" s="2" t="s">
        <v>21575</v>
      </c>
      <c r="C8642" s="2" t="s">
        <v>17</v>
      </c>
      <c r="D8642" s="2" t="s">
        <v>27</v>
      </c>
      <c r="E8642" s="4">
        <v>-32109</v>
      </c>
      <c r="F8642" s="3" t="s">
        <v>62</v>
      </c>
      <c r="G8642" s="3" t="s">
        <v>472</v>
      </c>
      <c r="H8642" s="2" t="s">
        <v>30</v>
      </c>
      <c r="I8642" s="2" t="s">
        <v>21576</v>
      </c>
      <c r="J8642" s="3" t="str">
        <f>HYPERLINK("https://www.boe.es/gazeta/dias/1812/02/01/pdfs/GRE-1812-14.pdf#page=12","Abrir facsímil")</f>
        <v>Abrir facsímil</v>
      </c>
      <c r="K8642" s="3" t="s">
        <v>32</v>
      </c>
    </row>
    <row r="8643" spans="1:11" ht="42" customHeight="1">
      <c r="A8643" s="2" t="s">
        <v>21577</v>
      </c>
      <c r="B8643" s="2" t="s">
        <v>21578</v>
      </c>
      <c r="C8643" s="2" t="s">
        <v>17</v>
      </c>
      <c r="D8643" s="2" t="s">
        <v>18</v>
      </c>
      <c r="E8643" s="4">
        <v>-31964</v>
      </c>
      <c r="F8643" s="3" t="s">
        <v>93</v>
      </c>
      <c r="G8643" s="3" t="s">
        <v>94</v>
      </c>
      <c r="H8643" s="2" t="s">
        <v>30</v>
      </c>
      <c r="I8643" s="2" t="s">
        <v>21579</v>
      </c>
      <c r="J8643" s="3" t="str">
        <f>HYPERLINK("https://www.boe.es/gazeta/dias/1812/06/25/pdfs/GRE-1812-78.pdf#page=4","Abrir facsímil")</f>
        <v>Abrir facsímil</v>
      </c>
      <c r="K8643" s="3" t="s">
        <v>32</v>
      </c>
    </row>
    <row r="8644" spans="1:11" ht="42" customHeight="1">
      <c r="A8644" s="2" t="s">
        <v>21580</v>
      </c>
      <c r="B8644" s="2" t="s">
        <v>21581</v>
      </c>
      <c r="C8644" s="2" t="s">
        <v>17</v>
      </c>
      <c r="D8644" s="2" t="s">
        <v>18</v>
      </c>
      <c r="E8644" s="4">
        <v>-32118</v>
      </c>
      <c r="F8644" s="3" t="s">
        <v>1420</v>
      </c>
      <c r="G8644" s="3" t="s">
        <v>2433</v>
      </c>
      <c r="H8644" s="2" t="s">
        <v>30</v>
      </c>
      <c r="I8644" s="2" t="s">
        <v>21582</v>
      </c>
      <c r="J8644" s="3" t="str">
        <f>HYPERLINK("https://www.boe.es/gazeta/dias/1812/01/23/pdfs/GEI-1812-10.pdf#page=2","Abrir facsímil")</f>
        <v>Abrir facsímil</v>
      </c>
      <c r="K8644" s="3" t="s">
        <v>32</v>
      </c>
    </row>
    <row r="8645" spans="1:11" ht="42" customHeight="1">
      <c r="A8645" s="2" t="s">
        <v>21583</v>
      </c>
      <c r="B8645" s="2" t="s">
        <v>21584</v>
      </c>
      <c r="C8645" s="2" t="s">
        <v>549</v>
      </c>
      <c r="D8645" s="2" t="s">
        <v>27</v>
      </c>
      <c r="E8645" s="4">
        <v>-31854</v>
      </c>
      <c r="F8645" s="3" t="s">
        <v>717</v>
      </c>
      <c r="G8645" s="3" t="s">
        <v>4983</v>
      </c>
      <c r="H8645" s="2" t="s">
        <v>30</v>
      </c>
      <c r="I8645" s="2" t="s">
        <v>21585</v>
      </c>
      <c r="J8645" s="3" t="str">
        <f>HYPERLINK("https://www.boe.es/gazeta/dias/1812/10/13/pdfs/GRE-1812-138.pdf#page=8","Abrir facsímil")</f>
        <v>Abrir facsímil</v>
      </c>
      <c r="K8645" s="3" t="s">
        <v>32</v>
      </c>
    </row>
    <row r="8646" spans="1:11" ht="42" customHeight="1">
      <c r="A8646" s="2" t="s">
        <v>21586</v>
      </c>
      <c r="B8646" s="2" t="s">
        <v>21587</v>
      </c>
      <c r="C8646" s="2" t="s">
        <v>17</v>
      </c>
      <c r="D8646" s="2" t="s">
        <v>18</v>
      </c>
      <c r="E8646" s="4">
        <v>-31878</v>
      </c>
      <c r="F8646" s="3" t="s">
        <v>2891</v>
      </c>
      <c r="G8646" s="3" t="s">
        <v>4308</v>
      </c>
      <c r="H8646" s="2" t="s">
        <v>30</v>
      </c>
      <c r="I8646" s="2" t="s">
        <v>21588</v>
      </c>
      <c r="J8646" s="3" t="str">
        <f>HYPERLINK("https://www.boe.es/gazeta/dias/1812/09/19/pdfs/GRE-1812-127.pdf#page=8","Abrir facsímil")</f>
        <v>Abrir facsímil</v>
      </c>
      <c r="K8646" s="3" t="s">
        <v>32</v>
      </c>
    </row>
    <row r="8647" spans="1:11" ht="42" customHeight="1">
      <c r="A8647" s="2" t="s">
        <v>21589</v>
      </c>
      <c r="B8647" s="2" t="s">
        <v>21590</v>
      </c>
      <c r="C8647" s="2" t="s">
        <v>115</v>
      </c>
      <c r="D8647" s="2" t="s">
        <v>27</v>
      </c>
      <c r="E8647" s="4">
        <v>-32062</v>
      </c>
      <c r="F8647" s="3" t="s">
        <v>280</v>
      </c>
      <c r="G8647" s="3" t="s">
        <v>20</v>
      </c>
      <c r="H8647" s="2" t="s">
        <v>30</v>
      </c>
      <c r="I8647" s="2" t="s">
        <v>21591</v>
      </c>
      <c r="J8647" s="3" t="str">
        <f>HYPERLINK("https://www.boe.es/gazeta/dias/1812/03/19/pdfs/GMD-1812-79.pdf#page=4","Abrir facsímil")</f>
        <v>Abrir facsímil</v>
      </c>
      <c r="K8647" s="3" t="s">
        <v>32</v>
      </c>
    </row>
    <row r="8648" spans="1:11" ht="42" customHeight="1">
      <c r="A8648" s="2" t="s">
        <v>21592</v>
      </c>
      <c r="B8648" s="2" t="s">
        <v>21593</v>
      </c>
      <c r="C8648" s="2" t="s">
        <v>17</v>
      </c>
      <c r="D8648" s="2" t="s">
        <v>18</v>
      </c>
      <c r="E8648" s="4">
        <v>-32109</v>
      </c>
      <c r="F8648" s="3" t="s">
        <v>62</v>
      </c>
      <c r="G8648" s="3" t="s">
        <v>63</v>
      </c>
      <c r="H8648" s="2" t="s">
        <v>30</v>
      </c>
      <c r="I8648" s="2" t="s">
        <v>21594</v>
      </c>
      <c r="J8648" s="3" t="str">
        <f>HYPERLINK("https://www.boe.es/gazeta/dias/1812/02/01/pdfs/GRE-1812-14.pdf#page=10","Abrir facsímil")</f>
        <v>Abrir facsímil</v>
      </c>
      <c r="K8648" s="3" t="s">
        <v>32</v>
      </c>
    </row>
    <row r="8649" spans="1:11" ht="42" customHeight="1">
      <c r="A8649" s="2" t="s">
        <v>21595</v>
      </c>
      <c r="B8649" s="2" t="s">
        <v>21596</v>
      </c>
      <c r="C8649" s="2" t="s">
        <v>26</v>
      </c>
      <c r="D8649" s="2" t="s">
        <v>27</v>
      </c>
      <c r="E8649" s="4">
        <v>-31969</v>
      </c>
      <c r="F8649" s="3" t="s">
        <v>83</v>
      </c>
      <c r="G8649" s="3" t="s">
        <v>84</v>
      </c>
      <c r="H8649" s="2" t="s">
        <v>30</v>
      </c>
      <c r="I8649" s="2" t="s">
        <v>21597</v>
      </c>
      <c r="J8649" s="3" t="str">
        <f>HYPERLINK("https://www.boe.es/gazeta/dias/1812/06/20/pdfs/GRE-1812-76.pdf#page=8","Abrir facsímil")</f>
        <v>Abrir facsímil</v>
      </c>
      <c r="K8649" s="3" t="s">
        <v>32</v>
      </c>
    </row>
    <row r="8650" spans="1:11" ht="42" customHeight="1">
      <c r="A8650" s="2" t="s">
        <v>21598</v>
      </c>
      <c r="B8650" s="2" t="s">
        <v>21599</v>
      </c>
      <c r="C8650" s="2" t="s">
        <v>67</v>
      </c>
      <c r="D8650" s="2" t="s">
        <v>27</v>
      </c>
      <c r="E8650" s="4">
        <v>-32044</v>
      </c>
      <c r="F8650" s="3" t="s">
        <v>1031</v>
      </c>
      <c r="G8650" s="3" t="s">
        <v>1873</v>
      </c>
      <c r="H8650" s="2" t="s">
        <v>30</v>
      </c>
      <c r="I8650" s="2" t="s">
        <v>21600</v>
      </c>
      <c r="J8650" s="3" t="str">
        <f>HYPERLINK("https://www.boe.es/gazeta/dias/1812/04/06/pdfs/GMD-1812-97.pdf#page=4","Abrir facsímil")</f>
        <v>Abrir facsímil</v>
      </c>
      <c r="K8650" s="3" t="s">
        <v>32</v>
      </c>
    </row>
    <row r="8651" spans="1:11" ht="42" customHeight="1">
      <c r="A8651" s="2" t="s">
        <v>21601</v>
      </c>
      <c r="B8651" s="2" t="s">
        <v>21602</v>
      </c>
      <c r="C8651" s="2" t="s">
        <v>26</v>
      </c>
      <c r="D8651" s="2" t="s">
        <v>27</v>
      </c>
      <c r="E8651" s="4">
        <v>-32044</v>
      </c>
      <c r="F8651" s="3" t="s">
        <v>1031</v>
      </c>
      <c r="G8651" s="3" t="s">
        <v>1873</v>
      </c>
      <c r="H8651" s="2" t="s">
        <v>30</v>
      </c>
      <c r="I8651" s="2" t="s">
        <v>21603</v>
      </c>
      <c r="J8651" s="3" t="str">
        <f>HYPERLINK("https://www.boe.es/gazeta/dias/1812/04/06/pdfs/GMD-1812-97.pdf#page=4","Abrir facsímil")</f>
        <v>Abrir facsímil</v>
      </c>
      <c r="K8651" s="3" t="s">
        <v>32</v>
      </c>
    </row>
    <row r="8652" spans="1:11" ht="42" customHeight="1">
      <c r="A8652" s="2" t="s">
        <v>21604</v>
      </c>
      <c r="B8652" s="2" t="s">
        <v>21605</v>
      </c>
      <c r="C8652" s="2" t="s">
        <v>26</v>
      </c>
      <c r="D8652" s="2" t="s">
        <v>27</v>
      </c>
      <c r="E8652" s="4">
        <v>-31816</v>
      </c>
      <c r="F8652" s="3" t="s">
        <v>270</v>
      </c>
      <c r="G8652" s="3" t="s">
        <v>271</v>
      </c>
      <c r="H8652" s="2" t="s">
        <v>30</v>
      </c>
      <c r="I8652" s="2" t="s">
        <v>21606</v>
      </c>
      <c r="J8652" s="3" t="str">
        <f>HYPERLINK("https://www.boe.es/gazeta/dias/1812/11/20/pdfs/GMR-1812-36.pdf#page=6","Abrir facsímil")</f>
        <v>Abrir facsímil</v>
      </c>
      <c r="K8652" s="3" t="s">
        <v>32</v>
      </c>
    </row>
    <row r="8653" spans="1:11" ht="42" customHeight="1">
      <c r="A8653" s="2" t="s">
        <v>21607</v>
      </c>
      <c r="B8653" s="2" t="s">
        <v>21608</v>
      </c>
      <c r="C8653" s="2" t="s">
        <v>67</v>
      </c>
      <c r="D8653" s="2" t="s">
        <v>27</v>
      </c>
      <c r="E8653" s="4">
        <v>-31885</v>
      </c>
      <c r="F8653" s="3" t="s">
        <v>750</v>
      </c>
      <c r="G8653" s="3" t="s">
        <v>214</v>
      </c>
      <c r="H8653" s="2" t="s">
        <v>30</v>
      </c>
      <c r="I8653" s="2" t="s">
        <v>21609</v>
      </c>
      <c r="J8653" s="3" t="str">
        <f>HYPERLINK("https://www.boe.es/gazeta/dias/1812/09/12/pdfs/GMR-1812-13.pdf#page=5","Abrir facsímil")</f>
        <v>Abrir facsímil</v>
      </c>
      <c r="K8653" s="3" t="s">
        <v>32</v>
      </c>
    </row>
    <row r="8654" spans="1:11" ht="42" customHeight="1">
      <c r="A8654" s="2" t="s">
        <v>21610</v>
      </c>
      <c r="B8654" s="2" t="s">
        <v>21611</v>
      </c>
      <c r="C8654" s="2" t="s">
        <v>26</v>
      </c>
      <c r="D8654" s="2" t="s">
        <v>27</v>
      </c>
      <c r="E8654" s="4">
        <v>-31821</v>
      </c>
      <c r="F8654" s="3" t="s">
        <v>1979</v>
      </c>
      <c r="G8654" s="3" t="s">
        <v>317</v>
      </c>
      <c r="H8654" s="2" t="s">
        <v>30</v>
      </c>
      <c r="I8654" s="2" t="s">
        <v>21612</v>
      </c>
      <c r="J8654" s="3" t="str">
        <f>HYPERLINK("https://www.boe.es/gazeta/dias/1812/11/15/pdfs/GMR-1812-34.pdf#page=6","Abrir facsímil")</f>
        <v>Abrir facsímil</v>
      </c>
      <c r="K8654" s="3" t="s">
        <v>32</v>
      </c>
    </row>
    <row r="8655" spans="1:11" ht="42" customHeight="1">
      <c r="A8655" s="2" t="s">
        <v>21613</v>
      </c>
      <c r="B8655" s="2" t="s">
        <v>21614</v>
      </c>
      <c r="C8655" s="2" t="s">
        <v>17</v>
      </c>
      <c r="D8655" s="2" t="s">
        <v>18</v>
      </c>
      <c r="E8655" s="4">
        <v>-32081</v>
      </c>
      <c r="F8655" s="3" t="s">
        <v>989</v>
      </c>
      <c r="G8655" s="3" t="s">
        <v>683</v>
      </c>
      <c r="H8655" s="2" t="s">
        <v>30</v>
      </c>
      <c r="I8655" s="2" t="s">
        <v>21615</v>
      </c>
      <c r="J8655" s="3" t="str">
        <f>HYPERLINK("https://www.boe.es/gazeta/dias/1812/02/29/pdfs/GMD-1812-60.pdf#page=4","Abrir facsímil")</f>
        <v>Abrir facsímil</v>
      </c>
      <c r="K8655" s="3" t="s">
        <v>32</v>
      </c>
    </row>
    <row r="8656" spans="1:11" ht="42" customHeight="1">
      <c r="A8656" s="2" t="s">
        <v>21616</v>
      </c>
      <c r="B8656" s="2" t="s">
        <v>21617</v>
      </c>
      <c r="C8656" s="2" t="s">
        <v>105</v>
      </c>
      <c r="D8656" s="2" t="s">
        <v>275</v>
      </c>
      <c r="E8656" s="4">
        <v>-31962</v>
      </c>
      <c r="F8656" s="3" t="s">
        <v>153</v>
      </c>
      <c r="G8656" s="3" t="s">
        <v>8894</v>
      </c>
      <c r="H8656" s="2" t="s">
        <v>30</v>
      </c>
      <c r="I8656" s="2" t="s">
        <v>21618</v>
      </c>
      <c r="J8656" s="3" t="str">
        <f>HYPERLINK("https://www.boe.es/gazeta/dias/1812/06/27/pdfs/GRE-1812-79.pdf#page=7","Abrir facsímil")</f>
        <v>Abrir facsímil</v>
      </c>
      <c r="K8656" s="3" t="s">
        <v>32</v>
      </c>
    </row>
    <row r="8657" spans="1:11" ht="42" customHeight="1">
      <c r="A8657" s="2" t="s">
        <v>21619</v>
      </c>
      <c r="B8657" s="2" t="s">
        <v>21620</v>
      </c>
      <c r="C8657" s="2" t="s">
        <v>49</v>
      </c>
      <c r="D8657" s="2" t="s">
        <v>18</v>
      </c>
      <c r="E8657" s="4">
        <v>-31822</v>
      </c>
      <c r="F8657" s="3" t="s">
        <v>541</v>
      </c>
      <c r="G8657" s="3" t="s">
        <v>1459</v>
      </c>
      <c r="H8657" s="2" t="s">
        <v>30</v>
      </c>
      <c r="I8657" s="2" t="s">
        <v>21621</v>
      </c>
      <c r="J8657" s="3" t="str">
        <f>HYPERLINK("https://www.boe.es/gazeta/dias/1812/11/14/pdfs/GRE-1812-152.pdf#page=8","Abrir facsímil")</f>
        <v>Abrir facsímil</v>
      </c>
      <c r="K8657" s="3" t="s">
        <v>32</v>
      </c>
    </row>
    <row r="8658" spans="1:11" ht="42" customHeight="1">
      <c r="A8658" s="2" t="s">
        <v>21622</v>
      </c>
      <c r="B8658" s="2" t="s">
        <v>21623</v>
      </c>
      <c r="C8658" s="2" t="s">
        <v>105</v>
      </c>
      <c r="D8658" s="2" t="s">
        <v>27</v>
      </c>
      <c r="E8658" s="4">
        <v>-32092</v>
      </c>
      <c r="F8658" s="3" t="s">
        <v>1621</v>
      </c>
      <c r="G8658" s="3" t="s">
        <v>10935</v>
      </c>
      <c r="H8658" s="2" t="s">
        <v>30</v>
      </c>
      <c r="I8658" s="2" t="s">
        <v>21624</v>
      </c>
      <c r="J8658" s="3" t="str">
        <f>HYPERLINK("https://www.boe.es/gazeta/dias/1812/02/18/pdfs/GRE-1812-21.pdf#page=8","Abrir facsímil")</f>
        <v>Abrir facsímil</v>
      </c>
      <c r="K8658" s="3" t="s">
        <v>32</v>
      </c>
    </row>
    <row r="8659" spans="1:11" ht="42" customHeight="1">
      <c r="A8659" s="2" t="s">
        <v>21625</v>
      </c>
      <c r="B8659" s="2" t="s">
        <v>21626</v>
      </c>
      <c r="C8659" s="2" t="s">
        <v>17</v>
      </c>
      <c r="D8659" s="2" t="s">
        <v>27</v>
      </c>
      <c r="E8659" s="4">
        <v>-31847</v>
      </c>
      <c r="F8659" s="3" t="s">
        <v>219</v>
      </c>
      <c r="G8659" s="3" t="s">
        <v>2260</v>
      </c>
      <c r="H8659" s="2" t="s">
        <v>30</v>
      </c>
      <c r="I8659" s="2" t="s">
        <v>21627</v>
      </c>
      <c r="J8659" s="3" t="str">
        <f>HYPERLINK("https://www.boe.es/gazeta/dias/1812/10/20/pdfs/GRE-1812-141.pdf#page=4","Abrir facsímil")</f>
        <v>Abrir facsímil</v>
      </c>
      <c r="K8659" s="3" t="s">
        <v>32</v>
      </c>
    </row>
    <row r="8660" spans="1:11" ht="42" customHeight="1">
      <c r="A8660" s="2" t="s">
        <v>21628</v>
      </c>
      <c r="B8660" s="2" t="s">
        <v>21629</v>
      </c>
      <c r="C8660" s="2" t="s">
        <v>17</v>
      </c>
      <c r="D8660" s="2" t="s">
        <v>18</v>
      </c>
      <c r="E8660" s="4">
        <v>-31822</v>
      </c>
      <c r="F8660" s="3" t="s">
        <v>541</v>
      </c>
      <c r="G8660" s="3" t="s">
        <v>542</v>
      </c>
      <c r="H8660" s="2" t="s">
        <v>30</v>
      </c>
      <c r="I8660" s="2" t="s">
        <v>21630</v>
      </c>
      <c r="J8660" s="3" t="str">
        <f>HYPERLINK("https://www.boe.es/gazeta/dias/1812/11/14/pdfs/GRE-1812-152.pdf#page=7","Abrir facsímil")</f>
        <v>Abrir facsímil</v>
      </c>
      <c r="K8660" s="3" t="s">
        <v>32</v>
      </c>
    </row>
    <row r="8661" spans="1:11" ht="42" customHeight="1">
      <c r="A8661" s="2" t="s">
        <v>21631</v>
      </c>
      <c r="B8661" s="2" t="s">
        <v>21632</v>
      </c>
      <c r="C8661" s="2" t="s">
        <v>26</v>
      </c>
      <c r="D8661" s="2" t="s">
        <v>27</v>
      </c>
      <c r="E8661" s="4">
        <v>-31980</v>
      </c>
      <c r="F8661" s="3" t="s">
        <v>40</v>
      </c>
      <c r="G8661" s="3" t="s">
        <v>41</v>
      </c>
      <c r="H8661" s="2" t="s">
        <v>30</v>
      </c>
      <c r="I8661" s="2" t="s">
        <v>21633</v>
      </c>
      <c r="J8661" s="3" t="str">
        <f>HYPERLINK("https://www.boe.es/gazeta/dias/1812/06/09/pdfs/GRE-1812-71.pdf#page=6","Abrir facsímil")</f>
        <v>Abrir facsímil</v>
      </c>
      <c r="K8661" s="3" t="s">
        <v>32</v>
      </c>
    </row>
    <row r="8662" spans="1:11" ht="42" customHeight="1">
      <c r="A8662" s="2" t="s">
        <v>21634</v>
      </c>
      <c r="B8662" s="2" t="s">
        <v>21635</v>
      </c>
      <c r="C8662" s="2" t="s">
        <v>17</v>
      </c>
      <c r="D8662" s="2" t="s">
        <v>27</v>
      </c>
      <c r="E8662" s="4">
        <v>-32109</v>
      </c>
      <c r="F8662" s="3" t="s">
        <v>62</v>
      </c>
      <c r="G8662" s="3" t="s">
        <v>472</v>
      </c>
      <c r="H8662" s="2" t="s">
        <v>30</v>
      </c>
      <c r="I8662" s="2" t="s">
        <v>21636</v>
      </c>
      <c r="J8662" s="3" t="str">
        <f>HYPERLINK("https://www.boe.es/gazeta/dias/1812/02/01/pdfs/GRE-1812-14.pdf#page=12","Abrir facsímil")</f>
        <v>Abrir facsímil</v>
      </c>
      <c r="K8662" s="3" t="s">
        <v>32</v>
      </c>
    </row>
    <row r="8663" spans="1:11" ht="42" customHeight="1">
      <c r="A8663" s="2" t="s">
        <v>21637</v>
      </c>
      <c r="B8663" s="2" t="s">
        <v>21638</v>
      </c>
      <c r="C8663" s="2" t="s">
        <v>17</v>
      </c>
      <c r="D8663" s="2" t="s">
        <v>18</v>
      </c>
      <c r="E8663" s="4">
        <v>-32126</v>
      </c>
      <c r="F8663" s="3" t="s">
        <v>5107</v>
      </c>
      <c r="G8663" s="3" t="s">
        <v>58</v>
      </c>
      <c r="H8663" s="2" t="s">
        <v>30</v>
      </c>
      <c r="I8663" s="2" t="s">
        <v>21639</v>
      </c>
      <c r="J8663" s="3" t="str">
        <f>HYPERLINK("https://www.boe.es/gazeta/dias/1812/01/15/pdfs/GMD-1812-15.pdf#page=4","Abrir facsímil")</f>
        <v>Abrir facsímil</v>
      </c>
      <c r="K8663" s="3" t="s">
        <v>32</v>
      </c>
    </row>
    <row r="8664" spans="1:11" ht="42" customHeight="1">
      <c r="A8664" s="2" t="s">
        <v>21640</v>
      </c>
      <c r="B8664" s="2" t="s">
        <v>21641</v>
      </c>
      <c r="C8664" s="2" t="s">
        <v>49</v>
      </c>
      <c r="D8664" s="2" t="s">
        <v>18</v>
      </c>
      <c r="E8664" s="4">
        <v>-31843</v>
      </c>
      <c r="F8664" s="3" t="s">
        <v>6436</v>
      </c>
      <c r="G8664" s="3" t="s">
        <v>6437</v>
      </c>
      <c r="H8664" s="2" t="s">
        <v>30</v>
      </c>
      <c r="I8664" s="2" t="s">
        <v>21642</v>
      </c>
      <c r="J8664" s="3" t="str">
        <f>HYPERLINK("https://www.boe.es/gazeta/dias/1812/10/24/pdfs/GRE-1812-143.pdf#page=7","Abrir facsímil")</f>
        <v>Abrir facsímil</v>
      </c>
      <c r="K8664" s="3" t="s">
        <v>32</v>
      </c>
    </row>
    <row r="8665" spans="1:11" ht="42" customHeight="1">
      <c r="A8665" s="2" t="s">
        <v>21643</v>
      </c>
      <c r="B8665" s="2" t="s">
        <v>21644</v>
      </c>
      <c r="C8665" s="2" t="s">
        <v>26</v>
      </c>
      <c r="D8665" s="2" t="s">
        <v>27</v>
      </c>
      <c r="E8665" s="4">
        <v>-32081</v>
      </c>
      <c r="F8665" s="3" t="s">
        <v>232</v>
      </c>
      <c r="G8665" s="3" t="s">
        <v>21645</v>
      </c>
      <c r="H8665" s="2" t="s">
        <v>30</v>
      </c>
      <c r="I8665" s="2" t="s">
        <v>21646</v>
      </c>
      <c r="J8665" s="3" t="str">
        <f>HYPERLINK("https://www.boe.es/gazeta/dias/1812/02/29/pdfs/GRE-1812-27.pdf#page=1","Abrir facsímil")</f>
        <v>Abrir facsímil</v>
      </c>
      <c r="K8665" s="3" t="s">
        <v>32</v>
      </c>
    </row>
    <row r="8666" spans="1:11" ht="42" customHeight="1">
      <c r="A8666" s="2" t="s">
        <v>21647</v>
      </c>
      <c r="B8666" s="2" t="s">
        <v>21648</v>
      </c>
      <c r="C8666" s="2" t="s">
        <v>26</v>
      </c>
      <c r="D8666" s="2" t="s">
        <v>275</v>
      </c>
      <c r="E8666" s="4">
        <v>-31989</v>
      </c>
      <c r="F8666" s="3" t="s">
        <v>263</v>
      </c>
      <c r="G8666" s="3" t="s">
        <v>58</v>
      </c>
      <c r="H8666" s="2" t="s">
        <v>30</v>
      </c>
      <c r="I8666" s="2" t="s">
        <v>21649</v>
      </c>
      <c r="J8666" s="3" t="str">
        <f>HYPERLINK("https://www.boe.es/gazeta/dias/1812/05/31/pdfs/GMD-1812-152.pdf#page=4","Abrir facsímil")</f>
        <v>Abrir facsímil</v>
      </c>
      <c r="K8666" s="3" t="s">
        <v>32</v>
      </c>
    </row>
    <row r="8667" spans="1:11" ht="42" customHeight="1">
      <c r="A8667" s="2" t="s">
        <v>21650</v>
      </c>
      <c r="B8667" s="2" t="s">
        <v>21651</v>
      </c>
      <c r="C8667" s="2" t="s">
        <v>17</v>
      </c>
      <c r="D8667" s="2" t="s">
        <v>27</v>
      </c>
      <c r="E8667" s="4">
        <v>-32035</v>
      </c>
      <c r="F8667" s="3" t="s">
        <v>2646</v>
      </c>
      <c r="G8667" s="3" t="s">
        <v>130</v>
      </c>
      <c r="H8667" s="2" t="s">
        <v>30</v>
      </c>
      <c r="I8667" s="2" t="s">
        <v>21652</v>
      </c>
      <c r="J8667" s="3" t="str">
        <f>HYPERLINK("https://www.boe.es/gazeta/dias/1812/04/15/pdfs/GMD-1812-106.pdf#page=4","Abrir facsímil")</f>
        <v>Abrir facsímil</v>
      </c>
      <c r="K8667" s="3" t="s">
        <v>32</v>
      </c>
    </row>
    <row r="8668" spans="1:11" ht="42" customHeight="1">
      <c r="A8668" s="2" t="s">
        <v>21653</v>
      </c>
      <c r="B8668" s="2" t="s">
        <v>21654</v>
      </c>
      <c r="C8668" s="2" t="s">
        <v>26</v>
      </c>
      <c r="D8668" s="2" t="s">
        <v>27</v>
      </c>
      <c r="E8668" s="4">
        <v>-31938</v>
      </c>
      <c r="F8668" s="3" t="s">
        <v>324</v>
      </c>
      <c r="G8668" s="3" t="s">
        <v>404</v>
      </c>
      <c r="H8668" s="2" t="s">
        <v>30</v>
      </c>
      <c r="I8668" s="2" t="s">
        <v>21655</v>
      </c>
      <c r="J8668" s="3" t="str">
        <f>HYPERLINK("https://www.boe.es/gazeta/dias/1812/07/21/pdfs/GMD-1812-203.pdf#page=4","Abrir facsímil")</f>
        <v>Abrir facsímil</v>
      </c>
      <c r="K8668" s="3" t="s">
        <v>32</v>
      </c>
    </row>
    <row r="8669" spans="1:11" ht="42" customHeight="1">
      <c r="A8669" s="2" t="s">
        <v>21656</v>
      </c>
      <c r="B8669" s="2" t="s">
        <v>21657</v>
      </c>
      <c r="C8669" s="2" t="s">
        <v>26</v>
      </c>
      <c r="D8669" s="2" t="s">
        <v>27</v>
      </c>
      <c r="E8669" s="4">
        <v>-31938</v>
      </c>
      <c r="F8669" s="3" t="s">
        <v>324</v>
      </c>
      <c r="G8669" s="3" t="s">
        <v>497</v>
      </c>
      <c r="H8669" s="2" t="s">
        <v>30</v>
      </c>
      <c r="I8669" s="2" t="s">
        <v>21658</v>
      </c>
      <c r="J8669" s="3" t="str">
        <f>HYPERLINK("https://www.boe.es/gazeta/dias/1812/07/21/pdfs/GMD-1812-203.pdf#page=3","Abrir facsímil")</f>
        <v>Abrir facsímil</v>
      </c>
      <c r="K8669" s="3" t="s">
        <v>32</v>
      </c>
    </row>
    <row r="8670" spans="1:11" ht="42" customHeight="1">
      <c r="A8670" s="2" t="s">
        <v>21659</v>
      </c>
      <c r="B8670" s="2" t="s">
        <v>21660</v>
      </c>
      <c r="C8670" s="2" t="s">
        <v>26</v>
      </c>
      <c r="D8670" s="2" t="s">
        <v>27</v>
      </c>
      <c r="E8670" s="4">
        <v>-31938</v>
      </c>
      <c r="F8670" s="3" t="s">
        <v>324</v>
      </c>
      <c r="G8670" s="3" t="s">
        <v>497</v>
      </c>
      <c r="H8670" s="2" t="s">
        <v>30</v>
      </c>
      <c r="I8670" s="2" t="s">
        <v>21661</v>
      </c>
      <c r="J8670" s="3" t="str">
        <f>HYPERLINK("https://www.boe.es/gazeta/dias/1812/07/21/pdfs/GMD-1812-203.pdf#page=3","Abrir facsímil")</f>
        <v>Abrir facsímil</v>
      </c>
      <c r="K8670" s="3" t="s">
        <v>32</v>
      </c>
    </row>
    <row r="8671" spans="1:11" ht="42" customHeight="1">
      <c r="A8671" s="2" t="s">
        <v>21662</v>
      </c>
      <c r="B8671" s="2" t="s">
        <v>21663</v>
      </c>
      <c r="C8671" s="2" t="s">
        <v>26</v>
      </c>
      <c r="D8671" s="2" t="s">
        <v>27</v>
      </c>
      <c r="E8671" s="4">
        <v>-31938</v>
      </c>
      <c r="F8671" s="3" t="s">
        <v>324</v>
      </c>
      <c r="G8671" s="3" t="s">
        <v>497</v>
      </c>
      <c r="H8671" s="2" t="s">
        <v>30</v>
      </c>
      <c r="I8671" s="2" t="s">
        <v>21664</v>
      </c>
      <c r="J8671" s="3" t="str">
        <f>HYPERLINK("https://www.boe.es/gazeta/dias/1812/07/21/pdfs/GMD-1812-203.pdf#page=3","Abrir facsímil")</f>
        <v>Abrir facsímil</v>
      </c>
      <c r="K8671" s="3" t="s">
        <v>32</v>
      </c>
    </row>
    <row r="8672" spans="1:11" ht="42" customHeight="1">
      <c r="A8672" s="2" t="s">
        <v>21665</v>
      </c>
      <c r="B8672" s="2" t="s">
        <v>21666</v>
      </c>
      <c r="C8672" s="2" t="s">
        <v>26</v>
      </c>
      <c r="D8672" s="2" t="s">
        <v>27</v>
      </c>
      <c r="E8672" s="4">
        <v>-32036</v>
      </c>
      <c r="F8672" s="3" t="s">
        <v>781</v>
      </c>
      <c r="G8672" s="3" t="s">
        <v>782</v>
      </c>
      <c r="H8672" s="2" t="s">
        <v>30</v>
      </c>
      <c r="I8672" s="2" t="s">
        <v>21667</v>
      </c>
      <c r="J8672" s="3" t="str">
        <f>HYPERLINK("https://www.boe.es/gazeta/dias/1812/04/14/pdfs/GRE-1812-47.pdf#page=8","Abrir facsímil")</f>
        <v>Abrir facsímil</v>
      </c>
      <c r="K8672" s="3" t="s">
        <v>32</v>
      </c>
    </row>
    <row r="8673" spans="1:11" ht="42" customHeight="1">
      <c r="A8673" s="2" t="s">
        <v>21668</v>
      </c>
      <c r="B8673" s="2" t="s">
        <v>21669</v>
      </c>
      <c r="C8673" s="2" t="s">
        <v>26</v>
      </c>
      <c r="D8673" s="2" t="s">
        <v>27</v>
      </c>
      <c r="E8673" s="4">
        <v>-31962</v>
      </c>
      <c r="F8673" s="3" t="s">
        <v>643</v>
      </c>
      <c r="G8673" s="3" t="s">
        <v>6986</v>
      </c>
      <c r="H8673" s="2" t="s">
        <v>30</v>
      </c>
      <c r="I8673" s="2" t="s">
        <v>21670</v>
      </c>
      <c r="J8673" s="3" t="str">
        <f>HYPERLINK("https://www.boe.es/gazeta/dias/1812/06/27/pdfs/GMD-1812-179.pdf#page=4","Abrir facsímil")</f>
        <v>Abrir facsímil</v>
      </c>
      <c r="K8673" s="3" t="s">
        <v>32</v>
      </c>
    </row>
    <row r="8674" spans="1:11" ht="42" customHeight="1">
      <c r="A8674" s="2" t="s">
        <v>21671</v>
      </c>
      <c r="B8674" s="2" t="s">
        <v>21672</v>
      </c>
      <c r="C8674" s="2" t="s">
        <v>17</v>
      </c>
      <c r="D8674" s="2" t="s">
        <v>275</v>
      </c>
      <c r="E8674" s="4">
        <v>-31990</v>
      </c>
      <c r="F8674" s="3" t="s">
        <v>5078</v>
      </c>
      <c r="G8674" s="3" t="s">
        <v>1698</v>
      </c>
      <c r="H8674" s="2" t="s">
        <v>30</v>
      </c>
      <c r="I8674" s="2" t="s">
        <v>21673</v>
      </c>
      <c r="J8674" s="3" t="str">
        <f>HYPERLINK("https://www.boe.es/gazeta/dias/1812/05/30/pdfs/GRE-1812-67.pdf#page=5","Abrir facsímil")</f>
        <v>Abrir facsímil</v>
      </c>
      <c r="K8674" s="3" t="s">
        <v>32</v>
      </c>
    </row>
    <row r="8675" spans="1:11" ht="42" customHeight="1">
      <c r="A8675" s="2" t="s">
        <v>21674</v>
      </c>
      <c r="B8675" s="2" t="s">
        <v>21675</v>
      </c>
      <c r="C8675" s="2" t="s">
        <v>49</v>
      </c>
      <c r="D8675" s="2" t="s">
        <v>27</v>
      </c>
      <c r="E8675" s="4">
        <v>-32073</v>
      </c>
      <c r="F8675" s="3" t="s">
        <v>4960</v>
      </c>
      <c r="G8675" s="3" t="s">
        <v>857</v>
      </c>
      <c r="H8675" s="2" t="s">
        <v>30</v>
      </c>
      <c r="I8675" s="2" t="s">
        <v>21676</v>
      </c>
      <c r="J8675" s="3" t="str">
        <f>HYPERLINK("https://www.boe.es/gazeta/dias/1812/03/08/pdfs/GMD-1812-68.pdf#page=4","Abrir facsímil")</f>
        <v>Abrir facsímil</v>
      </c>
      <c r="K8675" s="3" t="s">
        <v>32</v>
      </c>
    </row>
    <row r="8676" spans="1:11" ht="42" customHeight="1">
      <c r="A8676" s="2" t="s">
        <v>21674</v>
      </c>
      <c r="B8676" s="2" t="s">
        <v>21675</v>
      </c>
      <c r="C8676" s="2" t="s">
        <v>26</v>
      </c>
      <c r="D8676" s="2" t="s">
        <v>275</v>
      </c>
      <c r="E8676" s="4">
        <v>-32018</v>
      </c>
      <c r="F8676" s="3" t="s">
        <v>365</v>
      </c>
      <c r="G8676" s="3" t="s">
        <v>4773</v>
      </c>
      <c r="H8676" s="2" t="s">
        <v>30</v>
      </c>
      <c r="I8676" s="2" t="s">
        <v>21677</v>
      </c>
      <c r="J8676" s="3" t="str">
        <f>HYPERLINK("https://www.boe.es/gazeta/dias/1812/05/02/pdfs/GRE-1812-55.pdf#page=1","Abrir facsímil")</f>
        <v>Abrir facsímil</v>
      </c>
      <c r="K8676" s="3" t="s">
        <v>32</v>
      </c>
    </row>
    <row r="8677" spans="1:11" ht="42" customHeight="1">
      <c r="A8677" s="2" t="s">
        <v>21674</v>
      </c>
      <c r="B8677" s="2" t="s">
        <v>21675</v>
      </c>
      <c r="C8677" s="2" t="s">
        <v>115</v>
      </c>
      <c r="D8677" s="2" t="s">
        <v>27</v>
      </c>
      <c r="E8677" s="4">
        <v>-31963</v>
      </c>
      <c r="F8677" s="3" t="s">
        <v>171</v>
      </c>
      <c r="G8677" s="3" t="s">
        <v>172</v>
      </c>
      <c r="H8677" s="2" t="s">
        <v>30</v>
      </c>
      <c r="I8677" s="2" t="s">
        <v>21678</v>
      </c>
      <c r="J8677" s="3" t="str">
        <f>HYPERLINK("https://www.boe.es/gazeta/dias/1812/06/26/pdfs/GMD-1812-178.pdf#page=3","Abrir facsímil")</f>
        <v>Abrir facsímil</v>
      </c>
      <c r="K8677" s="3" t="s">
        <v>32</v>
      </c>
    </row>
    <row r="8678" spans="1:11" ht="42" customHeight="1">
      <c r="A8678" s="2" t="s">
        <v>21679</v>
      </c>
      <c r="B8678" s="2" t="s">
        <v>21680</v>
      </c>
      <c r="C8678" s="2" t="s">
        <v>49</v>
      </c>
      <c r="D8678" s="2" t="s">
        <v>27</v>
      </c>
      <c r="E8678" s="4">
        <v>-31850</v>
      </c>
      <c r="F8678" s="3" t="s">
        <v>719</v>
      </c>
      <c r="G8678" s="3" t="s">
        <v>217</v>
      </c>
      <c r="H8678" s="2" t="s">
        <v>30</v>
      </c>
      <c r="I8678" s="2" t="s">
        <v>21681</v>
      </c>
      <c r="J8678" s="3" t="str">
        <f>HYPERLINK("https://www.boe.es/gazeta/dias/1812/10/17/pdfs/GMR-1812-28.pdf#page=5","Abrir facsímil")</f>
        <v>Abrir facsímil</v>
      </c>
      <c r="K8678" s="3" t="s">
        <v>32</v>
      </c>
    </row>
    <row r="8679" spans="1:11" ht="42" customHeight="1">
      <c r="A8679" s="2" t="s">
        <v>21682</v>
      </c>
      <c r="B8679" s="2" t="s">
        <v>21683</v>
      </c>
      <c r="C8679" s="2" t="s">
        <v>17</v>
      </c>
      <c r="D8679" s="2" t="s">
        <v>27</v>
      </c>
      <c r="E8679" s="4">
        <v>-31871</v>
      </c>
      <c r="F8679" s="3" t="s">
        <v>5985</v>
      </c>
      <c r="G8679" s="3" t="s">
        <v>5986</v>
      </c>
      <c r="H8679" s="2" t="s">
        <v>30</v>
      </c>
      <c r="I8679" s="2" t="s">
        <v>21684</v>
      </c>
      <c r="J8679" s="3" t="str">
        <f>HYPERLINK("https://www.boe.es/gazeta/dias/1812/09/26/pdfs/GRE-1812-131.pdf#page=8","Abrir facsímil")</f>
        <v>Abrir facsímil</v>
      </c>
      <c r="K8679" s="3" t="s">
        <v>32</v>
      </c>
    </row>
    <row r="8680" spans="1:11" ht="42" customHeight="1">
      <c r="A8680" s="2" t="s">
        <v>21685</v>
      </c>
      <c r="B8680" s="2" t="s">
        <v>21686</v>
      </c>
      <c r="C8680" s="2" t="s">
        <v>549</v>
      </c>
      <c r="D8680" s="2" t="s">
        <v>27</v>
      </c>
      <c r="E8680" s="4">
        <v>-32090</v>
      </c>
      <c r="F8680" s="3" t="s">
        <v>142</v>
      </c>
      <c r="G8680" s="3" t="s">
        <v>21687</v>
      </c>
      <c r="H8680" s="2" t="s">
        <v>30</v>
      </c>
      <c r="I8680" s="2" t="s">
        <v>21688</v>
      </c>
      <c r="J8680" s="3" t="str">
        <f>HYPERLINK("https://www.boe.es/gazeta/dias/1812/02/20/pdfs/GRE-1812-22.pdf#page=7","Abrir facsímil")</f>
        <v>Abrir facsímil</v>
      </c>
      <c r="K8680" s="3" t="s">
        <v>32</v>
      </c>
    </row>
    <row r="8681" spans="1:11" ht="42" customHeight="1">
      <c r="A8681" s="2" t="s">
        <v>21689</v>
      </c>
      <c r="B8681" s="2" t="s">
        <v>21690</v>
      </c>
      <c r="C8681" s="2" t="s">
        <v>17</v>
      </c>
      <c r="D8681" s="2" t="s">
        <v>27</v>
      </c>
      <c r="E8681" s="4">
        <v>-32132</v>
      </c>
      <c r="F8681" s="3" t="s">
        <v>484</v>
      </c>
      <c r="G8681" s="3" t="s">
        <v>485</v>
      </c>
      <c r="H8681" s="2" t="s">
        <v>30</v>
      </c>
      <c r="I8681" s="2" t="s">
        <v>21691</v>
      </c>
      <c r="J8681" s="3" t="str">
        <f>HYPERLINK("https://www.boe.es/gazeta/dias/1812/01/09/pdfs/GEI-1812-4.pdf#page=8","Abrir facsímil")</f>
        <v>Abrir facsímil</v>
      </c>
      <c r="K8681" s="3" t="s">
        <v>32</v>
      </c>
    </row>
    <row r="8682" spans="1:11" ht="42" customHeight="1">
      <c r="A8682" s="2" t="s">
        <v>21692</v>
      </c>
      <c r="B8682" s="2" t="s">
        <v>21693</v>
      </c>
      <c r="C8682" s="2" t="s">
        <v>105</v>
      </c>
      <c r="D8682" s="2" t="s">
        <v>27</v>
      </c>
      <c r="E8682" s="4">
        <v>-32018</v>
      </c>
      <c r="F8682" s="3" t="s">
        <v>1287</v>
      </c>
      <c r="G8682" s="3" t="s">
        <v>1288</v>
      </c>
      <c r="H8682" s="2" t="s">
        <v>30</v>
      </c>
      <c r="I8682" s="2" t="s">
        <v>21694</v>
      </c>
      <c r="J8682" s="3" t="str">
        <f>HYPERLINK("https://www.boe.es/gazeta/dias/1812/05/02/pdfs/GMD-1812-123.pdf#page=2","Abrir facsímil")</f>
        <v>Abrir facsímil</v>
      </c>
      <c r="K8682" s="3" t="s">
        <v>32</v>
      </c>
    </row>
    <row r="8683" spans="1:11" ht="42" customHeight="1">
      <c r="A8683" s="2" t="s">
        <v>21695</v>
      </c>
      <c r="B8683" s="2" t="s">
        <v>21696</v>
      </c>
      <c r="C8683" s="2" t="s">
        <v>17</v>
      </c>
      <c r="D8683" s="2" t="s">
        <v>27</v>
      </c>
      <c r="E8683" s="4">
        <v>-32018</v>
      </c>
      <c r="F8683" s="3" t="s">
        <v>1287</v>
      </c>
      <c r="G8683" s="3" t="s">
        <v>1288</v>
      </c>
      <c r="H8683" s="2" t="s">
        <v>30</v>
      </c>
      <c r="I8683" s="2" t="s">
        <v>21697</v>
      </c>
      <c r="J8683" s="3" t="str">
        <f>HYPERLINK("https://www.boe.es/gazeta/dias/1812/05/02/pdfs/GMD-1812-123.pdf#page=2","Abrir facsímil")</f>
        <v>Abrir facsímil</v>
      </c>
      <c r="K8683" s="3" t="s">
        <v>32</v>
      </c>
    </row>
    <row r="8684" spans="1:11" ht="42" customHeight="1">
      <c r="A8684" s="2" t="s">
        <v>21698</v>
      </c>
      <c r="B8684" s="2" t="s">
        <v>21699</v>
      </c>
      <c r="C8684" s="2" t="s">
        <v>17</v>
      </c>
      <c r="D8684" s="2" t="s">
        <v>27</v>
      </c>
      <c r="E8684" s="4">
        <v>-31990</v>
      </c>
      <c r="F8684" s="3" t="s">
        <v>5078</v>
      </c>
      <c r="G8684" s="3" t="s">
        <v>14156</v>
      </c>
      <c r="H8684" s="2" t="s">
        <v>30</v>
      </c>
      <c r="I8684" s="2" t="s">
        <v>21700</v>
      </c>
      <c r="J8684" s="3" t="str">
        <f>HYPERLINK("https://www.boe.es/gazeta/dias/1812/05/30/pdfs/GRE-1812-67.pdf#page=6","Abrir facsímil")</f>
        <v>Abrir facsímil</v>
      </c>
      <c r="K8684" s="3" t="s">
        <v>32</v>
      </c>
    </row>
    <row r="8685" spans="1:11" ht="42" customHeight="1">
      <c r="A8685" s="2" t="s">
        <v>21701</v>
      </c>
      <c r="B8685" s="2" t="s">
        <v>21702</v>
      </c>
      <c r="C8685" s="2" t="s">
        <v>17</v>
      </c>
      <c r="D8685" s="2" t="s">
        <v>27</v>
      </c>
      <c r="E8685" s="4">
        <v>-32022</v>
      </c>
      <c r="F8685" s="3" t="s">
        <v>1186</v>
      </c>
      <c r="G8685" s="3" t="s">
        <v>532</v>
      </c>
      <c r="H8685" s="2" t="s">
        <v>30</v>
      </c>
      <c r="I8685" s="2" t="s">
        <v>21703</v>
      </c>
      <c r="J8685" s="3" t="str">
        <f>HYPERLINK("https://www.boe.es/gazeta/dias/1812/04/28/pdfs/GRE-1812-53.pdf#page=6","Abrir facsímil")</f>
        <v>Abrir facsímil</v>
      </c>
      <c r="K8685" s="3" t="s">
        <v>32</v>
      </c>
    </row>
    <row r="8686" spans="1:11" ht="42" customHeight="1">
      <c r="A8686" s="2" t="s">
        <v>21704</v>
      </c>
      <c r="B8686" s="2" t="s">
        <v>21705</v>
      </c>
      <c r="C8686" s="2" t="s">
        <v>26</v>
      </c>
      <c r="D8686" s="2" t="s">
        <v>27</v>
      </c>
      <c r="E8686" s="4">
        <v>-31913</v>
      </c>
      <c r="F8686" s="3" t="s">
        <v>450</v>
      </c>
      <c r="G8686" s="3" t="s">
        <v>11500</v>
      </c>
      <c r="H8686" s="2" t="s">
        <v>30</v>
      </c>
      <c r="I8686" s="2" t="s">
        <v>21706</v>
      </c>
      <c r="J8686" s="3" t="str">
        <f>HYPERLINK("https://www.boe.es/gazeta/dias/1812/08/15/pdfs/GRE-1812-105.pdf#page=4","Abrir facsímil")</f>
        <v>Abrir facsímil</v>
      </c>
      <c r="K8686" s="3" t="s">
        <v>32</v>
      </c>
    </row>
    <row r="8687" spans="1:11" ht="42" customHeight="1">
      <c r="A8687" s="2" t="s">
        <v>21707</v>
      </c>
      <c r="B8687" s="2" t="s">
        <v>21708</v>
      </c>
      <c r="C8687" s="2" t="s">
        <v>17</v>
      </c>
      <c r="D8687" s="2" t="s">
        <v>18</v>
      </c>
      <c r="E8687" s="4">
        <v>-32015</v>
      </c>
      <c r="F8687" s="3" t="s">
        <v>77</v>
      </c>
      <c r="G8687" s="3" t="s">
        <v>6350</v>
      </c>
      <c r="H8687" s="2" t="s">
        <v>30</v>
      </c>
      <c r="I8687" s="2" t="s">
        <v>21709</v>
      </c>
      <c r="J8687" s="3" t="str">
        <f>HYPERLINK("https://www.boe.es/gazeta/dias/1812/05/05/pdfs/GRE-1812-56.pdf#page=4","Abrir facsímil")</f>
        <v>Abrir facsímil</v>
      </c>
      <c r="K8687" s="3" t="s">
        <v>32</v>
      </c>
    </row>
    <row r="8688" spans="1:11" ht="42" customHeight="1">
      <c r="A8688" s="2" t="s">
        <v>21710</v>
      </c>
      <c r="B8688" s="2" t="s">
        <v>21711</v>
      </c>
      <c r="C8688" s="2" t="s">
        <v>49</v>
      </c>
      <c r="D8688" s="2" t="s">
        <v>27</v>
      </c>
      <c r="E8688" s="4">
        <v>-32100</v>
      </c>
      <c r="F8688" s="3" t="s">
        <v>492</v>
      </c>
      <c r="G8688" s="3" t="s">
        <v>1448</v>
      </c>
      <c r="H8688" s="2" t="s">
        <v>30</v>
      </c>
      <c r="I8688" s="2" t="s">
        <v>21712</v>
      </c>
      <c r="J8688" s="3" t="str">
        <f>HYPERLINK("https://www.boe.es/gazeta/dias/1812/02/10/pdfs/GRE-1812-31.pdf#page=7","Abrir facsímil")</f>
        <v>Abrir facsímil</v>
      </c>
      <c r="K8688" s="3" t="s">
        <v>32</v>
      </c>
    </row>
    <row r="8689" spans="1:11" ht="42" customHeight="1">
      <c r="A8689" s="2" t="s">
        <v>21710</v>
      </c>
      <c r="B8689" s="2" t="s">
        <v>21711</v>
      </c>
      <c r="C8689" s="2" t="s">
        <v>49</v>
      </c>
      <c r="D8689" s="2" t="s">
        <v>27</v>
      </c>
      <c r="E8689" s="4">
        <v>-32071</v>
      </c>
      <c r="F8689" s="3" t="s">
        <v>492</v>
      </c>
      <c r="G8689" s="3" t="s">
        <v>1448</v>
      </c>
      <c r="H8689" s="2" t="s">
        <v>30</v>
      </c>
      <c r="I8689" s="2" t="s">
        <v>21712</v>
      </c>
      <c r="J8689" s="3" t="str">
        <f>HYPERLINK("https://www.boe.es/gazeta/dias/1812/03/10/pdfs/GRE-1812-31.pdf#page=7","Abrir facsímil")</f>
        <v>Abrir facsímil</v>
      </c>
      <c r="K8689" s="3" t="s">
        <v>32</v>
      </c>
    </row>
    <row r="8690" spans="1:11" ht="42" customHeight="1">
      <c r="A8690" s="2" t="s">
        <v>21713</v>
      </c>
      <c r="B8690" s="2" t="s">
        <v>21714</v>
      </c>
      <c r="C8690" s="2" t="s">
        <v>26</v>
      </c>
      <c r="D8690" s="2" t="s">
        <v>27</v>
      </c>
      <c r="E8690" s="4">
        <v>-32132</v>
      </c>
      <c r="F8690" s="3" t="s">
        <v>484</v>
      </c>
      <c r="G8690" s="3" t="s">
        <v>485</v>
      </c>
      <c r="H8690" s="2" t="s">
        <v>30</v>
      </c>
      <c r="I8690" s="2" t="s">
        <v>21715</v>
      </c>
      <c r="J8690" s="3" t="str">
        <f>HYPERLINK("https://www.boe.es/gazeta/dias/1812/01/09/pdfs/GEI-1812-4.pdf#page=8","Abrir facsímil")</f>
        <v>Abrir facsímil</v>
      </c>
      <c r="K8690" s="3" t="s">
        <v>32</v>
      </c>
    </row>
    <row r="8691" spans="1:11" ht="42" customHeight="1">
      <c r="A8691" s="2" t="s">
        <v>21713</v>
      </c>
      <c r="B8691" s="2" t="s">
        <v>21714</v>
      </c>
      <c r="C8691" s="2" t="s">
        <v>17</v>
      </c>
      <c r="D8691" s="2" t="s">
        <v>18</v>
      </c>
      <c r="E8691" s="4">
        <v>-32090</v>
      </c>
      <c r="F8691" s="3" t="s">
        <v>142</v>
      </c>
      <c r="G8691" s="3" t="s">
        <v>2070</v>
      </c>
      <c r="H8691" s="2" t="s">
        <v>30</v>
      </c>
      <c r="I8691" s="2" t="s">
        <v>21716</v>
      </c>
      <c r="J8691" s="3" t="str">
        <f>HYPERLINK("https://www.boe.es/gazeta/dias/1812/02/20/pdfs/GRE-1812-22.pdf#page=5","Abrir facsímil")</f>
        <v>Abrir facsímil</v>
      </c>
      <c r="K8691" s="3" t="s">
        <v>32</v>
      </c>
    </row>
    <row r="8692" spans="1:11" ht="42" customHeight="1">
      <c r="A8692" s="2" t="s">
        <v>21713</v>
      </c>
      <c r="B8692" s="2" t="s">
        <v>21714</v>
      </c>
      <c r="C8692" s="2" t="s">
        <v>26</v>
      </c>
      <c r="D8692" s="2" t="s">
        <v>27</v>
      </c>
      <c r="E8692" s="4">
        <v>-32088</v>
      </c>
      <c r="F8692" s="3" t="s">
        <v>250</v>
      </c>
      <c r="G8692" s="3" t="s">
        <v>251</v>
      </c>
      <c r="H8692" s="2" t="s">
        <v>30</v>
      </c>
      <c r="I8692" s="2" t="s">
        <v>21717</v>
      </c>
      <c r="J8692" s="3" t="str">
        <f>HYPERLINK("https://www.boe.es/gazeta/dias/1812/02/22/pdfs/GRE-1812-23.pdf#page=8","Abrir facsímil")</f>
        <v>Abrir facsímil</v>
      </c>
      <c r="K8692" s="3" t="s">
        <v>32</v>
      </c>
    </row>
    <row r="8693" spans="1:11" ht="42" customHeight="1">
      <c r="A8693" s="2" t="s">
        <v>21713</v>
      </c>
      <c r="B8693" s="2" t="s">
        <v>21714</v>
      </c>
      <c r="C8693" s="2" t="s">
        <v>26</v>
      </c>
      <c r="D8693" s="2" t="s">
        <v>27</v>
      </c>
      <c r="E8693" s="4">
        <v>-32083</v>
      </c>
      <c r="F8693" s="3" t="s">
        <v>1496</v>
      </c>
      <c r="G8693" s="3" t="s">
        <v>6389</v>
      </c>
      <c r="H8693" s="2" t="s">
        <v>30</v>
      </c>
      <c r="I8693" s="2" t="s">
        <v>21718</v>
      </c>
      <c r="J8693" s="3" t="str">
        <f>HYPERLINK("https://www.boe.es/gazeta/dias/1812/02/27/pdfs/GRE-1812-26.pdf#page=4","Abrir facsímil")</f>
        <v>Abrir facsímil</v>
      </c>
      <c r="K8693" s="3" t="s">
        <v>32</v>
      </c>
    </row>
    <row r="8694" spans="1:11" ht="42" customHeight="1">
      <c r="A8694" s="2" t="s">
        <v>21713</v>
      </c>
      <c r="B8694" s="2" t="s">
        <v>21714</v>
      </c>
      <c r="C8694" s="2" t="s">
        <v>49</v>
      </c>
      <c r="D8694" s="2" t="s">
        <v>27</v>
      </c>
      <c r="E8694" s="4">
        <v>-32057</v>
      </c>
      <c r="F8694" s="3" t="s">
        <v>677</v>
      </c>
      <c r="G8694" s="3" t="s">
        <v>678</v>
      </c>
      <c r="H8694" s="2" t="s">
        <v>30</v>
      </c>
      <c r="I8694" s="2" t="s">
        <v>21719</v>
      </c>
      <c r="J8694" s="3" t="str">
        <f>HYPERLINK("https://www.boe.es/gazeta/dias/1812/03/24/pdfs/GRE-1812-37.pdf#page=6","Abrir facsímil")</f>
        <v>Abrir facsímil</v>
      </c>
      <c r="K8694" s="3" t="s">
        <v>32</v>
      </c>
    </row>
    <row r="8695" spans="1:11" ht="42" customHeight="1">
      <c r="A8695" s="2" t="s">
        <v>21713</v>
      </c>
      <c r="B8695" s="2" t="s">
        <v>21714</v>
      </c>
      <c r="C8695" s="2" t="s">
        <v>17</v>
      </c>
      <c r="D8695" s="2" t="s">
        <v>18</v>
      </c>
      <c r="E8695" s="4">
        <v>-32006</v>
      </c>
      <c r="F8695" s="3" t="s">
        <v>190</v>
      </c>
      <c r="G8695" s="3" t="s">
        <v>1380</v>
      </c>
      <c r="H8695" s="2" t="s">
        <v>30</v>
      </c>
      <c r="I8695" s="2" t="s">
        <v>21720</v>
      </c>
      <c r="J8695" s="3" t="str">
        <f>HYPERLINK("https://www.boe.es/gazeta/dias/1812/05/14/pdfs/GRE-1812-60.pdf#page=6","Abrir facsímil")</f>
        <v>Abrir facsímil</v>
      </c>
      <c r="K8695" s="3" t="s">
        <v>32</v>
      </c>
    </row>
    <row r="8696" spans="1:11" ht="42" customHeight="1">
      <c r="A8696" s="2" t="s">
        <v>21713</v>
      </c>
      <c r="B8696" s="2" t="s">
        <v>21714</v>
      </c>
      <c r="C8696" s="2" t="s">
        <v>17</v>
      </c>
      <c r="D8696" s="2" t="s">
        <v>27</v>
      </c>
      <c r="E8696" s="4">
        <v>-31994</v>
      </c>
      <c r="F8696" s="3" t="s">
        <v>207</v>
      </c>
      <c r="G8696" s="3" t="s">
        <v>21721</v>
      </c>
      <c r="H8696" s="2" t="s">
        <v>30</v>
      </c>
      <c r="I8696" s="2" t="s">
        <v>21722</v>
      </c>
      <c r="J8696" s="3" t="str">
        <f>HYPERLINK("https://www.boe.es/gazeta/dias/1812/05/26/pdfs/GRE-1812-65.pdf#page=5","Abrir facsímil")</f>
        <v>Abrir facsímil</v>
      </c>
      <c r="K8696" s="3" t="s">
        <v>32</v>
      </c>
    </row>
    <row r="8697" spans="1:11" ht="42" customHeight="1">
      <c r="A8697" s="2" t="s">
        <v>21713</v>
      </c>
      <c r="B8697" s="2" t="s">
        <v>21714</v>
      </c>
      <c r="C8697" s="2" t="s">
        <v>17</v>
      </c>
      <c r="D8697" s="2" t="s">
        <v>134</v>
      </c>
      <c r="E8697" s="4">
        <v>-31952</v>
      </c>
      <c r="F8697" s="3" t="s">
        <v>1541</v>
      </c>
      <c r="G8697" s="3" t="s">
        <v>1542</v>
      </c>
      <c r="H8697" s="2" t="s">
        <v>30</v>
      </c>
      <c r="I8697" s="2" t="s">
        <v>21723</v>
      </c>
      <c r="J8697" s="3" t="str">
        <f>HYPERLINK("https://www.boe.es/gazeta/dias/1812/07/07/pdfs/GRE-F-1812-83.pdf#page=3","Abrir facsímil")</f>
        <v>Abrir facsímil</v>
      </c>
      <c r="K8697" s="3" t="s">
        <v>32</v>
      </c>
    </row>
    <row r="8698" spans="1:11" ht="42" customHeight="1">
      <c r="A8698" s="2" t="s">
        <v>21724</v>
      </c>
      <c r="B8698" s="2" t="s">
        <v>21725</v>
      </c>
      <c r="C8698" s="2" t="s">
        <v>17</v>
      </c>
      <c r="D8698" s="2" t="s">
        <v>27</v>
      </c>
      <c r="E8698" s="4">
        <v>-32006</v>
      </c>
      <c r="F8698" s="3" t="s">
        <v>190</v>
      </c>
      <c r="G8698" s="3" t="s">
        <v>1380</v>
      </c>
      <c r="H8698" s="2" t="s">
        <v>30</v>
      </c>
      <c r="I8698" s="2" t="s">
        <v>21726</v>
      </c>
      <c r="J8698" s="3" t="str">
        <f>HYPERLINK("https://www.boe.es/gazeta/dias/1812/05/14/pdfs/GRE-1812-60.pdf#page=6","Abrir facsímil")</f>
        <v>Abrir facsímil</v>
      </c>
      <c r="K8698" s="3" t="s">
        <v>32</v>
      </c>
    </row>
    <row r="8699" spans="1:11" ht="42" customHeight="1">
      <c r="A8699" s="2" t="s">
        <v>21727</v>
      </c>
      <c r="B8699" s="2" t="s">
        <v>21728</v>
      </c>
      <c r="C8699" s="2" t="s">
        <v>17</v>
      </c>
      <c r="D8699" s="2" t="s">
        <v>27</v>
      </c>
      <c r="E8699" s="4">
        <v>-32130</v>
      </c>
      <c r="F8699" s="3" t="s">
        <v>2538</v>
      </c>
      <c r="G8699" s="3" t="s">
        <v>706</v>
      </c>
      <c r="H8699" s="2" t="s">
        <v>30</v>
      </c>
      <c r="I8699" s="2" t="s">
        <v>21729</v>
      </c>
      <c r="J8699" s="3" t="str">
        <f>HYPERLINK("https://www.boe.es/gazeta/dias/1812/01/11/pdfs/GEI-1812-5.pdf#page=5","Abrir facsímil")</f>
        <v>Abrir facsímil</v>
      </c>
      <c r="K8699" s="3" t="s">
        <v>32</v>
      </c>
    </row>
    <row r="8700" spans="1:11" ht="42" customHeight="1">
      <c r="A8700" s="2" t="s">
        <v>21727</v>
      </c>
      <c r="B8700" s="2" t="s">
        <v>21728</v>
      </c>
      <c r="C8700" s="2" t="s">
        <v>17</v>
      </c>
      <c r="D8700" s="2" t="s">
        <v>18</v>
      </c>
      <c r="E8700" s="4">
        <v>-31913</v>
      </c>
      <c r="F8700" s="3" t="s">
        <v>450</v>
      </c>
      <c r="G8700" s="3" t="s">
        <v>11500</v>
      </c>
      <c r="H8700" s="2" t="s">
        <v>30</v>
      </c>
      <c r="I8700" s="2" t="s">
        <v>21730</v>
      </c>
      <c r="J8700" s="3" t="str">
        <f>HYPERLINK("https://www.boe.es/gazeta/dias/1812/08/15/pdfs/GRE-1812-105.pdf#page=4","Abrir facsímil")</f>
        <v>Abrir facsímil</v>
      </c>
      <c r="K8700" s="3" t="s">
        <v>32</v>
      </c>
    </row>
    <row r="8701" spans="1:11" ht="42" customHeight="1">
      <c r="A8701" s="2" t="s">
        <v>21731</v>
      </c>
      <c r="B8701" s="2" t="s">
        <v>21732</v>
      </c>
      <c r="C8701" s="2" t="s">
        <v>26</v>
      </c>
      <c r="D8701" s="2" t="s">
        <v>27</v>
      </c>
      <c r="E8701" s="4">
        <v>-32130</v>
      </c>
      <c r="F8701" s="3" t="s">
        <v>2538</v>
      </c>
      <c r="G8701" s="3" t="s">
        <v>2539</v>
      </c>
      <c r="H8701" s="2" t="s">
        <v>30</v>
      </c>
      <c r="I8701" s="2" t="s">
        <v>21733</v>
      </c>
      <c r="J8701" s="3" t="str">
        <f>HYPERLINK("https://www.boe.es/gazeta/dias/1812/01/11/pdfs/GEI-1812-5.pdf#page=4","Abrir facsímil")</f>
        <v>Abrir facsímil</v>
      </c>
      <c r="K8701" s="3" t="s">
        <v>32</v>
      </c>
    </row>
    <row r="8702" spans="1:11" ht="42" customHeight="1">
      <c r="A8702" s="2" t="s">
        <v>21731</v>
      </c>
      <c r="B8702" s="2" t="s">
        <v>21732</v>
      </c>
      <c r="C8702" s="2" t="s">
        <v>26</v>
      </c>
      <c r="D8702" s="2" t="s">
        <v>27</v>
      </c>
      <c r="E8702" s="4">
        <v>-32118</v>
      </c>
      <c r="F8702" s="3" t="s">
        <v>964</v>
      </c>
      <c r="G8702" s="3" t="s">
        <v>836</v>
      </c>
      <c r="H8702" s="2" t="s">
        <v>30</v>
      </c>
      <c r="I8702" s="2" t="s">
        <v>21734</v>
      </c>
      <c r="J8702" s="3" t="str">
        <f>HYPERLINK("https://www.boe.es/gazeta/dias/1812/01/23/pdfs/GEI-H-1812-10.pdf#page=2","Abrir facsímil")</f>
        <v>Abrir facsímil</v>
      </c>
      <c r="K8702" s="3" t="s">
        <v>32</v>
      </c>
    </row>
    <row r="8703" spans="1:11" ht="42" customHeight="1">
      <c r="A8703" s="2" t="s">
        <v>21731</v>
      </c>
      <c r="B8703" s="2" t="s">
        <v>21732</v>
      </c>
      <c r="C8703" s="2" t="s">
        <v>26</v>
      </c>
      <c r="D8703" s="2" t="s">
        <v>27</v>
      </c>
      <c r="E8703" s="4">
        <v>-32015</v>
      </c>
      <c r="F8703" s="3" t="s">
        <v>77</v>
      </c>
      <c r="G8703" s="3" t="s">
        <v>204</v>
      </c>
      <c r="H8703" s="2" t="s">
        <v>30</v>
      </c>
      <c r="I8703" s="2" t="s">
        <v>21735</v>
      </c>
      <c r="J8703" s="3" t="str">
        <f>HYPERLINK("https://www.boe.es/gazeta/dias/1812/05/05/pdfs/GRE-1812-56.pdf#page=3","Abrir facsímil")</f>
        <v>Abrir facsímil</v>
      </c>
      <c r="K8703" s="3" t="s">
        <v>32</v>
      </c>
    </row>
    <row r="8704" spans="1:11" ht="42" customHeight="1">
      <c r="A8704" s="2" t="s">
        <v>21731</v>
      </c>
      <c r="B8704" s="2" t="s">
        <v>21732</v>
      </c>
      <c r="C8704" s="2" t="s">
        <v>49</v>
      </c>
      <c r="D8704" s="2" t="s">
        <v>27</v>
      </c>
      <c r="E8704" s="4">
        <v>-32006</v>
      </c>
      <c r="F8704" s="3" t="s">
        <v>190</v>
      </c>
      <c r="G8704" s="3" t="s">
        <v>1380</v>
      </c>
      <c r="H8704" s="2" t="s">
        <v>30</v>
      </c>
      <c r="I8704" s="2" t="s">
        <v>21736</v>
      </c>
      <c r="J8704" s="3" t="str">
        <f>HYPERLINK("https://www.boe.es/gazeta/dias/1812/05/14/pdfs/GRE-1812-60.pdf#page=6","Abrir facsímil")</f>
        <v>Abrir facsímil</v>
      </c>
      <c r="K8704" s="3" t="s">
        <v>32</v>
      </c>
    </row>
    <row r="8705" spans="1:11" ht="42" customHeight="1">
      <c r="A8705" s="2" t="s">
        <v>21731</v>
      </c>
      <c r="B8705" s="2" t="s">
        <v>21732</v>
      </c>
      <c r="C8705" s="2" t="s">
        <v>17</v>
      </c>
      <c r="D8705" s="2" t="s">
        <v>18</v>
      </c>
      <c r="E8705" s="4">
        <v>-31978</v>
      </c>
      <c r="F8705" s="3" t="s">
        <v>1790</v>
      </c>
      <c r="G8705" s="3" t="s">
        <v>58</v>
      </c>
      <c r="H8705" s="2" t="s">
        <v>30</v>
      </c>
      <c r="I8705" s="2" t="s">
        <v>21737</v>
      </c>
      <c r="J8705" s="3" t="str">
        <f>HYPERLINK("https://www.boe.es/gazeta/dias/1812/06/11/pdfs/GRE-1812-72.pdf#page=6","Abrir facsímil")</f>
        <v>Abrir facsímil</v>
      </c>
      <c r="K8705" s="3" t="s">
        <v>32</v>
      </c>
    </row>
    <row r="8706" spans="1:11" ht="42" customHeight="1">
      <c r="A8706" s="2" t="s">
        <v>21731</v>
      </c>
      <c r="B8706" s="2" t="s">
        <v>21732</v>
      </c>
      <c r="C8706" s="2" t="s">
        <v>26</v>
      </c>
      <c r="D8706" s="2" t="s">
        <v>27</v>
      </c>
      <c r="E8706" s="4">
        <v>-31915</v>
      </c>
      <c r="F8706" s="3" t="s">
        <v>1592</v>
      </c>
      <c r="G8706" s="3" t="s">
        <v>1593</v>
      </c>
      <c r="H8706" s="2" t="s">
        <v>30</v>
      </c>
      <c r="I8706" s="2" t="s">
        <v>21738</v>
      </c>
      <c r="J8706" s="3" t="str">
        <f>HYPERLINK("https://www.boe.es/gazeta/dias/1812/08/13/pdfs/GRE-1812-104.pdf#page=5","Abrir facsímil")</f>
        <v>Abrir facsímil</v>
      </c>
      <c r="K8706" s="3" t="s">
        <v>32</v>
      </c>
    </row>
    <row r="8707" spans="1:11" ht="42" customHeight="1">
      <c r="A8707" s="2" t="s">
        <v>21731</v>
      </c>
      <c r="B8707" s="2" t="s">
        <v>21732</v>
      </c>
      <c r="C8707" s="2" t="s">
        <v>17</v>
      </c>
      <c r="D8707" s="2" t="s">
        <v>275</v>
      </c>
      <c r="E8707" s="4">
        <v>-31836</v>
      </c>
      <c r="F8707" s="3" t="s">
        <v>729</v>
      </c>
      <c r="G8707" s="3" t="s">
        <v>11190</v>
      </c>
      <c r="H8707" s="2" t="s">
        <v>30</v>
      </c>
      <c r="I8707" s="2" t="s">
        <v>21739</v>
      </c>
      <c r="J8707" s="3" t="str">
        <f>HYPERLINK("https://www.boe.es/gazeta/dias/1812/10/31/pdfs/GRE-1812-146.pdf#page=3","Abrir facsímil")</f>
        <v>Abrir facsímil</v>
      </c>
      <c r="K8707" s="3" t="s">
        <v>32</v>
      </c>
    </row>
    <row r="8708" spans="1:11" ht="42" customHeight="1">
      <c r="A8708" s="2" t="s">
        <v>21740</v>
      </c>
      <c r="B8708" s="2" t="s">
        <v>21741</v>
      </c>
      <c r="C8708" s="2" t="s">
        <v>17</v>
      </c>
      <c r="D8708" s="2" t="s">
        <v>27</v>
      </c>
      <c r="E8708" s="4">
        <v>-32099</v>
      </c>
      <c r="F8708" s="3" t="s">
        <v>2566</v>
      </c>
      <c r="G8708" s="3" t="s">
        <v>8484</v>
      </c>
      <c r="H8708" s="2" t="s">
        <v>30</v>
      </c>
      <c r="I8708" s="2" t="s">
        <v>21742</v>
      </c>
      <c r="J8708" s="3" t="str">
        <f>HYPERLINK("https://www.boe.es/gazeta/dias/1812/02/11/pdfs/GRE-1812-18.pdf#page=1","Abrir facsímil")</f>
        <v>Abrir facsímil</v>
      </c>
      <c r="K8708" s="3" t="s">
        <v>32</v>
      </c>
    </row>
    <row r="8709" spans="1:11" ht="42" customHeight="1">
      <c r="A8709" s="2" t="s">
        <v>21743</v>
      </c>
      <c r="B8709" s="2" t="s">
        <v>21744</v>
      </c>
      <c r="C8709" s="2" t="s">
        <v>17</v>
      </c>
      <c r="D8709" s="2" t="s">
        <v>27</v>
      </c>
      <c r="E8709" s="4">
        <v>-31868</v>
      </c>
      <c r="F8709" s="3" t="s">
        <v>711</v>
      </c>
      <c r="G8709" s="3" t="s">
        <v>8849</v>
      </c>
      <c r="H8709" s="2" t="s">
        <v>30</v>
      </c>
      <c r="I8709" s="2" t="s">
        <v>21745</v>
      </c>
      <c r="J8709" s="3" t="str">
        <f>HYPERLINK("https://www.boe.es/gazeta/dias/1812/09/29/pdfs/GRE-1812-132.pdf#page=5","Abrir facsímil")</f>
        <v>Abrir facsímil</v>
      </c>
      <c r="K8709" s="3" t="s">
        <v>32</v>
      </c>
    </row>
    <row r="8710" spans="1:11" ht="42" customHeight="1">
      <c r="A8710" s="2" t="s">
        <v>21746</v>
      </c>
      <c r="B8710" s="2" t="s">
        <v>21747</v>
      </c>
      <c r="C8710" s="2" t="s">
        <v>17</v>
      </c>
      <c r="D8710" s="2" t="s">
        <v>194</v>
      </c>
      <c r="E8710" s="4">
        <v>-31794</v>
      </c>
      <c r="F8710" s="3" t="s">
        <v>3308</v>
      </c>
      <c r="G8710" s="3" t="s">
        <v>21748</v>
      </c>
      <c r="H8710" s="2" t="s">
        <v>30</v>
      </c>
      <c r="I8710" s="2" t="s">
        <v>21749</v>
      </c>
      <c r="J8710" s="3" t="str">
        <f>HYPERLINK("https://www.boe.es/gazeta/dias/1812/12/12/pdfs/GRE-1812-164.pdf#page=4","Abrir facsímil")</f>
        <v>Abrir facsímil</v>
      </c>
      <c r="K8710" s="3" t="s">
        <v>32</v>
      </c>
    </row>
    <row r="8711" spans="1:11" ht="42" customHeight="1">
      <c r="A8711" s="2" t="s">
        <v>21750</v>
      </c>
      <c r="B8711" s="2" t="s">
        <v>21751</v>
      </c>
      <c r="C8711" s="2" t="s">
        <v>26</v>
      </c>
      <c r="D8711" s="2" t="s">
        <v>27</v>
      </c>
      <c r="E8711" s="4">
        <v>-31868</v>
      </c>
      <c r="F8711" s="3" t="s">
        <v>1833</v>
      </c>
      <c r="G8711" s="3" t="s">
        <v>404</v>
      </c>
      <c r="H8711" s="2" t="s">
        <v>30</v>
      </c>
      <c r="I8711" s="2" t="s">
        <v>21752</v>
      </c>
      <c r="J8711" s="3" t="str">
        <f>HYPERLINK("https://www.boe.es/gazeta/dias/1812/09/29/pdfs/GMR-1812-20.pdf#page=16","Abrir facsímil")</f>
        <v>Abrir facsímil</v>
      </c>
      <c r="K8711" s="3" t="s">
        <v>32</v>
      </c>
    </row>
    <row r="8712" spans="1:11" ht="42" customHeight="1">
      <c r="A8712" s="2" t="s">
        <v>21753</v>
      </c>
      <c r="B8712" s="2" t="s">
        <v>21754</v>
      </c>
      <c r="C8712" s="2" t="s">
        <v>105</v>
      </c>
      <c r="D8712" s="2" t="s">
        <v>194</v>
      </c>
      <c r="E8712" s="4">
        <v>-31847</v>
      </c>
      <c r="F8712" s="3" t="s">
        <v>4133</v>
      </c>
      <c r="G8712" s="3" t="s">
        <v>237</v>
      </c>
      <c r="H8712" s="2" t="s">
        <v>30</v>
      </c>
      <c r="I8712" s="2" t="s">
        <v>21755</v>
      </c>
      <c r="J8712" s="3" t="str">
        <f>HYPERLINK("https://www.boe.es/gazeta/dias/1812/10/20/pdfs/GMR-1812-29.pdf#page=2","Abrir facsímil")</f>
        <v>Abrir facsímil</v>
      </c>
      <c r="K8712" s="3" t="s">
        <v>32</v>
      </c>
    </row>
    <row r="8713" spans="1:11" ht="42" customHeight="1">
      <c r="A8713" s="2" t="s">
        <v>21756</v>
      </c>
      <c r="B8713" s="2" t="s">
        <v>21757</v>
      </c>
      <c r="C8713" s="2" t="s">
        <v>17</v>
      </c>
      <c r="D8713" s="2" t="s">
        <v>18</v>
      </c>
      <c r="E8713" s="4">
        <v>-31894</v>
      </c>
      <c r="F8713" s="3" t="s">
        <v>793</v>
      </c>
      <c r="G8713" s="3" t="s">
        <v>11570</v>
      </c>
      <c r="H8713" s="2" t="s">
        <v>30</v>
      </c>
      <c r="I8713" s="2" t="s">
        <v>21758</v>
      </c>
      <c r="J8713" s="3" t="str">
        <f>HYPERLINK("https://www.boe.es/gazeta/dias/1812/09/03/pdfs/GRE-1812-119.pdf#page=6","Abrir facsímil")</f>
        <v>Abrir facsímil</v>
      </c>
      <c r="K8713" s="3" t="s">
        <v>32</v>
      </c>
    </row>
    <row r="8714" spans="1:11" ht="42" customHeight="1">
      <c r="A8714" s="2" t="s">
        <v>21759</v>
      </c>
      <c r="B8714" s="2" t="s">
        <v>21760</v>
      </c>
      <c r="C8714" s="2" t="s">
        <v>49</v>
      </c>
      <c r="D8714" s="2" t="s">
        <v>27</v>
      </c>
      <c r="E8714" s="4">
        <v>-32095</v>
      </c>
      <c r="F8714" s="3" t="s">
        <v>181</v>
      </c>
      <c r="G8714" s="3" t="s">
        <v>182</v>
      </c>
      <c r="H8714" s="2" t="s">
        <v>30</v>
      </c>
      <c r="I8714" s="2" t="s">
        <v>21761</v>
      </c>
      <c r="J8714" s="3" t="str">
        <f>HYPERLINK("https://www.boe.es/gazeta/dias/1812/02/15/pdfs/GMD-1812-47.pdf#page=4","Abrir facsímil")</f>
        <v>Abrir facsímil</v>
      </c>
      <c r="K8714" s="3" t="s">
        <v>32</v>
      </c>
    </row>
    <row r="8715" spans="1:11" ht="42" customHeight="1">
      <c r="A8715" s="2" t="s">
        <v>21759</v>
      </c>
      <c r="B8715" s="2" t="s">
        <v>21760</v>
      </c>
      <c r="C8715" s="2" t="s">
        <v>49</v>
      </c>
      <c r="D8715" s="2" t="s">
        <v>27</v>
      </c>
      <c r="E8715" s="4">
        <v>-32094</v>
      </c>
      <c r="F8715" s="3" t="s">
        <v>181</v>
      </c>
      <c r="G8715" s="3" t="s">
        <v>182</v>
      </c>
      <c r="H8715" s="2" t="s">
        <v>30</v>
      </c>
      <c r="I8715" s="2" t="s">
        <v>21761</v>
      </c>
      <c r="J8715" s="3" t="str">
        <f>HYPERLINK("https://www.boe.es/gazeta/dias/1812/02/16/pdfs/GMD-1812-47.pdf#page=4","Abrir facsímil")</f>
        <v>Abrir facsímil</v>
      </c>
      <c r="K8715" s="3" t="s">
        <v>32</v>
      </c>
    </row>
    <row r="8716" spans="1:11" ht="42" customHeight="1">
      <c r="A8716" s="2" t="s">
        <v>21762</v>
      </c>
      <c r="B8716" s="2" t="s">
        <v>21763</v>
      </c>
      <c r="C8716" s="2" t="s">
        <v>105</v>
      </c>
      <c r="D8716" s="2" t="s">
        <v>194</v>
      </c>
      <c r="E8716" s="4">
        <v>-31850</v>
      </c>
      <c r="F8716" s="3" t="s">
        <v>2178</v>
      </c>
      <c r="G8716" s="3" t="s">
        <v>1497</v>
      </c>
      <c r="H8716" s="2" t="s">
        <v>30</v>
      </c>
      <c r="I8716" s="2" t="s">
        <v>21764</v>
      </c>
      <c r="J8716" s="3" t="str">
        <f>HYPERLINK("https://www.boe.es/gazeta/dias/1812/10/17/pdfs/GRE-1812-140.pdf#page=2","Abrir facsímil")</f>
        <v>Abrir facsímil</v>
      </c>
      <c r="K8716" s="3" t="s">
        <v>32</v>
      </c>
    </row>
    <row r="8717" spans="1:11" ht="42" customHeight="1">
      <c r="A8717" s="2" t="s">
        <v>21765</v>
      </c>
      <c r="B8717" s="2" t="s">
        <v>21766</v>
      </c>
      <c r="C8717" s="2" t="s">
        <v>26</v>
      </c>
      <c r="D8717" s="2" t="s">
        <v>27</v>
      </c>
      <c r="E8717" s="4">
        <v>-32034</v>
      </c>
      <c r="F8717" s="3" t="s">
        <v>28</v>
      </c>
      <c r="G8717" s="3" t="s">
        <v>317</v>
      </c>
      <c r="H8717" s="2" t="s">
        <v>30</v>
      </c>
      <c r="I8717" s="2" t="s">
        <v>21767</v>
      </c>
      <c r="J8717" s="3" t="str">
        <f>HYPERLINK("https://www.boe.es/gazeta/dias/1812/04/16/pdfs/GMD-1812-107.pdf#page=6","Abrir facsímil")</f>
        <v>Abrir facsímil</v>
      </c>
      <c r="K8717" s="3" t="s">
        <v>32</v>
      </c>
    </row>
    <row r="8718" spans="1:11" ht="42" customHeight="1">
      <c r="A8718" s="2" t="s">
        <v>21768</v>
      </c>
      <c r="B8718" s="2" t="s">
        <v>21769</v>
      </c>
      <c r="C8718" s="2" t="s">
        <v>26</v>
      </c>
      <c r="D8718" s="2" t="s">
        <v>275</v>
      </c>
      <c r="E8718" s="4">
        <v>-31878</v>
      </c>
      <c r="F8718" s="3" t="s">
        <v>1831</v>
      </c>
      <c r="G8718" s="3" t="s">
        <v>3975</v>
      </c>
      <c r="H8718" s="2" t="s">
        <v>30</v>
      </c>
      <c r="I8718" s="2" t="s">
        <v>21770</v>
      </c>
      <c r="J8718" s="3" t="str">
        <f>HYPERLINK("https://www.boe.es/gazeta/dias/1812/09/19/pdfs/GMR-1812-16.pdf#page=9","Abrir facsímil")</f>
        <v>Abrir facsímil</v>
      </c>
      <c r="K8718" s="3" t="s">
        <v>32</v>
      </c>
    </row>
    <row r="8719" spans="1:11" ht="42" customHeight="1">
      <c r="A8719" s="2" t="s">
        <v>21771</v>
      </c>
      <c r="B8719" s="2" t="s">
        <v>21772</v>
      </c>
      <c r="C8719" s="2" t="s">
        <v>26</v>
      </c>
      <c r="D8719" s="2" t="s">
        <v>27</v>
      </c>
      <c r="E8719" s="4">
        <v>-31938</v>
      </c>
      <c r="F8719" s="3" t="s">
        <v>324</v>
      </c>
      <c r="G8719" s="3" t="s">
        <v>404</v>
      </c>
      <c r="H8719" s="2" t="s">
        <v>30</v>
      </c>
      <c r="I8719" s="2" t="s">
        <v>21773</v>
      </c>
      <c r="J8719" s="3" t="str">
        <f>HYPERLINK("https://www.boe.es/gazeta/dias/1812/07/21/pdfs/GMD-1812-203.pdf#page=4","Abrir facsímil")</f>
        <v>Abrir facsímil</v>
      </c>
      <c r="K8719" s="3" t="s">
        <v>32</v>
      </c>
    </row>
    <row r="8720" spans="1:11" ht="42" customHeight="1">
      <c r="A8720" s="2" t="s">
        <v>21774</v>
      </c>
      <c r="B8720" s="2" t="s">
        <v>21775</v>
      </c>
      <c r="C8720" s="2" t="s">
        <v>26</v>
      </c>
      <c r="D8720" s="2" t="s">
        <v>27</v>
      </c>
      <c r="E8720" s="4">
        <v>-31815</v>
      </c>
      <c r="F8720" s="3" t="s">
        <v>1167</v>
      </c>
      <c r="G8720" s="3" t="s">
        <v>1168</v>
      </c>
      <c r="H8720" s="2" t="s">
        <v>30</v>
      </c>
      <c r="I8720" s="2" t="s">
        <v>21776</v>
      </c>
      <c r="J8720" s="3" t="str">
        <f>HYPERLINK("https://www.boe.es/gazeta/dias/1812/11/21/pdfs/GRE-1812-155.pdf#page=1","Abrir facsímil")</f>
        <v>Abrir facsímil</v>
      </c>
      <c r="K8720" s="3" t="s">
        <v>32</v>
      </c>
    </row>
    <row r="8721" spans="1:11" ht="42" customHeight="1">
      <c r="A8721" s="2" t="s">
        <v>21777</v>
      </c>
      <c r="B8721" s="2" t="s">
        <v>21778</v>
      </c>
      <c r="C8721" s="2" t="s">
        <v>17</v>
      </c>
      <c r="D8721" s="2" t="s">
        <v>27</v>
      </c>
      <c r="E8721" s="4">
        <v>-31969</v>
      </c>
      <c r="F8721" s="3" t="s">
        <v>83</v>
      </c>
      <c r="G8721" s="3" t="s">
        <v>84</v>
      </c>
      <c r="H8721" s="2" t="s">
        <v>30</v>
      </c>
      <c r="I8721" s="2" t="s">
        <v>21779</v>
      </c>
      <c r="J8721" s="3" t="str">
        <f>HYPERLINK("https://www.boe.es/gazeta/dias/1812/06/20/pdfs/GRE-1812-76.pdf#page=8","Abrir facsímil")</f>
        <v>Abrir facsímil</v>
      </c>
      <c r="K8721" s="3" t="s">
        <v>32</v>
      </c>
    </row>
    <row r="8722" spans="1:11" ht="42" customHeight="1">
      <c r="A8722" s="2" t="s">
        <v>21780</v>
      </c>
      <c r="B8722" s="2" t="s">
        <v>21781</v>
      </c>
      <c r="C8722" s="2" t="s">
        <v>26</v>
      </c>
      <c r="D8722" s="2" t="s">
        <v>27</v>
      </c>
      <c r="E8722" s="4">
        <v>-32083</v>
      </c>
      <c r="F8722" s="3" t="s">
        <v>1496</v>
      </c>
      <c r="G8722" s="3" t="s">
        <v>1845</v>
      </c>
      <c r="H8722" s="2" t="s">
        <v>30</v>
      </c>
      <c r="I8722" s="2" t="s">
        <v>21782</v>
      </c>
      <c r="J8722" s="3" t="str">
        <f>HYPERLINK("https://www.boe.es/gazeta/dias/1812/02/27/pdfs/GRE-1812-26.pdf#page=2","Abrir facsímil")</f>
        <v>Abrir facsímil</v>
      </c>
      <c r="K8722" s="3" t="s">
        <v>32</v>
      </c>
    </row>
    <row r="8723" spans="1:11" ht="42" customHeight="1">
      <c r="A8723" s="2" t="s">
        <v>21783</v>
      </c>
      <c r="B8723" s="2" t="s">
        <v>21784</v>
      </c>
      <c r="C8723" s="2" t="s">
        <v>26</v>
      </c>
      <c r="D8723" s="2" t="s">
        <v>27</v>
      </c>
      <c r="E8723" s="4">
        <v>-31992</v>
      </c>
      <c r="F8723" s="3" t="s">
        <v>1292</v>
      </c>
      <c r="G8723" s="3" t="s">
        <v>1424</v>
      </c>
      <c r="H8723" s="2" t="s">
        <v>30</v>
      </c>
      <c r="I8723" s="2" t="s">
        <v>21785</v>
      </c>
      <c r="J8723" s="3" t="str">
        <f>HYPERLINK("https://www.boe.es/gazeta/dias/1812/05/28/pdfs/GRE-1812-66.pdf#page=5","Abrir facsímil")</f>
        <v>Abrir facsímil</v>
      </c>
      <c r="K8723" s="3" t="s">
        <v>32</v>
      </c>
    </row>
    <row r="8724" spans="1:11" ht="42" customHeight="1">
      <c r="A8724" s="2" t="s">
        <v>21786</v>
      </c>
      <c r="B8724" s="2" t="s">
        <v>21787</v>
      </c>
      <c r="C8724" s="2" t="s">
        <v>17</v>
      </c>
      <c r="D8724" s="2" t="s">
        <v>27</v>
      </c>
      <c r="E8724" s="4">
        <v>-32067</v>
      </c>
      <c r="F8724" s="3" t="s">
        <v>199</v>
      </c>
      <c r="G8724" s="3" t="s">
        <v>237</v>
      </c>
      <c r="H8724" s="2" t="s">
        <v>30</v>
      </c>
      <c r="I8724" s="2" t="s">
        <v>21788</v>
      </c>
      <c r="J8724" s="3" t="str">
        <f>HYPERLINK("https://www.boe.es/gazeta/dias/1812/03/14/pdfs/GRE-1812-33.pdf#page=8","Abrir facsímil")</f>
        <v>Abrir facsímil</v>
      </c>
      <c r="K8724" s="3" t="s">
        <v>32</v>
      </c>
    </row>
    <row r="8725" spans="1:11" ht="42" customHeight="1">
      <c r="A8725" s="2" t="s">
        <v>21789</v>
      </c>
      <c r="B8725" s="2" t="s">
        <v>21790</v>
      </c>
      <c r="C8725" s="2" t="s">
        <v>26</v>
      </c>
      <c r="D8725" s="2" t="s">
        <v>27</v>
      </c>
      <c r="E8725" s="4">
        <v>-32001</v>
      </c>
      <c r="F8725" s="3" t="s">
        <v>1938</v>
      </c>
      <c r="G8725" s="3" t="s">
        <v>1939</v>
      </c>
      <c r="H8725" s="2" t="s">
        <v>30</v>
      </c>
      <c r="I8725" s="2" t="s">
        <v>21791</v>
      </c>
      <c r="J8725" s="3" t="str">
        <f>HYPERLINK("https://www.boe.es/gazeta/dias/1812/05/19/pdfs/GRE-1812-62.pdf#page=7","Abrir facsímil")</f>
        <v>Abrir facsímil</v>
      </c>
      <c r="K8725" s="3" t="s">
        <v>32</v>
      </c>
    </row>
    <row r="8726" spans="1:11" ht="42" customHeight="1">
      <c r="A8726" s="2" t="s">
        <v>21792</v>
      </c>
      <c r="B8726" s="2" t="s">
        <v>21793</v>
      </c>
      <c r="C8726" s="2" t="s">
        <v>26</v>
      </c>
      <c r="D8726" s="2" t="s">
        <v>27</v>
      </c>
      <c r="E8726" s="4">
        <v>-32018</v>
      </c>
      <c r="F8726" s="3" t="s">
        <v>365</v>
      </c>
      <c r="G8726" s="3" t="s">
        <v>688</v>
      </c>
      <c r="H8726" s="2" t="s">
        <v>30</v>
      </c>
      <c r="I8726" s="2" t="s">
        <v>21794</v>
      </c>
      <c r="J8726" s="3" t="str">
        <f>HYPERLINK("https://www.boe.es/gazeta/dias/1812/05/02/pdfs/GRE-1812-55.pdf#page=8","Abrir facsímil")</f>
        <v>Abrir facsímil</v>
      </c>
      <c r="K8726" s="3" t="s">
        <v>32</v>
      </c>
    </row>
    <row r="8727" spans="1:11" ht="42" customHeight="1">
      <c r="A8727" s="2" t="s">
        <v>21795</v>
      </c>
      <c r="B8727" s="2" t="s">
        <v>21796</v>
      </c>
      <c r="C8727" s="2" t="s">
        <v>26</v>
      </c>
      <c r="D8727" s="2" t="s">
        <v>27</v>
      </c>
      <c r="E8727" s="4">
        <v>-32016</v>
      </c>
      <c r="F8727" s="3" t="s">
        <v>11319</v>
      </c>
      <c r="G8727" s="3" t="s">
        <v>214</v>
      </c>
      <c r="H8727" s="2" t="s">
        <v>30</v>
      </c>
      <c r="I8727" s="2" t="s">
        <v>21797</v>
      </c>
      <c r="J8727" s="3" t="str">
        <f>HYPERLINK("https://www.boe.es/gazeta/dias/1812/05/04/pdfs/GMD-1812-125.pdf#page=3","Abrir facsímil")</f>
        <v>Abrir facsímil</v>
      </c>
      <c r="K8727" s="3" t="s">
        <v>32</v>
      </c>
    </row>
    <row r="8728" spans="1:11" ht="42" customHeight="1">
      <c r="A8728" s="2" t="s">
        <v>21798</v>
      </c>
      <c r="B8728" s="2" t="s">
        <v>21799</v>
      </c>
      <c r="C8728" s="2" t="s">
        <v>26</v>
      </c>
      <c r="D8728" s="2" t="s">
        <v>27</v>
      </c>
      <c r="E8728" s="4">
        <v>-32034</v>
      </c>
      <c r="F8728" s="3" t="s">
        <v>28</v>
      </c>
      <c r="G8728" s="3" t="s">
        <v>130</v>
      </c>
      <c r="H8728" s="2" t="s">
        <v>30</v>
      </c>
      <c r="I8728" s="2" t="s">
        <v>21800</v>
      </c>
      <c r="J8728" s="3" t="str">
        <f>HYPERLINK("https://www.boe.es/gazeta/dias/1812/04/16/pdfs/GMD-1812-107.pdf#page=4","Abrir facsímil")</f>
        <v>Abrir facsímil</v>
      </c>
      <c r="K8728" s="3" t="s">
        <v>32</v>
      </c>
    </row>
    <row r="8729" spans="1:11" ht="42" customHeight="1">
      <c r="A8729" s="2" t="s">
        <v>21801</v>
      </c>
      <c r="B8729" s="2" t="s">
        <v>21802</v>
      </c>
      <c r="C8729" s="2" t="s">
        <v>26</v>
      </c>
      <c r="D8729" s="2" t="s">
        <v>27</v>
      </c>
      <c r="E8729" s="4">
        <v>-31859</v>
      </c>
      <c r="F8729" s="3" t="s">
        <v>158</v>
      </c>
      <c r="G8729" s="3" t="s">
        <v>1497</v>
      </c>
      <c r="H8729" s="2" t="s">
        <v>30</v>
      </c>
      <c r="I8729" s="2" t="s">
        <v>21803</v>
      </c>
      <c r="J8729" s="3" t="str">
        <f>HYPERLINK("https://www.boe.es/gazeta/dias/1812/10/08/pdfs/GMR-1812-24.pdf#page=7","Abrir facsímil")</f>
        <v>Abrir facsímil</v>
      </c>
      <c r="K8729" s="3" t="s">
        <v>32</v>
      </c>
    </row>
    <row r="8730" spans="1:11" ht="42" customHeight="1">
      <c r="A8730" s="2" t="s">
        <v>21804</v>
      </c>
      <c r="B8730" s="2" t="s">
        <v>21805</v>
      </c>
      <c r="C8730" s="2" t="s">
        <v>26</v>
      </c>
      <c r="D8730" s="2" t="s">
        <v>27</v>
      </c>
      <c r="E8730" s="4">
        <v>-31955</v>
      </c>
      <c r="F8730" s="3" t="s">
        <v>789</v>
      </c>
      <c r="G8730" s="3" t="s">
        <v>237</v>
      </c>
      <c r="H8730" s="2" t="s">
        <v>30</v>
      </c>
      <c r="I8730" s="2" t="s">
        <v>21806</v>
      </c>
      <c r="J8730" s="3" t="str">
        <f>HYPERLINK("https://www.boe.es/gazeta/dias/1812/07/04/pdfs/GRE-1812-82.pdf#page=8","Abrir facsímil")</f>
        <v>Abrir facsímil</v>
      </c>
      <c r="K8730" s="3" t="s">
        <v>32</v>
      </c>
    </row>
    <row r="8731" spans="1:11" ht="42" customHeight="1">
      <c r="A8731" s="2" t="s">
        <v>21807</v>
      </c>
      <c r="B8731" s="2" t="s">
        <v>21808</v>
      </c>
      <c r="C8731" s="2" t="s">
        <v>49</v>
      </c>
      <c r="D8731" s="2" t="s">
        <v>18</v>
      </c>
      <c r="E8731" s="4">
        <v>-31843</v>
      </c>
      <c r="F8731" s="3" t="s">
        <v>3493</v>
      </c>
      <c r="G8731" s="3" t="s">
        <v>1980</v>
      </c>
      <c r="H8731" s="2" t="s">
        <v>30</v>
      </c>
      <c r="I8731" s="2" t="s">
        <v>21809</v>
      </c>
      <c r="J8731" s="3" t="str">
        <f>HYPERLINK("https://www.boe.es/gazeta/dias/1812/10/24/pdfs/GMR-1812-31.pdf#page=5","Abrir facsímil")</f>
        <v>Abrir facsímil</v>
      </c>
      <c r="K8731" s="3" t="s">
        <v>32</v>
      </c>
    </row>
    <row r="8732" spans="1:11" ht="42" customHeight="1">
      <c r="A8732" s="2" t="s">
        <v>21810</v>
      </c>
      <c r="B8732" s="2" t="s">
        <v>21811</v>
      </c>
      <c r="C8732" s="2" t="s">
        <v>17</v>
      </c>
      <c r="D8732" s="2" t="s">
        <v>134</v>
      </c>
      <c r="E8732" s="4">
        <v>-31983</v>
      </c>
      <c r="F8732" s="3" t="s">
        <v>1437</v>
      </c>
      <c r="G8732" s="3" t="s">
        <v>1438</v>
      </c>
      <c r="H8732" s="2" t="s">
        <v>30</v>
      </c>
      <c r="I8732" s="2" t="s">
        <v>21812</v>
      </c>
      <c r="J8732" s="3" t="str">
        <f>HYPERLINK("https://www.boe.es/gazeta/dias/1812/06/06/pdfs/GRE-F-1812-70.pdf#page=4","Abrir facsímil")</f>
        <v>Abrir facsímil</v>
      </c>
      <c r="K8732" s="3" t="s">
        <v>32</v>
      </c>
    </row>
    <row r="8733" spans="1:11" ht="42" customHeight="1">
      <c r="A8733" s="2" t="s">
        <v>21813</v>
      </c>
      <c r="B8733" s="2" t="s">
        <v>21814</v>
      </c>
      <c r="C8733" s="2" t="s">
        <v>82</v>
      </c>
      <c r="D8733" s="2" t="s">
        <v>27</v>
      </c>
      <c r="E8733" s="4">
        <v>-31963</v>
      </c>
      <c r="F8733" s="3" t="s">
        <v>171</v>
      </c>
      <c r="G8733" s="3" t="s">
        <v>172</v>
      </c>
      <c r="H8733" s="2" t="s">
        <v>30</v>
      </c>
      <c r="I8733" s="2" t="s">
        <v>21815</v>
      </c>
      <c r="J8733" s="3" t="str">
        <f>HYPERLINK("https://www.boe.es/gazeta/dias/1812/06/26/pdfs/GMD-1812-178.pdf#page=3","Abrir facsímil")</f>
        <v>Abrir facsímil</v>
      </c>
      <c r="K8733" s="3" t="s">
        <v>32</v>
      </c>
    </row>
    <row r="8734" spans="1:11" ht="42" customHeight="1">
      <c r="A8734" s="2" t="s">
        <v>21816</v>
      </c>
      <c r="B8734" s="2" t="s">
        <v>21817</v>
      </c>
      <c r="C8734" s="2" t="s">
        <v>26</v>
      </c>
      <c r="D8734" s="2" t="s">
        <v>27</v>
      </c>
      <c r="E8734" s="4">
        <v>-32010</v>
      </c>
      <c r="F8734" s="3" t="s">
        <v>243</v>
      </c>
      <c r="G8734" s="3" t="s">
        <v>45</v>
      </c>
      <c r="H8734" s="2" t="s">
        <v>30</v>
      </c>
      <c r="I8734" s="2" t="s">
        <v>21818</v>
      </c>
      <c r="J8734" s="3" t="str">
        <f>HYPERLINK("https://www.boe.es/gazeta/dias/1812/05/10/pdfs/GMD-1812-131.pdf#page=3","Abrir facsímil")</f>
        <v>Abrir facsímil</v>
      </c>
      <c r="K8734" s="3" t="s">
        <v>32</v>
      </c>
    </row>
    <row r="8735" spans="1:11" ht="42" customHeight="1">
      <c r="A8735" s="2" t="s">
        <v>21819</v>
      </c>
      <c r="B8735" s="2" t="s">
        <v>21820</v>
      </c>
      <c r="C8735" s="2" t="s">
        <v>26</v>
      </c>
      <c r="D8735" s="2" t="s">
        <v>27</v>
      </c>
      <c r="E8735" s="4">
        <v>-31963</v>
      </c>
      <c r="F8735" s="3" t="s">
        <v>171</v>
      </c>
      <c r="G8735" s="3" t="s">
        <v>172</v>
      </c>
      <c r="H8735" s="2" t="s">
        <v>30</v>
      </c>
      <c r="I8735" s="2" t="s">
        <v>21821</v>
      </c>
      <c r="J8735" s="3" t="str">
        <f>HYPERLINK("https://www.boe.es/gazeta/dias/1812/06/26/pdfs/GMD-1812-178.pdf#page=3","Abrir facsímil")</f>
        <v>Abrir facsímil</v>
      </c>
      <c r="K8735" s="3" t="s">
        <v>32</v>
      </c>
    </row>
    <row r="8736" spans="1:11" ht="42" customHeight="1">
      <c r="A8736" s="2" t="s">
        <v>21822</v>
      </c>
      <c r="B8736" s="2" t="s">
        <v>21823</v>
      </c>
      <c r="C8736" s="2" t="s">
        <v>105</v>
      </c>
      <c r="D8736" s="2" t="s">
        <v>27</v>
      </c>
      <c r="E8736" s="4">
        <v>-31962</v>
      </c>
      <c r="F8736" s="3" t="s">
        <v>153</v>
      </c>
      <c r="G8736" s="3" t="s">
        <v>154</v>
      </c>
      <c r="H8736" s="2" t="s">
        <v>30</v>
      </c>
      <c r="I8736" s="2" t="s">
        <v>21824</v>
      </c>
      <c r="J8736" s="3" t="str">
        <f>HYPERLINK("https://www.boe.es/gazeta/dias/1812/06/27/pdfs/GRE-1812-79.pdf#page=8","Abrir facsímil")</f>
        <v>Abrir facsímil</v>
      </c>
      <c r="K8736" s="3" t="s">
        <v>32</v>
      </c>
    </row>
    <row r="8737" spans="1:11" ht="42" customHeight="1">
      <c r="A8737" s="2" t="s">
        <v>21825</v>
      </c>
      <c r="B8737" s="2" t="s">
        <v>21826</v>
      </c>
      <c r="C8737" s="2" t="s">
        <v>17</v>
      </c>
      <c r="D8737" s="2" t="s">
        <v>27</v>
      </c>
      <c r="E8737" s="4">
        <v>-32095</v>
      </c>
      <c r="F8737" s="3" t="s">
        <v>284</v>
      </c>
      <c r="G8737" s="3" t="s">
        <v>36</v>
      </c>
      <c r="H8737" s="2" t="s">
        <v>30</v>
      </c>
      <c r="I8737" s="2" t="s">
        <v>21827</v>
      </c>
      <c r="J8737" s="3" t="str">
        <f>HYPERLINK("https://www.boe.es/gazeta/dias/1812/02/15/pdfs/GRE-1812-20.pdf#page=3","Abrir facsímil")</f>
        <v>Abrir facsímil</v>
      </c>
      <c r="K8737" s="3" t="s">
        <v>32</v>
      </c>
    </row>
    <row r="8738" spans="1:11" ht="42" customHeight="1">
      <c r="A8738" s="2" t="s">
        <v>21828</v>
      </c>
      <c r="B8738" s="2" t="s">
        <v>21829</v>
      </c>
      <c r="C8738" s="2" t="s">
        <v>17</v>
      </c>
      <c r="D8738" s="2" t="s">
        <v>275</v>
      </c>
      <c r="E8738" s="4">
        <v>-31889</v>
      </c>
      <c r="F8738" s="3" t="s">
        <v>699</v>
      </c>
      <c r="G8738" s="3" t="s">
        <v>20</v>
      </c>
      <c r="H8738" s="2" t="s">
        <v>30</v>
      </c>
      <c r="I8738" s="2" t="s">
        <v>21830</v>
      </c>
      <c r="J8738" s="3" t="str">
        <f>HYPERLINK("https://www.boe.es/gazeta/dias/1812/09/08/pdfs/GMR-1812-11.pdf#page=8","Abrir facsímil")</f>
        <v>Abrir facsímil</v>
      </c>
      <c r="K8738" s="3" t="s">
        <v>32</v>
      </c>
    </row>
    <row r="8739" spans="1:11" ht="42" customHeight="1">
      <c r="A8739" s="2" t="s">
        <v>21831</v>
      </c>
      <c r="B8739" s="2" t="s">
        <v>21832</v>
      </c>
      <c r="C8739" s="2" t="s">
        <v>26</v>
      </c>
      <c r="D8739" s="2" t="s">
        <v>27</v>
      </c>
      <c r="E8739" s="4">
        <v>-31785</v>
      </c>
      <c r="F8739" s="3" t="s">
        <v>6632</v>
      </c>
      <c r="G8739" s="3" t="s">
        <v>6633</v>
      </c>
      <c r="H8739" s="2" t="s">
        <v>30</v>
      </c>
      <c r="I8739" s="2" t="s">
        <v>21833</v>
      </c>
      <c r="J8739" s="3" t="str">
        <f>HYPERLINK("https://www.boe.es/gazeta/dias/1812/12/21/pdfs/GMD-1812-244.pdf#page=4","Abrir facsímil")</f>
        <v>Abrir facsímil</v>
      </c>
      <c r="K8739" s="3" t="s">
        <v>32</v>
      </c>
    </row>
    <row r="8740" spans="1:11" ht="42" customHeight="1">
      <c r="A8740" s="2" t="s">
        <v>21834</v>
      </c>
      <c r="B8740" s="2" t="s">
        <v>21835</v>
      </c>
      <c r="C8740" s="2" t="s">
        <v>26</v>
      </c>
      <c r="D8740" s="2" t="s">
        <v>27</v>
      </c>
      <c r="E8740" s="4">
        <v>-32034</v>
      </c>
      <c r="F8740" s="3" t="s">
        <v>28</v>
      </c>
      <c r="G8740" s="3" t="s">
        <v>317</v>
      </c>
      <c r="H8740" s="2" t="s">
        <v>30</v>
      </c>
      <c r="I8740" s="2" t="s">
        <v>21836</v>
      </c>
      <c r="J8740" s="3" t="str">
        <f>HYPERLINK("https://www.boe.es/gazeta/dias/1812/04/16/pdfs/GMD-1812-107.pdf#page=6","Abrir facsímil")</f>
        <v>Abrir facsímil</v>
      </c>
      <c r="K8740" s="3" t="s">
        <v>32</v>
      </c>
    </row>
    <row r="8741" spans="1:11" ht="42" customHeight="1">
      <c r="A8741" s="2" t="s">
        <v>21837</v>
      </c>
      <c r="B8741" s="2" t="s">
        <v>21838</v>
      </c>
      <c r="C8741" s="2" t="s">
        <v>17</v>
      </c>
      <c r="D8741" s="2" t="s">
        <v>18</v>
      </c>
      <c r="E8741" s="4">
        <v>-32003</v>
      </c>
      <c r="F8741" s="3" t="s">
        <v>585</v>
      </c>
      <c r="G8741" s="3" t="s">
        <v>1805</v>
      </c>
      <c r="H8741" s="2" t="s">
        <v>30</v>
      </c>
      <c r="I8741" s="2" t="s">
        <v>21839</v>
      </c>
      <c r="J8741" s="3" t="str">
        <f>HYPERLINK("https://www.boe.es/gazeta/dias/1812/05/17/pdfs/GMD-1812-138.pdf#page=1","Abrir facsímil")</f>
        <v>Abrir facsímil</v>
      </c>
      <c r="K8741" s="3" t="s">
        <v>32</v>
      </c>
    </row>
    <row r="8742" spans="1:11" ht="42" customHeight="1">
      <c r="A8742" s="2" t="s">
        <v>21840</v>
      </c>
      <c r="B8742" s="2" t="s">
        <v>21841</v>
      </c>
      <c r="C8742" s="2" t="s">
        <v>26</v>
      </c>
      <c r="D8742" s="2" t="s">
        <v>27</v>
      </c>
      <c r="E8742" s="4">
        <v>-32075</v>
      </c>
      <c r="F8742" s="3" t="s">
        <v>301</v>
      </c>
      <c r="G8742" s="3" t="s">
        <v>20</v>
      </c>
      <c r="H8742" s="2" t="s">
        <v>30</v>
      </c>
      <c r="I8742" s="2" t="s">
        <v>21842</v>
      </c>
      <c r="J8742" s="3" t="str">
        <f>HYPERLINK("https://www.boe.es/gazeta/dias/1812/03/06/pdfs/GMD-1812-66.pdf#page=4","Abrir facsímil")</f>
        <v>Abrir facsímil</v>
      </c>
      <c r="K8742" s="3" t="s">
        <v>32</v>
      </c>
    </row>
    <row r="8743" spans="1:11" ht="42" customHeight="1">
      <c r="A8743" s="2" t="s">
        <v>21843</v>
      </c>
      <c r="B8743" s="2" t="s">
        <v>21844</v>
      </c>
      <c r="C8743" s="2" t="s">
        <v>26</v>
      </c>
      <c r="D8743" s="2" t="s">
        <v>27</v>
      </c>
      <c r="E8743" s="4">
        <v>-32118</v>
      </c>
      <c r="F8743" s="3" t="s">
        <v>964</v>
      </c>
      <c r="G8743" s="3" t="s">
        <v>965</v>
      </c>
      <c r="H8743" s="2" t="s">
        <v>30</v>
      </c>
      <c r="I8743" s="2" t="s">
        <v>21845</v>
      </c>
      <c r="J8743" s="3" t="str">
        <f>HYPERLINK("https://www.boe.es/gazeta/dias/1812/01/23/pdfs/GEI-H-1812-10.pdf#page=4","Abrir facsímil")</f>
        <v>Abrir facsímil</v>
      </c>
      <c r="K8743" s="3" t="s">
        <v>32</v>
      </c>
    </row>
    <row r="8744" spans="1:11" ht="42" customHeight="1">
      <c r="A8744" s="2" t="s">
        <v>21846</v>
      </c>
      <c r="B8744" s="2" t="s">
        <v>21847</v>
      </c>
      <c r="C8744" s="2" t="s">
        <v>26</v>
      </c>
      <c r="D8744" s="2" t="s">
        <v>27</v>
      </c>
      <c r="E8744" s="4">
        <v>-32011</v>
      </c>
      <c r="F8744" s="3" t="s">
        <v>1656</v>
      </c>
      <c r="G8744" s="3" t="s">
        <v>777</v>
      </c>
      <c r="H8744" s="2" t="s">
        <v>30</v>
      </c>
      <c r="I8744" s="2" t="s">
        <v>21848</v>
      </c>
      <c r="J8744" s="3" t="str">
        <f>HYPERLINK("https://www.boe.es/gazeta/dias/1812/05/09/pdfs/GMD-1812-130.pdf#page=2","Abrir facsímil")</f>
        <v>Abrir facsímil</v>
      </c>
      <c r="K8744" s="3" t="s">
        <v>32</v>
      </c>
    </row>
    <row r="8745" spans="1:11" ht="42" customHeight="1">
      <c r="A8745" s="2" t="s">
        <v>21849</v>
      </c>
      <c r="B8745" s="2" t="s">
        <v>21850</v>
      </c>
      <c r="C8745" s="2" t="s">
        <v>26</v>
      </c>
      <c r="D8745" s="2" t="s">
        <v>27</v>
      </c>
      <c r="E8745" s="4">
        <v>-31857</v>
      </c>
      <c r="F8745" s="3" t="s">
        <v>2176</v>
      </c>
      <c r="G8745" s="3" t="s">
        <v>237</v>
      </c>
      <c r="H8745" s="2" t="s">
        <v>30</v>
      </c>
      <c r="I8745" s="2" t="s">
        <v>21851</v>
      </c>
      <c r="J8745" s="3" t="str">
        <f>HYPERLINK("https://www.boe.es/gazeta/dias/1812/10/10/pdfs/GMR-1812-25.pdf#page=6","Abrir facsímil")</f>
        <v>Abrir facsímil</v>
      </c>
      <c r="K8745" s="3" t="s">
        <v>32</v>
      </c>
    </row>
    <row r="8746" spans="1:11" ht="42" customHeight="1">
      <c r="A8746" s="2" t="s">
        <v>21852</v>
      </c>
      <c r="B8746" s="2" t="s">
        <v>21853</v>
      </c>
      <c r="C8746" s="2" t="s">
        <v>67</v>
      </c>
      <c r="D8746" s="2" t="s">
        <v>27</v>
      </c>
      <c r="E8746" s="4">
        <v>-32044</v>
      </c>
      <c r="F8746" s="3" t="s">
        <v>1031</v>
      </c>
      <c r="G8746" s="3" t="s">
        <v>1873</v>
      </c>
      <c r="H8746" s="2" t="s">
        <v>30</v>
      </c>
      <c r="I8746" s="2" t="s">
        <v>21854</v>
      </c>
      <c r="J8746" s="3" t="str">
        <f>HYPERLINK("https://www.boe.es/gazeta/dias/1812/04/06/pdfs/GMD-1812-97.pdf#page=4","Abrir facsímil")</f>
        <v>Abrir facsímil</v>
      </c>
      <c r="K8746" s="3" t="s">
        <v>32</v>
      </c>
    </row>
    <row r="8747" spans="1:11" ht="42" customHeight="1">
      <c r="A8747" s="2" t="s">
        <v>21855</v>
      </c>
      <c r="B8747" s="2" t="s">
        <v>21856</v>
      </c>
      <c r="C8747" s="2" t="s">
        <v>49</v>
      </c>
      <c r="D8747" s="2" t="s">
        <v>18</v>
      </c>
      <c r="E8747" s="4">
        <v>-31992</v>
      </c>
      <c r="F8747" s="3" t="s">
        <v>1292</v>
      </c>
      <c r="G8747" s="3" t="s">
        <v>1424</v>
      </c>
      <c r="H8747" s="2" t="s">
        <v>30</v>
      </c>
      <c r="I8747" s="2" t="s">
        <v>21857</v>
      </c>
      <c r="J8747" s="3" t="str">
        <f>HYPERLINK("https://www.boe.es/gazeta/dias/1812/05/28/pdfs/GRE-1812-66.pdf#page=5","Abrir facsímil")</f>
        <v>Abrir facsímil</v>
      </c>
      <c r="K8747" s="3" t="s">
        <v>32</v>
      </c>
    </row>
    <row r="8748" spans="1:11" ht="42" customHeight="1">
      <c r="A8748" s="2" t="s">
        <v>21858</v>
      </c>
      <c r="B8748" s="2" t="s">
        <v>21859</v>
      </c>
      <c r="C8748" s="2" t="s">
        <v>17</v>
      </c>
      <c r="D8748" s="2" t="s">
        <v>18</v>
      </c>
      <c r="E8748" s="4">
        <v>-32135</v>
      </c>
      <c r="F8748" s="3" t="s">
        <v>4558</v>
      </c>
      <c r="G8748" s="3" t="s">
        <v>1907</v>
      </c>
      <c r="H8748" s="2" t="s">
        <v>30</v>
      </c>
      <c r="I8748" s="2" t="s">
        <v>21860</v>
      </c>
      <c r="J8748" s="3" t="str">
        <f>HYPERLINK("https://www.boe.es/gazeta/dias/1812/01/06/pdfs/GMD-1812-7.pdf#page=4","Abrir facsímil")</f>
        <v>Abrir facsímil</v>
      </c>
      <c r="K8748" s="3" t="s">
        <v>32</v>
      </c>
    </row>
    <row r="8749" spans="1:11" ht="42" customHeight="1">
      <c r="A8749" s="2" t="s">
        <v>21858</v>
      </c>
      <c r="B8749" s="2" t="s">
        <v>21859</v>
      </c>
      <c r="C8749" s="2" t="s">
        <v>17</v>
      </c>
      <c r="D8749" s="2" t="s">
        <v>18</v>
      </c>
      <c r="E8749" s="4">
        <v>-32134</v>
      </c>
      <c r="F8749" s="3" t="s">
        <v>4558</v>
      </c>
      <c r="G8749" s="3" t="s">
        <v>1907</v>
      </c>
      <c r="H8749" s="2" t="s">
        <v>30</v>
      </c>
      <c r="I8749" s="2" t="s">
        <v>21860</v>
      </c>
      <c r="J8749" s="3" t="str">
        <f>HYPERLINK("https://www.boe.es/gazeta/dias/1812/01/07/pdfs/GMD-1812-7.pdf#page=4","Abrir facsímil")</f>
        <v>Abrir facsímil</v>
      </c>
      <c r="K8749" s="3" t="s">
        <v>32</v>
      </c>
    </row>
    <row r="8750" spans="1:11" ht="42" customHeight="1">
      <c r="A8750" s="2" t="s">
        <v>21861</v>
      </c>
      <c r="B8750" s="2" t="s">
        <v>21862</v>
      </c>
      <c r="C8750" s="2" t="s">
        <v>26</v>
      </c>
      <c r="D8750" s="2" t="s">
        <v>27</v>
      </c>
      <c r="E8750" s="4">
        <v>-31938</v>
      </c>
      <c r="F8750" s="3" t="s">
        <v>324</v>
      </c>
      <c r="G8750" s="3" t="s">
        <v>497</v>
      </c>
      <c r="H8750" s="2" t="s">
        <v>30</v>
      </c>
      <c r="I8750" s="2" t="s">
        <v>21863</v>
      </c>
      <c r="J8750" s="3" t="str">
        <f>HYPERLINK("https://www.boe.es/gazeta/dias/1812/07/21/pdfs/GMD-1812-203.pdf#page=3","Abrir facsímil")</f>
        <v>Abrir facsímil</v>
      </c>
      <c r="K8750" s="3" t="s">
        <v>32</v>
      </c>
    </row>
    <row r="8751" spans="1:11" ht="42" customHeight="1">
      <c r="A8751" s="2" t="s">
        <v>21864</v>
      </c>
      <c r="B8751" s="2" t="s">
        <v>21865</v>
      </c>
      <c r="C8751" s="2" t="s">
        <v>26</v>
      </c>
      <c r="D8751" s="2" t="s">
        <v>27</v>
      </c>
      <c r="E8751" s="4">
        <v>-31938</v>
      </c>
      <c r="F8751" s="3" t="s">
        <v>324</v>
      </c>
      <c r="G8751" s="3" t="s">
        <v>497</v>
      </c>
      <c r="H8751" s="2" t="s">
        <v>30</v>
      </c>
      <c r="I8751" s="2" t="s">
        <v>21866</v>
      </c>
      <c r="J8751" s="3" t="str">
        <f>HYPERLINK("https://www.boe.es/gazeta/dias/1812/07/21/pdfs/GMD-1812-203.pdf#page=3","Abrir facsímil")</f>
        <v>Abrir facsímil</v>
      </c>
      <c r="K8751" s="3" t="s">
        <v>32</v>
      </c>
    </row>
    <row r="8752" spans="1:11" ht="42" customHeight="1">
      <c r="A8752" s="2" t="s">
        <v>21867</v>
      </c>
      <c r="B8752" s="2" t="s">
        <v>21868</v>
      </c>
      <c r="C8752" s="2" t="s">
        <v>26</v>
      </c>
      <c r="D8752" s="2" t="s">
        <v>27</v>
      </c>
      <c r="E8752" s="4">
        <v>-31822</v>
      </c>
      <c r="F8752" s="3" t="s">
        <v>541</v>
      </c>
      <c r="G8752" s="3" t="s">
        <v>214</v>
      </c>
      <c r="H8752" s="2" t="s">
        <v>30</v>
      </c>
      <c r="I8752" s="2" t="s">
        <v>21869</v>
      </c>
      <c r="J8752" s="3" t="str">
        <f>HYPERLINK("https://www.boe.es/gazeta/dias/1812/11/14/pdfs/GRE-1812-152.pdf#page=3","Abrir facsímil")</f>
        <v>Abrir facsímil</v>
      </c>
      <c r="K8752" s="3" t="s">
        <v>32</v>
      </c>
    </row>
    <row r="8753" spans="1:11" ht="42" customHeight="1">
      <c r="A8753" s="2" t="s">
        <v>21870</v>
      </c>
      <c r="B8753" s="2" t="s">
        <v>21871</v>
      </c>
      <c r="C8753" s="2" t="s">
        <v>105</v>
      </c>
      <c r="D8753" s="2" t="s">
        <v>275</v>
      </c>
      <c r="E8753" s="4">
        <v>-32041</v>
      </c>
      <c r="F8753" s="3" t="s">
        <v>35</v>
      </c>
      <c r="G8753" s="3" t="s">
        <v>706</v>
      </c>
      <c r="H8753" s="2" t="s">
        <v>30</v>
      </c>
      <c r="I8753" s="2" t="s">
        <v>21872</v>
      </c>
      <c r="J8753" s="3" t="str">
        <f>HYPERLINK("https://www.boe.es/gazeta/dias/1812/04/09/pdfs/GRE-1812-44.pdf#page=8","Abrir facsímil")</f>
        <v>Abrir facsímil</v>
      </c>
      <c r="K8753" s="3" t="s">
        <v>32</v>
      </c>
    </row>
    <row r="8754" spans="1:11" ht="42" customHeight="1">
      <c r="A8754" s="2" t="s">
        <v>21870</v>
      </c>
      <c r="B8754" s="2" t="s">
        <v>21871</v>
      </c>
      <c r="C8754" s="2" t="s">
        <v>105</v>
      </c>
      <c r="D8754" s="2" t="s">
        <v>275</v>
      </c>
      <c r="E8754" s="4">
        <v>-32020</v>
      </c>
      <c r="F8754" s="3" t="s">
        <v>2818</v>
      </c>
      <c r="G8754" s="3" t="s">
        <v>12131</v>
      </c>
      <c r="H8754" s="2" t="s">
        <v>30</v>
      </c>
      <c r="I8754" s="2" t="s">
        <v>21873</v>
      </c>
      <c r="J8754" s="3" t="str">
        <f>HYPERLINK("https://www.boe.es/gazeta/dias/1812/04/30/pdfs/GRE-1812-54.pdf#page=8","Abrir facsímil")</f>
        <v>Abrir facsímil</v>
      </c>
      <c r="K8754" s="3" t="s">
        <v>32</v>
      </c>
    </row>
    <row r="8755" spans="1:11" ht="42" customHeight="1">
      <c r="A8755" s="2" t="s">
        <v>21874</v>
      </c>
      <c r="B8755" s="2" t="s">
        <v>21875</v>
      </c>
      <c r="C8755" s="2" t="s">
        <v>26</v>
      </c>
      <c r="D8755" s="2" t="s">
        <v>275</v>
      </c>
      <c r="E8755" s="4">
        <v>-31940</v>
      </c>
      <c r="F8755" s="3" t="s">
        <v>187</v>
      </c>
      <c r="G8755" s="3" t="s">
        <v>404</v>
      </c>
      <c r="H8755" s="2" t="s">
        <v>30</v>
      </c>
      <c r="I8755" s="2" t="s">
        <v>21876</v>
      </c>
      <c r="J8755" s="3" t="str">
        <f>HYPERLINK("https://www.boe.es/gazeta/dias/1812/07/19/pdfs/GMD-1812-201.pdf#page=4","Abrir facsímil")</f>
        <v>Abrir facsímil</v>
      </c>
      <c r="K8755" s="3" t="s">
        <v>32</v>
      </c>
    </row>
    <row r="8756" spans="1:11" ht="42" customHeight="1">
      <c r="A8756" s="2" t="s">
        <v>21877</v>
      </c>
      <c r="B8756" s="2" t="s">
        <v>21878</v>
      </c>
      <c r="C8756" s="2" t="s">
        <v>26</v>
      </c>
      <c r="D8756" s="2" t="s">
        <v>27</v>
      </c>
      <c r="E8756" s="4">
        <v>-31940</v>
      </c>
      <c r="F8756" s="3" t="s">
        <v>187</v>
      </c>
      <c r="G8756" s="3" t="s">
        <v>404</v>
      </c>
      <c r="H8756" s="2" t="s">
        <v>30</v>
      </c>
      <c r="I8756" s="2" t="s">
        <v>21879</v>
      </c>
      <c r="J8756" s="3" t="str">
        <f>HYPERLINK("https://www.boe.es/gazeta/dias/1812/07/19/pdfs/GMD-1812-201.pdf#page=4","Abrir facsímil")</f>
        <v>Abrir facsímil</v>
      </c>
      <c r="K8756" s="3" t="s">
        <v>32</v>
      </c>
    </row>
    <row r="8757" spans="1:11" ht="42" customHeight="1">
      <c r="A8757" s="2" t="s">
        <v>21880</v>
      </c>
      <c r="B8757" s="2" t="s">
        <v>21881</v>
      </c>
      <c r="C8757" s="2" t="s">
        <v>49</v>
      </c>
      <c r="D8757" s="2" t="s">
        <v>27</v>
      </c>
      <c r="E8757" s="4">
        <v>-31995</v>
      </c>
      <c r="F8757" s="3" t="s">
        <v>100</v>
      </c>
      <c r="G8757" s="3" t="s">
        <v>101</v>
      </c>
      <c r="H8757" s="2" t="s">
        <v>30</v>
      </c>
      <c r="I8757" s="2" t="s">
        <v>21882</v>
      </c>
      <c r="J8757" s="3" t="str">
        <f>HYPERLINK("https://www.boe.es/gazeta/dias/1812/05/25/pdfs/GMD-1812-146.pdf#page=1","Abrir facsímil")</f>
        <v>Abrir facsímil</v>
      </c>
      <c r="K8757" s="3" t="s">
        <v>32</v>
      </c>
    </row>
    <row r="8758" spans="1:11" ht="42" customHeight="1">
      <c r="A8758" s="2" t="s">
        <v>21883</v>
      </c>
      <c r="B8758" s="2" t="s">
        <v>21884</v>
      </c>
      <c r="C8758" s="2" t="s">
        <v>115</v>
      </c>
      <c r="D8758" s="2" t="s">
        <v>27</v>
      </c>
      <c r="E8758" s="4">
        <v>-31967</v>
      </c>
      <c r="F8758" s="3" t="s">
        <v>1635</v>
      </c>
      <c r="G8758" s="3" t="s">
        <v>130</v>
      </c>
      <c r="H8758" s="2" t="s">
        <v>30</v>
      </c>
      <c r="I8758" s="2" t="s">
        <v>21885</v>
      </c>
      <c r="J8758" s="3" t="str">
        <f>HYPERLINK("https://www.boe.es/gazeta/dias/1812/06/22/pdfs/GMD-1812-174.pdf#page=4","Abrir facsímil")</f>
        <v>Abrir facsímil</v>
      </c>
      <c r="K8758" s="3" t="s">
        <v>32</v>
      </c>
    </row>
    <row r="8759" spans="1:11" ht="42" customHeight="1">
      <c r="A8759" s="2" t="s">
        <v>21886</v>
      </c>
      <c r="B8759" s="2" t="s">
        <v>21887</v>
      </c>
      <c r="C8759" s="2" t="s">
        <v>26</v>
      </c>
      <c r="D8759" s="2" t="s">
        <v>27</v>
      </c>
      <c r="E8759" s="4">
        <v>-31959</v>
      </c>
      <c r="F8759" s="3" t="s">
        <v>9160</v>
      </c>
      <c r="G8759" s="3" t="s">
        <v>801</v>
      </c>
      <c r="H8759" s="2" t="s">
        <v>30</v>
      </c>
      <c r="I8759" s="2" t="s">
        <v>21888</v>
      </c>
      <c r="J8759" s="3" t="str">
        <f>HYPERLINK("https://www.boe.es/gazeta/dias/1812/06/30/pdfs/GMD-1812-182.pdf#page=4","Abrir facsímil")</f>
        <v>Abrir facsímil</v>
      </c>
      <c r="K8759" s="3" t="s">
        <v>32</v>
      </c>
    </row>
    <row r="8760" spans="1:11" ht="42" customHeight="1">
      <c r="A8760" s="2" t="s">
        <v>21889</v>
      </c>
      <c r="B8760" s="2" t="s">
        <v>21890</v>
      </c>
      <c r="C8760" s="2" t="s">
        <v>26</v>
      </c>
      <c r="D8760" s="2" t="s">
        <v>27</v>
      </c>
      <c r="E8760" s="4">
        <v>-31939</v>
      </c>
      <c r="F8760" s="3" t="s">
        <v>408</v>
      </c>
      <c r="G8760" s="3" t="s">
        <v>20</v>
      </c>
      <c r="H8760" s="2" t="s">
        <v>30</v>
      </c>
      <c r="I8760" s="2" t="s">
        <v>21891</v>
      </c>
      <c r="J8760" s="3" t="str">
        <f>HYPERLINK("https://www.boe.es/gazeta/dias/1812/07/20/pdfs/GMD-1812-202.pdf#page=4","Abrir facsímil")</f>
        <v>Abrir facsímil</v>
      </c>
      <c r="K8760" s="3" t="s">
        <v>32</v>
      </c>
    </row>
    <row r="8761" spans="1:11" ht="42" customHeight="1">
      <c r="A8761" s="2" t="s">
        <v>21892</v>
      </c>
      <c r="B8761" s="2" t="s">
        <v>21893</v>
      </c>
      <c r="C8761" s="2" t="s">
        <v>26</v>
      </c>
      <c r="D8761" s="2" t="s">
        <v>27</v>
      </c>
      <c r="E8761" s="4">
        <v>-32000</v>
      </c>
      <c r="F8761" s="3" t="s">
        <v>878</v>
      </c>
      <c r="G8761" s="3" t="s">
        <v>214</v>
      </c>
      <c r="H8761" s="2" t="s">
        <v>30</v>
      </c>
      <c r="I8761" s="2" t="s">
        <v>21894</v>
      </c>
      <c r="J8761" s="3" t="str">
        <f>HYPERLINK("https://www.boe.es/gazeta/dias/1812/05/20/pdfs/GMD-1812-141.pdf#page=2","Abrir facsímil")</f>
        <v>Abrir facsímil</v>
      </c>
      <c r="K8761" s="3" t="s">
        <v>32</v>
      </c>
    </row>
    <row r="8762" spans="1:11" ht="42" customHeight="1">
      <c r="A8762" s="2" t="s">
        <v>21895</v>
      </c>
      <c r="B8762" s="2" t="s">
        <v>21896</v>
      </c>
      <c r="C8762" s="2" t="s">
        <v>26</v>
      </c>
      <c r="D8762" s="2" t="s">
        <v>27</v>
      </c>
      <c r="E8762" s="4">
        <v>-32034</v>
      </c>
      <c r="F8762" s="3" t="s">
        <v>28</v>
      </c>
      <c r="G8762" s="3" t="s">
        <v>130</v>
      </c>
      <c r="H8762" s="2" t="s">
        <v>30</v>
      </c>
      <c r="I8762" s="2" t="s">
        <v>21897</v>
      </c>
      <c r="J8762" s="3" t="str">
        <f>HYPERLINK("https://www.boe.es/gazeta/dias/1812/04/16/pdfs/GMD-1812-107.pdf#page=4","Abrir facsímil")</f>
        <v>Abrir facsímil</v>
      </c>
      <c r="K8762" s="3" t="s">
        <v>32</v>
      </c>
    </row>
    <row r="8763" spans="1:11" ht="42" customHeight="1">
      <c r="A8763" s="2" t="s">
        <v>21898</v>
      </c>
      <c r="B8763" s="2" t="s">
        <v>21899</v>
      </c>
      <c r="C8763" s="2" t="s">
        <v>17</v>
      </c>
      <c r="D8763" s="2" t="s">
        <v>27</v>
      </c>
      <c r="E8763" s="4">
        <v>-32109</v>
      </c>
      <c r="F8763" s="3" t="s">
        <v>62</v>
      </c>
      <c r="G8763" s="3" t="s">
        <v>472</v>
      </c>
      <c r="H8763" s="2" t="s">
        <v>30</v>
      </c>
      <c r="I8763" s="2" t="s">
        <v>21900</v>
      </c>
      <c r="J8763" s="3" t="str">
        <f>HYPERLINK("https://www.boe.es/gazeta/dias/1812/02/01/pdfs/GRE-1812-14.pdf#page=12","Abrir facsímil")</f>
        <v>Abrir facsímil</v>
      </c>
      <c r="K8763" s="3" t="s">
        <v>32</v>
      </c>
    </row>
    <row r="8764" spans="1:11" ht="42" customHeight="1">
      <c r="A8764" s="2" t="s">
        <v>21901</v>
      </c>
      <c r="B8764" s="2" t="s">
        <v>21902</v>
      </c>
      <c r="C8764" s="2" t="s">
        <v>26</v>
      </c>
      <c r="D8764" s="2" t="s">
        <v>27</v>
      </c>
      <c r="E8764" s="4">
        <v>-31955</v>
      </c>
      <c r="F8764" s="3" t="s">
        <v>789</v>
      </c>
      <c r="G8764" s="3" t="s">
        <v>237</v>
      </c>
      <c r="H8764" s="2" t="s">
        <v>30</v>
      </c>
      <c r="I8764" s="2" t="s">
        <v>21903</v>
      </c>
      <c r="J8764" s="3" t="str">
        <f>HYPERLINK("https://www.boe.es/gazeta/dias/1812/07/04/pdfs/GRE-1812-82.pdf#page=8","Abrir facsímil")</f>
        <v>Abrir facsímil</v>
      </c>
      <c r="K8764" s="3" t="s">
        <v>32</v>
      </c>
    </row>
    <row r="8765" spans="1:11" ht="42" customHeight="1">
      <c r="A8765" s="2" t="s">
        <v>21904</v>
      </c>
      <c r="B8765" s="2" t="s">
        <v>21905</v>
      </c>
      <c r="C8765" s="2" t="s">
        <v>26</v>
      </c>
      <c r="D8765" s="2" t="s">
        <v>27</v>
      </c>
      <c r="E8765" s="4">
        <v>-31964</v>
      </c>
      <c r="F8765" s="3" t="s">
        <v>305</v>
      </c>
      <c r="G8765" s="3" t="s">
        <v>58</v>
      </c>
      <c r="H8765" s="2" t="s">
        <v>30</v>
      </c>
      <c r="I8765" s="2" t="s">
        <v>21906</v>
      </c>
      <c r="J8765" s="3" t="str">
        <f>HYPERLINK("https://www.boe.es/gazeta/dias/1812/06/25/pdfs/GMD-1812-177.pdf#page=2","Abrir facsímil")</f>
        <v>Abrir facsímil</v>
      </c>
      <c r="K8765" s="3" t="s">
        <v>32</v>
      </c>
    </row>
    <row r="8766" spans="1:11" ht="42" customHeight="1">
      <c r="A8766" s="2" t="s">
        <v>21907</v>
      </c>
      <c r="B8766" s="2" t="s">
        <v>21908</v>
      </c>
      <c r="C8766" s="2" t="s">
        <v>17</v>
      </c>
      <c r="D8766" s="2" t="s">
        <v>27</v>
      </c>
      <c r="E8766" s="4">
        <v>-31917</v>
      </c>
      <c r="F8766" s="3" t="s">
        <v>946</v>
      </c>
      <c r="G8766" s="3" t="s">
        <v>947</v>
      </c>
      <c r="H8766" s="2" t="s">
        <v>30</v>
      </c>
      <c r="I8766" s="2" t="s">
        <v>21909</v>
      </c>
      <c r="J8766" s="3" t="str">
        <f>HYPERLINK("https://www.boe.es/gazeta/dias/1812/08/11/pdfs/GRE-1812-103.pdf#page=8","Abrir facsímil")</f>
        <v>Abrir facsímil</v>
      </c>
      <c r="K8766" s="3" t="s">
        <v>32</v>
      </c>
    </row>
    <row r="8767" spans="1:11" ht="42" customHeight="1">
      <c r="A8767" s="2" t="s">
        <v>21910</v>
      </c>
      <c r="B8767" s="2" t="s">
        <v>21911</v>
      </c>
      <c r="C8767" s="2" t="s">
        <v>26</v>
      </c>
      <c r="D8767" s="2" t="s">
        <v>27</v>
      </c>
      <c r="E8767" s="4">
        <v>-32000</v>
      </c>
      <c r="F8767" s="3" t="s">
        <v>878</v>
      </c>
      <c r="G8767" s="3" t="s">
        <v>214</v>
      </c>
      <c r="H8767" s="2" t="s">
        <v>30</v>
      </c>
      <c r="I8767" s="2" t="s">
        <v>21912</v>
      </c>
      <c r="J8767" s="3" t="str">
        <f>HYPERLINK("https://www.boe.es/gazeta/dias/1812/05/20/pdfs/GMD-1812-141.pdf#page=2","Abrir facsímil")</f>
        <v>Abrir facsímil</v>
      </c>
      <c r="K8767" s="3" t="s">
        <v>32</v>
      </c>
    </row>
    <row r="8768" spans="1:11" ht="42" customHeight="1">
      <c r="A8768" s="2" t="s">
        <v>21913</v>
      </c>
      <c r="B8768" s="2" t="s">
        <v>21914</v>
      </c>
      <c r="C8768" s="2" t="s">
        <v>17</v>
      </c>
      <c r="D8768" s="2" t="s">
        <v>27</v>
      </c>
      <c r="E8768" s="4">
        <v>-32033</v>
      </c>
      <c r="F8768" s="3" t="s">
        <v>771</v>
      </c>
      <c r="G8768" s="3" t="s">
        <v>130</v>
      </c>
      <c r="H8768" s="2" t="s">
        <v>30</v>
      </c>
      <c r="I8768" s="2" t="s">
        <v>21915</v>
      </c>
      <c r="J8768" s="3" t="str">
        <f>HYPERLINK("https://www.boe.es/gazeta/dias/1812/04/17/pdfs/GMD-1812-108.pdf#page=4","Abrir facsímil")</f>
        <v>Abrir facsímil</v>
      </c>
      <c r="K8768" s="3" t="s">
        <v>32</v>
      </c>
    </row>
    <row r="8769" spans="1:11" ht="42" customHeight="1">
      <c r="A8769" s="2" t="s">
        <v>21916</v>
      </c>
      <c r="B8769" s="2" t="s">
        <v>21917</v>
      </c>
      <c r="C8769" s="2" t="s">
        <v>26</v>
      </c>
      <c r="D8769" s="2" t="s">
        <v>27</v>
      </c>
      <c r="E8769" s="4">
        <v>-31810</v>
      </c>
      <c r="F8769" s="3" t="s">
        <v>2305</v>
      </c>
      <c r="G8769" s="3" t="s">
        <v>6027</v>
      </c>
      <c r="H8769" s="2" t="s">
        <v>30</v>
      </c>
      <c r="I8769" s="2" t="s">
        <v>21918</v>
      </c>
      <c r="J8769" s="3" t="str">
        <f>HYPERLINK("https://www.boe.es/gazeta/dias/1812/11/26/pdfs/GRE-1812-157.pdf#page=4","Abrir facsímil")</f>
        <v>Abrir facsímil</v>
      </c>
      <c r="K8769" s="3" t="s">
        <v>32</v>
      </c>
    </row>
    <row r="8770" spans="1:11" ht="42" customHeight="1">
      <c r="A8770" s="2" t="s">
        <v>21919</v>
      </c>
      <c r="B8770" s="2" t="s">
        <v>21920</v>
      </c>
      <c r="C8770" s="2" t="s">
        <v>17</v>
      </c>
      <c r="D8770" s="2" t="s">
        <v>18</v>
      </c>
      <c r="E8770" s="4">
        <v>-32050</v>
      </c>
      <c r="F8770" s="3" t="s">
        <v>864</v>
      </c>
      <c r="G8770" s="3" t="s">
        <v>29</v>
      </c>
      <c r="H8770" s="2" t="s">
        <v>30</v>
      </c>
      <c r="I8770" s="2" t="s">
        <v>21921</v>
      </c>
      <c r="J8770" s="3" t="str">
        <f>HYPERLINK("https://www.boe.es/gazeta/dias/1812/03/31/pdfs/GRE-1812-40.pdf#page=8","Abrir facsímil")</f>
        <v>Abrir facsímil</v>
      </c>
      <c r="K8770" s="3" t="s">
        <v>32</v>
      </c>
    </row>
    <row r="8771" spans="1:11" ht="42" customHeight="1">
      <c r="A8771" s="2" t="s">
        <v>21922</v>
      </c>
      <c r="B8771" s="2" t="s">
        <v>21923</v>
      </c>
      <c r="C8771" s="2" t="s">
        <v>26</v>
      </c>
      <c r="D8771" s="2" t="s">
        <v>27</v>
      </c>
      <c r="E8771" s="4">
        <v>-31964</v>
      </c>
      <c r="F8771" s="3" t="s">
        <v>305</v>
      </c>
      <c r="G8771" s="3" t="s">
        <v>58</v>
      </c>
      <c r="H8771" s="2" t="s">
        <v>30</v>
      </c>
      <c r="I8771" s="2" t="s">
        <v>21924</v>
      </c>
      <c r="J8771" s="3" t="str">
        <f>HYPERLINK("https://www.boe.es/gazeta/dias/1812/06/25/pdfs/GMD-1812-177.pdf#page=2","Abrir facsímil")</f>
        <v>Abrir facsímil</v>
      </c>
      <c r="K8771" s="3" t="s">
        <v>32</v>
      </c>
    </row>
    <row r="8772" spans="1:11" ht="42" customHeight="1">
      <c r="A8772" s="2" t="s">
        <v>21925</v>
      </c>
      <c r="B8772" s="2" t="s">
        <v>21926</v>
      </c>
      <c r="C8772" s="2" t="s">
        <v>67</v>
      </c>
      <c r="D8772" s="2" t="s">
        <v>275</v>
      </c>
      <c r="E8772" s="4">
        <v>-32125</v>
      </c>
      <c r="F8772" s="3" t="s">
        <v>964</v>
      </c>
      <c r="G8772" s="3" t="s">
        <v>1842</v>
      </c>
      <c r="H8772" s="2" t="s">
        <v>30</v>
      </c>
      <c r="I8772" s="2" t="s">
        <v>21927</v>
      </c>
      <c r="J8772" s="3" t="str">
        <f>HYPERLINK("https://www.boe.es/gazeta/dias/1812/01/16/pdfs/GEI-H-1812-7.pdf#page=4","Abrir facsímil")</f>
        <v>Abrir facsímil</v>
      </c>
      <c r="K8772" s="3" t="s">
        <v>32</v>
      </c>
    </row>
    <row r="8773" spans="1:11" ht="42" customHeight="1">
      <c r="A8773" s="2" t="s">
        <v>21928</v>
      </c>
      <c r="B8773" s="2" t="s">
        <v>21929</v>
      </c>
      <c r="C8773" s="2" t="s">
        <v>67</v>
      </c>
      <c r="D8773" s="2" t="s">
        <v>27</v>
      </c>
      <c r="E8773" s="4">
        <v>-32097</v>
      </c>
      <c r="F8773" s="3" t="s">
        <v>3797</v>
      </c>
      <c r="G8773" s="3" t="s">
        <v>599</v>
      </c>
      <c r="H8773" s="2" t="s">
        <v>30</v>
      </c>
      <c r="I8773" s="2" t="s">
        <v>21930</v>
      </c>
      <c r="J8773" s="3" t="str">
        <f>HYPERLINK("https://www.boe.es/gazeta/dias/1812/02/13/pdfs/GRE-1812-19.pdf#page=6","Abrir facsímil")</f>
        <v>Abrir facsímil</v>
      </c>
      <c r="K8773" s="3" t="s">
        <v>32</v>
      </c>
    </row>
    <row r="8774" spans="1:11" ht="42" customHeight="1">
      <c r="A8774" s="2" t="s">
        <v>21931</v>
      </c>
      <c r="B8774" s="2" t="s">
        <v>21932</v>
      </c>
      <c r="C8774" s="2" t="s">
        <v>26</v>
      </c>
      <c r="D8774" s="2" t="s">
        <v>27</v>
      </c>
      <c r="E8774" s="4">
        <v>-31935</v>
      </c>
      <c r="F8774" s="3" t="s">
        <v>2678</v>
      </c>
      <c r="G8774" s="3" t="s">
        <v>404</v>
      </c>
      <c r="H8774" s="2" t="s">
        <v>30</v>
      </c>
      <c r="I8774" s="2" t="s">
        <v>21933</v>
      </c>
      <c r="J8774" s="3" t="str">
        <f>HYPERLINK("https://www.boe.es/gazeta/dias/1812/07/24/pdfs/GMD-1812-206.pdf#page=1","Abrir facsímil")</f>
        <v>Abrir facsímil</v>
      </c>
      <c r="K8774" s="3" t="s">
        <v>32</v>
      </c>
    </row>
    <row r="8775" spans="1:11" ht="42" customHeight="1">
      <c r="A8775" s="2" t="s">
        <v>21934</v>
      </c>
      <c r="B8775" s="2" t="s">
        <v>21935</v>
      </c>
      <c r="C8775" s="2" t="s">
        <v>17</v>
      </c>
      <c r="D8775" s="2" t="s">
        <v>275</v>
      </c>
      <c r="E8775" s="4">
        <v>-32097</v>
      </c>
      <c r="F8775" s="3" t="s">
        <v>3797</v>
      </c>
      <c r="G8775" s="3" t="s">
        <v>599</v>
      </c>
      <c r="H8775" s="2" t="s">
        <v>30</v>
      </c>
      <c r="I8775" s="2" t="s">
        <v>21936</v>
      </c>
      <c r="J8775" s="3" t="str">
        <f>HYPERLINK("https://www.boe.es/gazeta/dias/1812/02/13/pdfs/GRE-1812-19.pdf#page=6","Abrir facsímil")</f>
        <v>Abrir facsímil</v>
      </c>
      <c r="K8775" s="3" t="s">
        <v>32</v>
      </c>
    </row>
    <row r="8776" spans="1:11" ht="42" customHeight="1">
      <c r="A8776" s="2" t="s">
        <v>21937</v>
      </c>
      <c r="B8776" s="2" t="s">
        <v>21938</v>
      </c>
      <c r="C8776" s="2" t="s">
        <v>26</v>
      </c>
      <c r="D8776" s="2" t="s">
        <v>27</v>
      </c>
      <c r="E8776" s="4">
        <v>-32034</v>
      </c>
      <c r="F8776" s="3" t="s">
        <v>28</v>
      </c>
      <c r="G8776" s="3" t="s">
        <v>130</v>
      </c>
      <c r="H8776" s="2" t="s">
        <v>30</v>
      </c>
      <c r="I8776" s="2" t="s">
        <v>21939</v>
      </c>
      <c r="J8776" s="3" t="str">
        <f>HYPERLINK("https://www.boe.es/gazeta/dias/1812/04/16/pdfs/GMD-1812-107.pdf#page=4","Abrir facsímil")</f>
        <v>Abrir facsímil</v>
      </c>
      <c r="K8776" s="3" t="s">
        <v>32</v>
      </c>
    </row>
    <row r="8777" spans="1:11" ht="42" customHeight="1">
      <c r="A8777" s="2" t="s">
        <v>21940</v>
      </c>
      <c r="B8777" s="2" t="s">
        <v>21941</v>
      </c>
      <c r="C8777" s="2" t="s">
        <v>67</v>
      </c>
      <c r="D8777" s="2" t="s">
        <v>27</v>
      </c>
      <c r="E8777" s="4">
        <v>-31967</v>
      </c>
      <c r="F8777" s="3" t="s">
        <v>1635</v>
      </c>
      <c r="G8777" s="3" t="s">
        <v>130</v>
      </c>
      <c r="H8777" s="2" t="s">
        <v>30</v>
      </c>
      <c r="I8777" s="2" t="s">
        <v>21942</v>
      </c>
      <c r="J8777" s="3" t="str">
        <f>HYPERLINK("https://www.boe.es/gazeta/dias/1812/06/22/pdfs/GMD-1812-174.pdf#page=4","Abrir facsímil")</f>
        <v>Abrir facsímil</v>
      </c>
      <c r="K8777" s="3" t="s">
        <v>32</v>
      </c>
    </row>
    <row r="8778" spans="1:11" ht="42" customHeight="1">
      <c r="A8778" s="2" t="s">
        <v>21943</v>
      </c>
      <c r="B8778" s="2" t="s">
        <v>21944</v>
      </c>
      <c r="C8778" s="2" t="s">
        <v>26</v>
      </c>
      <c r="D8778" s="2" t="s">
        <v>27</v>
      </c>
      <c r="E8778" s="4">
        <v>-31922</v>
      </c>
      <c r="F8778" s="3" t="s">
        <v>622</v>
      </c>
      <c r="G8778" s="3" t="s">
        <v>623</v>
      </c>
      <c r="H8778" s="2" t="s">
        <v>30</v>
      </c>
      <c r="I8778" s="2" t="s">
        <v>21945</v>
      </c>
      <c r="J8778" s="3" t="str">
        <f>HYPERLINK("https://www.boe.es/gazeta/dias/1812/08/06/pdfs/GMD-1812-219.pdf#page=1","Abrir facsímil")</f>
        <v>Abrir facsímil</v>
      </c>
      <c r="K8778" s="3" t="s">
        <v>32</v>
      </c>
    </row>
    <row r="8779" spans="1:11" ht="42" customHeight="1">
      <c r="A8779" s="2" t="s">
        <v>21946</v>
      </c>
      <c r="B8779" s="2" t="s">
        <v>21947</v>
      </c>
      <c r="C8779" s="2" t="s">
        <v>26</v>
      </c>
      <c r="D8779" s="2" t="s">
        <v>27</v>
      </c>
      <c r="E8779" s="4">
        <v>-31957</v>
      </c>
      <c r="F8779" s="3" t="s">
        <v>598</v>
      </c>
      <c r="G8779" s="3" t="s">
        <v>599</v>
      </c>
      <c r="H8779" s="2" t="s">
        <v>30</v>
      </c>
      <c r="I8779" s="2" t="s">
        <v>21948</v>
      </c>
      <c r="J8779" s="3" t="str">
        <f>HYPERLINK("https://www.boe.es/gazeta/dias/1812/07/02/pdfs/GMD-1812-184.pdf#page=2","Abrir facsímil")</f>
        <v>Abrir facsímil</v>
      </c>
      <c r="K8779" s="3" t="s">
        <v>32</v>
      </c>
    </row>
    <row r="8780" spans="1:11" ht="42" customHeight="1">
      <c r="A8780" s="2" t="s">
        <v>21949</v>
      </c>
      <c r="B8780" s="2" t="s">
        <v>21950</v>
      </c>
      <c r="C8780" s="2" t="s">
        <v>26</v>
      </c>
      <c r="D8780" s="2" t="s">
        <v>27</v>
      </c>
      <c r="E8780" s="4">
        <v>-31966</v>
      </c>
      <c r="F8780" s="3" t="s">
        <v>3665</v>
      </c>
      <c r="G8780" s="3" t="s">
        <v>237</v>
      </c>
      <c r="H8780" s="2" t="s">
        <v>21</v>
      </c>
      <c r="I8780" s="2" t="s">
        <v>21951</v>
      </c>
      <c r="J8780" s="3" t="str">
        <f>HYPERLINK("https://www.boe.es/gazeta/dias/1812/06/23/pdfs/GRE-1812-77.pdf#page=3","Abrir facsímil")</f>
        <v>Abrir facsímil</v>
      </c>
      <c r="K8780" s="3" t="s">
        <v>23</v>
      </c>
    </row>
    <row r="8781" spans="1:11" ht="42" customHeight="1">
      <c r="A8781" s="2" t="s">
        <v>21949</v>
      </c>
      <c r="B8781" s="2" t="s">
        <v>21950</v>
      </c>
      <c r="C8781" s="2" t="s">
        <v>17</v>
      </c>
      <c r="D8781" s="2" t="s">
        <v>18</v>
      </c>
      <c r="E8781" s="4">
        <v>-31931</v>
      </c>
      <c r="F8781" s="3" t="s">
        <v>4174</v>
      </c>
      <c r="G8781" s="3" t="s">
        <v>6688</v>
      </c>
      <c r="H8781" s="2" t="s">
        <v>21</v>
      </c>
      <c r="I8781" s="2" t="s">
        <v>21952</v>
      </c>
      <c r="J8781" s="3" t="str">
        <f>HYPERLINK("https://www.boe.es/gazeta/dias/1812/07/28/pdfs/GRE-1812-94.pdf#page=6","Abrir facsímil")</f>
        <v>Abrir facsímil</v>
      </c>
      <c r="K8781" s="3" t="s">
        <v>23</v>
      </c>
    </row>
    <row r="8782" spans="1:11" ht="42" customHeight="1">
      <c r="A8782" s="2" t="s">
        <v>21953</v>
      </c>
      <c r="B8782" s="2" t="s">
        <v>21954</v>
      </c>
      <c r="C8782" s="2" t="s">
        <v>82</v>
      </c>
      <c r="D8782" s="2" t="s">
        <v>275</v>
      </c>
      <c r="E8782" s="4">
        <v>-31922</v>
      </c>
      <c r="F8782" s="3" t="s">
        <v>375</v>
      </c>
      <c r="G8782" s="3" t="s">
        <v>376</v>
      </c>
      <c r="H8782" s="2" t="s">
        <v>21</v>
      </c>
      <c r="I8782" s="2" t="s">
        <v>21955</v>
      </c>
      <c r="J8782" s="3" t="str">
        <f>HYPERLINK("https://www.boe.es/gazeta/dias/1812/08/06/pdfs/GRE-1812-100.pdf#page=7","Abrir facsímil")</f>
        <v>Abrir facsímil</v>
      </c>
      <c r="K8782" s="3" t="s">
        <v>23</v>
      </c>
    </row>
    <row r="8783" spans="1:11" ht="42" customHeight="1">
      <c r="A8783" s="2" t="s">
        <v>21956</v>
      </c>
      <c r="B8783" s="2" t="s">
        <v>21957</v>
      </c>
      <c r="C8783" s="2" t="s">
        <v>82</v>
      </c>
      <c r="D8783" s="2" t="s">
        <v>27</v>
      </c>
      <c r="E8783" s="4">
        <v>-31941</v>
      </c>
      <c r="F8783" s="3" t="s">
        <v>57</v>
      </c>
      <c r="G8783" s="3" t="s">
        <v>125</v>
      </c>
      <c r="H8783" s="2" t="s">
        <v>21</v>
      </c>
      <c r="I8783" s="2" t="s">
        <v>21958</v>
      </c>
      <c r="J8783" s="3" t="str">
        <f>HYPERLINK("https://www.boe.es/gazeta/dias/1812/07/18/pdfs/GMD-1812-200.pdf#page=3","Abrir facsímil")</f>
        <v>Abrir facsímil</v>
      </c>
      <c r="K8783" s="3" t="s">
        <v>23</v>
      </c>
    </row>
    <row r="8784" spans="1:11" ht="42" customHeight="1">
      <c r="A8784" s="2" t="s">
        <v>21959</v>
      </c>
      <c r="B8784" s="2" t="s">
        <v>21960</v>
      </c>
      <c r="C8784" s="2" t="s">
        <v>67</v>
      </c>
      <c r="D8784" s="2" t="s">
        <v>27</v>
      </c>
      <c r="E8784" s="4">
        <v>-32000</v>
      </c>
      <c r="F8784" s="3" t="s">
        <v>878</v>
      </c>
      <c r="G8784" s="3" t="s">
        <v>214</v>
      </c>
      <c r="H8784" s="2" t="s">
        <v>21</v>
      </c>
      <c r="I8784" s="2" t="s">
        <v>21961</v>
      </c>
      <c r="J8784" s="3" t="str">
        <f>HYPERLINK("https://www.boe.es/gazeta/dias/1812/05/20/pdfs/GMD-1812-141.pdf#page=2","Abrir facsímil")</f>
        <v>Abrir facsímil</v>
      </c>
      <c r="K8784" s="3" t="s">
        <v>23</v>
      </c>
    </row>
    <row r="8785" spans="1:11" ht="42" customHeight="1">
      <c r="A8785" s="2" t="s">
        <v>21962</v>
      </c>
      <c r="B8785" s="2" t="s">
        <v>21963</v>
      </c>
      <c r="C8785" s="2" t="s">
        <v>49</v>
      </c>
      <c r="D8785" s="2" t="s">
        <v>27</v>
      </c>
      <c r="E8785" s="4">
        <v>-32018</v>
      </c>
      <c r="F8785" s="3" t="s">
        <v>1287</v>
      </c>
      <c r="G8785" s="3" t="s">
        <v>1288</v>
      </c>
      <c r="H8785" s="2" t="s">
        <v>21</v>
      </c>
      <c r="I8785" s="2" t="s">
        <v>21964</v>
      </c>
      <c r="J8785" s="3" t="str">
        <f>HYPERLINK("https://www.boe.es/gazeta/dias/1812/05/02/pdfs/GMD-1812-123.pdf#page=2","Abrir facsímil")</f>
        <v>Abrir facsímil</v>
      </c>
      <c r="K8785" s="3" t="s">
        <v>23</v>
      </c>
    </row>
    <row r="8786" spans="1:11" ht="42" customHeight="1">
      <c r="A8786" s="2" t="s">
        <v>21965</v>
      </c>
      <c r="B8786" s="2" t="s">
        <v>21966</v>
      </c>
      <c r="C8786" s="2" t="s">
        <v>26</v>
      </c>
      <c r="D8786" s="2" t="s">
        <v>27</v>
      </c>
      <c r="E8786" s="4">
        <v>-31864</v>
      </c>
      <c r="F8786" s="3" t="s">
        <v>4258</v>
      </c>
      <c r="G8786" s="3" t="s">
        <v>6389</v>
      </c>
      <c r="H8786" s="2" t="s">
        <v>21</v>
      </c>
      <c r="I8786" s="2" t="s">
        <v>21967</v>
      </c>
      <c r="J8786" s="3" t="str">
        <f>HYPERLINK("https://www.boe.es/gazeta/dias/1812/10/03/pdfs/GMR-1812-22.pdf#page=8","Abrir facsímil")</f>
        <v>Abrir facsímil</v>
      </c>
      <c r="K8786" s="3" t="s">
        <v>23</v>
      </c>
    </row>
    <row r="8787" spans="1:11" ht="42" customHeight="1">
      <c r="A8787" s="2" t="s">
        <v>21968</v>
      </c>
      <c r="B8787" s="2" t="s">
        <v>21969</v>
      </c>
      <c r="C8787" s="2" t="s">
        <v>26</v>
      </c>
      <c r="D8787" s="2" t="s">
        <v>27</v>
      </c>
      <c r="E8787" s="4">
        <v>-32114</v>
      </c>
      <c r="F8787" s="3" t="s">
        <v>480</v>
      </c>
      <c r="G8787" s="3" t="s">
        <v>481</v>
      </c>
      <c r="H8787" s="2" t="s">
        <v>21</v>
      </c>
      <c r="I8787" s="2" t="s">
        <v>21970</v>
      </c>
      <c r="J8787" s="3" t="str">
        <f>HYPERLINK("https://www.boe.es/gazeta/dias/1812/01/27/pdfs/GMD-1812-27.pdf#page=4","Abrir facsímil")</f>
        <v>Abrir facsímil</v>
      </c>
      <c r="K8787" s="3" t="s">
        <v>23</v>
      </c>
    </row>
    <row r="8788" spans="1:11" ht="42" customHeight="1">
      <c r="A8788" s="2" t="s">
        <v>21971</v>
      </c>
      <c r="B8788" s="2" t="s">
        <v>21971</v>
      </c>
      <c r="C8788" s="2" t="s">
        <v>26</v>
      </c>
      <c r="D8788" s="2" t="s">
        <v>27</v>
      </c>
      <c r="E8788" s="4">
        <v>-32043</v>
      </c>
      <c r="F8788" s="3" t="s">
        <v>4582</v>
      </c>
      <c r="G8788" s="3" t="s">
        <v>836</v>
      </c>
      <c r="H8788" s="2" t="s">
        <v>21</v>
      </c>
      <c r="I8788" s="2" t="s">
        <v>21972</v>
      </c>
      <c r="J8788" s="3" t="str">
        <f>HYPERLINK("https://www.boe.es/gazeta/dias/1812/04/07/pdfs/GRE-1812-43.pdf#page=1","Abrir facsímil")</f>
        <v>Abrir facsímil</v>
      </c>
      <c r="K8788" s="3" t="s">
        <v>23</v>
      </c>
    </row>
    <row r="8789" spans="1:11" ht="42" customHeight="1">
      <c r="A8789" s="2" t="s">
        <v>21973</v>
      </c>
      <c r="B8789" s="2" t="s">
        <v>21973</v>
      </c>
      <c r="C8789" s="2" t="s">
        <v>17</v>
      </c>
      <c r="D8789" s="2" t="s">
        <v>27</v>
      </c>
      <c r="E8789" s="4">
        <v>-31824</v>
      </c>
      <c r="F8789" s="3" t="s">
        <v>3123</v>
      </c>
      <c r="G8789" s="3" t="s">
        <v>3528</v>
      </c>
      <c r="H8789" s="2" t="s">
        <v>21</v>
      </c>
      <c r="I8789" s="2" t="s">
        <v>21974</v>
      </c>
      <c r="J8789" s="3" t="str">
        <f>HYPERLINK("https://www.boe.es/gazeta/dias/1812/11/12/pdfs/GRE-1812-151.pdf#page=2","Abrir facsímil")</f>
        <v>Abrir facsímil</v>
      </c>
      <c r="K8789" s="3" t="s">
        <v>23</v>
      </c>
    </row>
    <row r="8790" spans="1:11" ht="42" customHeight="1">
      <c r="A8790" s="2" t="s">
        <v>21975</v>
      </c>
      <c r="B8790" s="2" t="s">
        <v>21975</v>
      </c>
      <c r="C8790" s="2" t="s">
        <v>17</v>
      </c>
      <c r="D8790" s="2" t="s">
        <v>27</v>
      </c>
      <c r="E8790" s="4">
        <v>-31798</v>
      </c>
      <c r="F8790" s="3" t="s">
        <v>1849</v>
      </c>
      <c r="G8790" s="3" t="s">
        <v>214</v>
      </c>
      <c r="H8790" s="2" t="s">
        <v>21</v>
      </c>
      <c r="I8790" s="2" t="s">
        <v>21976</v>
      </c>
      <c r="J8790" s="3" t="str">
        <f>HYPERLINK("https://www.boe.es/gazeta/dias/1812/12/08/pdfs/GMD-1812-231.pdf#page=1","Abrir facsímil")</f>
        <v>Abrir facsímil</v>
      </c>
      <c r="K8790" s="3" t="s">
        <v>23</v>
      </c>
    </row>
    <row r="8791" spans="1:11" ht="42" customHeight="1">
      <c r="A8791" s="2" t="s">
        <v>21977</v>
      </c>
      <c r="B8791" s="2" t="s">
        <v>21978</v>
      </c>
      <c r="C8791" s="2" t="s">
        <v>17</v>
      </c>
      <c r="D8791" s="2" t="s">
        <v>275</v>
      </c>
      <c r="E8791" s="4">
        <v>-31989</v>
      </c>
      <c r="F8791" s="3" t="s">
        <v>263</v>
      </c>
      <c r="G8791" s="3" t="s">
        <v>58</v>
      </c>
      <c r="H8791" s="2" t="s">
        <v>21</v>
      </c>
      <c r="I8791" s="2" t="s">
        <v>21979</v>
      </c>
      <c r="J8791" s="3" t="str">
        <f>HYPERLINK("https://www.boe.es/gazeta/dias/1812/05/31/pdfs/GMD-1812-152.pdf#page=4","Abrir facsímil")</f>
        <v>Abrir facsímil</v>
      </c>
      <c r="K8791" s="3" t="s">
        <v>23</v>
      </c>
    </row>
    <row r="8792" spans="1:11" ht="42" customHeight="1">
      <c r="A8792" s="2" t="s">
        <v>21980</v>
      </c>
      <c r="B8792" s="2" t="s">
        <v>21981</v>
      </c>
      <c r="C8792" s="2" t="s">
        <v>26</v>
      </c>
      <c r="D8792" s="2" t="s">
        <v>27</v>
      </c>
      <c r="E8792" s="4">
        <v>-32044</v>
      </c>
      <c r="F8792" s="3" t="s">
        <v>1031</v>
      </c>
      <c r="G8792" s="3" t="s">
        <v>1873</v>
      </c>
      <c r="H8792" s="2" t="s">
        <v>21</v>
      </c>
      <c r="I8792" s="2" t="s">
        <v>21982</v>
      </c>
      <c r="J8792" s="3" t="str">
        <f>HYPERLINK("https://www.boe.es/gazeta/dias/1812/04/06/pdfs/GMD-1812-97.pdf#page=4","Abrir facsímil")</f>
        <v>Abrir facsímil</v>
      </c>
      <c r="K8792" s="3" t="s">
        <v>23</v>
      </c>
    </row>
    <row r="8793" spans="1:11" ht="42" customHeight="1">
      <c r="A8793" s="2" t="s">
        <v>21983</v>
      </c>
      <c r="B8793" s="2" t="s">
        <v>21984</v>
      </c>
      <c r="C8793" s="2" t="s">
        <v>17</v>
      </c>
      <c r="D8793" s="2" t="s">
        <v>18</v>
      </c>
      <c r="E8793" s="4">
        <v>-31833</v>
      </c>
      <c r="F8793" s="3" t="s">
        <v>267</v>
      </c>
      <c r="G8793" s="3" t="s">
        <v>268</v>
      </c>
      <c r="H8793" s="2" t="s">
        <v>21</v>
      </c>
      <c r="I8793" s="2" t="s">
        <v>21985</v>
      </c>
      <c r="J8793" s="3" t="str">
        <f>HYPERLINK("https://www.boe.es/gazeta/dias/1812/11/03/pdfs/GRE-1812-147.pdf#page=8","Abrir facsímil")</f>
        <v>Abrir facsímil</v>
      </c>
      <c r="K8793" s="3" t="s">
        <v>23</v>
      </c>
    </row>
    <row r="8794" spans="1:11" ht="42" customHeight="1">
      <c r="A8794" s="2" t="s">
        <v>21986</v>
      </c>
      <c r="B8794" s="2" t="s">
        <v>21986</v>
      </c>
      <c r="C8794" s="2" t="s">
        <v>17</v>
      </c>
      <c r="D8794" s="2" t="s">
        <v>18</v>
      </c>
      <c r="E8794" s="4">
        <v>-31885</v>
      </c>
      <c r="F8794" s="3" t="s">
        <v>750</v>
      </c>
      <c r="G8794" s="3" t="s">
        <v>20</v>
      </c>
      <c r="H8794" s="2" t="s">
        <v>21</v>
      </c>
      <c r="I8794" s="2" t="s">
        <v>21987</v>
      </c>
      <c r="J8794" s="3" t="str">
        <f>HYPERLINK("https://www.boe.es/gazeta/dias/1812/09/12/pdfs/GMR-1812-13.pdf#page=2","Abrir facsímil")</f>
        <v>Abrir facsímil</v>
      </c>
      <c r="K8794" s="3" t="s">
        <v>23</v>
      </c>
    </row>
    <row r="8795" spans="1:11" ht="42" customHeight="1">
      <c r="A8795" s="2" t="s">
        <v>21988</v>
      </c>
      <c r="B8795" s="2" t="s">
        <v>21988</v>
      </c>
      <c r="C8795" s="2" t="s">
        <v>26</v>
      </c>
      <c r="D8795" s="2" t="s">
        <v>27</v>
      </c>
      <c r="E8795" s="4">
        <v>-32130</v>
      </c>
      <c r="F8795" s="3" t="s">
        <v>927</v>
      </c>
      <c r="G8795" s="3" t="s">
        <v>125</v>
      </c>
      <c r="H8795" s="2" t="s">
        <v>21</v>
      </c>
      <c r="I8795" s="2" t="s">
        <v>21989</v>
      </c>
      <c r="J8795" s="3" t="str">
        <f>HYPERLINK("https://www.boe.es/gazeta/dias/1812/01/11/pdfs/GMD-1812-11.pdf#page=2","Abrir facsímil")</f>
        <v>Abrir facsímil</v>
      </c>
      <c r="K8795" s="3" t="s">
        <v>23</v>
      </c>
    </row>
    <row r="8796" spans="1:11" ht="42" customHeight="1">
      <c r="A8796" s="2" t="s">
        <v>21990</v>
      </c>
      <c r="B8796" s="2" t="s">
        <v>21991</v>
      </c>
      <c r="C8796" s="2" t="s">
        <v>26</v>
      </c>
      <c r="D8796" s="2" t="s">
        <v>27</v>
      </c>
      <c r="E8796" s="4">
        <v>-31976</v>
      </c>
      <c r="F8796" s="3" t="s">
        <v>54</v>
      </c>
      <c r="G8796" s="3" t="s">
        <v>1335</v>
      </c>
      <c r="H8796" s="2" t="s">
        <v>30</v>
      </c>
      <c r="I8796" s="2" t="s">
        <v>21992</v>
      </c>
      <c r="J8796" s="3" t="str">
        <f>HYPERLINK("https://www.boe.es/gazeta/dias/1812/06/13/pdfs/GRE-1812-73.pdf#page=7","Abrir facsímil")</f>
        <v>Abrir facsímil</v>
      </c>
      <c r="K8796" s="3" t="s">
        <v>32</v>
      </c>
    </row>
    <row r="8797" spans="1:11" ht="42" customHeight="1">
      <c r="A8797" s="2" t="s">
        <v>21993</v>
      </c>
      <c r="B8797" s="2" t="s">
        <v>21994</v>
      </c>
      <c r="C8797" s="2" t="s">
        <v>17</v>
      </c>
      <c r="D8797" s="2" t="s">
        <v>27</v>
      </c>
      <c r="E8797" s="4">
        <v>-32046</v>
      </c>
      <c r="F8797" s="3" t="s">
        <v>1013</v>
      </c>
      <c r="G8797" s="3" t="s">
        <v>1014</v>
      </c>
      <c r="H8797" s="2" t="s">
        <v>21</v>
      </c>
      <c r="I8797" s="2" t="s">
        <v>21995</v>
      </c>
      <c r="J8797" s="3" t="str">
        <f>HYPERLINK("https://www.boe.es/gazeta/dias/1812/04/04/pdfs/GRE-1812-42.pdf#page=4","Abrir facsímil")</f>
        <v>Abrir facsímil</v>
      </c>
      <c r="K8797" s="3" t="s">
        <v>23</v>
      </c>
    </row>
    <row r="8798" spans="1:11" ht="42" customHeight="1">
      <c r="A8798" s="2" t="s">
        <v>21996</v>
      </c>
      <c r="B8798" s="2" t="s">
        <v>21996</v>
      </c>
      <c r="C8798" s="2" t="s">
        <v>17</v>
      </c>
      <c r="D8798" s="2" t="s">
        <v>27</v>
      </c>
      <c r="E8798" s="4">
        <v>-32032</v>
      </c>
      <c r="F8798" s="3" t="s">
        <v>531</v>
      </c>
      <c r="G8798" s="3" t="s">
        <v>140</v>
      </c>
      <c r="H8798" s="2" t="s">
        <v>21</v>
      </c>
      <c r="I8798" s="2" t="s">
        <v>21997</v>
      </c>
      <c r="J8798" s="3" t="str">
        <f>HYPERLINK("https://www.boe.es/gazeta/dias/1812/04/18/pdfs/GMD-1812-109.pdf#page=2","Abrir facsímil")</f>
        <v>Abrir facsímil</v>
      </c>
      <c r="K8798" s="3" t="s">
        <v>23</v>
      </c>
    </row>
    <row r="8799" spans="1:11" ht="42" customHeight="1">
      <c r="A8799" s="2" t="s">
        <v>21998</v>
      </c>
      <c r="B8799" s="2" t="s">
        <v>21998</v>
      </c>
      <c r="C8799" s="2" t="s">
        <v>17</v>
      </c>
      <c r="D8799" s="2" t="s">
        <v>27</v>
      </c>
      <c r="E8799" s="4">
        <v>-32017</v>
      </c>
      <c r="F8799" s="3" t="s">
        <v>3446</v>
      </c>
      <c r="G8799" s="3" t="s">
        <v>20</v>
      </c>
      <c r="H8799" s="2" t="s">
        <v>21</v>
      </c>
      <c r="I8799" s="2" t="s">
        <v>21999</v>
      </c>
      <c r="J8799" s="3" t="str">
        <f>HYPERLINK("https://www.boe.es/gazeta/dias/1812/05/03/pdfs/GMD-1812-124.pdf#page=4","Abrir facsímil")</f>
        <v>Abrir facsímil</v>
      </c>
      <c r="K8799" s="3" t="s">
        <v>23</v>
      </c>
    </row>
    <row r="8800" spans="1:11" ht="42" customHeight="1">
      <c r="A8800" s="2" t="s">
        <v>22000</v>
      </c>
      <c r="B8800" s="2" t="s">
        <v>22001</v>
      </c>
      <c r="C8800" s="2" t="s">
        <v>26</v>
      </c>
      <c r="D8800" s="2" t="s">
        <v>573</v>
      </c>
      <c r="E8800" s="4">
        <v>-31900</v>
      </c>
      <c r="F8800" s="3" t="s">
        <v>276</v>
      </c>
      <c r="G8800" s="3" t="s">
        <v>277</v>
      </c>
      <c r="H8800" s="2" t="s">
        <v>21</v>
      </c>
      <c r="I8800" s="2" t="s">
        <v>22002</v>
      </c>
      <c r="J8800" s="3" t="str">
        <f>HYPERLINK("https://www.boe.es/gazeta/dias/1812/08/28/pdfs/GRE-1812-113E.pdf#page=8","Abrir facsímil")</f>
        <v>Abrir facsímil</v>
      </c>
      <c r="K8800" s="3" t="s">
        <v>23</v>
      </c>
    </row>
    <row r="8801" spans="1:11" ht="42" customHeight="1">
      <c r="A8801" s="2" t="s">
        <v>22003</v>
      </c>
      <c r="B8801" s="2" t="s">
        <v>22004</v>
      </c>
      <c r="C8801" s="2" t="s">
        <v>67</v>
      </c>
      <c r="D8801" s="2" t="s">
        <v>275</v>
      </c>
      <c r="E8801" s="4">
        <v>-31942</v>
      </c>
      <c r="F8801" s="3" t="s">
        <v>3065</v>
      </c>
      <c r="G8801" s="3" t="s">
        <v>3066</v>
      </c>
      <c r="H8801" s="2" t="s">
        <v>21</v>
      </c>
      <c r="I8801" s="2" t="s">
        <v>22005</v>
      </c>
      <c r="J8801" s="3" t="str">
        <f>HYPERLINK("https://www.boe.es/gazeta/dias/1812/07/17/pdfs/GMD-1812-199.pdf#page=3","Abrir facsímil")</f>
        <v>Abrir facsímil</v>
      </c>
      <c r="K8801" s="3" t="s">
        <v>23</v>
      </c>
    </row>
    <row r="8802" spans="1:11" ht="42" customHeight="1">
      <c r="A8802" s="2" t="s">
        <v>22006</v>
      </c>
      <c r="B8802" s="2" t="s">
        <v>22007</v>
      </c>
      <c r="C8802" s="2" t="s">
        <v>26</v>
      </c>
      <c r="D8802" s="2" t="s">
        <v>27</v>
      </c>
      <c r="E8802" s="4">
        <v>-32114</v>
      </c>
      <c r="F8802" s="3" t="s">
        <v>480</v>
      </c>
      <c r="G8802" s="3" t="s">
        <v>481</v>
      </c>
      <c r="H8802" s="2" t="s">
        <v>21</v>
      </c>
      <c r="I8802" s="2" t="s">
        <v>22008</v>
      </c>
      <c r="J8802" s="3" t="str">
        <f>HYPERLINK("https://www.boe.es/gazeta/dias/1812/01/27/pdfs/GMD-1812-27.pdf#page=4","Abrir facsímil")</f>
        <v>Abrir facsímil</v>
      </c>
      <c r="K8802" s="3" t="s">
        <v>23</v>
      </c>
    </row>
    <row r="8803" spans="1:11" ht="42" customHeight="1">
      <c r="A8803" s="2" t="s">
        <v>22009</v>
      </c>
      <c r="B8803" s="2" t="s">
        <v>22010</v>
      </c>
      <c r="C8803" s="2" t="s">
        <v>26</v>
      </c>
      <c r="D8803" s="2" t="s">
        <v>27</v>
      </c>
      <c r="E8803" s="4">
        <v>-31994</v>
      </c>
      <c r="F8803" s="3" t="s">
        <v>207</v>
      </c>
      <c r="G8803" s="3" t="s">
        <v>1176</v>
      </c>
      <c r="H8803" s="2" t="s">
        <v>21</v>
      </c>
      <c r="I8803" s="2" t="s">
        <v>22011</v>
      </c>
      <c r="J8803" s="3" t="str">
        <f>HYPERLINK("https://www.boe.es/gazeta/dias/1812/05/26/pdfs/GRE-1812-65.pdf#page=8","Abrir facsímil")</f>
        <v>Abrir facsímil</v>
      </c>
      <c r="K8803" s="3" t="s">
        <v>23</v>
      </c>
    </row>
    <row r="8804" spans="1:11" ht="42" customHeight="1">
      <c r="A8804" s="2" t="s">
        <v>22012</v>
      </c>
      <c r="B8804" s="2" t="s">
        <v>22013</v>
      </c>
      <c r="C8804" s="2" t="s">
        <v>17</v>
      </c>
      <c r="D8804" s="2" t="s">
        <v>18</v>
      </c>
      <c r="E8804" s="4">
        <v>-32069</v>
      </c>
      <c r="F8804" s="3" t="s">
        <v>445</v>
      </c>
      <c r="G8804" s="3" t="s">
        <v>446</v>
      </c>
      <c r="H8804" s="2" t="s">
        <v>21</v>
      </c>
      <c r="I8804" s="2" t="s">
        <v>22014</v>
      </c>
      <c r="J8804" s="3" t="str">
        <f>HYPERLINK("https://www.boe.es/gazeta/dias/1812/03/12/pdfs/GRE-1812-32.pdf#page=8","Abrir facsímil")</f>
        <v>Abrir facsímil</v>
      </c>
      <c r="K8804" s="3" t="s">
        <v>23</v>
      </c>
    </row>
    <row r="8805" spans="1:11" ht="42" customHeight="1">
      <c r="A8805" s="2" t="s">
        <v>22015</v>
      </c>
      <c r="B8805" s="2" t="s">
        <v>22016</v>
      </c>
      <c r="C8805" s="2" t="s">
        <v>26</v>
      </c>
      <c r="D8805" s="2" t="s">
        <v>27</v>
      </c>
      <c r="E8805" s="4">
        <v>-32034</v>
      </c>
      <c r="F8805" s="3" t="s">
        <v>28</v>
      </c>
      <c r="G8805" s="3" t="s">
        <v>130</v>
      </c>
      <c r="H8805" s="2" t="s">
        <v>21</v>
      </c>
      <c r="I8805" s="2" t="s">
        <v>22017</v>
      </c>
      <c r="J8805" s="3" t="str">
        <f>HYPERLINK("https://www.boe.es/gazeta/dias/1812/04/16/pdfs/GMD-1812-107.pdf#page=4","Abrir facsímil")</f>
        <v>Abrir facsímil</v>
      </c>
      <c r="K8805" s="3" t="s">
        <v>23</v>
      </c>
    </row>
    <row r="8806" spans="1:11" ht="42" customHeight="1">
      <c r="A8806" s="2" t="s">
        <v>22018</v>
      </c>
      <c r="B8806" s="2" t="s">
        <v>22019</v>
      </c>
      <c r="C8806" s="2" t="s">
        <v>26</v>
      </c>
      <c r="D8806" s="2" t="s">
        <v>27</v>
      </c>
      <c r="E8806" s="4">
        <v>-32062</v>
      </c>
      <c r="F8806" s="3" t="s">
        <v>280</v>
      </c>
      <c r="G8806" s="3" t="s">
        <v>20</v>
      </c>
      <c r="H8806" s="2" t="s">
        <v>21</v>
      </c>
      <c r="I8806" s="2" t="s">
        <v>22020</v>
      </c>
      <c r="J8806" s="3" t="str">
        <f>HYPERLINK("https://www.boe.es/gazeta/dias/1812/03/19/pdfs/GMD-1812-79.pdf#page=4","Abrir facsímil")</f>
        <v>Abrir facsímil</v>
      </c>
      <c r="K8806" s="3" t="s">
        <v>23</v>
      </c>
    </row>
    <row r="8807" spans="1:11" ht="42" customHeight="1">
      <c r="A8807" s="2" t="s">
        <v>22021</v>
      </c>
      <c r="B8807" s="2" t="s">
        <v>22022</v>
      </c>
      <c r="C8807" s="2" t="s">
        <v>26</v>
      </c>
      <c r="D8807" s="2" t="s">
        <v>27</v>
      </c>
      <c r="E8807" s="4">
        <v>-32137</v>
      </c>
      <c r="F8807" s="3" t="s">
        <v>355</v>
      </c>
      <c r="G8807" s="3" t="s">
        <v>117</v>
      </c>
      <c r="H8807" s="2" t="s">
        <v>21</v>
      </c>
      <c r="I8807" s="2" t="s">
        <v>22023</v>
      </c>
      <c r="J8807" s="3" t="str">
        <f>HYPERLINK("https://www.boe.es/gazeta/dias/1812/01/04/pdfs/GEI-1812-2.pdf#page=8","Abrir facsímil")</f>
        <v>Abrir facsímil</v>
      </c>
      <c r="K8807" s="3" t="s">
        <v>23</v>
      </c>
    </row>
    <row r="8808" spans="1:11" ht="42" customHeight="1">
      <c r="A8808" s="2" t="s">
        <v>22024</v>
      </c>
      <c r="B8808" s="2" t="s">
        <v>22025</v>
      </c>
      <c r="C8808" s="2" t="s">
        <v>17</v>
      </c>
      <c r="D8808" s="2" t="s">
        <v>27</v>
      </c>
      <c r="E8808" s="4">
        <v>-32030</v>
      </c>
      <c r="F8808" s="3" t="s">
        <v>2226</v>
      </c>
      <c r="G8808" s="3" t="s">
        <v>2650</v>
      </c>
      <c r="H8808" s="2" t="s">
        <v>21</v>
      </c>
      <c r="I8808" s="2" t="s">
        <v>22026</v>
      </c>
      <c r="J8808" s="3" t="str">
        <f>HYPERLINK("https://www.boe.es/gazeta/dias/1812/04/20/pdfs/GMD-1812-111.pdf#page=3","Abrir facsímil")</f>
        <v>Abrir facsímil</v>
      </c>
      <c r="K8808" s="3" t="s">
        <v>23</v>
      </c>
    </row>
    <row r="8809" spans="1:11" ht="42" customHeight="1">
      <c r="A8809" s="2" t="s">
        <v>22027</v>
      </c>
      <c r="B8809" s="2" t="s">
        <v>22028</v>
      </c>
      <c r="C8809" s="2" t="s">
        <v>17</v>
      </c>
      <c r="D8809" s="2" t="s">
        <v>18</v>
      </c>
      <c r="E8809" s="4">
        <v>-32050</v>
      </c>
      <c r="F8809" s="3" t="s">
        <v>864</v>
      </c>
      <c r="G8809" s="3" t="s">
        <v>29</v>
      </c>
      <c r="H8809" s="2" t="s">
        <v>21</v>
      </c>
      <c r="I8809" s="2" t="s">
        <v>22029</v>
      </c>
      <c r="J8809" s="3" t="str">
        <f>HYPERLINK("https://www.boe.es/gazeta/dias/1812/03/31/pdfs/GRE-1812-40.pdf#page=8","Abrir facsímil")</f>
        <v>Abrir facsímil</v>
      </c>
      <c r="K8809" s="3" t="s">
        <v>23</v>
      </c>
    </row>
    <row r="8810" spans="1:11" ht="42" customHeight="1">
      <c r="A8810" s="2" t="s">
        <v>22030</v>
      </c>
      <c r="B8810" s="2" t="s">
        <v>22031</v>
      </c>
      <c r="C8810" s="2" t="s">
        <v>49</v>
      </c>
      <c r="D8810" s="2" t="s">
        <v>275</v>
      </c>
      <c r="E8810" s="4">
        <v>-31812</v>
      </c>
      <c r="F8810" s="3" t="s">
        <v>1533</v>
      </c>
      <c r="G8810" s="3" t="s">
        <v>644</v>
      </c>
      <c r="H8810" s="2" t="s">
        <v>21</v>
      </c>
      <c r="I8810" s="2" t="s">
        <v>22032</v>
      </c>
      <c r="J8810" s="3" t="str">
        <f>HYPERLINK("https://www.boe.es/gazeta/dias/1812/11/24/pdfs/GMR-1812-37.pdf#page=4","Abrir facsímil")</f>
        <v>Abrir facsímil</v>
      </c>
      <c r="K8810" s="3" t="s">
        <v>23</v>
      </c>
    </row>
    <row r="8811" spans="1:11" ht="42" customHeight="1">
      <c r="A8811" s="2" t="s">
        <v>22033</v>
      </c>
      <c r="B8811" s="2" t="s">
        <v>22034</v>
      </c>
      <c r="C8811" s="2" t="s">
        <v>186</v>
      </c>
      <c r="D8811" s="2" t="s">
        <v>27</v>
      </c>
      <c r="E8811" s="4">
        <v>-32090</v>
      </c>
      <c r="F8811" s="3" t="s">
        <v>142</v>
      </c>
      <c r="G8811" s="3" t="s">
        <v>29</v>
      </c>
      <c r="H8811" s="2" t="s">
        <v>21</v>
      </c>
      <c r="I8811" s="2" t="s">
        <v>22035</v>
      </c>
      <c r="J8811" s="3" t="str">
        <f>HYPERLINK("https://www.boe.es/gazeta/dias/1812/02/20/pdfs/GRE-1812-22.pdf#page=8","Abrir facsímil")</f>
        <v>Abrir facsímil</v>
      </c>
      <c r="K8811" s="3" t="s">
        <v>23</v>
      </c>
    </row>
    <row r="8812" spans="1:11" ht="42" customHeight="1">
      <c r="A8812" s="2" t="s">
        <v>22036</v>
      </c>
      <c r="B8812" s="2" t="s">
        <v>22037</v>
      </c>
      <c r="C8812" s="2" t="s">
        <v>17</v>
      </c>
      <c r="D8812" s="2" t="s">
        <v>18</v>
      </c>
      <c r="E8812" s="4">
        <v>-32003</v>
      </c>
      <c r="F8812" s="3" t="s">
        <v>585</v>
      </c>
      <c r="G8812" s="3" t="s">
        <v>404</v>
      </c>
      <c r="H8812" s="2" t="s">
        <v>21</v>
      </c>
      <c r="I8812" s="2" t="s">
        <v>22038</v>
      </c>
      <c r="J8812" s="3" t="str">
        <f>HYPERLINK("https://www.boe.es/gazeta/dias/1812/05/17/pdfs/GMD-1812-138.pdf#page=2","Abrir facsímil")</f>
        <v>Abrir facsímil</v>
      </c>
      <c r="K8812" s="3" t="s">
        <v>23</v>
      </c>
    </row>
    <row r="8813" spans="1:11" ht="42" customHeight="1">
      <c r="A8813" s="2" t="s">
        <v>22039</v>
      </c>
      <c r="B8813" s="2" t="s">
        <v>22040</v>
      </c>
      <c r="C8813" s="2" t="s">
        <v>17</v>
      </c>
      <c r="D8813" s="2" t="s">
        <v>27</v>
      </c>
      <c r="E8813" s="4">
        <v>-31824</v>
      </c>
      <c r="F8813" s="3" t="s">
        <v>3123</v>
      </c>
      <c r="G8813" s="3" t="s">
        <v>4531</v>
      </c>
      <c r="H8813" s="2" t="s">
        <v>21</v>
      </c>
      <c r="I8813" s="2" t="s">
        <v>22041</v>
      </c>
      <c r="J8813" s="3" t="str">
        <f>HYPERLINK("https://www.boe.es/gazeta/dias/1812/11/12/pdfs/GRE-1812-151.pdf#page=6","Abrir facsímil")</f>
        <v>Abrir facsímil</v>
      </c>
      <c r="K8813" s="3" t="s">
        <v>23</v>
      </c>
    </row>
    <row r="8814" spans="1:11" ht="42" customHeight="1">
      <c r="A8814" s="2" t="s">
        <v>22042</v>
      </c>
      <c r="B8814" s="2" t="s">
        <v>22043</v>
      </c>
      <c r="C8814" s="2" t="s">
        <v>26</v>
      </c>
      <c r="D8814" s="2" t="s">
        <v>27</v>
      </c>
      <c r="E8814" s="4">
        <v>-32069</v>
      </c>
      <c r="F8814" s="3" t="s">
        <v>445</v>
      </c>
      <c r="G8814" s="3" t="s">
        <v>446</v>
      </c>
      <c r="H8814" s="2" t="s">
        <v>21</v>
      </c>
      <c r="I8814" s="2" t="s">
        <v>22044</v>
      </c>
      <c r="J8814" s="3" t="str">
        <f>HYPERLINK("https://www.boe.es/gazeta/dias/1812/03/12/pdfs/GRE-1812-32.pdf#page=8","Abrir facsímil")</f>
        <v>Abrir facsímil</v>
      </c>
      <c r="K8814" s="3" t="s">
        <v>23</v>
      </c>
    </row>
    <row r="8815" spans="1:11" ht="42" customHeight="1">
      <c r="A8815" s="2" t="s">
        <v>22045</v>
      </c>
      <c r="B8815" s="2" t="s">
        <v>22046</v>
      </c>
      <c r="C8815" s="2" t="s">
        <v>17</v>
      </c>
      <c r="D8815" s="2" t="s">
        <v>18</v>
      </c>
      <c r="E8815" s="4">
        <v>-32132</v>
      </c>
      <c r="F8815" s="3" t="s">
        <v>484</v>
      </c>
      <c r="G8815" s="3" t="s">
        <v>485</v>
      </c>
      <c r="H8815" s="2" t="s">
        <v>21</v>
      </c>
      <c r="I8815" s="2" t="s">
        <v>22047</v>
      </c>
      <c r="J8815" s="3" t="str">
        <f>HYPERLINK("https://www.boe.es/gazeta/dias/1812/01/09/pdfs/GEI-1812-4.pdf#page=8","Abrir facsímil")</f>
        <v>Abrir facsímil</v>
      </c>
      <c r="K8815" s="3" t="s">
        <v>23</v>
      </c>
    </row>
    <row r="8816" spans="1:11" ht="42" customHeight="1">
      <c r="A8816" s="2" t="s">
        <v>22048</v>
      </c>
      <c r="B8816" s="2" t="s">
        <v>22048</v>
      </c>
      <c r="C8816" s="2" t="s">
        <v>17</v>
      </c>
      <c r="D8816" s="2" t="s">
        <v>27</v>
      </c>
      <c r="E8816" s="4">
        <v>-32078</v>
      </c>
      <c r="F8816" s="3" t="s">
        <v>145</v>
      </c>
      <c r="G8816" s="3" t="s">
        <v>146</v>
      </c>
      <c r="H8816" s="2" t="s">
        <v>21</v>
      </c>
      <c r="I8816" s="2" t="s">
        <v>22049</v>
      </c>
      <c r="J8816" s="3" t="str">
        <f>HYPERLINK("https://www.boe.es/gazeta/dias/1812/03/03/pdfs/GRE-1812-28.pdf#page=3","Abrir facsímil")</f>
        <v>Abrir facsímil</v>
      </c>
      <c r="K8816" s="3" t="s">
        <v>23</v>
      </c>
    </row>
    <row r="8817" spans="1:11" ht="42" customHeight="1">
      <c r="A8817" s="2" t="s">
        <v>22050</v>
      </c>
      <c r="B8817" s="2" t="s">
        <v>22051</v>
      </c>
      <c r="C8817" s="2" t="s">
        <v>105</v>
      </c>
      <c r="D8817" s="2" t="s">
        <v>27</v>
      </c>
      <c r="E8817" s="4">
        <v>-32121</v>
      </c>
      <c r="F8817" s="3" t="s">
        <v>1237</v>
      </c>
      <c r="G8817" s="3" t="s">
        <v>404</v>
      </c>
      <c r="H8817" s="2" t="s">
        <v>21</v>
      </c>
      <c r="I8817" s="2" t="s">
        <v>22052</v>
      </c>
      <c r="J8817" s="3" t="str">
        <f>HYPERLINK("https://www.boe.es/gazeta/dias/1812/01/20/pdfs/GMD-1812-20.pdf#page=4","Abrir facsímil")</f>
        <v>Abrir facsímil</v>
      </c>
      <c r="K8817" s="3" t="s">
        <v>23</v>
      </c>
    </row>
    <row r="8818" spans="1:11" ht="42" customHeight="1">
      <c r="A8818" s="2" t="s">
        <v>22053</v>
      </c>
      <c r="B8818" s="2" t="s">
        <v>22054</v>
      </c>
      <c r="C8818" s="2" t="s">
        <v>17</v>
      </c>
      <c r="D8818" s="2" t="s">
        <v>27</v>
      </c>
      <c r="E8818" s="4">
        <v>-32067</v>
      </c>
      <c r="F8818" s="3" t="s">
        <v>199</v>
      </c>
      <c r="G8818" s="3" t="s">
        <v>237</v>
      </c>
      <c r="H8818" s="2" t="s">
        <v>21</v>
      </c>
      <c r="I8818" s="2" t="s">
        <v>22055</v>
      </c>
      <c r="J8818" s="3" t="str">
        <f>HYPERLINK("https://www.boe.es/gazeta/dias/1812/03/14/pdfs/GRE-1812-33.pdf#page=8","Abrir facsímil")</f>
        <v>Abrir facsímil</v>
      </c>
      <c r="K8818" s="3" t="s">
        <v>23</v>
      </c>
    </row>
    <row r="8819" spans="1:11" ht="42" customHeight="1">
      <c r="A8819" s="2" t="s">
        <v>22056</v>
      </c>
      <c r="B8819" s="2" t="s">
        <v>22057</v>
      </c>
      <c r="C8819" s="2" t="s">
        <v>26</v>
      </c>
      <c r="D8819" s="2" t="s">
        <v>27</v>
      </c>
      <c r="E8819" s="4">
        <v>-31976</v>
      </c>
      <c r="F8819" s="3" t="s">
        <v>54</v>
      </c>
      <c r="G8819" s="3" t="s">
        <v>55</v>
      </c>
      <c r="H8819" s="2" t="s">
        <v>21</v>
      </c>
      <c r="I8819" s="2" t="s">
        <v>22058</v>
      </c>
      <c r="J8819" s="3" t="str">
        <f>HYPERLINK("https://www.boe.es/gazeta/dias/1812/06/13/pdfs/GRE-1812-73.pdf#page=6","Abrir facsímil")</f>
        <v>Abrir facsímil</v>
      </c>
      <c r="K8819" s="3" t="s">
        <v>23</v>
      </c>
    </row>
    <row r="8820" spans="1:11" ht="42" customHeight="1">
      <c r="A8820" s="2" t="s">
        <v>22059</v>
      </c>
      <c r="B8820" s="2" t="s">
        <v>22060</v>
      </c>
      <c r="C8820" s="2" t="s">
        <v>26</v>
      </c>
      <c r="D8820" s="2" t="s">
        <v>27</v>
      </c>
      <c r="E8820" s="4">
        <v>-32030</v>
      </c>
      <c r="F8820" s="3" t="s">
        <v>2226</v>
      </c>
      <c r="G8820" s="3" t="s">
        <v>2650</v>
      </c>
      <c r="H8820" s="2" t="s">
        <v>21</v>
      </c>
      <c r="I8820" s="2" t="s">
        <v>22061</v>
      </c>
      <c r="J8820" s="3" t="str">
        <f>HYPERLINK("https://www.boe.es/gazeta/dias/1812/04/20/pdfs/GMD-1812-111.pdf#page=3","Abrir facsímil")</f>
        <v>Abrir facsímil</v>
      </c>
      <c r="K8820" s="3" t="s">
        <v>23</v>
      </c>
    </row>
    <row r="8821" spans="1:11" ht="42" customHeight="1">
      <c r="A8821" s="2" t="s">
        <v>22062</v>
      </c>
      <c r="B8821" s="2" t="s">
        <v>22062</v>
      </c>
      <c r="C8821" s="2" t="s">
        <v>17</v>
      </c>
      <c r="D8821" s="2" t="s">
        <v>27</v>
      </c>
      <c r="E8821" s="4">
        <v>-32118</v>
      </c>
      <c r="F8821" s="3" t="s">
        <v>1420</v>
      </c>
      <c r="G8821" s="3" t="s">
        <v>1128</v>
      </c>
      <c r="H8821" s="2" t="s">
        <v>21</v>
      </c>
      <c r="I8821" s="2" t="s">
        <v>22063</v>
      </c>
      <c r="J8821" s="3" t="str">
        <f>HYPERLINK("https://www.boe.es/gazeta/dias/1812/01/23/pdfs/GEI-1812-10.pdf#page=3","Abrir facsímil")</f>
        <v>Abrir facsímil</v>
      </c>
      <c r="K8821" s="3" t="s">
        <v>23</v>
      </c>
    </row>
    <row r="8822" spans="1:11" ht="42" customHeight="1">
      <c r="A8822" s="2" t="s">
        <v>22062</v>
      </c>
      <c r="B8822" s="2" t="s">
        <v>22062</v>
      </c>
      <c r="C8822" s="2" t="s">
        <v>17</v>
      </c>
      <c r="D8822" s="2" t="s">
        <v>18</v>
      </c>
      <c r="E8822" s="4">
        <v>-32099</v>
      </c>
      <c r="F8822" s="3" t="s">
        <v>2566</v>
      </c>
      <c r="G8822" s="3" t="s">
        <v>2106</v>
      </c>
      <c r="H8822" s="2" t="s">
        <v>21</v>
      </c>
      <c r="I8822" s="2" t="s">
        <v>22064</v>
      </c>
      <c r="J8822" s="3" t="str">
        <f>HYPERLINK("https://www.boe.es/gazeta/dias/1812/02/11/pdfs/GRE-1812-18.pdf#page=7","Abrir facsímil")</f>
        <v>Abrir facsímil</v>
      </c>
      <c r="K8822" s="3" t="s">
        <v>23</v>
      </c>
    </row>
    <row r="8823" spans="1:11" ht="42" customHeight="1">
      <c r="A8823" s="2" t="s">
        <v>22062</v>
      </c>
      <c r="B8823" s="2" t="s">
        <v>22062</v>
      </c>
      <c r="C8823" s="2" t="s">
        <v>17</v>
      </c>
      <c r="D8823" s="2" t="s">
        <v>27</v>
      </c>
      <c r="E8823" s="4">
        <v>-32032</v>
      </c>
      <c r="F8823" s="3" t="s">
        <v>531</v>
      </c>
      <c r="G8823" s="3" t="s">
        <v>140</v>
      </c>
      <c r="H8823" s="2" t="s">
        <v>21</v>
      </c>
      <c r="I8823" s="2" t="s">
        <v>22065</v>
      </c>
      <c r="J8823" s="3" t="str">
        <f>HYPERLINK("https://www.boe.es/gazeta/dias/1812/04/18/pdfs/GMD-1812-109.pdf#page=2","Abrir facsímil")</f>
        <v>Abrir facsímil</v>
      </c>
      <c r="K8823" s="3" t="s">
        <v>23</v>
      </c>
    </row>
    <row r="8824" spans="1:11" ht="42" customHeight="1">
      <c r="A8824" s="2" t="s">
        <v>22066</v>
      </c>
      <c r="B8824" s="2" t="s">
        <v>22067</v>
      </c>
      <c r="C8824" s="2" t="s">
        <v>17</v>
      </c>
      <c r="D8824" s="2" t="s">
        <v>18</v>
      </c>
      <c r="E8824" s="4">
        <v>-32095</v>
      </c>
      <c r="F8824" s="3" t="s">
        <v>181</v>
      </c>
      <c r="G8824" s="3" t="s">
        <v>777</v>
      </c>
      <c r="H8824" s="2" t="s">
        <v>21</v>
      </c>
      <c r="I8824" s="2" t="s">
        <v>22068</v>
      </c>
      <c r="J8824" s="3" t="str">
        <f>HYPERLINK("https://www.boe.es/gazeta/dias/1812/02/15/pdfs/GMD-1812-47.pdf#page=3","Abrir facsímil")</f>
        <v>Abrir facsímil</v>
      </c>
      <c r="K8824" s="3" t="s">
        <v>23</v>
      </c>
    </row>
    <row r="8825" spans="1:11" ht="42" customHeight="1">
      <c r="A8825" s="2" t="s">
        <v>22066</v>
      </c>
      <c r="B8825" s="2" t="s">
        <v>22067</v>
      </c>
      <c r="C8825" s="2" t="s">
        <v>17</v>
      </c>
      <c r="D8825" s="2" t="s">
        <v>18</v>
      </c>
      <c r="E8825" s="4">
        <v>-32094</v>
      </c>
      <c r="F8825" s="3" t="s">
        <v>181</v>
      </c>
      <c r="G8825" s="3" t="s">
        <v>777</v>
      </c>
      <c r="H8825" s="2" t="s">
        <v>21</v>
      </c>
      <c r="I8825" s="2" t="s">
        <v>22068</v>
      </c>
      <c r="J8825" s="3" t="str">
        <f>HYPERLINK("https://www.boe.es/gazeta/dias/1812/02/16/pdfs/GMD-1812-47.pdf#page=3","Abrir facsímil")</f>
        <v>Abrir facsímil</v>
      </c>
      <c r="K8825" s="3" t="s">
        <v>23</v>
      </c>
    </row>
    <row r="8826" spans="1:11" ht="42" customHeight="1">
      <c r="A8826" s="2" t="s">
        <v>22069</v>
      </c>
      <c r="B8826" s="2" t="s">
        <v>22070</v>
      </c>
      <c r="C8826" s="2" t="s">
        <v>26</v>
      </c>
      <c r="D8826" s="2" t="s">
        <v>27</v>
      </c>
      <c r="E8826" s="4">
        <v>-32044</v>
      </c>
      <c r="F8826" s="3" t="s">
        <v>1031</v>
      </c>
      <c r="G8826" s="3" t="s">
        <v>20</v>
      </c>
      <c r="H8826" s="2" t="s">
        <v>21</v>
      </c>
      <c r="I8826" s="2" t="s">
        <v>22071</v>
      </c>
      <c r="J8826" s="3" t="str">
        <f>HYPERLINK("https://www.boe.es/gazeta/dias/1812/04/06/pdfs/GMD-1812-97.pdf#page=3","Abrir facsímil")</f>
        <v>Abrir facsímil</v>
      </c>
      <c r="K8826" s="3" t="s">
        <v>23</v>
      </c>
    </row>
    <row r="8827" spans="1:11" ht="42" customHeight="1">
      <c r="A8827" s="2" t="s">
        <v>22072</v>
      </c>
      <c r="B8827" s="2" t="s">
        <v>22073</v>
      </c>
      <c r="C8827" s="2" t="s">
        <v>26</v>
      </c>
      <c r="D8827" s="2" t="s">
        <v>27</v>
      </c>
      <c r="E8827" s="4">
        <v>-32044</v>
      </c>
      <c r="F8827" s="3" t="s">
        <v>1031</v>
      </c>
      <c r="G8827" s="3" t="s">
        <v>20</v>
      </c>
      <c r="H8827" s="2" t="s">
        <v>21</v>
      </c>
      <c r="I8827" s="2" t="s">
        <v>22074</v>
      </c>
      <c r="J8827" s="3" t="str">
        <f>HYPERLINK("https://www.boe.es/gazeta/dias/1812/04/06/pdfs/GMD-1812-97.pdf#page=3","Abrir facsímil")</f>
        <v>Abrir facsímil</v>
      </c>
      <c r="K8827" s="3" t="s">
        <v>23</v>
      </c>
    </row>
    <row r="8828" spans="1:11" ht="42" customHeight="1">
      <c r="A8828" s="2" t="s">
        <v>22075</v>
      </c>
      <c r="B8828" s="2" t="s">
        <v>22076</v>
      </c>
      <c r="C8828" s="2" t="s">
        <v>17</v>
      </c>
      <c r="D8828" s="2" t="s">
        <v>18</v>
      </c>
      <c r="E8828" s="4">
        <v>-32095</v>
      </c>
      <c r="F8828" s="3" t="s">
        <v>181</v>
      </c>
      <c r="G8828" s="3" t="s">
        <v>777</v>
      </c>
      <c r="H8828" s="2" t="s">
        <v>21</v>
      </c>
      <c r="I8828" s="2" t="s">
        <v>22077</v>
      </c>
      <c r="J8828" s="3" t="str">
        <f>HYPERLINK("https://www.boe.es/gazeta/dias/1812/02/15/pdfs/GMD-1812-47.pdf#page=3","Abrir facsímil")</f>
        <v>Abrir facsímil</v>
      </c>
      <c r="K8828" s="3" t="s">
        <v>23</v>
      </c>
    </row>
    <row r="8829" spans="1:11" ht="42" customHeight="1">
      <c r="A8829" s="2" t="s">
        <v>22075</v>
      </c>
      <c r="B8829" s="2" t="s">
        <v>22076</v>
      </c>
      <c r="C8829" s="2" t="s">
        <v>17</v>
      </c>
      <c r="D8829" s="2" t="s">
        <v>18</v>
      </c>
      <c r="E8829" s="4">
        <v>-32094</v>
      </c>
      <c r="F8829" s="3" t="s">
        <v>181</v>
      </c>
      <c r="G8829" s="3" t="s">
        <v>777</v>
      </c>
      <c r="H8829" s="2" t="s">
        <v>21</v>
      </c>
      <c r="I8829" s="2" t="s">
        <v>22077</v>
      </c>
      <c r="J8829" s="3" t="str">
        <f>HYPERLINK("https://www.boe.es/gazeta/dias/1812/02/16/pdfs/GMD-1812-47.pdf#page=3","Abrir facsímil")</f>
        <v>Abrir facsímil</v>
      </c>
      <c r="K8829" s="3" t="s">
        <v>23</v>
      </c>
    </row>
    <row r="8830" spans="1:11" ht="42" customHeight="1">
      <c r="A8830" s="2" t="s">
        <v>22078</v>
      </c>
      <c r="B8830" s="2" t="s">
        <v>22078</v>
      </c>
      <c r="C8830" s="2" t="s">
        <v>17</v>
      </c>
      <c r="D8830" s="2" t="s">
        <v>18</v>
      </c>
      <c r="E8830" s="4">
        <v>-31889</v>
      </c>
      <c r="F8830" s="3" t="s">
        <v>424</v>
      </c>
      <c r="G8830" s="3" t="s">
        <v>36</v>
      </c>
      <c r="H8830" s="2" t="s">
        <v>21</v>
      </c>
      <c r="I8830" s="2" t="s">
        <v>22079</v>
      </c>
      <c r="J8830" s="3" t="str">
        <f>HYPERLINK("https://www.boe.es/gazeta/dias/1812/09/08/pdfs/GRE-1812-121.pdf#page=3","Abrir facsímil")</f>
        <v>Abrir facsímil</v>
      </c>
      <c r="K8830" s="3" t="s">
        <v>23</v>
      </c>
    </row>
    <row r="8831" spans="1:11" ht="42" customHeight="1">
      <c r="A8831" s="2" t="s">
        <v>22080</v>
      </c>
      <c r="B8831" s="2" t="s">
        <v>22081</v>
      </c>
      <c r="C8831" s="2" t="s">
        <v>26</v>
      </c>
      <c r="D8831" s="2" t="s">
        <v>27</v>
      </c>
      <c r="E8831" s="4">
        <v>-32034</v>
      </c>
      <c r="F8831" s="3" t="s">
        <v>28</v>
      </c>
      <c r="G8831" s="3" t="s">
        <v>794</v>
      </c>
      <c r="H8831" s="2" t="s">
        <v>21</v>
      </c>
      <c r="I8831" s="2" t="s">
        <v>22082</v>
      </c>
      <c r="J8831" s="3" t="str">
        <f>HYPERLINK("https://www.boe.es/gazeta/dias/1812/04/16/pdfs/GMD-1812-107.pdf#page=7","Abrir facsímil")</f>
        <v>Abrir facsímil</v>
      </c>
      <c r="K8831" s="3" t="s">
        <v>23</v>
      </c>
    </row>
    <row r="8832" spans="1:11" ht="42" customHeight="1">
      <c r="A8832" s="2" t="s">
        <v>22083</v>
      </c>
      <c r="B8832" s="2" t="s">
        <v>22083</v>
      </c>
      <c r="C8832" s="2" t="s">
        <v>17</v>
      </c>
      <c r="D8832" s="2" t="s">
        <v>18</v>
      </c>
      <c r="E8832" s="4">
        <v>-32032</v>
      </c>
      <c r="F8832" s="3" t="s">
        <v>531</v>
      </c>
      <c r="G8832" s="3" t="s">
        <v>140</v>
      </c>
      <c r="H8832" s="2" t="s">
        <v>21</v>
      </c>
      <c r="I8832" s="2" t="s">
        <v>22084</v>
      </c>
      <c r="J8832" s="3" t="str">
        <f>HYPERLINK("https://www.boe.es/gazeta/dias/1812/04/18/pdfs/GMD-1812-109.pdf#page=2","Abrir facsímil")</f>
        <v>Abrir facsímil</v>
      </c>
      <c r="K8832" s="3" t="s">
        <v>23</v>
      </c>
    </row>
    <row r="8833" spans="1:11" ht="42" customHeight="1">
      <c r="A8833" s="2" t="s">
        <v>22085</v>
      </c>
      <c r="B8833" s="2" t="s">
        <v>22086</v>
      </c>
      <c r="C8833" s="2" t="s">
        <v>26</v>
      </c>
      <c r="D8833" s="2" t="s">
        <v>27</v>
      </c>
      <c r="E8833" s="4">
        <v>-31934</v>
      </c>
      <c r="F8833" s="3" t="s">
        <v>6490</v>
      </c>
      <c r="G8833" s="3" t="s">
        <v>233</v>
      </c>
      <c r="H8833" s="2" t="s">
        <v>21</v>
      </c>
      <c r="I8833" s="2" t="s">
        <v>22087</v>
      </c>
      <c r="J8833" s="3" t="str">
        <f>HYPERLINK("https://www.boe.es/gazeta/dias/1812/07/25/pdfs/GMD-1812-207.pdf#page=2","Abrir facsímil")</f>
        <v>Abrir facsímil</v>
      </c>
      <c r="K8833" s="3" t="s">
        <v>23</v>
      </c>
    </row>
    <row r="8834" spans="1:11" ht="42" customHeight="1">
      <c r="A8834" s="2" t="s">
        <v>22088</v>
      </c>
      <c r="B8834" s="2" t="s">
        <v>22089</v>
      </c>
      <c r="C8834" s="2" t="s">
        <v>17</v>
      </c>
      <c r="D8834" s="2" t="s">
        <v>18</v>
      </c>
      <c r="E8834" s="4">
        <v>-31857</v>
      </c>
      <c r="F8834" s="3" t="s">
        <v>1000</v>
      </c>
      <c r="G8834" s="3" t="s">
        <v>4086</v>
      </c>
      <c r="H8834" s="2" t="s">
        <v>21</v>
      </c>
      <c r="I8834" s="2" t="s">
        <v>22090</v>
      </c>
      <c r="J8834" s="3" t="str">
        <f>HYPERLINK("https://www.boe.es/gazeta/dias/1812/10/10/pdfs/GRE-1812-137.pdf#page=5","Abrir facsímil")</f>
        <v>Abrir facsímil</v>
      </c>
      <c r="K8834" s="3" t="s">
        <v>23</v>
      </c>
    </row>
    <row r="8835" spans="1:11" ht="42" customHeight="1">
      <c r="A8835" s="2" t="s">
        <v>22091</v>
      </c>
      <c r="B8835" s="2" t="s">
        <v>22092</v>
      </c>
      <c r="C8835" s="2" t="s">
        <v>26</v>
      </c>
      <c r="D8835" s="2" t="s">
        <v>27</v>
      </c>
      <c r="E8835" s="4">
        <v>-32065</v>
      </c>
      <c r="F8835" s="3" t="s">
        <v>259</v>
      </c>
      <c r="G8835" s="3" t="s">
        <v>20</v>
      </c>
      <c r="H8835" s="2" t="s">
        <v>21</v>
      </c>
      <c r="I8835" s="2" t="s">
        <v>22093</v>
      </c>
      <c r="J8835" s="3" t="str">
        <f>HYPERLINK("https://www.boe.es/gazeta/dias/1812/03/16/pdfs/GMD-1812-76.pdf#page=4","Abrir facsímil")</f>
        <v>Abrir facsímil</v>
      </c>
      <c r="K8835" s="3" t="s">
        <v>23</v>
      </c>
    </row>
    <row r="8836" spans="1:11" ht="42" customHeight="1">
      <c r="A8836" s="2" t="s">
        <v>22094</v>
      </c>
      <c r="B8836" s="2" t="s">
        <v>22095</v>
      </c>
      <c r="C8836" s="2" t="s">
        <v>26</v>
      </c>
      <c r="D8836" s="2" t="s">
        <v>27</v>
      </c>
      <c r="E8836" s="4">
        <v>-32097</v>
      </c>
      <c r="F8836" s="3" t="s">
        <v>3797</v>
      </c>
      <c r="G8836" s="3" t="s">
        <v>3802</v>
      </c>
      <c r="H8836" s="2" t="s">
        <v>21</v>
      </c>
      <c r="I8836" s="2" t="s">
        <v>22096</v>
      </c>
      <c r="J8836" s="3" t="str">
        <f>HYPERLINK("https://www.boe.es/gazeta/dias/1812/02/13/pdfs/GRE-1812-19.pdf#page=2","Abrir facsímil")</f>
        <v>Abrir facsímil</v>
      </c>
      <c r="K8836" s="3" t="s">
        <v>23</v>
      </c>
    </row>
    <row r="8837" spans="1:11" ht="42" customHeight="1">
      <c r="A8837" s="2" t="s">
        <v>22097</v>
      </c>
      <c r="B8837" s="2" t="s">
        <v>22098</v>
      </c>
      <c r="C8837" s="2" t="s">
        <v>105</v>
      </c>
      <c r="D8837" s="2" t="s">
        <v>275</v>
      </c>
      <c r="E8837" s="4">
        <v>-32116</v>
      </c>
      <c r="F8837" s="3" t="s">
        <v>993</v>
      </c>
      <c r="G8837" s="3" t="s">
        <v>233</v>
      </c>
      <c r="H8837" s="2" t="s">
        <v>21</v>
      </c>
      <c r="I8837" s="2" t="s">
        <v>22099</v>
      </c>
      <c r="J8837" s="3" t="str">
        <f>HYPERLINK("https://www.boe.es/gazeta/dias/1812/01/25/pdfs/GEI-1812-11.pdf#page=8","Abrir facsímil")</f>
        <v>Abrir facsímil</v>
      </c>
      <c r="K8837" s="3" t="s">
        <v>23</v>
      </c>
    </row>
    <row r="8838" spans="1:11" ht="42" customHeight="1">
      <c r="A8838" s="2" t="s">
        <v>22100</v>
      </c>
      <c r="B8838" s="2" t="s">
        <v>22101</v>
      </c>
      <c r="C8838" s="2" t="s">
        <v>26</v>
      </c>
      <c r="D8838" s="2" t="s">
        <v>27</v>
      </c>
      <c r="E8838" s="4">
        <v>-32034</v>
      </c>
      <c r="F8838" s="3" t="s">
        <v>28</v>
      </c>
      <c r="G8838" s="3" t="s">
        <v>130</v>
      </c>
      <c r="H8838" s="2" t="s">
        <v>21</v>
      </c>
      <c r="I8838" s="2" t="s">
        <v>22102</v>
      </c>
      <c r="J8838" s="3" t="str">
        <f>HYPERLINK("https://www.boe.es/gazeta/dias/1812/04/16/pdfs/GMD-1812-107.pdf#page=4","Abrir facsímil")</f>
        <v>Abrir facsímil</v>
      </c>
      <c r="K8838" s="3" t="s">
        <v>23</v>
      </c>
    </row>
    <row r="8839" spans="1:11" ht="42" customHeight="1">
      <c r="A8839" s="2" t="s">
        <v>22103</v>
      </c>
      <c r="B8839" s="2" t="s">
        <v>22104</v>
      </c>
      <c r="C8839" s="2" t="s">
        <v>82</v>
      </c>
      <c r="D8839" s="2" t="s">
        <v>275</v>
      </c>
      <c r="E8839" s="4">
        <v>-31847</v>
      </c>
      <c r="F8839" s="3" t="s">
        <v>4133</v>
      </c>
      <c r="G8839" s="3" t="s">
        <v>125</v>
      </c>
      <c r="H8839" s="2" t="s">
        <v>21</v>
      </c>
      <c r="I8839" s="2" t="s">
        <v>22105</v>
      </c>
      <c r="J8839" s="3" t="str">
        <f>HYPERLINK("https://www.boe.es/gazeta/dias/1812/10/20/pdfs/GMR-1812-29.pdf#page=12","Abrir facsímil")</f>
        <v>Abrir facsímil</v>
      </c>
      <c r="K8839" s="3" t="s">
        <v>23</v>
      </c>
    </row>
    <row r="8840" spans="1:11" ht="42" customHeight="1">
      <c r="A8840" s="2" t="s">
        <v>22106</v>
      </c>
      <c r="B8840" s="2" t="s">
        <v>22107</v>
      </c>
      <c r="C8840" s="2" t="s">
        <v>26</v>
      </c>
      <c r="D8840" s="2" t="s">
        <v>27</v>
      </c>
      <c r="E8840" s="4">
        <v>-31963</v>
      </c>
      <c r="F8840" s="3" t="s">
        <v>171</v>
      </c>
      <c r="G8840" s="3" t="s">
        <v>172</v>
      </c>
      <c r="H8840" s="2" t="s">
        <v>21</v>
      </c>
      <c r="I8840" s="2" t="s">
        <v>22108</v>
      </c>
      <c r="J8840" s="3" t="str">
        <f>HYPERLINK("https://www.boe.es/gazeta/dias/1812/06/26/pdfs/GMD-1812-178.pdf#page=3","Abrir facsímil")</f>
        <v>Abrir facsímil</v>
      </c>
      <c r="K8840" s="3" t="s">
        <v>23</v>
      </c>
    </row>
    <row r="8841" spans="1:11" ht="42" customHeight="1">
      <c r="A8841" s="2" t="s">
        <v>22109</v>
      </c>
      <c r="B8841" s="2" t="s">
        <v>22110</v>
      </c>
      <c r="C8841" s="2" t="s">
        <v>82</v>
      </c>
      <c r="D8841" s="2" t="s">
        <v>27</v>
      </c>
      <c r="E8841" s="4">
        <v>-32127</v>
      </c>
      <c r="F8841" s="3" t="s">
        <v>88</v>
      </c>
      <c r="G8841" s="3" t="s">
        <v>89</v>
      </c>
      <c r="H8841" s="2" t="s">
        <v>21</v>
      </c>
      <c r="I8841" s="2" t="s">
        <v>22111</v>
      </c>
      <c r="J8841" s="3" t="str">
        <f>HYPERLINK("https://www.boe.es/gazeta/dias/1812/01/14/pdfs/GEI-1812-6.pdf#page=8","Abrir facsímil")</f>
        <v>Abrir facsímil</v>
      </c>
      <c r="K8841" s="3" t="s">
        <v>23</v>
      </c>
    </row>
    <row r="8842" spans="1:11" ht="42" customHeight="1">
      <c r="A8842" s="2" t="s">
        <v>22112</v>
      </c>
      <c r="B8842" s="2" t="s">
        <v>22113</v>
      </c>
      <c r="C8842" s="2" t="s">
        <v>26</v>
      </c>
      <c r="D8842" s="2" t="s">
        <v>27</v>
      </c>
      <c r="E8842" s="4">
        <v>-31938</v>
      </c>
      <c r="F8842" s="3" t="s">
        <v>324</v>
      </c>
      <c r="G8842" s="3" t="s">
        <v>237</v>
      </c>
      <c r="H8842" s="2" t="s">
        <v>21</v>
      </c>
      <c r="I8842" s="2" t="s">
        <v>22114</v>
      </c>
      <c r="J8842" s="3" t="str">
        <f>HYPERLINK("https://www.boe.es/gazeta/dias/1812/07/21/pdfs/GMD-1812-203.pdf#page=2","Abrir facsímil")</f>
        <v>Abrir facsímil</v>
      </c>
      <c r="K8842" s="3" t="s">
        <v>23</v>
      </c>
    </row>
    <row r="8843" spans="1:11" ht="42" customHeight="1">
      <c r="A8843" s="2" t="s">
        <v>22115</v>
      </c>
      <c r="B8843" s="2" t="s">
        <v>22116</v>
      </c>
      <c r="C8843" s="2" t="s">
        <v>26</v>
      </c>
      <c r="D8843" s="2" t="s">
        <v>275</v>
      </c>
      <c r="E8843" s="4">
        <v>-31964</v>
      </c>
      <c r="F8843" s="3" t="s">
        <v>305</v>
      </c>
      <c r="G8843" s="3" t="s">
        <v>58</v>
      </c>
      <c r="H8843" s="2" t="s">
        <v>21</v>
      </c>
      <c r="I8843" s="2" t="s">
        <v>22117</v>
      </c>
      <c r="J8843" s="3" t="str">
        <f>HYPERLINK("https://www.boe.es/gazeta/dias/1812/06/25/pdfs/GMD-1812-177.pdf#page=2","Abrir facsímil")</f>
        <v>Abrir facsímil</v>
      </c>
      <c r="K8843" s="3" t="s">
        <v>23</v>
      </c>
    </row>
    <row r="8844" spans="1:11" ht="42" customHeight="1">
      <c r="A8844" s="2" t="s">
        <v>22118</v>
      </c>
      <c r="B8844" s="2" t="s">
        <v>22119</v>
      </c>
      <c r="C8844" s="2" t="s">
        <v>186</v>
      </c>
      <c r="D8844" s="2" t="s">
        <v>27</v>
      </c>
      <c r="E8844" s="4">
        <v>-32045</v>
      </c>
      <c r="F8844" s="3" t="s">
        <v>129</v>
      </c>
      <c r="G8844" s="3" t="s">
        <v>130</v>
      </c>
      <c r="H8844" s="2" t="s">
        <v>21</v>
      </c>
      <c r="I8844" s="2" t="s">
        <v>22120</v>
      </c>
      <c r="J8844" s="3" t="str">
        <f>HYPERLINK("https://www.boe.es/gazeta/dias/1812/04/05/pdfs/GMD-1812-96.pdf#page=4","Abrir facsímil")</f>
        <v>Abrir facsímil</v>
      </c>
      <c r="K8844" s="3" t="s">
        <v>23</v>
      </c>
    </row>
    <row r="8845" spans="1:11" ht="42" customHeight="1">
      <c r="A8845" s="2" t="s">
        <v>22121</v>
      </c>
      <c r="B8845" s="2" t="s">
        <v>22122</v>
      </c>
      <c r="C8845" s="2" t="s">
        <v>26</v>
      </c>
      <c r="D8845" s="2" t="s">
        <v>573</v>
      </c>
      <c r="E8845" s="4">
        <v>-31900</v>
      </c>
      <c r="F8845" s="3" t="s">
        <v>276</v>
      </c>
      <c r="G8845" s="3" t="s">
        <v>277</v>
      </c>
      <c r="H8845" s="2" t="s">
        <v>21</v>
      </c>
      <c r="I8845" s="2" t="s">
        <v>22123</v>
      </c>
      <c r="J8845" s="3" t="str">
        <f>HYPERLINK("https://www.boe.es/gazeta/dias/1812/08/28/pdfs/GRE-1812-113E.pdf#page=8","Abrir facsímil")</f>
        <v>Abrir facsímil</v>
      </c>
      <c r="K8845" s="3" t="s">
        <v>23</v>
      </c>
    </row>
    <row r="8846" spans="1:11" ht="42" customHeight="1">
      <c r="A8846" s="2" t="s">
        <v>22124</v>
      </c>
      <c r="B8846" s="2" t="s">
        <v>22125</v>
      </c>
      <c r="C8846" s="2" t="s">
        <v>26</v>
      </c>
      <c r="D8846" s="2" t="s">
        <v>27</v>
      </c>
      <c r="E8846" s="4">
        <v>-31934</v>
      </c>
      <c r="F8846" s="3" t="s">
        <v>6490</v>
      </c>
      <c r="G8846" s="3" t="s">
        <v>233</v>
      </c>
      <c r="H8846" s="2" t="s">
        <v>21</v>
      </c>
      <c r="I8846" s="2" t="s">
        <v>22126</v>
      </c>
      <c r="J8846" s="3" t="str">
        <f>HYPERLINK("https://www.boe.es/gazeta/dias/1812/07/25/pdfs/GMD-1812-207.pdf#page=2","Abrir facsímil")</f>
        <v>Abrir facsímil</v>
      </c>
      <c r="K8846" s="3" t="s">
        <v>23</v>
      </c>
    </row>
  </sheetData>
  <mergeCells count="4">
    <mergeCell ref="A1:K1"/>
    <mergeCell ref="A2:K2"/>
    <mergeCell ref="A3:K3"/>
    <mergeCell ref="A4:K4"/>
  </mergeCells>
  <conditionalFormatting sqref="K7:K8846">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7" t="s">
        <v>22127</v>
      </c>
      <c r="B1" s="7"/>
      <c r="C1" s="7"/>
      <c r="D1" s="7"/>
      <c r="E1" s="7"/>
      <c r="F1" s="7"/>
    </row>
    <row r="2" spans="1:6" ht="22.05" customHeight="1">
      <c r="A2" s="11" t="s">
        <v>22128</v>
      </c>
      <c r="B2" s="11"/>
      <c r="C2" s="11"/>
      <c r="D2" s="11"/>
      <c r="E2" s="11"/>
      <c r="F2" s="11"/>
    </row>
    <row r="4" spans="1:6" ht="30" customHeight="1">
      <c r="A4" s="1" t="s">
        <v>8</v>
      </c>
      <c r="B4" s="1" t="s">
        <v>9</v>
      </c>
      <c r="C4" s="1" t="s">
        <v>22129</v>
      </c>
      <c r="D4" s="1" t="s">
        <v>22130</v>
      </c>
      <c r="E4" s="1" t="s">
        <v>22131</v>
      </c>
      <c r="F4" s="1" t="s">
        <v>22132</v>
      </c>
    </row>
    <row r="5" spans="1:6" ht="31.05" customHeight="1">
      <c r="A5" s="5">
        <v>-32140</v>
      </c>
      <c r="B5" s="2" t="s">
        <v>822</v>
      </c>
      <c r="C5" s="2" t="s">
        <v>22133</v>
      </c>
      <c r="D5" s="3">
        <v>4</v>
      </c>
      <c r="E5" s="3">
        <v>11</v>
      </c>
      <c r="F5" s="3" t="str">
        <f>HYPERLINK("https://www.boe.es/gazeta/dias/1812/01/01/pdfs/GMD-1812-1.pdf","Abrir PDF")</f>
        <v>Abrir PDF</v>
      </c>
    </row>
    <row r="6" spans="1:6" ht="31.05" customHeight="1">
      <c r="A6" s="5">
        <v>-32139</v>
      </c>
      <c r="B6" s="2" t="s">
        <v>288</v>
      </c>
      <c r="C6" s="2" t="s">
        <v>22134</v>
      </c>
      <c r="D6" s="3">
        <v>4</v>
      </c>
      <c r="E6" s="3">
        <v>29</v>
      </c>
      <c r="F6" s="3" t="str">
        <f>HYPERLINK("https://www.boe.es/gazeta/dias/1812/01/02/pdfs/GMD-1812-2.pdf","Abrir PDF")</f>
        <v>Abrir PDF</v>
      </c>
    </row>
    <row r="7" spans="1:6" ht="31.05" customHeight="1">
      <c r="A7" s="5">
        <v>-32139</v>
      </c>
      <c r="B7" s="2" t="s">
        <v>518</v>
      </c>
      <c r="C7" s="2" t="s">
        <v>22135</v>
      </c>
      <c r="D7" s="3">
        <v>8</v>
      </c>
      <c r="E7" s="3">
        <v>62</v>
      </c>
      <c r="F7" s="3" t="str">
        <f>HYPERLINK("https://www.boe.es/gazeta/dias/1812/01/02/pdfs/GEI-1812-1.pdf","Abrir PDF")</f>
        <v>Abrir PDF</v>
      </c>
    </row>
    <row r="8" spans="1:6" ht="31.05" customHeight="1">
      <c r="A8" s="5">
        <v>-32138</v>
      </c>
      <c r="B8" s="2" t="s">
        <v>2714</v>
      </c>
      <c r="C8" s="2" t="s">
        <v>22136</v>
      </c>
      <c r="D8" s="3">
        <v>4</v>
      </c>
      <c r="E8" s="3">
        <v>8</v>
      </c>
      <c r="F8" s="3" t="str">
        <f>HYPERLINK("https://www.boe.es/gazeta/dias/1812/01/03/pdfs/GMD-1812-3.pdf","Abrir PDF")</f>
        <v>Abrir PDF</v>
      </c>
    </row>
    <row r="9" spans="1:6" ht="31.05" customHeight="1">
      <c r="A9" s="5">
        <v>-32137</v>
      </c>
      <c r="B9" s="2" t="s">
        <v>4353</v>
      </c>
      <c r="C9" s="2" t="s">
        <v>22137</v>
      </c>
      <c r="D9" s="3">
        <v>4</v>
      </c>
      <c r="E9" s="3">
        <v>4</v>
      </c>
      <c r="F9" s="3" t="str">
        <f>HYPERLINK("https://www.boe.es/gazeta/dias/1812/01/04/pdfs/GMD-1812-4.pdf","Abrir PDF")</f>
        <v>Abrir PDF</v>
      </c>
    </row>
    <row r="10" spans="1:6" ht="31.05" customHeight="1">
      <c r="A10" s="5">
        <v>-32137</v>
      </c>
      <c r="B10" s="2" t="s">
        <v>355</v>
      </c>
      <c r="C10" s="2" t="s">
        <v>22138</v>
      </c>
      <c r="D10" s="3">
        <v>8</v>
      </c>
      <c r="E10" s="3">
        <v>77</v>
      </c>
      <c r="F10" s="3" t="str">
        <f>HYPERLINK("https://www.boe.es/gazeta/dias/1812/01/04/pdfs/GEI-1812-2.pdf","Abrir PDF")</f>
        <v>Abrir PDF</v>
      </c>
    </row>
    <row r="11" spans="1:6" ht="31.05" customHeight="1">
      <c r="A11" s="5">
        <v>-32136</v>
      </c>
      <c r="B11" s="2" t="s">
        <v>2800</v>
      </c>
      <c r="C11" s="2" t="s">
        <v>22139</v>
      </c>
      <c r="D11" s="3">
        <v>4</v>
      </c>
      <c r="E11" s="3">
        <v>3</v>
      </c>
      <c r="F11" s="3" t="str">
        <f>HYPERLINK("https://www.boe.es/gazeta/dias/1812/01/05/pdfs/GMD-1812-5.pdf","Abrir PDF")</f>
        <v>Abrir PDF</v>
      </c>
    </row>
    <row r="12" spans="1:6" ht="31.05" customHeight="1">
      <c r="A12" s="5">
        <v>-32135</v>
      </c>
      <c r="B12" s="2" t="s">
        <v>17773</v>
      </c>
      <c r="C12" s="2" t="s">
        <v>22140</v>
      </c>
      <c r="D12" s="3">
        <v>4</v>
      </c>
      <c r="E12" s="3">
        <v>2</v>
      </c>
      <c r="F12" s="3" t="str">
        <f>HYPERLINK("https://www.boe.es/gazeta/dias/1812/01/06/pdfs/GMD-1812-6.pdf","Abrir PDF")</f>
        <v>Abrir PDF</v>
      </c>
    </row>
    <row r="13" spans="1:6" ht="31.05" customHeight="1">
      <c r="A13" s="5">
        <v>-32135</v>
      </c>
      <c r="B13" s="2" t="s">
        <v>4558</v>
      </c>
      <c r="C13" s="2" t="s">
        <v>22141</v>
      </c>
      <c r="D13" s="3">
        <v>4</v>
      </c>
      <c r="E13" s="3">
        <v>8</v>
      </c>
      <c r="F13" s="3" t="str">
        <f>HYPERLINK("https://www.boe.es/gazeta/dias/1812/01/06/pdfs/GMD-1812-7.pdf","Abrir PDF")</f>
        <v>Abrir PDF</v>
      </c>
    </row>
    <row r="14" spans="1:6" ht="31.05" customHeight="1">
      <c r="A14" s="5">
        <v>-32134</v>
      </c>
      <c r="B14" s="2" t="s">
        <v>4558</v>
      </c>
      <c r="C14" s="2" t="s">
        <v>22141</v>
      </c>
      <c r="D14" s="3">
        <v>4</v>
      </c>
      <c r="E14" s="3">
        <v>8</v>
      </c>
      <c r="F14" s="3" t="str">
        <f>HYPERLINK("https://www.boe.es/gazeta/dias/1812/01/07/pdfs/GMD-1812-7.pdf","Abrir PDF")</f>
        <v>Abrir PDF</v>
      </c>
    </row>
    <row r="15" spans="1:6" ht="31.05" customHeight="1">
      <c r="A15" s="5">
        <v>-32134</v>
      </c>
      <c r="B15" s="2" t="s">
        <v>50</v>
      </c>
      <c r="C15" s="2" t="s">
        <v>22142</v>
      </c>
      <c r="D15" s="3">
        <v>8</v>
      </c>
      <c r="E15" s="3">
        <v>62</v>
      </c>
      <c r="F15" s="3" t="str">
        <f>HYPERLINK("https://www.boe.es/gazeta/dias/1812/01/07/pdfs/GEI-1812-3.pdf","Abrir PDF")</f>
        <v>Abrir PDF</v>
      </c>
    </row>
    <row r="16" spans="1:6" ht="31.05" customHeight="1">
      <c r="A16" s="5">
        <v>-32133</v>
      </c>
      <c r="B16" s="2" t="s">
        <v>139</v>
      </c>
      <c r="C16" s="2" t="s">
        <v>22143</v>
      </c>
      <c r="D16" s="3">
        <v>4</v>
      </c>
      <c r="E16" s="3">
        <v>10</v>
      </c>
      <c r="F16" s="3" t="str">
        <f>HYPERLINK("https://www.boe.es/gazeta/dias/1812/01/08/pdfs/GMD-1812-8.pdf","Abrir PDF")</f>
        <v>Abrir PDF</v>
      </c>
    </row>
    <row r="17" spans="1:6" ht="31.05" customHeight="1">
      <c r="A17" s="5">
        <v>-32132</v>
      </c>
      <c r="B17" s="2" t="s">
        <v>441</v>
      </c>
      <c r="C17" s="2" t="s">
        <v>22144</v>
      </c>
      <c r="D17" s="3">
        <v>4</v>
      </c>
      <c r="E17" s="3">
        <v>9</v>
      </c>
      <c r="F17" s="3" t="str">
        <f>HYPERLINK("https://www.boe.es/gazeta/dias/1812/01/09/pdfs/GMD-1812-9.pdf","Abrir PDF")</f>
        <v>Abrir PDF</v>
      </c>
    </row>
    <row r="18" spans="1:6" ht="31.05" customHeight="1">
      <c r="A18" s="5">
        <v>-32132</v>
      </c>
      <c r="B18" s="2" t="s">
        <v>484</v>
      </c>
      <c r="C18" s="2" t="s">
        <v>22145</v>
      </c>
      <c r="D18" s="3">
        <v>8</v>
      </c>
      <c r="E18" s="3">
        <v>48</v>
      </c>
      <c r="F18" s="3" t="str">
        <f>HYPERLINK("https://www.boe.es/gazeta/dias/1812/01/09/pdfs/GEI-1812-4.pdf","Abrir PDF")</f>
        <v>Abrir PDF</v>
      </c>
    </row>
    <row r="19" spans="1:6" ht="31.05" customHeight="1">
      <c r="A19" s="5">
        <v>-32131</v>
      </c>
      <c r="B19" s="2" t="s">
        <v>11900</v>
      </c>
      <c r="C19" s="2" t="s">
        <v>22146</v>
      </c>
      <c r="D19" s="3">
        <v>4</v>
      </c>
      <c r="E19" s="3">
        <v>1</v>
      </c>
      <c r="F19" s="3" t="str">
        <f>HYPERLINK("https://www.boe.es/gazeta/dias/1812/01/10/pdfs/GMD-1812-10.pdf","Abrir PDF")</f>
        <v>Abrir PDF</v>
      </c>
    </row>
    <row r="20" spans="1:6" ht="31.05" customHeight="1">
      <c r="A20" s="5">
        <v>-32130</v>
      </c>
      <c r="B20" s="2" t="s">
        <v>927</v>
      </c>
      <c r="C20" s="2" t="s">
        <v>22147</v>
      </c>
      <c r="D20" s="3">
        <v>4</v>
      </c>
      <c r="E20" s="3">
        <v>26</v>
      </c>
      <c r="F20" s="3" t="str">
        <f>HYPERLINK("https://www.boe.es/gazeta/dias/1812/01/11/pdfs/GMD-1812-11.pdf","Abrir PDF")</f>
        <v>Abrir PDF</v>
      </c>
    </row>
    <row r="21" spans="1:6" ht="31.05" customHeight="1">
      <c r="A21" s="5">
        <v>-32130</v>
      </c>
      <c r="B21" s="2" t="s">
        <v>2538</v>
      </c>
      <c r="C21" s="2" t="s">
        <v>22148</v>
      </c>
      <c r="D21" s="3">
        <v>8</v>
      </c>
      <c r="E21" s="3">
        <v>9</v>
      </c>
      <c r="F21" s="3" t="str">
        <f>HYPERLINK("https://www.boe.es/gazeta/dias/1812/01/11/pdfs/GEI-1812-5.pdf","Abrir PDF")</f>
        <v>Abrir PDF</v>
      </c>
    </row>
    <row r="22" spans="1:6" ht="31.05" customHeight="1">
      <c r="A22" s="5">
        <v>-32129</v>
      </c>
      <c r="B22" s="2" t="s">
        <v>3162</v>
      </c>
      <c r="C22" s="2" t="s">
        <v>22149</v>
      </c>
      <c r="D22" s="3">
        <v>4</v>
      </c>
      <c r="E22" s="3">
        <v>14</v>
      </c>
      <c r="F22" s="3" t="str">
        <f>HYPERLINK("https://www.boe.es/gazeta/dias/1812/01/12/pdfs/GMD-1812-12.pdf","Abrir PDF")</f>
        <v>Abrir PDF</v>
      </c>
    </row>
    <row r="23" spans="1:6" ht="31.05" customHeight="1">
      <c r="A23" s="5">
        <v>-32128</v>
      </c>
      <c r="B23" s="2" t="s">
        <v>1927</v>
      </c>
      <c r="C23" s="2" t="s">
        <v>22150</v>
      </c>
      <c r="D23" s="3">
        <v>4</v>
      </c>
      <c r="E23" s="3">
        <v>16</v>
      </c>
      <c r="F23" s="3" t="str">
        <f>HYPERLINK("https://www.boe.es/gazeta/dias/1812/01/13/pdfs/GMD-1812-13.pdf","Abrir PDF")</f>
        <v>Abrir PDF</v>
      </c>
    </row>
    <row r="24" spans="1:6" ht="31.05" customHeight="1">
      <c r="A24" s="5">
        <v>-32127</v>
      </c>
      <c r="B24" s="2" t="s">
        <v>3698</v>
      </c>
      <c r="C24" s="2" t="s">
        <v>22151</v>
      </c>
      <c r="D24" s="3">
        <v>4</v>
      </c>
      <c r="E24" s="3">
        <v>4</v>
      </c>
      <c r="F24" s="3" t="str">
        <f>HYPERLINK("https://www.boe.es/gazeta/dias/1812/01/14/pdfs/GMD-1812-14.pdf","Abrir PDF")</f>
        <v>Abrir PDF</v>
      </c>
    </row>
    <row r="25" spans="1:6" ht="31.05" customHeight="1">
      <c r="A25" s="5">
        <v>-32127</v>
      </c>
      <c r="B25" s="2" t="s">
        <v>88</v>
      </c>
      <c r="C25" s="2" t="s">
        <v>22152</v>
      </c>
      <c r="D25" s="3">
        <v>8</v>
      </c>
      <c r="E25" s="3">
        <v>64</v>
      </c>
      <c r="F25" s="3" t="str">
        <f>HYPERLINK("https://www.boe.es/gazeta/dias/1812/01/14/pdfs/GEI-1812-6.pdf","Abrir PDF")</f>
        <v>Abrir PDF</v>
      </c>
    </row>
    <row r="26" spans="1:6" ht="31.05" customHeight="1">
      <c r="A26" s="5">
        <v>-32126</v>
      </c>
      <c r="B26" s="2" t="s">
        <v>5107</v>
      </c>
      <c r="C26" s="2" t="s">
        <v>22153</v>
      </c>
      <c r="D26" s="3">
        <v>4</v>
      </c>
      <c r="E26" s="3">
        <v>8</v>
      </c>
      <c r="F26" s="3" t="str">
        <f>HYPERLINK("https://www.boe.es/gazeta/dias/1812/01/15/pdfs/GMD-1812-15.pdf","Abrir PDF")</f>
        <v>Abrir PDF</v>
      </c>
    </row>
    <row r="27" spans="1:6" ht="31.05" customHeight="1">
      <c r="A27" s="5">
        <v>-32125</v>
      </c>
      <c r="B27" s="2" t="s">
        <v>7016</v>
      </c>
      <c r="C27" s="2" t="s">
        <v>22154</v>
      </c>
      <c r="D27" s="3">
        <v>4</v>
      </c>
      <c r="E27" s="3">
        <v>6</v>
      </c>
      <c r="F27" s="3" t="str">
        <f>HYPERLINK("https://www.boe.es/gazeta/dias/1812/01/16/pdfs/GMD-1812-16.pdf","Abrir PDF")</f>
        <v>Abrir PDF</v>
      </c>
    </row>
    <row r="28" spans="1:6" ht="31.05" customHeight="1">
      <c r="A28" s="5">
        <v>-32125</v>
      </c>
      <c r="B28" s="2" t="s">
        <v>335</v>
      </c>
      <c r="C28" s="2" t="s">
        <v>22155</v>
      </c>
      <c r="D28" s="3">
        <v>8</v>
      </c>
      <c r="E28" s="3">
        <v>62</v>
      </c>
      <c r="F28" s="3" t="str">
        <f>HYPERLINK("https://www.boe.es/gazeta/dias/1812/01/16/pdfs/GEI-1812-7.pdf","Abrir PDF")</f>
        <v>Abrir PDF</v>
      </c>
    </row>
    <row r="29" spans="1:6" ht="31.05" customHeight="1">
      <c r="A29" s="5">
        <v>-32125</v>
      </c>
      <c r="B29" s="2" t="s">
        <v>964</v>
      </c>
      <c r="C29" s="2" t="s">
        <v>22156</v>
      </c>
      <c r="D29" s="3">
        <v>4</v>
      </c>
      <c r="E29" s="3">
        <v>28</v>
      </c>
      <c r="F29" s="3" t="str">
        <f>HYPERLINK("https://www.boe.es/gazeta/dias/1812/01/16/pdfs/GEI-H-1812-7.pdf","Abrir PDF")</f>
        <v>Abrir PDF</v>
      </c>
    </row>
    <row r="30" spans="1:6" ht="31.05" customHeight="1">
      <c r="A30" s="5">
        <v>-32124</v>
      </c>
      <c r="B30" s="2" t="s">
        <v>3729</v>
      </c>
      <c r="C30" s="2" t="s">
        <v>22157</v>
      </c>
      <c r="D30" s="3">
        <v>4</v>
      </c>
      <c r="E30" s="3">
        <v>4</v>
      </c>
      <c r="F30" s="3" t="str">
        <f>HYPERLINK("https://www.boe.es/gazeta/dias/1812/01/17/pdfs/GMD-1812-17.pdf","Abrir PDF")</f>
        <v>Abrir PDF</v>
      </c>
    </row>
    <row r="31" spans="1:6" ht="31.05" customHeight="1">
      <c r="A31" s="5">
        <v>-32123</v>
      </c>
      <c r="B31" s="2" t="s">
        <v>2642</v>
      </c>
      <c r="C31" s="2" t="s">
        <v>22158</v>
      </c>
      <c r="D31" s="3">
        <v>4</v>
      </c>
      <c r="E31" s="3">
        <v>15</v>
      </c>
      <c r="F31" s="3" t="str">
        <f>HYPERLINK("https://www.boe.es/gazeta/dias/1812/01/18/pdfs/GMD-1812-18.pdf","Abrir PDF")</f>
        <v>Abrir PDF</v>
      </c>
    </row>
    <row r="32" spans="1:6" ht="31.05" customHeight="1">
      <c r="A32" s="5">
        <v>-32123</v>
      </c>
      <c r="B32" s="2" t="s">
        <v>3501</v>
      </c>
      <c r="C32" s="2" t="s">
        <v>22159</v>
      </c>
      <c r="D32" s="3">
        <v>8</v>
      </c>
      <c r="E32" s="3">
        <v>12</v>
      </c>
      <c r="F32" s="3" t="str">
        <f>HYPERLINK("https://www.boe.es/gazeta/dias/1812/01/18/pdfs/GEI-1812-8.pdf","Abrir PDF")</f>
        <v>Abrir PDF</v>
      </c>
    </row>
    <row r="33" spans="1:6" ht="31.05" customHeight="1">
      <c r="A33" s="5">
        <v>-32122</v>
      </c>
      <c r="B33" s="2" t="s">
        <v>1389</v>
      </c>
      <c r="C33" s="2" t="s">
        <v>22160</v>
      </c>
      <c r="D33" s="3">
        <v>4</v>
      </c>
      <c r="E33" s="3">
        <v>7</v>
      </c>
      <c r="F33" s="3" t="str">
        <f>HYPERLINK("https://www.boe.es/gazeta/dias/1812/01/19/pdfs/GMD-1812-19.pdf","Abrir PDF")</f>
        <v>Abrir PDF</v>
      </c>
    </row>
    <row r="34" spans="1:6" ht="31.05" customHeight="1">
      <c r="A34" s="5">
        <v>-32121</v>
      </c>
      <c r="B34" s="2" t="s">
        <v>1237</v>
      </c>
      <c r="C34" s="2" t="s">
        <v>22161</v>
      </c>
      <c r="D34" s="3">
        <v>4</v>
      </c>
      <c r="E34" s="3">
        <v>15</v>
      </c>
      <c r="F34" s="3" t="str">
        <f>HYPERLINK("https://www.boe.es/gazeta/dias/1812/01/20/pdfs/GMD-1812-20.pdf","Abrir PDF")</f>
        <v>Abrir PDF</v>
      </c>
    </row>
    <row r="35" spans="1:6" ht="31.05" customHeight="1">
      <c r="A35" s="5">
        <v>-32120</v>
      </c>
      <c r="B35" s="2" t="s">
        <v>522</v>
      </c>
      <c r="C35" s="2" t="s">
        <v>22162</v>
      </c>
      <c r="D35" s="3">
        <v>4</v>
      </c>
      <c r="E35" s="3">
        <v>12</v>
      </c>
      <c r="F35" s="3" t="str">
        <f>HYPERLINK("https://www.boe.es/gazeta/dias/1812/01/21/pdfs/GMD-1812-21.pdf","Abrir PDF")</f>
        <v>Abrir PDF</v>
      </c>
    </row>
    <row r="36" spans="1:6" ht="31.05" customHeight="1">
      <c r="A36" s="5">
        <v>-32120</v>
      </c>
      <c r="B36" s="2" t="s">
        <v>3524</v>
      </c>
      <c r="C36" s="2" t="s">
        <v>22163</v>
      </c>
      <c r="D36" s="3">
        <v>8</v>
      </c>
      <c r="E36" s="3">
        <v>10</v>
      </c>
      <c r="F36" s="3" t="str">
        <f>HYPERLINK("https://www.boe.es/gazeta/dias/1812/01/21/pdfs/GEI-1812-9.pdf","Abrir PDF")</f>
        <v>Abrir PDF</v>
      </c>
    </row>
    <row r="37" spans="1:6" ht="31.05" customHeight="1">
      <c r="A37" s="5">
        <v>-32120</v>
      </c>
      <c r="B37" s="2" t="s">
        <v>964</v>
      </c>
      <c r="C37" s="2" t="s">
        <v>22164</v>
      </c>
      <c r="D37" s="3">
        <v>4</v>
      </c>
      <c r="E37" s="3">
        <v>2</v>
      </c>
      <c r="F37" s="3" t="str">
        <f>HYPERLINK("https://www.boe.es/gazeta/dias/1812/01/21/pdfs/GEI-H-1812-9.pdf","Abrir PDF")</f>
        <v>Abrir PDF</v>
      </c>
    </row>
    <row r="38" spans="1:6" ht="31.05" customHeight="1">
      <c r="A38" s="5">
        <v>-32119</v>
      </c>
      <c r="B38" s="2" t="s">
        <v>11903</v>
      </c>
      <c r="C38" s="2" t="s">
        <v>22165</v>
      </c>
      <c r="D38" s="3">
        <v>4</v>
      </c>
      <c r="E38" s="3">
        <v>3</v>
      </c>
      <c r="F38" s="3" t="str">
        <f>HYPERLINK("https://www.boe.es/gazeta/dias/1812/01/22/pdfs/GMD-1812-22.pdf","Abrir PDF")</f>
        <v>Abrir PDF</v>
      </c>
    </row>
    <row r="39" spans="1:6" ht="31.05" customHeight="1">
      <c r="A39" s="5">
        <v>-32118</v>
      </c>
      <c r="B39" s="2" t="s">
        <v>10707</v>
      </c>
      <c r="C39" s="2" t="s">
        <v>22166</v>
      </c>
      <c r="D39" s="3">
        <v>4</v>
      </c>
      <c r="E39" s="3">
        <v>5</v>
      </c>
      <c r="F39" s="3" t="str">
        <f>HYPERLINK("https://www.boe.es/gazeta/dias/1812/01/23/pdfs/GMD-1812-23.pdf","Abrir PDF")</f>
        <v>Abrir PDF</v>
      </c>
    </row>
    <row r="40" spans="1:6" ht="31.05" customHeight="1">
      <c r="A40" s="5">
        <v>-32118</v>
      </c>
      <c r="B40" s="2" t="s">
        <v>1420</v>
      </c>
      <c r="C40" s="2" t="s">
        <v>22167</v>
      </c>
      <c r="D40" s="3">
        <v>8</v>
      </c>
      <c r="E40" s="3">
        <v>23</v>
      </c>
      <c r="F40" s="3" t="str">
        <f>HYPERLINK("https://www.boe.es/gazeta/dias/1812/01/23/pdfs/GEI-1812-10.pdf","Abrir PDF")</f>
        <v>Abrir PDF</v>
      </c>
    </row>
    <row r="41" spans="1:6" ht="31.05" customHeight="1">
      <c r="A41" s="5">
        <v>-32118</v>
      </c>
      <c r="B41" s="2" t="s">
        <v>964</v>
      </c>
      <c r="C41" s="2" t="s">
        <v>22168</v>
      </c>
      <c r="D41" s="3">
        <v>4</v>
      </c>
      <c r="E41" s="3">
        <v>33</v>
      </c>
      <c r="F41" s="3" t="str">
        <f>HYPERLINK("https://www.boe.es/gazeta/dias/1812/01/23/pdfs/GEI-H-1812-10.pdf","Abrir PDF")</f>
        <v>Abrir PDF</v>
      </c>
    </row>
    <row r="42" spans="1:6" ht="31.05" customHeight="1">
      <c r="A42" s="5">
        <v>-32117</v>
      </c>
      <c r="B42" s="2" t="s">
        <v>15575</v>
      </c>
      <c r="C42" s="2" t="s">
        <v>22169</v>
      </c>
      <c r="D42" s="3">
        <v>4</v>
      </c>
      <c r="E42" s="3">
        <v>3</v>
      </c>
      <c r="F42" s="3" t="str">
        <f>HYPERLINK("https://www.boe.es/gazeta/dias/1812/01/24/pdfs/GMD-1812-24.pdf","Abrir PDF")</f>
        <v>Abrir PDF</v>
      </c>
    </row>
    <row r="43" spans="1:6" ht="31.05" customHeight="1">
      <c r="A43" s="5">
        <v>-32116</v>
      </c>
      <c r="B43" s="2" t="s">
        <v>382</v>
      </c>
      <c r="C43" s="2" t="s">
        <v>22170</v>
      </c>
      <c r="D43" s="3">
        <v>4</v>
      </c>
      <c r="E43" s="3">
        <v>12</v>
      </c>
      <c r="F43" s="3" t="str">
        <f>HYPERLINK("https://www.boe.es/gazeta/dias/1812/01/25/pdfs/GMD-1812-25.pdf","Abrir PDF")</f>
        <v>Abrir PDF</v>
      </c>
    </row>
    <row r="44" spans="1:6" ht="31.05" customHeight="1">
      <c r="A44" s="5">
        <v>-32116</v>
      </c>
      <c r="B44" s="2" t="s">
        <v>993</v>
      </c>
      <c r="C44" s="2" t="s">
        <v>22171</v>
      </c>
      <c r="D44" s="3">
        <v>8</v>
      </c>
      <c r="E44" s="3">
        <v>24</v>
      </c>
      <c r="F44" s="3" t="str">
        <f>HYPERLINK("https://www.boe.es/gazeta/dias/1812/01/25/pdfs/GEI-1812-11.pdf","Abrir PDF")</f>
        <v>Abrir PDF</v>
      </c>
    </row>
    <row r="45" spans="1:6" ht="31.05" customHeight="1">
      <c r="A45" s="5">
        <v>-32116</v>
      </c>
      <c r="B45" s="2" t="s">
        <v>964</v>
      </c>
      <c r="C45" s="2" t="s">
        <v>22172</v>
      </c>
      <c r="D45" s="3">
        <v>4</v>
      </c>
      <c r="E45" s="3">
        <v>9</v>
      </c>
      <c r="F45" s="3" t="str">
        <f>HYPERLINK("https://www.boe.es/gazeta/dias/1812/01/25/pdfs/GEI-H-1812-11.pdf","Abrir PDF")</f>
        <v>Abrir PDF</v>
      </c>
    </row>
    <row r="46" spans="1:6" ht="31.05" customHeight="1">
      <c r="A46" s="5">
        <v>-32115</v>
      </c>
      <c r="B46" s="2" t="s">
        <v>747</v>
      </c>
      <c r="C46" s="2" t="s">
        <v>22173</v>
      </c>
      <c r="D46" s="3">
        <v>4</v>
      </c>
      <c r="E46" s="3">
        <v>6</v>
      </c>
      <c r="F46" s="3" t="str">
        <f>HYPERLINK("https://www.boe.es/gazeta/dias/1812/01/26/pdfs/GMD-1812-26.pdf","Abrir PDF")</f>
        <v>Abrir PDF</v>
      </c>
    </row>
    <row r="47" spans="1:6" ht="31.05" customHeight="1">
      <c r="A47" s="5">
        <v>-32114</v>
      </c>
      <c r="B47" s="2" t="s">
        <v>480</v>
      </c>
      <c r="C47" s="2" t="s">
        <v>22174</v>
      </c>
      <c r="D47" s="3">
        <v>4</v>
      </c>
      <c r="E47" s="3">
        <v>37</v>
      </c>
      <c r="F47" s="3" t="str">
        <f>HYPERLINK("https://www.boe.es/gazeta/dias/1812/01/27/pdfs/GMD-1812-27.pdf","Abrir PDF")</f>
        <v>Abrir PDF</v>
      </c>
    </row>
    <row r="48" spans="1:6" ht="31.05" customHeight="1">
      <c r="A48" s="5">
        <v>-32113</v>
      </c>
      <c r="B48" s="2" t="s">
        <v>4341</v>
      </c>
      <c r="C48" s="2" t="s">
        <v>22175</v>
      </c>
      <c r="D48" s="3">
        <v>4</v>
      </c>
      <c r="E48" s="3">
        <v>10</v>
      </c>
      <c r="F48" s="3" t="str">
        <f>HYPERLINK("https://www.boe.es/gazeta/dias/1812/01/28/pdfs/GMD-1812-28.pdf","Abrir PDF")</f>
        <v>Abrir PDF</v>
      </c>
    </row>
    <row r="49" spans="1:6" ht="31.05" customHeight="1">
      <c r="A49" s="5">
        <v>-32113</v>
      </c>
      <c r="B49" s="2" t="s">
        <v>121</v>
      </c>
      <c r="C49" s="2" t="s">
        <v>22176</v>
      </c>
      <c r="D49" s="3">
        <v>8</v>
      </c>
      <c r="E49" s="3">
        <v>14</v>
      </c>
      <c r="F49" s="3" t="str">
        <f>HYPERLINK("https://www.boe.es/gazeta/dias/1812/01/28/pdfs/GRE-1812-12.pdf","Abrir PDF")</f>
        <v>Abrir PDF</v>
      </c>
    </row>
    <row r="50" spans="1:6" ht="31.05" customHeight="1">
      <c r="A50" s="5">
        <v>-32112</v>
      </c>
      <c r="B50" s="2" t="s">
        <v>2794</v>
      </c>
      <c r="C50" s="2" t="s">
        <v>22177</v>
      </c>
      <c r="D50" s="3">
        <v>4</v>
      </c>
      <c r="E50" s="3">
        <v>13</v>
      </c>
      <c r="F50" s="3" t="str">
        <f>HYPERLINK("https://www.boe.es/gazeta/dias/1812/01/29/pdfs/GMD-1812-29.pdf","Abrir PDF")</f>
        <v>Abrir PDF</v>
      </c>
    </row>
    <row r="51" spans="1:6" ht="31.05" customHeight="1">
      <c r="A51" s="5">
        <v>-32111</v>
      </c>
      <c r="B51" s="2" t="s">
        <v>951</v>
      </c>
      <c r="C51" s="2" t="s">
        <v>22178</v>
      </c>
      <c r="D51" s="3">
        <v>4</v>
      </c>
      <c r="E51" s="3">
        <v>9</v>
      </c>
      <c r="F51" s="3" t="str">
        <f>HYPERLINK("https://www.boe.es/gazeta/dias/1812/01/30/pdfs/GMD-1812-30.pdf","Abrir PDF")</f>
        <v>Abrir PDF</v>
      </c>
    </row>
    <row r="52" spans="1:6" ht="31.05" customHeight="1">
      <c r="A52" s="5">
        <v>-32111</v>
      </c>
      <c r="B52" s="2" t="s">
        <v>553</v>
      </c>
      <c r="C52" s="2" t="s">
        <v>22179</v>
      </c>
      <c r="D52" s="3">
        <v>8</v>
      </c>
      <c r="E52" s="3">
        <v>22</v>
      </c>
      <c r="F52" s="3" t="str">
        <f>HYPERLINK("https://www.boe.es/gazeta/dias/1812/01/30/pdfs/GRE-1812-13.pdf","Abrir PDF")</f>
        <v>Abrir PDF</v>
      </c>
    </row>
    <row r="53" spans="1:6" ht="31.05" customHeight="1">
      <c r="A53" s="5">
        <v>-32110</v>
      </c>
      <c r="B53" s="2" t="s">
        <v>68</v>
      </c>
      <c r="C53" s="2" t="s">
        <v>22180</v>
      </c>
      <c r="D53" s="3">
        <v>4</v>
      </c>
      <c r="E53" s="3">
        <v>25</v>
      </c>
      <c r="F53" s="3" t="str">
        <f>HYPERLINK("https://www.boe.es/gazeta/dias/1812/01/31/pdfs/GMD-1812-31.pdf","Abrir PDF")</f>
        <v>Abrir PDF</v>
      </c>
    </row>
    <row r="54" spans="1:6" ht="31.05" customHeight="1">
      <c r="A54" s="5">
        <v>-32109</v>
      </c>
      <c r="B54" s="2" t="s">
        <v>2637</v>
      </c>
      <c r="C54" s="2" t="s">
        <v>22181</v>
      </c>
      <c r="D54" s="3">
        <v>4</v>
      </c>
      <c r="E54" s="3">
        <v>7</v>
      </c>
      <c r="F54" s="3" t="str">
        <f>HYPERLINK("https://www.boe.es/gazeta/dias/1812/02/01/pdfs/GMD-1812-32.pdf","Abrir PDF")</f>
        <v>Abrir PDF</v>
      </c>
    </row>
    <row r="55" spans="1:6" ht="31.05" customHeight="1">
      <c r="A55" s="5">
        <v>-32109</v>
      </c>
      <c r="B55" s="2" t="s">
        <v>62</v>
      </c>
      <c r="C55" s="2" t="s">
        <v>22182</v>
      </c>
      <c r="D55" s="3">
        <v>12</v>
      </c>
      <c r="E55" s="3">
        <v>146</v>
      </c>
      <c r="F55" s="3" t="str">
        <f>HYPERLINK("https://www.boe.es/gazeta/dias/1812/02/01/pdfs/GRE-1812-14.pdf","Abrir PDF")</f>
        <v>Abrir PDF</v>
      </c>
    </row>
    <row r="56" spans="1:6" ht="31.05" customHeight="1">
      <c r="A56" s="5">
        <v>-32108</v>
      </c>
      <c r="B56" s="2" t="s">
        <v>1143</v>
      </c>
      <c r="C56" s="2" t="s">
        <v>22183</v>
      </c>
      <c r="D56" s="3">
        <v>4</v>
      </c>
      <c r="E56" s="3">
        <v>16</v>
      </c>
      <c r="F56" s="3" t="str">
        <f>HYPERLINK("https://www.boe.es/gazeta/dias/1812/02/02/pdfs/GMD-1812-33.pdf","Abrir PDF")</f>
        <v>Abrir PDF</v>
      </c>
    </row>
    <row r="57" spans="1:6" ht="31.05" customHeight="1">
      <c r="A57" s="5">
        <v>-32107</v>
      </c>
      <c r="B57" s="2" t="s">
        <v>9281</v>
      </c>
      <c r="C57" s="2" t="s">
        <v>22184</v>
      </c>
      <c r="D57" s="3">
        <v>4</v>
      </c>
      <c r="E57" s="3">
        <v>4</v>
      </c>
      <c r="F57" s="3" t="str">
        <f>HYPERLINK("https://www.boe.es/gazeta/dias/1812/02/03/pdfs/GMD-1812-34.pdf","Abrir PDF")</f>
        <v>Abrir PDF</v>
      </c>
    </row>
    <row r="58" spans="1:6" ht="31.05" customHeight="1">
      <c r="A58" s="5">
        <v>-32106</v>
      </c>
      <c r="B58" s="2" t="s">
        <v>9281</v>
      </c>
      <c r="C58" s="2" t="s">
        <v>22184</v>
      </c>
      <c r="D58" s="3">
        <v>4</v>
      </c>
      <c r="E58" s="3">
        <v>4</v>
      </c>
      <c r="F58" s="3" t="str">
        <f>HYPERLINK("https://www.boe.es/gazeta/dias/1812/02/04/pdfs/GMD-1812-34.pdf","Abrir PDF")</f>
        <v>Abrir PDF</v>
      </c>
    </row>
    <row r="59" spans="1:6" ht="31.05" customHeight="1">
      <c r="A59" s="5">
        <v>-32106</v>
      </c>
      <c r="B59" s="2" t="s">
        <v>5916</v>
      </c>
      <c r="C59" s="2" t="s">
        <v>22185</v>
      </c>
      <c r="D59" s="3">
        <v>4</v>
      </c>
      <c r="E59" s="3">
        <v>1</v>
      </c>
      <c r="F59" s="3" t="str">
        <f>HYPERLINK("https://www.boe.es/gazeta/dias/1812/02/04/pdfs/GMD-1812-35.pdf","Abrir PDF")</f>
        <v>Abrir PDF</v>
      </c>
    </row>
    <row r="60" spans="1:6" ht="31.05" customHeight="1">
      <c r="A60" s="5">
        <v>-32106</v>
      </c>
      <c r="B60" s="2" t="s">
        <v>166</v>
      </c>
      <c r="C60" s="2" t="s">
        <v>22186</v>
      </c>
      <c r="D60" s="3">
        <v>8</v>
      </c>
      <c r="E60" s="3">
        <v>8</v>
      </c>
      <c r="F60" s="3" t="str">
        <f>HYPERLINK("https://www.boe.es/gazeta/dias/1812/02/04/pdfs/GRE-1812-15.pdf","Abrir PDF")</f>
        <v>Abrir PDF</v>
      </c>
    </row>
    <row r="61" spans="1:6" ht="31.05" customHeight="1">
      <c r="A61" s="5">
        <v>-32105</v>
      </c>
      <c r="B61" s="2" t="s">
        <v>8251</v>
      </c>
      <c r="C61" s="2" t="s">
        <v>22187</v>
      </c>
      <c r="D61" s="3">
        <v>4</v>
      </c>
      <c r="E61" s="3">
        <v>2</v>
      </c>
      <c r="F61" s="3" t="str">
        <f>HYPERLINK("https://www.boe.es/gazeta/dias/1812/02/05/pdfs/GMD-1812-36.pdf","Abrir PDF")</f>
        <v>Abrir PDF</v>
      </c>
    </row>
    <row r="62" spans="1:6" ht="31.05" customHeight="1">
      <c r="A62" s="5">
        <v>-32104</v>
      </c>
      <c r="B62" s="2" t="s">
        <v>753</v>
      </c>
      <c r="C62" s="2" t="s">
        <v>22188</v>
      </c>
      <c r="D62" s="3">
        <v>4</v>
      </c>
      <c r="E62" s="3">
        <v>6</v>
      </c>
      <c r="F62" s="3" t="str">
        <f>HYPERLINK("https://www.boe.es/gazeta/dias/1812/02/06/pdfs/GMD-1812-37.pdf","Abrir PDF")</f>
        <v>Abrir PDF</v>
      </c>
    </row>
    <row r="63" spans="1:6" ht="31.05" customHeight="1">
      <c r="A63" s="5">
        <v>-32104</v>
      </c>
      <c r="B63" s="2" t="s">
        <v>996</v>
      </c>
      <c r="C63" s="2" t="s">
        <v>22189</v>
      </c>
      <c r="D63" s="3">
        <v>8</v>
      </c>
      <c r="E63" s="3">
        <v>10</v>
      </c>
      <c r="F63" s="3" t="str">
        <f>HYPERLINK("https://www.boe.es/gazeta/dias/1812/02/06/pdfs/GRE-1812-16.pdf","Abrir PDF")</f>
        <v>Abrir PDF</v>
      </c>
    </row>
    <row r="64" spans="1:6" ht="31.05" customHeight="1">
      <c r="A64" s="5">
        <v>-32103</v>
      </c>
      <c r="B64" s="2" t="s">
        <v>1996</v>
      </c>
      <c r="C64" s="2" t="s">
        <v>22190</v>
      </c>
      <c r="D64" s="3">
        <v>4</v>
      </c>
      <c r="E64" s="3">
        <v>10</v>
      </c>
      <c r="F64" s="3" t="str">
        <f>HYPERLINK("https://www.boe.es/gazeta/dias/1812/02/07/pdfs/GMD-1812-38.pdf","Abrir PDF")</f>
        <v>Abrir PDF</v>
      </c>
    </row>
    <row r="65" spans="1:6" ht="31.05" customHeight="1">
      <c r="A65" s="5">
        <v>-32102</v>
      </c>
      <c r="B65" s="2" t="s">
        <v>11310</v>
      </c>
      <c r="C65" s="2" t="s">
        <v>22191</v>
      </c>
      <c r="D65" s="3">
        <v>4</v>
      </c>
      <c r="E65" s="3">
        <v>3</v>
      </c>
      <c r="F65" s="3" t="str">
        <f>HYPERLINK("https://www.boe.es/gazeta/dias/1812/02/08/pdfs/GMD-1812-39.pdf","Abrir PDF")</f>
        <v>Abrir PDF</v>
      </c>
    </row>
    <row r="66" spans="1:6" ht="31.05" customHeight="1">
      <c r="A66" s="5">
        <v>-32102</v>
      </c>
      <c r="B66" s="2" t="s">
        <v>1783</v>
      </c>
      <c r="C66" s="2" t="s">
        <v>22192</v>
      </c>
      <c r="D66" s="3">
        <v>8</v>
      </c>
      <c r="E66" s="3">
        <v>8</v>
      </c>
      <c r="F66" s="3" t="str">
        <f>HYPERLINK("https://www.boe.es/gazeta/dias/1812/02/08/pdfs/GRE-1812-17.pdf","Abrir PDF")</f>
        <v>Abrir PDF</v>
      </c>
    </row>
    <row r="67" spans="1:6" ht="31.05" customHeight="1">
      <c r="A67" s="5">
        <v>-32101</v>
      </c>
      <c r="B67" s="2" t="s">
        <v>228</v>
      </c>
      <c r="C67" s="2" t="s">
        <v>22193</v>
      </c>
      <c r="D67" s="3">
        <v>4</v>
      </c>
      <c r="E67" s="3">
        <v>12</v>
      </c>
      <c r="F67" s="3" t="str">
        <f>HYPERLINK("https://www.boe.es/gazeta/dias/1812/02/09/pdfs/GMD-1812-40.pdf","Abrir PDF")</f>
        <v>Abrir PDF</v>
      </c>
    </row>
    <row r="68" spans="1:6" ht="31.05" customHeight="1">
      <c r="A68" s="5">
        <v>-32100</v>
      </c>
      <c r="B68" s="2" t="s">
        <v>9946</v>
      </c>
      <c r="C68" s="2" t="s">
        <v>22194</v>
      </c>
      <c r="D68" s="3">
        <v>4</v>
      </c>
      <c r="E68" s="3">
        <v>1</v>
      </c>
      <c r="F68" s="3" t="str">
        <f>HYPERLINK("https://www.boe.es/gazeta/dias/1812/02/10/pdfs/GMD-1812-41.pdf","Abrir PDF")</f>
        <v>Abrir PDF</v>
      </c>
    </row>
    <row r="69" spans="1:6" ht="31.05" customHeight="1">
      <c r="A69" s="5">
        <v>-32100</v>
      </c>
      <c r="B69" s="2" t="s">
        <v>492</v>
      </c>
      <c r="C69" s="2" t="s">
        <v>22195</v>
      </c>
      <c r="D69" s="3">
        <v>8</v>
      </c>
      <c r="E69" s="3">
        <v>82</v>
      </c>
      <c r="F69" s="3" t="str">
        <f>HYPERLINK("https://www.boe.es/gazeta/dias/1812/02/10/pdfs/GRE-1812-31.pdf","Abrir PDF")</f>
        <v>Abrir PDF</v>
      </c>
    </row>
    <row r="70" spans="1:6" ht="31.05" customHeight="1">
      <c r="A70" s="5">
        <v>-32099</v>
      </c>
      <c r="B70" s="2" t="s">
        <v>16955</v>
      </c>
      <c r="C70" s="2" t="s">
        <v>22196</v>
      </c>
      <c r="D70" s="3">
        <v>4</v>
      </c>
      <c r="E70" s="3">
        <v>1</v>
      </c>
      <c r="F70" s="3" t="str">
        <f>HYPERLINK("https://www.boe.es/gazeta/dias/1812/02/11/pdfs/GMD-1812-42.pdf","Abrir PDF")</f>
        <v>Abrir PDF</v>
      </c>
    </row>
    <row r="71" spans="1:6" ht="31.05" customHeight="1">
      <c r="A71" s="5">
        <v>-32099</v>
      </c>
      <c r="B71" s="2" t="s">
        <v>2566</v>
      </c>
      <c r="C71" s="2" t="s">
        <v>22197</v>
      </c>
      <c r="D71" s="3">
        <v>8</v>
      </c>
      <c r="E71" s="3">
        <v>15</v>
      </c>
      <c r="F71" s="3" t="str">
        <f>HYPERLINK("https://www.boe.es/gazeta/dias/1812/02/11/pdfs/GRE-1812-18.pdf","Abrir PDF")</f>
        <v>Abrir PDF</v>
      </c>
    </row>
    <row r="72" spans="1:6" ht="31.05" customHeight="1">
      <c r="A72" s="5">
        <v>-32099</v>
      </c>
      <c r="B72" s="2" t="s">
        <v>7479</v>
      </c>
      <c r="C72" s="2" t="s">
        <v>22198</v>
      </c>
      <c r="D72" s="3">
        <v>4</v>
      </c>
      <c r="E72" s="3">
        <v>7</v>
      </c>
      <c r="F72" s="3" t="str">
        <f>HYPERLINK("https://www.boe.es/gazeta/dias/1812/02/11/pdfs/F00165-00168.pdf","Abrir PDF")</f>
        <v>Abrir PDF</v>
      </c>
    </row>
    <row r="73" spans="1:6" ht="31.05" customHeight="1">
      <c r="A73" s="5">
        <v>-32098</v>
      </c>
      <c r="B73" s="2" t="s">
        <v>4560</v>
      </c>
      <c r="C73" s="2" t="s">
        <v>22199</v>
      </c>
      <c r="D73" s="3">
        <v>4</v>
      </c>
      <c r="E73" s="3">
        <v>2</v>
      </c>
      <c r="F73" s="3" t="str">
        <f>HYPERLINK("https://www.boe.es/gazeta/dias/1812/02/12/pdfs/GMD-1812-43.pdf","Abrir PDF")</f>
        <v>Abrir PDF</v>
      </c>
    </row>
    <row r="74" spans="1:6" ht="31.05" customHeight="1">
      <c r="A74" s="5">
        <v>-32097</v>
      </c>
      <c r="B74" s="2" t="s">
        <v>4288</v>
      </c>
      <c r="C74" s="2" t="s">
        <v>22200</v>
      </c>
      <c r="D74" s="3">
        <v>4</v>
      </c>
      <c r="E74" s="3">
        <v>9</v>
      </c>
      <c r="F74" s="3" t="str">
        <f>HYPERLINK("https://www.boe.es/gazeta/dias/1812/02/13/pdfs/GMD-1812-44.pdf","Abrir PDF")</f>
        <v>Abrir PDF</v>
      </c>
    </row>
    <row r="75" spans="1:6" ht="31.05" customHeight="1">
      <c r="A75" s="5">
        <v>-32097</v>
      </c>
      <c r="B75" s="2" t="s">
        <v>3797</v>
      </c>
      <c r="C75" s="2" t="s">
        <v>22201</v>
      </c>
      <c r="D75" s="3">
        <v>8</v>
      </c>
      <c r="E75" s="3">
        <v>21</v>
      </c>
      <c r="F75" s="3" t="str">
        <f>HYPERLINK("https://www.boe.es/gazeta/dias/1812/02/13/pdfs/GRE-1812-19.pdf","Abrir PDF")</f>
        <v>Abrir PDF</v>
      </c>
    </row>
    <row r="76" spans="1:6" ht="31.05" customHeight="1">
      <c r="A76" s="5">
        <v>-32096</v>
      </c>
      <c r="B76" s="2" t="s">
        <v>4149</v>
      </c>
      <c r="C76" s="2" t="s">
        <v>22202</v>
      </c>
      <c r="D76" s="3">
        <v>4</v>
      </c>
      <c r="E76" s="3">
        <v>5</v>
      </c>
      <c r="F76" s="3" t="str">
        <f>HYPERLINK("https://www.boe.es/gazeta/dias/1812/02/14/pdfs/GMD-1812-45.pdf","Abrir PDF")</f>
        <v>Abrir PDF</v>
      </c>
    </row>
    <row r="77" spans="1:6" ht="31.05" customHeight="1">
      <c r="A77" s="5">
        <v>-32095</v>
      </c>
      <c r="B77" s="2" t="s">
        <v>1099</v>
      </c>
      <c r="C77" s="2" t="s">
        <v>22203</v>
      </c>
      <c r="D77" s="3">
        <v>4</v>
      </c>
      <c r="E77" s="3">
        <v>27</v>
      </c>
      <c r="F77" s="3" t="str">
        <f>HYPERLINK("https://www.boe.es/gazeta/dias/1812/02/15/pdfs/GMD-1812-46.pdf","Abrir PDF")</f>
        <v>Abrir PDF</v>
      </c>
    </row>
    <row r="78" spans="1:6" ht="31.05" customHeight="1">
      <c r="A78" s="5">
        <v>-32095</v>
      </c>
      <c r="B78" s="2" t="s">
        <v>181</v>
      </c>
      <c r="C78" s="2" t="s">
        <v>22204</v>
      </c>
      <c r="D78" s="3">
        <v>4</v>
      </c>
      <c r="E78" s="3">
        <v>39</v>
      </c>
      <c r="F78" s="3" t="str">
        <f>HYPERLINK("https://www.boe.es/gazeta/dias/1812/02/15/pdfs/GMD-1812-47.pdf","Abrir PDF")</f>
        <v>Abrir PDF</v>
      </c>
    </row>
    <row r="79" spans="1:6" ht="31.05" customHeight="1">
      <c r="A79" s="5">
        <v>-32095</v>
      </c>
      <c r="B79" s="2" t="s">
        <v>284</v>
      </c>
      <c r="C79" s="2" t="s">
        <v>22205</v>
      </c>
      <c r="D79" s="3">
        <v>8</v>
      </c>
      <c r="E79" s="3">
        <v>43</v>
      </c>
      <c r="F79" s="3" t="str">
        <f>HYPERLINK("https://www.boe.es/gazeta/dias/1812/02/15/pdfs/GRE-1812-20.pdf","Abrir PDF")</f>
        <v>Abrir PDF</v>
      </c>
    </row>
    <row r="80" spans="1:6" ht="31.05" customHeight="1">
      <c r="A80" s="5">
        <v>-32094</v>
      </c>
      <c r="B80" s="2" t="s">
        <v>181</v>
      </c>
      <c r="C80" s="2" t="s">
        <v>22204</v>
      </c>
      <c r="D80" s="3">
        <v>4</v>
      </c>
      <c r="E80" s="3">
        <v>39</v>
      </c>
      <c r="F80" s="3" t="str">
        <f>HYPERLINK("https://www.boe.es/gazeta/dias/1812/02/16/pdfs/GMD-1812-47.pdf","Abrir PDF")</f>
        <v>Abrir PDF</v>
      </c>
    </row>
    <row r="81" spans="1:6" ht="31.05" customHeight="1">
      <c r="A81" s="5">
        <v>-32093</v>
      </c>
      <c r="B81" s="2" t="s">
        <v>4503</v>
      </c>
      <c r="C81" s="2" t="s">
        <v>22206</v>
      </c>
      <c r="D81" s="3">
        <v>4</v>
      </c>
      <c r="E81" s="3">
        <v>6</v>
      </c>
      <c r="F81" s="3" t="str">
        <f>HYPERLINK("https://www.boe.es/gazeta/dias/1812/02/17/pdfs/GMD-1812-48.pdf","Abrir PDF")</f>
        <v>Abrir PDF</v>
      </c>
    </row>
    <row r="82" spans="1:6" ht="31.05" customHeight="1">
      <c r="A82" s="5">
        <v>-32092</v>
      </c>
      <c r="B82" s="2" t="s">
        <v>13326</v>
      </c>
      <c r="C82" s="2" t="s">
        <v>22207</v>
      </c>
      <c r="D82" s="3">
        <v>4</v>
      </c>
      <c r="E82" s="3">
        <v>1</v>
      </c>
      <c r="F82" s="3" t="str">
        <f>HYPERLINK("https://www.boe.es/gazeta/dias/1812/02/18/pdfs/GMD-1812-49.pdf","Abrir PDF")</f>
        <v>Abrir PDF</v>
      </c>
    </row>
    <row r="83" spans="1:6" ht="31.05" customHeight="1">
      <c r="A83" s="5">
        <v>-32092</v>
      </c>
      <c r="B83" s="2" t="s">
        <v>1621</v>
      </c>
      <c r="C83" s="2" t="s">
        <v>22208</v>
      </c>
      <c r="D83" s="3">
        <v>8</v>
      </c>
      <c r="E83" s="3">
        <v>9</v>
      </c>
      <c r="F83" s="3" t="str">
        <f>HYPERLINK("https://www.boe.es/gazeta/dias/1812/02/18/pdfs/GRE-1812-21.pdf","Abrir PDF")</f>
        <v>Abrir PDF</v>
      </c>
    </row>
    <row r="84" spans="1:6" ht="31.05" customHeight="1">
      <c r="A84" s="5">
        <v>-32091</v>
      </c>
      <c r="B84" s="2" t="s">
        <v>17296</v>
      </c>
      <c r="C84" s="2" t="s">
        <v>22209</v>
      </c>
      <c r="D84" s="3">
        <v>4</v>
      </c>
      <c r="E84" s="3">
        <v>1</v>
      </c>
      <c r="F84" s="3" t="str">
        <f>HYPERLINK("https://www.boe.es/gazeta/dias/1812/02/19/pdfs/GMD-1812-50.pdf","Abrir PDF")</f>
        <v>Abrir PDF</v>
      </c>
    </row>
    <row r="85" spans="1:6" ht="31.05" customHeight="1">
      <c r="A85" s="5">
        <v>-32090</v>
      </c>
      <c r="B85" s="2" t="s">
        <v>13326</v>
      </c>
      <c r="C85" s="2" t="s">
        <v>22207</v>
      </c>
      <c r="D85" s="3">
        <v>4</v>
      </c>
      <c r="E85" s="3">
        <v>1</v>
      </c>
      <c r="F85" s="3" t="str">
        <f>HYPERLINK("https://www.boe.es/gazeta/dias/1812/02/20/pdfs/GMD-1812-49.pdf","Abrir PDF")</f>
        <v>Abrir PDF</v>
      </c>
    </row>
    <row r="86" spans="1:6" ht="31.05" customHeight="1">
      <c r="A86" s="5">
        <v>-32090</v>
      </c>
      <c r="B86" s="2" t="s">
        <v>12841</v>
      </c>
      <c r="C86" s="2" t="s">
        <v>22210</v>
      </c>
      <c r="D86" s="3">
        <v>4</v>
      </c>
      <c r="E86" s="3">
        <v>1</v>
      </c>
      <c r="F86" s="3" t="str">
        <f>HYPERLINK("https://www.boe.es/gazeta/dias/1812/02/20/pdfs/GMD-1812-51.pdf","Abrir PDF")</f>
        <v>Abrir PDF</v>
      </c>
    </row>
    <row r="87" spans="1:6" ht="31.05" customHeight="1">
      <c r="A87" s="5">
        <v>-32090</v>
      </c>
      <c r="B87" s="2" t="s">
        <v>142</v>
      </c>
      <c r="C87" s="2" t="s">
        <v>22211</v>
      </c>
      <c r="D87" s="3">
        <v>8</v>
      </c>
      <c r="E87" s="3">
        <v>42</v>
      </c>
      <c r="F87" s="3" t="str">
        <f>HYPERLINK("https://www.boe.es/gazeta/dias/1812/02/20/pdfs/GRE-1812-22.pdf","Abrir PDF")</f>
        <v>Abrir PDF</v>
      </c>
    </row>
    <row r="88" spans="1:6" ht="31.05" customHeight="1">
      <c r="A88" s="5">
        <v>-32089</v>
      </c>
      <c r="B88" s="2" t="s">
        <v>1918</v>
      </c>
      <c r="C88" s="2" t="s">
        <v>22212</v>
      </c>
      <c r="D88" s="3">
        <v>4</v>
      </c>
      <c r="E88" s="3">
        <v>14</v>
      </c>
      <c r="F88" s="3" t="str">
        <f>HYPERLINK("https://www.boe.es/gazeta/dias/1812/02/21/pdfs/GMD-1812-52.pdf","Abrir PDF")</f>
        <v>Abrir PDF</v>
      </c>
    </row>
    <row r="89" spans="1:6" ht="31.05" customHeight="1">
      <c r="A89" s="5">
        <v>-32088</v>
      </c>
      <c r="B89" s="2" t="s">
        <v>1217</v>
      </c>
      <c r="C89" s="2" t="s">
        <v>22213</v>
      </c>
      <c r="D89" s="3">
        <v>4</v>
      </c>
      <c r="E89" s="3">
        <v>23</v>
      </c>
      <c r="F89" s="3" t="str">
        <f>HYPERLINK("https://www.boe.es/gazeta/dias/1812/02/22/pdfs/GMD-1812-53.pdf","Abrir PDF")</f>
        <v>Abrir PDF</v>
      </c>
    </row>
    <row r="90" spans="1:6" ht="31.05" customHeight="1">
      <c r="A90" s="5">
        <v>-32088</v>
      </c>
      <c r="B90" s="2" t="s">
        <v>250</v>
      </c>
      <c r="C90" s="2" t="s">
        <v>22214</v>
      </c>
      <c r="D90" s="3">
        <v>8</v>
      </c>
      <c r="E90" s="3">
        <v>23</v>
      </c>
      <c r="F90" s="3" t="str">
        <f>HYPERLINK("https://www.boe.es/gazeta/dias/1812/02/22/pdfs/GRE-1812-23.pdf","Abrir PDF")</f>
        <v>Abrir PDF</v>
      </c>
    </row>
    <row r="91" spans="1:6" ht="31.05" customHeight="1">
      <c r="A91" s="5">
        <v>-32088</v>
      </c>
      <c r="B91" s="2" t="s">
        <v>13518</v>
      </c>
      <c r="C91" s="2" t="s">
        <v>22215</v>
      </c>
      <c r="D91" s="3">
        <v>3</v>
      </c>
      <c r="E91" s="3">
        <v>2</v>
      </c>
      <c r="F91" s="3" t="str">
        <f>HYPERLINK("https://www.boe.es/gazeta/dias/1812/02/22/pdfs/GRE-1812-24E.pdf","Abrir PDF")</f>
        <v>Abrir PDF</v>
      </c>
    </row>
    <row r="92" spans="1:6" ht="31.05" customHeight="1">
      <c r="A92" s="5">
        <v>-32087</v>
      </c>
      <c r="B92" s="2" t="s">
        <v>9693</v>
      </c>
      <c r="C92" s="2" t="s">
        <v>22216</v>
      </c>
      <c r="D92" s="3">
        <v>4</v>
      </c>
      <c r="E92" s="3">
        <v>3</v>
      </c>
      <c r="F92" s="3" t="str">
        <f>HYPERLINK("https://www.boe.es/gazeta/dias/1812/02/23/pdfs/GMD-1812-54.pdf","Abrir PDF")</f>
        <v>Abrir PDF</v>
      </c>
    </row>
    <row r="93" spans="1:6" ht="31.05" customHeight="1">
      <c r="A93" s="5">
        <v>-32086</v>
      </c>
      <c r="B93" s="2" t="s">
        <v>2067</v>
      </c>
      <c r="C93" s="2" t="s">
        <v>22217</v>
      </c>
      <c r="D93" s="3">
        <v>4</v>
      </c>
      <c r="E93" s="3">
        <v>6</v>
      </c>
      <c r="F93" s="3" t="str">
        <f>HYPERLINK("https://www.boe.es/gazeta/dias/1812/02/24/pdfs/GMD-1812-55.pdf","Abrir PDF")</f>
        <v>Abrir PDF</v>
      </c>
    </row>
    <row r="94" spans="1:6" ht="31.05" customHeight="1">
      <c r="A94" s="5">
        <v>-32085</v>
      </c>
      <c r="B94" s="2" t="s">
        <v>1877</v>
      </c>
      <c r="C94" s="2" t="s">
        <v>22218</v>
      </c>
      <c r="D94" s="3">
        <v>4</v>
      </c>
      <c r="E94" s="3">
        <v>6</v>
      </c>
      <c r="F94" s="3" t="str">
        <f>HYPERLINK("https://www.boe.es/gazeta/dias/1812/02/25/pdfs/GMD-1812-56.pdf","Abrir PDF")</f>
        <v>Abrir PDF</v>
      </c>
    </row>
    <row r="95" spans="1:6" ht="31.05" customHeight="1">
      <c r="A95" s="5">
        <v>-32085</v>
      </c>
      <c r="B95" s="2" t="s">
        <v>3321</v>
      </c>
      <c r="C95" s="2" t="s">
        <v>22219</v>
      </c>
      <c r="D95" s="3">
        <v>8</v>
      </c>
      <c r="E95" s="3">
        <v>23</v>
      </c>
      <c r="F95" s="3" t="str">
        <f>HYPERLINK("https://www.boe.es/gazeta/dias/1812/02/25/pdfs/GRE-1812-25.pdf","Abrir PDF")</f>
        <v>Abrir PDF</v>
      </c>
    </row>
    <row r="96" spans="1:6" ht="31.05" customHeight="1">
      <c r="A96" s="5">
        <v>-32085</v>
      </c>
      <c r="B96" s="2" t="s">
        <v>2287</v>
      </c>
      <c r="C96" s="2" t="s">
        <v>22220</v>
      </c>
      <c r="D96" s="3">
        <v>4</v>
      </c>
      <c r="E96" s="3">
        <v>3</v>
      </c>
      <c r="F96" s="3" t="str">
        <f>HYPERLINK("https://www.boe.es/gazeta/dias/1812/02/25/pdfs/GRE-F-1812-25.pdf","Abrir PDF")</f>
        <v>Abrir PDF</v>
      </c>
    </row>
    <row r="97" spans="1:6" ht="31.05" customHeight="1">
      <c r="A97" s="5">
        <v>-32084</v>
      </c>
      <c r="B97" s="2" t="s">
        <v>6994</v>
      </c>
      <c r="C97" s="2" t="s">
        <v>22221</v>
      </c>
      <c r="D97" s="3">
        <v>4</v>
      </c>
      <c r="E97" s="3">
        <v>4</v>
      </c>
      <c r="F97" s="3" t="str">
        <f>HYPERLINK("https://www.boe.es/gazeta/dias/1812/02/26/pdfs/GMD-1812-57.pdf","Abrir PDF")</f>
        <v>Abrir PDF</v>
      </c>
    </row>
    <row r="98" spans="1:6" ht="31.05" customHeight="1">
      <c r="A98" s="5">
        <v>-32083</v>
      </c>
      <c r="B98" s="2" t="s">
        <v>1906</v>
      </c>
      <c r="C98" s="2" t="s">
        <v>22222</v>
      </c>
      <c r="D98" s="3">
        <v>4</v>
      </c>
      <c r="E98" s="3">
        <v>3</v>
      </c>
      <c r="F98" s="3" t="str">
        <f>HYPERLINK("https://www.boe.es/gazeta/dias/1812/02/27/pdfs/GMD-1812-58.pdf","Abrir PDF")</f>
        <v>Abrir PDF</v>
      </c>
    </row>
    <row r="99" spans="1:6" ht="31.05" customHeight="1">
      <c r="A99" s="5">
        <v>-32083</v>
      </c>
      <c r="B99" s="2" t="s">
        <v>1496</v>
      </c>
      <c r="C99" s="2" t="s">
        <v>22223</v>
      </c>
      <c r="D99" s="3">
        <v>8</v>
      </c>
      <c r="E99" s="3">
        <v>26</v>
      </c>
      <c r="F99" s="3" t="str">
        <f>HYPERLINK("https://www.boe.es/gazeta/dias/1812/02/27/pdfs/GRE-1812-26.pdf","Abrir PDF")</f>
        <v>Abrir PDF</v>
      </c>
    </row>
    <row r="100" spans="1:6" ht="31.05" customHeight="1">
      <c r="A100" s="5">
        <v>-32082</v>
      </c>
      <c r="B100" s="2" t="s">
        <v>16278</v>
      </c>
      <c r="C100" s="2" t="s">
        <v>22224</v>
      </c>
      <c r="D100" s="3">
        <v>4</v>
      </c>
      <c r="E100" s="3">
        <v>2</v>
      </c>
      <c r="F100" s="3" t="str">
        <f>HYPERLINK("https://www.boe.es/gazeta/dias/1812/02/28/pdfs/GMD-1812-59.pdf","Abrir PDF")</f>
        <v>Abrir PDF</v>
      </c>
    </row>
    <row r="101" spans="1:6" ht="31.05" customHeight="1">
      <c r="A101" s="5">
        <v>-32081</v>
      </c>
      <c r="B101" s="2" t="s">
        <v>989</v>
      </c>
      <c r="C101" s="2" t="s">
        <v>22225</v>
      </c>
      <c r="D101" s="3">
        <v>4</v>
      </c>
      <c r="E101" s="3">
        <v>7</v>
      </c>
      <c r="F101" s="3" t="str">
        <f>HYPERLINK("https://www.boe.es/gazeta/dias/1812/02/29/pdfs/GMD-1812-60.pdf","Abrir PDF")</f>
        <v>Abrir PDF</v>
      </c>
    </row>
    <row r="102" spans="1:6" ht="31.05" customHeight="1">
      <c r="A102" s="5">
        <v>-32081</v>
      </c>
      <c r="B102" s="2" t="s">
        <v>232</v>
      </c>
      <c r="C102" s="2" t="s">
        <v>22226</v>
      </c>
      <c r="D102" s="3">
        <v>8</v>
      </c>
      <c r="E102" s="3">
        <v>38</v>
      </c>
      <c r="F102" s="3" t="str">
        <f>HYPERLINK("https://www.boe.es/gazeta/dias/1812/02/29/pdfs/GRE-1812-27.pdf","Abrir PDF")</f>
        <v>Abrir PDF</v>
      </c>
    </row>
    <row r="103" spans="1:6" ht="31.05" customHeight="1">
      <c r="A103" s="5">
        <v>-32080</v>
      </c>
      <c r="B103" s="2" t="s">
        <v>4604</v>
      </c>
      <c r="C103" s="2" t="s">
        <v>22227</v>
      </c>
      <c r="D103" s="3">
        <v>4</v>
      </c>
      <c r="E103" s="3">
        <v>6</v>
      </c>
      <c r="F103" s="3" t="str">
        <f>HYPERLINK("https://www.boe.es/gazeta/dias/1812/03/01/pdfs/GMD-1812-61.pdf","Abrir PDF")</f>
        <v>Abrir PDF</v>
      </c>
    </row>
    <row r="104" spans="1:6" ht="31.05" customHeight="1">
      <c r="A104" s="5">
        <v>-32079</v>
      </c>
      <c r="B104" s="2" t="s">
        <v>11654</v>
      </c>
      <c r="C104" s="2" t="s">
        <v>22228</v>
      </c>
      <c r="D104" s="3">
        <v>4</v>
      </c>
      <c r="E104" s="3">
        <v>6</v>
      </c>
      <c r="F104" s="3" t="str">
        <f>HYPERLINK("https://www.boe.es/gazeta/dias/1812/03/02/pdfs/GMD-1812-62.pdf","Abrir PDF")</f>
        <v>Abrir PDF</v>
      </c>
    </row>
    <row r="105" spans="1:6" ht="31.05" customHeight="1">
      <c r="A105" s="5">
        <v>-32078</v>
      </c>
      <c r="B105" s="2" t="s">
        <v>4438</v>
      </c>
      <c r="C105" s="2" t="s">
        <v>22229</v>
      </c>
      <c r="D105" s="3">
        <v>4</v>
      </c>
      <c r="E105" s="3">
        <v>3</v>
      </c>
      <c r="F105" s="3" t="str">
        <f>HYPERLINK("https://www.boe.es/gazeta/dias/1812/03/03/pdfs/GMD-1812-63.pdf","Abrir PDF")</f>
        <v>Abrir PDF</v>
      </c>
    </row>
    <row r="106" spans="1:6" ht="31.05" customHeight="1">
      <c r="A106" s="5">
        <v>-32078</v>
      </c>
      <c r="B106" s="2" t="s">
        <v>145</v>
      </c>
      <c r="C106" s="2" t="s">
        <v>22230</v>
      </c>
      <c r="D106" s="3">
        <v>8</v>
      </c>
      <c r="E106" s="3">
        <v>23</v>
      </c>
      <c r="F106" s="3" t="str">
        <f>HYPERLINK("https://www.boe.es/gazeta/dias/1812/03/03/pdfs/GRE-1812-28.pdf","Abrir PDF")</f>
        <v>Abrir PDF</v>
      </c>
    </row>
    <row r="107" spans="1:6" ht="31.05" customHeight="1">
      <c r="A107" s="5">
        <v>-32077</v>
      </c>
      <c r="B107" s="2" t="s">
        <v>639</v>
      </c>
      <c r="C107" s="2" t="s">
        <v>22231</v>
      </c>
      <c r="D107" s="3">
        <v>4</v>
      </c>
      <c r="E107" s="3">
        <v>9</v>
      </c>
      <c r="F107" s="3" t="str">
        <f>HYPERLINK("https://www.boe.es/gazeta/dias/1812/03/04/pdfs/GMD-1812-64.pdf","Abrir PDF")</f>
        <v>Abrir PDF</v>
      </c>
    </row>
    <row r="108" spans="1:6" ht="31.05" customHeight="1">
      <c r="A108" s="5">
        <v>-32076</v>
      </c>
      <c r="B108" s="2" t="s">
        <v>1610</v>
      </c>
      <c r="C108" s="2" t="s">
        <v>22232</v>
      </c>
      <c r="D108" s="3">
        <v>4</v>
      </c>
      <c r="E108" s="3">
        <v>7</v>
      </c>
      <c r="F108" s="3" t="str">
        <f>HYPERLINK("https://www.boe.es/gazeta/dias/1812/03/05/pdfs/GMD-1812-65.pdf","Abrir PDF")</f>
        <v>Abrir PDF</v>
      </c>
    </row>
    <row r="109" spans="1:6" ht="31.05" customHeight="1">
      <c r="A109" s="5">
        <v>-32076</v>
      </c>
      <c r="B109" s="2" t="s">
        <v>2486</v>
      </c>
      <c r="C109" s="2" t="s">
        <v>22233</v>
      </c>
      <c r="D109" s="3">
        <v>8</v>
      </c>
      <c r="E109" s="3">
        <v>9</v>
      </c>
      <c r="F109" s="3" t="str">
        <f>HYPERLINK("https://www.boe.es/gazeta/dias/1812/03/05/pdfs/GRE-1812-29.pdf","Abrir PDF")</f>
        <v>Abrir PDF</v>
      </c>
    </row>
    <row r="110" spans="1:6" ht="31.05" customHeight="1">
      <c r="A110" s="5">
        <v>-32075</v>
      </c>
      <c r="B110" s="2" t="s">
        <v>301</v>
      </c>
      <c r="C110" s="2" t="s">
        <v>22234</v>
      </c>
      <c r="D110" s="3">
        <v>4</v>
      </c>
      <c r="E110" s="3">
        <v>57</v>
      </c>
      <c r="F110" s="3" t="str">
        <f>HYPERLINK("https://www.boe.es/gazeta/dias/1812/03/06/pdfs/GMD-1812-66.pdf","Abrir PDF")</f>
        <v>Abrir PDF</v>
      </c>
    </row>
    <row r="111" spans="1:6" ht="31.05" customHeight="1">
      <c r="A111" s="5">
        <v>-32074</v>
      </c>
      <c r="B111" s="2" t="s">
        <v>7295</v>
      </c>
      <c r="C111" s="2" t="s">
        <v>22235</v>
      </c>
      <c r="D111" s="3">
        <v>4</v>
      </c>
      <c r="E111" s="3">
        <v>3</v>
      </c>
      <c r="F111" s="3" t="str">
        <f>HYPERLINK("https://www.boe.es/gazeta/dias/1812/03/07/pdfs/GMD-1812-67.pdf","Abrir PDF")</f>
        <v>Abrir PDF</v>
      </c>
    </row>
    <row r="112" spans="1:6" ht="31.05" customHeight="1">
      <c r="A112" s="5">
        <v>-32074</v>
      </c>
      <c r="B112" s="2" t="s">
        <v>816</v>
      </c>
      <c r="C112" s="2" t="s">
        <v>22236</v>
      </c>
      <c r="D112" s="3">
        <v>8</v>
      </c>
      <c r="E112" s="3">
        <v>26</v>
      </c>
      <c r="F112" s="3" t="str">
        <f>HYPERLINK("https://www.boe.es/gazeta/dias/1812/03/07/pdfs/GRE-1812-30.pdf","Abrir PDF")</f>
        <v>Abrir PDF</v>
      </c>
    </row>
    <row r="113" spans="1:6" ht="31.05" customHeight="1">
      <c r="A113" s="5">
        <v>-32073</v>
      </c>
      <c r="B113" s="2" t="s">
        <v>4960</v>
      </c>
      <c r="C113" s="2" t="s">
        <v>22237</v>
      </c>
      <c r="D113" s="3">
        <v>4</v>
      </c>
      <c r="E113" s="3">
        <v>5</v>
      </c>
      <c r="F113" s="3" t="str">
        <f>HYPERLINK("https://www.boe.es/gazeta/dias/1812/03/08/pdfs/GMD-1812-68.pdf","Abrir PDF")</f>
        <v>Abrir PDF</v>
      </c>
    </row>
    <row r="114" spans="1:6" ht="31.05" customHeight="1">
      <c r="A114" s="5">
        <v>-32072</v>
      </c>
      <c r="B114" s="2" t="s">
        <v>8696</v>
      </c>
      <c r="C114" s="2" t="s">
        <v>22238</v>
      </c>
      <c r="D114" s="3">
        <v>4</v>
      </c>
      <c r="E114" s="3">
        <v>9</v>
      </c>
      <c r="F114" s="3" t="str">
        <f>HYPERLINK("https://www.boe.es/gazeta/dias/1812/03/09/pdfs/GMD-1812-69.pdf","Abrir PDF")</f>
        <v>Abrir PDF</v>
      </c>
    </row>
    <row r="115" spans="1:6" ht="31.05" customHeight="1">
      <c r="A115" s="5">
        <v>-32071</v>
      </c>
      <c r="B115" s="2" t="s">
        <v>3601</v>
      </c>
      <c r="C115" s="2" t="s">
        <v>22239</v>
      </c>
      <c r="D115" s="3">
        <v>4</v>
      </c>
      <c r="E115" s="3">
        <v>7</v>
      </c>
      <c r="F115" s="3" t="str">
        <f>HYPERLINK("https://www.boe.es/gazeta/dias/1812/03/10/pdfs/GMD-1812-70.pdf","Abrir PDF")</f>
        <v>Abrir PDF</v>
      </c>
    </row>
    <row r="116" spans="1:6" ht="31.05" customHeight="1">
      <c r="A116" s="5">
        <v>-32071</v>
      </c>
      <c r="B116" s="2" t="s">
        <v>492</v>
      </c>
      <c r="C116" s="2" t="s">
        <v>22195</v>
      </c>
      <c r="D116" s="3">
        <v>8</v>
      </c>
      <c r="E116" s="3">
        <v>82</v>
      </c>
      <c r="F116" s="3" t="str">
        <f>HYPERLINK("https://www.boe.es/gazeta/dias/1812/03/10/pdfs/GRE-1812-31.pdf","Abrir PDF")</f>
        <v>Abrir PDF</v>
      </c>
    </row>
    <row r="117" spans="1:6" ht="31.05" customHeight="1">
      <c r="A117" s="5">
        <v>-32070</v>
      </c>
      <c r="B117" s="2" t="s">
        <v>11658</v>
      </c>
      <c r="C117" s="2" t="s">
        <v>22240</v>
      </c>
      <c r="D117" s="3">
        <v>4</v>
      </c>
      <c r="E117" s="3">
        <v>2</v>
      </c>
      <c r="F117" s="3" t="str">
        <f>HYPERLINK("https://www.boe.es/gazeta/dias/1812/03/11/pdfs/GMD-1812-71.pdf","Abrir PDF")</f>
        <v>Abrir PDF</v>
      </c>
    </row>
    <row r="118" spans="1:6" ht="31.05" customHeight="1">
      <c r="A118" s="5">
        <v>-32069</v>
      </c>
      <c r="B118" s="2" t="s">
        <v>569</v>
      </c>
      <c r="C118" s="2" t="s">
        <v>22241</v>
      </c>
      <c r="D118" s="3">
        <v>4</v>
      </c>
      <c r="E118" s="3">
        <v>3</v>
      </c>
      <c r="F118" s="3" t="str">
        <f>HYPERLINK("https://www.boe.es/gazeta/dias/1812/03/12/pdfs/GMD-1812-72.pdf","Abrir PDF")</f>
        <v>Abrir PDF</v>
      </c>
    </row>
    <row r="119" spans="1:6" ht="31.05" customHeight="1">
      <c r="A119" s="5">
        <v>-32069</v>
      </c>
      <c r="B119" s="2" t="s">
        <v>445</v>
      </c>
      <c r="C119" s="2" t="s">
        <v>22242</v>
      </c>
      <c r="D119" s="3">
        <v>8</v>
      </c>
      <c r="E119" s="3">
        <v>58</v>
      </c>
      <c r="F119" s="3" t="str">
        <f>HYPERLINK("https://www.boe.es/gazeta/dias/1812/03/12/pdfs/GRE-1812-32.pdf","Abrir PDF")</f>
        <v>Abrir PDF</v>
      </c>
    </row>
    <row r="120" spans="1:6" ht="31.05" customHeight="1">
      <c r="A120" s="5">
        <v>-32068</v>
      </c>
      <c r="B120" s="2" t="s">
        <v>2608</v>
      </c>
      <c r="C120" s="2" t="s">
        <v>22243</v>
      </c>
      <c r="D120" s="3">
        <v>4</v>
      </c>
      <c r="E120" s="3">
        <v>7</v>
      </c>
      <c r="F120" s="3" t="str">
        <f>HYPERLINK("https://www.boe.es/gazeta/dias/1812/03/13/pdfs/GMD-1812-73.pdf","Abrir PDF")</f>
        <v>Abrir PDF</v>
      </c>
    </row>
    <row r="121" spans="1:6" ht="31.05" customHeight="1">
      <c r="A121" s="5">
        <v>-32067</v>
      </c>
      <c r="B121" s="2" t="s">
        <v>12381</v>
      </c>
      <c r="C121" s="2" t="s">
        <v>22244</v>
      </c>
      <c r="D121" s="3">
        <v>4</v>
      </c>
      <c r="E121" s="3">
        <v>2</v>
      </c>
      <c r="F121" s="3" t="str">
        <f>HYPERLINK("https://www.boe.es/gazeta/dias/1812/03/14/pdfs/GMD-1812-74.pdf","Abrir PDF")</f>
        <v>Abrir PDF</v>
      </c>
    </row>
    <row r="122" spans="1:6" ht="31.05" customHeight="1">
      <c r="A122" s="5">
        <v>-32067</v>
      </c>
      <c r="B122" s="2" t="s">
        <v>199</v>
      </c>
      <c r="C122" s="2" t="s">
        <v>22245</v>
      </c>
      <c r="D122" s="3">
        <v>8</v>
      </c>
      <c r="E122" s="3">
        <v>54</v>
      </c>
      <c r="F122" s="3" t="str">
        <f>HYPERLINK("https://www.boe.es/gazeta/dias/1812/03/14/pdfs/GRE-1812-33.pdf","Abrir PDF")</f>
        <v>Abrir PDF</v>
      </c>
    </row>
    <row r="123" spans="1:6" ht="31.05" customHeight="1">
      <c r="A123" s="5">
        <v>-32066</v>
      </c>
      <c r="B123" s="2" t="s">
        <v>291</v>
      </c>
      <c r="C123" s="2" t="s">
        <v>22246</v>
      </c>
      <c r="D123" s="3">
        <v>4</v>
      </c>
      <c r="E123" s="3">
        <v>37</v>
      </c>
      <c r="F123" s="3" t="str">
        <f>HYPERLINK("https://www.boe.es/gazeta/dias/1812/03/15/pdfs/GMD-1812-75.pdf","Abrir PDF")</f>
        <v>Abrir PDF</v>
      </c>
    </row>
    <row r="124" spans="1:6" ht="31.05" customHeight="1">
      <c r="A124" s="5">
        <v>-32065</v>
      </c>
      <c r="B124" s="2" t="s">
        <v>259</v>
      </c>
      <c r="C124" s="2" t="s">
        <v>22247</v>
      </c>
      <c r="D124" s="3">
        <v>4</v>
      </c>
      <c r="E124" s="3">
        <v>27</v>
      </c>
      <c r="F124" s="3" t="str">
        <f>HYPERLINK("https://www.boe.es/gazeta/dias/1812/03/16/pdfs/GMD-1812-76.pdf","Abrir PDF")</f>
        <v>Abrir PDF</v>
      </c>
    </row>
    <row r="125" spans="1:6" ht="31.05" customHeight="1">
      <c r="A125" s="5">
        <v>-32064</v>
      </c>
      <c r="B125" s="2" t="s">
        <v>403</v>
      </c>
      <c r="C125" s="2" t="s">
        <v>22248</v>
      </c>
      <c r="D125" s="3">
        <v>4</v>
      </c>
      <c r="E125" s="3">
        <v>10</v>
      </c>
      <c r="F125" s="3" t="str">
        <f>HYPERLINK("https://www.boe.es/gazeta/dias/1812/03/17/pdfs/GMD-1812-77.pdf","Abrir PDF")</f>
        <v>Abrir PDF</v>
      </c>
    </row>
    <row r="126" spans="1:6" ht="31.05" customHeight="1">
      <c r="A126" s="5">
        <v>-32064</v>
      </c>
      <c r="B126" s="2" t="s">
        <v>12333</v>
      </c>
      <c r="C126" s="2" t="s">
        <v>22249</v>
      </c>
      <c r="D126" s="3">
        <v>8</v>
      </c>
      <c r="E126" s="3">
        <v>5</v>
      </c>
      <c r="F126" s="3" t="str">
        <f>HYPERLINK("https://www.boe.es/gazeta/dias/1812/03/17/pdfs/GRE-1812-34.pdf","Abrir PDF")</f>
        <v>Abrir PDF</v>
      </c>
    </row>
    <row r="127" spans="1:6" ht="31.05" customHeight="1">
      <c r="A127" s="5">
        <v>-32063</v>
      </c>
      <c r="B127" s="2" t="s">
        <v>384</v>
      </c>
      <c r="C127" s="2" t="s">
        <v>22250</v>
      </c>
      <c r="D127" s="3">
        <v>4</v>
      </c>
      <c r="E127" s="3">
        <v>84</v>
      </c>
      <c r="F127" s="3" t="str">
        <f>HYPERLINK("https://www.boe.es/gazeta/dias/1812/03/18/pdfs/GMD-1812-78.pdf","Abrir PDF")</f>
        <v>Abrir PDF</v>
      </c>
    </row>
    <row r="128" spans="1:6" ht="31.05" customHeight="1">
      <c r="A128" s="5">
        <v>-32062</v>
      </c>
      <c r="B128" s="2" t="s">
        <v>280</v>
      </c>
      <c r="C128" s="2" t="s">
        <v>22251</v>
      </c>
      <c r="D128" s="3">
        <v>4</v>
      </c>
      <c r="E128" s="3">
        <v>42</v>
      </c>
      <c r="F128" s="3" t="str">
        <f>HYPERLINK("https://www.boe.es/gazeta/dias/1812/03/19/pdfs/GMD-1812-79.pdf","Abrir PDF")</f>
        <v>Abrir PDF</v>
      </c>
    </row>
    <row r="129" spans="1:6" ht="31.05" customHeight="1">
      <c r="A129" s="5">
        <v>-32062</v>
      </c>
      <c r="B129" s="2" t="s">
        <v>2168</v>
      </c>
      <c r="C129" s="2" t="s">
        <v>22252</v>
      </c>
      <c r="D129" s="3">
        <v>8</v>
      </c>
      <c r="E129" s="3">
        <v>18</v>
      </c>
      <c r="F129" s="3" t="str">
        <f>HYPERLINK("https://www.boe.es/gazeta/dias/1812/03/19/pdfs/GRE-1812-35.pdf","Abrir PDF")</f>
        <v>Abrir PDF</v>
      </c>
    </row>
    <row r="130" spans="1:6" ht="31.05" customHeight="1">
      <c r="A130" s="5">
        <v>-32061</v>
      </c>
      <c r="B130" s="2" t="s">
        <v>798</v>
      </c>
      <c r="C130" s="2" t="s">
        <v>22253</v>
      </c>
      <c r="D130" s="3">
        <v>4</v>
      </c>
      <c r="E130" s="3">
        <v>13</v>
      </c>
      <c r="F130" s="3" t="str">
        <f>HYPERLINK("https://www.boe.es/gazeta/dias/1812/03/20/pdfs/GMD-1812-80.pdf","Abrir PDF")</f>
        <v>Abrir PDF</v>
      </c>
    </row>
    <row r="131" spans="1:6" ht="31.05" customHeight="1">
      <c r="A131" s="5">
        <v>-32060</v>
      </c>
      <c r="B131" s="2" t="s">
        <v>399</v>
      </c>
      <c r="C131" s="2" t="s">
        <v>22254</v>
      </c>
      <c r="D131" s="3">
        <v>4</v>
      </c>
      <c r="E131" s="3">
        <v>52</v>
      </c>
      <c r="F131" s="3" t="str">
        <f>HYPERLINK("https://www.boe.es/gazeta/dias/1812/03/21/pdfs/GMD-1812-81.pdf","Abrir PDF")</f>
        <v>Abrir PDF</v>
      </c>
    </row>
    <row r="132" spans="1:6" ht="31.05" customHeight="1">
      <c r="A132" s="5">
        <v>-32060</v>
      </c>
      <c r="B132" s="2" t="s">
        <v>1403</v>
      </c>
      <c r="C132" s="2" t="s">
        <v>22255</v>
      </c>
      <c r="D132" s="3">
        <v>8</v>
      </c>
      <c r="E132" s="3">
        <v>15</v>
      </c>
      <c r="F132" s="3" t="str">
        <f>HYPERLINK("https://www.boe.es/gazeta/dias/1812/03/21/pdfs/GRE-1812-36.pdf","Abrir PDF")</f>
        <v>Abrir PDF</v>
      </c>
    </row>
    <row r="133" spans="1:6" ht="31.05" customHeight="1">
      <c r="A133" s="5">
        <v>-32059</v>
      </c>
      <c r="B133" s="2" t="s">
        <v>2531</v>
      </c>
      <c r="C133" s="2" t="s">
        <v>22256</v>
      </c>
      <c r="D133" s="3">
        <v>4</v>
      </c>
      <c r="E133" s="3">
        <v>8</v>
      </c>
      <c r="F133" s="3" t="str">
        <f>HYPERLINK("https://www.boe.es/gazeta/dias/1812/03/22/pdfs/GMD-1812-82.pdf","Abrir PDF")</f>
        <v>Abrir PDF</v>
      </c>
    </row>
    <row r="134" spans="1:6" ht="31.05" customHeight="1">
      <c r="A134" s="5">
        <v>-32058</v>
      </c>
      <c r="B134" s="2" t="s">
        <v>1075</v>
      </c>
      <c r="C134" s="2" t="s">
        <v>22257</v>
      </c>
      <c r="D134" s="3">
        <v>4</v>
      </c>
      <c r="E134" s="3">
        <v>4</v>
      </c>
      <c r="F134" s="3" t="str">
        <f>HYPERLINK("https://www.boe.es/gazeta/dias/1812/03/23/pdfs/GMD-1812-83.pdf","Abrir PDF")</f>
        <v>Abrir PDF</v>
      </c>
    </row>
    <row r="135" spans="1:6" ht="31.05" customHeight="1">
      <c r="A135" s="5">
        <v>-32057</v>
      </c>
      <c r="B135" s="2" t="s">
        <v>225</v>
      </c>
      <c r="C135" s="2" t="s">
        <v>22258</v>
      </c>
      <c r="D135" s="3">
        <v>4</v>
      </c>
      <c r="E135" s="3">
        <v>10</v>
      </c>
      <c r="F135" s="3" t="str">
        <f>HYPERLINK("https://www.boe.es/gazeta/dias/1812/03/24/pdfs/GMD-1812-84.pdf","Abrir PDF")</f>
        <v>Abrir PDF</v>
      </c>
    </row>
    <row r="136" spans="1:6" ht="31.05" customHeight="1">
      <c r="A136" s="5">
        <v>-32057</v>
      </c>
      <c r="B136" s="2" t="s">
        <v>677</v>
      </c>
      <c r="C136" s="2" t="s">
        <v>22259</v>
      </c>
      <c r="D136" s="3">
        <v>8</v>
      </c>
      <c r="E136" s="3">
        <v>10</v>
      </c>
      <c r="F136" s="3" t="str">
        <f>HYPERLINK("https://www.boe.es/gazeta/dias/1812/03/24/pdfs/GRE-1812-37.pdf","Abrir PDF")</f>
        <v>Abrir PDF</v>
      </c>
    </row>
    <row r="137" spans="1:6" ht="31.05" customHeight="1">
      <c r="A137" s="5">
        <v>-32056</v>
      </c>
      <c r="B137" s="2" t="s">
        <v>2233</v>
      </c>
      <c r="C137" s="2" t="s">
        <v>22260</v>
      </c>
      <c r="D137" s="3">
        <v>4</v>
      </c>
      <c r="E137" s="3">
        <v>3</v>
      </c>
      <c r="F137" s="3" t="str">
        <f>HYPERLINK("https://www.boe.es/gazeta/dias/1812/03/25/pdfs/GMD-1812-85.pdf","Abrir PDF")</f>
        <v>Abrir PDF</v>
      </c>
    </row>
    <row r="138" spans="1:6" ht="31.05" customHeight="1">
      <c r="A138" s="5">
        <v>-32055</v>
      </c>
      <c r="B138" s="2" t="s">
        <v>1271</v>
      </c>
      <c r="C138" s="2" t="s">
        <v>22261</v>
      </c>
      <c r="D138" s="3">
        <v>4</v>
      </c>
      <c r="E138" s="3">
        <v>43</v>
      </c>
      <c r="F138" s="3" t="str">
        <f>HYPERLINK("https://www.boe.es/gazeta/dias/1812/03/26/pdfs/GMD-1812-86.pdf","Abrir PDF")</f>
        <v>Abrir PDF</v>
      </c>
    </row>
    <row r="139" spans="1:6" ht="31.05" customHeight="1">
      <c r="A139" s="5">
        <v>-32055</v>
      </c>
      <c r="B139" s="2" t="s">
        <v>459</v>
      </c>
      <c r="C139" s="2" t="s">
        <v>22262</v>
      </c>
      <c r="D139" s="3">
        <v>8</v>
      </c>
      <c r="E139" s="3">
        <v>42</v>
      </c>
      <c r="F139" s="3" t="str">
        <f>HYPERLINK("https://www.boe.es/gazeta/dias/1812/03/26/pdfs/GRE-1812-38.pdf","Abrir PDF")</f>
        <v>Abrir PDF</v>
      </c>
    </row>
    <row r="140" spans="1:6" ht="31.05" customHeight="1">
      <c r="A140" s="5">
        <v>-32054</v>
      </c>
      <c r="B140" s="2" t="s">
        <v>22263</v>
      </c>
      <c r="C140" s="2" t="s">
        <v>22264</v>
      </c>
      <c r="D140" s="3">
        <v>4</v>
      </c>
      <c r="E140" s="3">
        <v>0</v>
      </c>
      <c r="F140" s="3" t="str">
        <f>HYPERLINK("https://www.boe.es/gazeta/dias/1812/03/27/pdfs/GMD-1812-87.pdf","Abrir PDF")</f>
        <v>Abrir PDF</v>
      </c>
    </row>
    <row r="141" spans="1:6" ht="31.05" customHeight="1">
      <c r="A141" s="5">
        <v>-32053</v>
      </c>
      <c r="B141" s="2" t="s">
        <v>2877</v>
      </c>
      <c r="C141" s="2" t="s">
        <v>22265</v>
      </c>
      <c r="D141" s="3">
        <v>4</v>
      </c>
      <c r="E141" s="3">
        <v>10</v>
      </c>
      <c r="F141" s="3" t="str">
        <f>HYPERLINK("https://www.boe.es/gazeta/dias/1812/03/28/pdfs/GMD-1812-88.pdf","Abrir PDF")</f>
        <v>Abrir PDF</v>
      </c>
    </row>
    <row r="142" spans="1:6" ht="31.05" customHeight="1">
      <c r="A142" s="5">
        <v>-32053</v>
      </c>
      <c r="B142" s="2" t="s">
        <v>910</v>
      </c>
      <c r="C142" s="2" t="s">
        <v>22266</v>
      </c>
      <c r="D142" s="3">
        <v>8</v>
      </c>
      <c r="E142" s="3">
        <v>39</v>
      </c>
      <c r="F142" s="3" t="str">
        <f>HYPERLINK("https://www.boe.es/gazeta/dias/1812/03/28/pdfs/GRE-1812-39.pdf","Abrir PDF")</f>
        <v>Abrir PDF</v>
      </c>
    </row>
    <row r="143" spans="1:6" ht="31.05" customHeight="1">
      <c r="A143" s="5">
        <v>-32052</v>
      </c>
      <c r="B143" s="2" t="s">
        <v>2610</v>
      </c>
      <c r="C143" s="2" t="s">
        <v>22267</v>
      </c>
      <c r="D143" s="3">
        <v>4</v>
      </c>
      <c r="E143" s="3">
        <v>4</v>
      </c>
      <c r="F143" s="3" t="str">
        <f>HYPERLINK("https://www.boe.es/gazeta/dias/1812/03/29/pdfs/GMD-1812-89.pdf","Abrir PDF")</f>
        <v>Abrir PDF</v>
      </c>
    </row>
    <row r="144" spans="1:6" ht="31.05" customHeight="1">
      <c r="A144" s="5">
        <v>-32051</v>
      </c>
      <c r="B144" s="2" t="s">
        <v>2534</v>
      </c>
      <c r="C144" s="2" t="s">
        <v>22268</v>
      </c>
      <c r="D144" s="3">
        <v>4</v>
      </c>
      <c r="E144" s="3">
        <v>8</v>
      </c>
      <c r="F144" s="3" t="str">
        <f>HYPERLINK("https://www.boe.es/gazeta/dias/1812/03/30/pdfs/GMD-1812-90.pdf","Abrir PDF")</f>
        <v>Abrir PDF</v>
      </c>
    </row>
    <row r="145" spans="1:6" ht="31.05" customHeight="1">
      <c r="A145" s="5">
        <v>-32050</v>
      </c>
      <c r="B145" s="2" t="s">
        <v>2028</v>
      </c>
      <c r="C145" s="2" t="s">
        <v>22269</v>
      </c>
      <c r="D145" s="3">
        <v>8</v>
      </c>
      <c r="E145" s="3">
        <v>10</v>
      </c>
      <c r="F145" s="3" t="str">
        <f>HYPERLINK("https://www.boe.es/gazeta/dias/1812/03/31/pdfs/GMD-1812-91.pdf","Abrir PDF")</f>
        <v>Abrir PDF</v>
      </c>
    </row>
    <row r="146" spans="1:6" ht="31.05" customHeight="1">
      <c r="A146" s="5">
        <v>-32050</v>
      </c>
      <c r="B146" s="2" t="s">
        <v>864</v>
      </c>
      <c r="C146" s="2" t="s">
        <v>22270</v>
      </c>
      <c r="D146" s="3">
        <v>8</v>
      </c>
      <c r="E146" s="3">
        <v>41</v>
      </c>
      <c r="F146" s="3" t="str">
        <f>HYPERLINK("https://www.boe.es/gazeta/dias/1812/03/31/pdfs/GRE-1812-40.pdf","Abrir PDF")</f>
        <v>Abrir PDF</v>
      </c>
    </row>
    <row r="147" spans="1:6" ht="31.05" customHeight="1">
      <c r="A147" s="5">
        <v>-32049</v>
      </c>
      <c r="B147" s="2" t="s">
        <v>22271</v>
      </c>
      <c r="C147" s="2" t="s">
        <v>22272</v>
      </c>
      <c r="D147" s="3">
        <v>4</v>
      </c>
      <c r="E147" s="3">
        <v>0</v>
      </c>
      <c r="F147" s="3" t="str">
        <f>HYPERLINK("https://www.boe.es/gazeta/dias/1812/04/01/pdfs/GMD-1812-92.pdf","Abrir PDF")</f>
        <v>Abrir PDF</v>
      </c>
    </row>
    <row r="148" spans="1:6" ht="31.05" customHeight="1">
      <c r="A148" s="5">
        <v>-32048</v>
      </c>
      <c r="B148" s="2" t="s">
        <v>3938</v>
      </c>
      <c r="C148" s="2" t="s">
        <v>22273</v>
      </c>
      <c r="D148" s="3">
        <v>4</v>
      </c>
      <c r="E148" s="3">
        <v>9</v>
      </c>
      <c r="F148" s="3" t="str">
        <f>HYPERLINK("https://www.boe.es/gazeta/dias/1812/04/02/pdfs/GMD-1812-93.pdf","Abrir PDF")</f>
        <v>Abrir PDF</v>
      </c>
    </row>
    <row r="149" spans="1:6" ht="31.05" customHeight="1">
      <c r="A149" s="5">
        <v>-32048</v>
      </c>
      <c r="B149" s="2" t="s">
        <v>20667</v>
      </c>
      <c r="C149" s="2" t="s">
        <v>22274</v>
      </c>
      <c r="D149" s="3">
        <v>8</v>
      </c>
      <c r="E149" s="3">
        <v>2</v>
      </c>
      <c r="F149" s="3" t="str">
        <f>HYPERLINK("https://www.boe.es/gazeta/dias/1812/04/02/pdfs/GRE-1812-41.pdf","Abrir PDF")</f>
        <v>Abrir PDF</v>
      </c>
    </row>
    <row r="150" spans="1:6" ht="31.05" customHeight="1">
      <c r="A150" s="5">
        <v>-32047</v>
      </c>
      <c r="B150" s="2" t="s">
        <v>9070</v>
      </c>
      <c r="C150" s="2" t="s">
        <v>22275</v>
      </c>
      <c r="D150" s="3">
        <v>4</v>
      </c>
      <c r="E150" s="3">
        <v>4</v>
      </c>
      <c r="F150" s="3" t="str">
        <f>HYPERLINK("https://www.boe.es/gazeta/dias/1812/04/03/pdfs/GMD-1812-94.pdf","Abrir PDF")</f>
        <v>Abrir PDF</v>
      </c>
    </row>
    <row r="151" spans="1:6" ht="31.05" customHeight="1">
      <c r="A151" s="5">
        <v>-32046</v>
      </c>
      <c r="B151" s="2" t="s">
        <v>2612</v>
      </c>
      <c r="C151" s="2" t="s">
        <v>22276</v>
      </c>
      <c r="D151" s="3">
        <v>4</v>
      </c>
      <c r="E151" s="3">
        <v>6</v>
      </c>
      <c r="F151" s="3" t="str">
        <f>HYPERLINK("https://www.boe.es/gazeta/dias/1812/04/04/pdfs/GMD-1812-95.pdf","Abrir PDF")</f>
        <v>Abrir PDF</v>
      </c>
    </row>
    <row r="152" spans="1:6" ht="31.05" customHeight="1">
      <c r="A152" s="5">
        <v>-32046</v>
      </c>
      <c r="B152" s="2" t="s">
        <v>1013</v>
      </c>
      <c r="C152" s="2" t="s">
        <v>22277</v>
      </c>
      <c r="D152" s="3">
        <v>8</v>
      </c>
      <c r="E152" s="3">
        <v>30</v>
      </c>
      <c r="F152" s="3" t="str">
        <f>HYPERLINK("https://www.boe.es/gazeta/dias/1812/04/04/pdfs/GRE-1812-42.pdf","Abrir PDF")</f>
        <v>Abrir PDF</v>
      </c>
    </row>
    <row r="153" spans="1:6" ht="31.05" customHeight="1">
      <c r="A153" s="5">
        <v>-32045</v>
      </c>
      <c r="B153" s="2" t="s">
        <v>129</v>
      </c>
      <c r="C153" s="2" t="s">
        <v>22278</v>
      </c>
      <c r="D153" s="3">
        <v>4</v>
      </c>
      <c r="E153" s="3">
        <v>15</v>
      </c>
      <c r="F153" s="3" t="str">
        <f>HYPERLINK("https://www.boe.es/gazeta/dias/1812/04/05/pdfs/GMD-1812-96.pdf","Abrir PDF")</f>
        <v>Abrir PDF</v>
      </c>
    </row>
    <row r="154" spans="1:6" ht="31.05" customHeight="1">
      <c r="A154" s="5">
        <v>-32044</v>
      </c>
      <c r="B154" s="2" t="s">
        <v>1031</v>
      </c>
      <c r="C154" s="2" t="s">
        <v>22279</v>
      </c>
      <c r="D154" s="3">
        <v>4</v>
      </c>
      <c r="E154" s="3">
        <v>69</v>
      </c>
      <c r="F154" s="3" t="str">
        <f>HYPERLINK("https://www.boe.es/gazeta/dias/1812/04/06/pdfs/GMD-1812-97.pdf","Abrir PDF")</f>
        <v>Abrir PDF</v>
      </c>
    </row>
    <row r="155" spans="1:6" ht="31.05" customHeight="1">
      <c r="A155" s="5">
        <v>-32043</v>
      </c>
      <c r="B155" s="2" t="s">
        <v>11808</v>
      </c>
      <c r="C155" s="2" t="s">
        <v>22280</v>
      </c>
      <c r="D155" s="3">
        <v>4</v>
      </c>
      <c r="E155" s="3">
        <v>1</v>
      </c>
      <c r="F155" s="3" t="str">
        <f>HYPERLINK("https://www.boe.es/gazeta/dias/1812/04/07/pdfs/GMD-1812-98.pdf","Abrir PDF")</f>
        <v>Abrir PDF</v>
      </c>
    </row>
    <row r="156" spans="1:6" ht="31.05" customHeight="1">
      <c r="A156" s="5">
        <v>-32043</v>
      </c>
      <c r="B156" s="2" t="s">
        <v>4582</v>
      </c>
      <c r="C156" s="2" t="s">
        <v>22281</v>
      </c>
      <c r="D156" s="3">
        <v>8</v>
      </c>
      <c r="E156" s="3">
        <v>13</v>
      </c>
      <c r="F156" s="3" t="str">
        <f>HYPERLINK("https://www.boe.es/gazeta/dias/1812/04/07/pdfs/GRE-1812-43.pdf","Abrir PDF")</f>
        <v>Abrir PDF</v>
      </c>
    </row>
    <row r="157" spans="1:6" ht="31.05" customHeight="1">
      <c r="A157" s="5">
        <v>-32042</v>
      </c>
      <c r="B157" s="2" t="s">
        <v>6950</v>
      </c>
      <c r="C157" s="2" t="s">
        <v>22282</v>
      </c>
      <c r="D157" s="3">
        <v>4</v>
      </c>
      <c r="E157" s="3">
        <v>1</v>
      </c>
      <c r="F157" s="3" t="str">
        <f>HYPERLINK("https://www.boe.es/gazeta/dias/1812/04/08/pdfs/GMD-1812-99.pdf","Abrir PDF")</f>
        <v>Abrir PDF</v>
      </c>
    </row>
    <row r="158" spans="1:6" ht="31.05" customHeight="1">
      <c r="A158" s="5">
        <v>-32041</v>
      </c>
      <c r="B158" s="2" t="s">
        <v>12232</v>
      </c>
      <c r="C158" s="2" t="s">
        <v>22283</v>
      </c>
      <c r="D158" s="3">
        <v>4</v>
      </c>
      <c r="E158" s="3">
        <v>1</v>
      </c>
      <c r="F158" s="3" t="str">
        <f>HYPERLINK("https://www.boe.es/gazeta/dias/1812/04/09/pdfs/GMD-1812-100.pdf","Abrir PDF")</f>
        <v>Abrir PDF</v>
      </c>
    </row>
    <row r="159" spans="1:6" ht="31.05" customHeight="1">
      <c r="A159" s="5">
        <v>-32041</v>
      </c>
      <c r="B159" s="2" t="s">
        <v>35</v>
      </c>
      <c r="C159" s="2" t="s">
        <v>22284</v>
      </c>
      <c r="D159" s="3">
        <v>8</v>
      </c>
      <c r="E159" s="3">
        <v>13</v>
      </c>
      <c r="F159" s="3" t="str">
        <f>HYPERLINK("https://www.boe.es/gazeta/dias/1812/04/09/pdfs/GRE-1812-44.pdf","Abrir PDF")</f>
        <v>Abrir PDF</v>
      </c>
    </row>
    <row r="160" spans="1:6" ht="31.05" customHeight="1">
      <c r="A160" s="5">
        <v>-32040</v>
      </c>
      <c r="B160" s="2" t="s">
        <v>682</v>
      </c>
      <c r="C160" s="2" t="s">
        <v>22285</v>
      </c>
      <c r="D160" s="3">
        <v>4</v>
      </c>
      <c r="E160" s="3">
        <v>15</v>
      </c>
      <c r="F160" s="3" t="str">
        <f>HYPERLINK("https://www.boe.es/gazeta/dias/1812/04/10/pdfs/GMD-1812-101.pdf","Abrir PDF")</f>
        <v>Abrir PDF</v>
      </c>
    </row>
    <row r="161" spans="1:6" ht="31.05" customHeight="1">
      <c r="A161" s="5">
        <v>-32040</v>
      </c>
      <c r="B161" s="2" t="s">
        <v>22286</v>
      </c>
      <c r="C161" s="2" t="s">
        <v>22287</v>
      </c>
      <c r="D161" s="3">
        <v>1</v>
      </c>
      <c r="E161" s="3">
        <v>0</v>
      </c>
      <c r="F161" s="3" t="str">
        <f>HYPERLINK("https://www.boe.es/gazeta/dias/1812/04/10/pdfs/GRE-1812-45E.pdf","Abrir PDF")</f>
        <v>Abrir PDF</v>
      </c>
    </row>
    <row r="162" spans="1:6" ht="31.05" customHeight="1">
      <c r="A162" s="5">
        <v>-32039</v>
      </c>
      <c r="B162" s="2" t="s">
        <v>557</v>
      </c>
      <c r="C162" s="2" t="s">
        <v>22288</v>
      </c>
      <c r="D162" s="3">
        <v>4</v>
      </c>
      <c r="E162" s="3">
        <v>19</v>
      </c>
      <c r="F162" s="3" t="str">
        <f>HYPERLINK("https://www.boe.es/gazeta/dias/1812/04/11/pdfs/GMD-1812-102.pdf","Abrir PDF")</f>
        <v>Abrir PDF</v>
      </c>
    </row>
    <row r="163" spans="1:6" ht="31.05" customHeight="1">
      <c r="A163" s="5">
        <v>-32039</v>
      </c>
      <c r="B163" s="2" t="s">
        <v>1910</v>
      </c>
      <c r="C163" s="2" t="s">
        <v>22289</v>
      </c>
      <c r="D163" s="3">
        <v>8</v>
      </c>
      <c r="E163" s="3">
        <v>16</v>
      </c>
      <c r="F163" s="3" t="str">
        <f>HYPERLINK("https://www.boe.es/gazeta/dias/1812/04/11/pdfs/GRE-1812-46.pdf","Abrir PDF")</f>
        <v>Abrir PDF</v>
      </c>
    </row>
    <row r="164" spans="1:6" ht="31.05" customHeight="1">
      <c r="A164" s="5">
        <v>-32038</v>
      </c>
      <c r="B164" s="2" t="s">
        <v>195</v>
      </c>
      <c r="C164" s="2" t="s">
        <v>22290</v>
      </c>
      <c r="D164" s="3">
        <v>4</v>
      </c>
      <c r="E164" s="3">
        <v>3</v>
      </c>
      <c r="F164" s="3" t="str">
        <f>HYPERLINK("https://www.boe.es/gazeta/dias/1812/04/12/pdfs/GMD-1812-103.pdf","Abrir PDF")</f>
        <v>Abrir PDF</v>
      </c>
    </row>
    <row r="165" spans="1:6" ht="31.05" customHeight="1">
      <c r="A165" s="5">
        <v>-32037</v>
      </c>
      <c r="B165" s="2" t="s">
        <v>1866</v>
      </c>
      <c r="C165" s="2" t="s">
        <v>22291</v>
      </c>
      <c r="D165" s="3">
        <v>4</v>
      </c>
      <c r="E165" s="3">
        <v>3</v>
      </c>
      <c r="F165" s="3" t="str">
        <f>HYPERLINK("https://www.boe.es/gazeta/dias/1812/04/13/pdfs/GMD-1812-104.pdf","Abrir PDF")</f>
        <v>Abrir PDF</v>
      </c>
    </row>
    <row r="166" spans="1:6" ht="31.05" customHeight="1">
      <c r="A166" s="5">
        <v>-32036</v>
      </c>
      <c r="B166" s="2" t="s">
        <v>16113</v>
      </c>
      <c r="C166" s="2" t="s">
        <v>22292</v>
      </c>
      <c r="D166" s="3">
        <v>4</v>
      </c>
      <c r="E166" s="3">
        <v>1</v>
      </c>
      <c r="F166" s="3" t="str">
        <f>HYPERLINK("https://www.boe.es/gazeta/dias/1812/04/14/pdfs/GMD-1812-105.pdf","Abrir PDF")</f>
        <v>Abrir PDF</v>
      </c>
    </row>
    <row r="167" spans="1:6" ht="31.05" customHeight="1">
      <c r="A167" s="5">
        <v>-32036</v>
      </c>
      <c r="B167" s="2" t="s">
        <v>781</v>
      </c>
      <c r="C167" s="2" t="s">
        <v>22293</v>
      </c>
      <c r="D167" s="3">
        <v>8</v>
      </c>
      <c r="E167" s="3">
        <v>35</v>
      </c>
      <c r="F167" s="3" t="str">
        <f>HYPERLINK("https://www.boe.es/gazeta/dias/1812/04/14/pdfs/GRE-1812-47.pdf","Abrir PDF")</f>
        <v>Abrir PDF</v>
      </c>
    </row>
    <row r="168" spans="1:6" ht="31.05" customHeight="1">
      <c r="A168" s="5">
        <v>-32035</v>
      </c>
      <c r="B168" s="2" t="s">
        <v>2646</v>
      </c>
      <c r="C168" s="2" t="s">
        <v>22294</v>
      </c>
      <c r="D168" s="3">
        <v>4</v>
      </c>
      <c r="E168" s="3">
        <v>17</v>
      </c>
      <c r="F168" s="3" t="str">
        <f>HYPERLINK("https://www.boe.es/gazeta/dias/1812/04/15/pdfs/GMD-1812-106.pdf","Abrir PDF")</f>
        <v>Abrir PDF</v>
      </c>
    </row>
    <row r="169" spans="1:6" ht="31.05" customHeight="1">
      <c r="A169" s="5">
        <v>-32034</v>
      </c>
      <c r="B169" s="2" t="s">
        <v>28</v>
      </c>
      <c r="C169" s="2" t="s">
        <v>22295</v>
      </c>
      <c r="D169" s="3">
        <v>8</v>
      </c>
      <c r="E169" s="3">
        <v>251</v>
      </c>
      <c r="F169" s="3" t="str">
        <f>HYPERLINK("https://www.boe.es/gazeta/dias/1812/04/16/pdfs/GMD-1812-107.pdf","Abrir PDF")</f>
        <v>Abrir PDF</v>
      </c>
    </row>
    <row r="170" spans="1:6" ht="31.05" customHeight="1">
      <c r="A170" s="5">
        <v>-32034</v>
      </c>
      <c r="B170" s="2" t="s">
        <v>1008</v>
      </c>
      <c r="C170" s="2" t="s">
        <v>22296</v>
      </c>
      <c r="D170" s="3">
        <v>8</v>
      </c>
      <c r="E170" s="3">
        <v>57</v>
      </c>
      <c r="F170" s="3" t="str">
        <f>HYPERLINK("https://www.boe.es/gazeta/dias/1812/04/16/pdfs/GRE-1812-48.pdf","Abrir PDF")</f>
        <v>Abrir PDF</v>
      </c>
    </row>
    <row r="171" spans="1:6" ht="31.05" customHeight="1">
      <c r="A171" s="5">
        <v>-32033</v>
      </c>
      <c r="B171" s="2" t="s">
        <v>771</v>
      </c>
      <c r="C171" s="2" t="s">
        <v>22297</v>
      </c>
      <c r="D171" s="3">
        <v>4</v>
      </c>
      <c r="E171" s="3">
        <v>29</v>
      </c>
      <c r="F171" s="3" t="str">
        <f>HYPERLINK("https://www.boe.es/gazeta/dias/1812/04/17/pdfs/GMD-1812-108.pdf","Abrir PDF")</f>
        <v>Abrir PDF</v>
      </c>
    </row>
    <row r="172" spans="1:6" ht="31.05" customHeight="1">
      <c r="A172" s="5">
        <v>-32032</v>
      </c>
      <c r="B172" s="2" t="s">
        <v>531</v>
      </c>
      <c r="C172" s="2" t="s">
        <v>22298</v>
      </c>
      <c r="D172" s="3">
        <v>4</v>
      </c>
      <c r="E172" s="3">
        <v>22</v>
      </c>
      <c r="F172" s="3" t="str">
        <f>HYPERLINK("https://www.boe.es/gazeta/dias/1812/04/18/pdfs/GMD-1812-109.pdf","Abrir PDF")</f>
        <v>Abrir PDF</v>
      </c>
    </row>
    <row r="173" spans="1:6" ht="31.05" customHeight="1">
      <c r="A173" s="5">
        <v>-32032</v>
      </c>
      <c r="B173" s="2" t="s">
        <v>421</v>
      </c>
      <c r="C173" s="2" t="s">
        <v>22299</v>
      </c>
      <c r="D173" s="3">
        <v>8</v>
      </c>
      <c r="E173" s="3">
        <v>26</v>
      </c>
      <c r="F173" s="3" t="str">
        <f>HYPERLINK("https://www.boe.es/gazeta/dias/1812/04/18/pdfs/GRE-1812-49.pdf","Abrir PDF")</f>
        <v>Abrir PDF</v>
      </c>
    </row>
    <row r="174" spans="1:6" ht="31.05" customHeight="1">
      <c r="A174" s="5">
        <v>-32031</v>
      </c>
      <c r="B174" s="2" t="s">
        <v>1343</v>
      </c>
      <c r="C174" s="2" t="s">
        <v>22300</v>
      </c>
      <c r="D174" s="3">
        <v>4</v>
      </c>
      <c r="E174" s="3">
        <v>13</v>
      </c>
      <c r="F174" s="3" t="str">
        <f>HYPERLINK("https://www.boe.es/gazeta/dias/1812/04/19/pdfs/GMD-1812-110.pdf","Abrir PDF")</f>
        <v>Abrir PDF</v>
      </c>
    </row>
    <row r="175" spans="1:6" ht="31.05" customHeight="1">
      <c r="A175" s="5">
        <v>-32030</v>
      </c>
      <c r="B175" s="2" t="s">
        <v>2226</v>
      </c>
      <c r="C175" s="2" t="s">
        <v>22301</v>
      </c>
      <c r="D175" s="3">
        <v>4</v>
      </c>
      <c r="E175" s="3">
        <v>30</v>
      </c>
      <c r="F175" s="3" t="str">
        <f>HYPERLINK("https://www.boe.es/gazeta/dias/1812/04/20/pdfs/GMD-1812-111.pdf","Abrir PDF")</f>
        <v>Abrir PDF</v>
      </c>
    </row>
    <row r="176" spans="1:6" ht="31.05" customHeight="1">
      <c r="A176" s="5">
        <v>-32029</v>
      </c>
      <c r="B176" s="2" t="s">
        <v>3605</v>
      </c>
      <c r="C176" s="2" t="s">
        <v>22302</v>
      </c>
      <c r="D176" s="3">
        <v>4</v>
      </c>
      <c r="E176" s="3">
        <v>8</v>
      </c>
      <c r="F176" s="3" t="str">
        <f>HYPERLINK("https://www.boe.es/gazeta/dias/1812/04/21/pdfs/GMD-1812-112.pdf","Abrir PDF")</f>
        <v>Abrir PDF</v>
      </c>
    </row>
    <row r="177" spans="1:6" ht="31.05" customHeight="1">
      <c r="A177" s="5">
        <v>-32029</v>
      </c>
      <c r="B177" s="2" t="s">
        <v>176</v>
      </c>
      <c r="C177" s="2" t="s">
        <v>22303</v>
      </c>
      <c r="D177" s="3">
        <v>8</v>
      </c>
      <c r="E177" s="3">
        <v>13</v>
      </c>
      <c r="F177" s="3" t="str">
        <f>HYPERLINK("https://www.boe.es/gazeta/dias/1812/04/21/pdfs/GRE-1812-50.pdf","Abrir PDF")</f>
        <v>Abrir PDF</v>
      </c>
    </row>
    <row r="178" spans="1:6" ht="31.05" customHeight="1">
      <c r="A178" s="5">
        <v>-32028</v>
      </c>
      <c r="B178" s="2" t="s">
        <v>10415</v>
      </c>
      <c r="C178" s="2" t="s">
        <v>22304</v>
      </c>
      <c r="D178" s="3">
        <v>4</v>
      </c>
      <c r="E178" s="3">
        <v>3</v>
      </c>
      <c r="F178" s="3" t="str">
        <f>HYPERLINK("https://www.boe.es/gazeta/dias/1812/04/22/pdfs/GMD-1812-113.pdf","Abrir PDF")</f>
        <v>Abrir PDF</v>
      </c>
    </row>
    <row r="179" spans="1:6" ht="31.05" customHeight="1">
      <c r="A179" s="5">
        <v>-32027</v>
      </c>
      <c r="B179" s="2" t="s">
        <v>22305</v>
      </c>
      <c r="C179" s="2" t="s">
        <v>22306</v>
      </c>
      <c r="D179" s="3">
        <v>4</v>
      </c>
      <c r="E179" s="3">
        <v>0</v>
      </c>
      <c r="F179" s="3" t="str">
        <f>HYPERLINK("https://www.boe.es/gazeta/dias/1812/04/23/pdfs/GMD-1812-114.pdf","Abrir PDF")</f>
        <v>Abrir PDF</v>
      </c>
    </row>
    <row r="180" spans="1:6" ht="31.05" customHeight="1">
      <c r="A180" s="5">
        <v>-32027</v>
      </c>
      <c r="B180" s="2" t="s">
        <v>803</v>
      </c>
      <c r="C180" s="2" t="s">
        <v>22307</v>
      </c>
      <c r="D180" s="3">
        <v>8</v>
      </c>
      <c r="E180" s="3">
        <v>12</v>
      </c>
      <c r="F180" s="3" t="str">
        <f>HYPERLINK("https://www.boe.es/gazeta/dias/1812/04/23/pdfs/GRE-1812-51.pdf","Abrir PDF")</f>
        <v>Abrir PDF</v>
      </c>
    </row>
    <row r="181" spans="1:6" ht="31.05" customHeight="1">
      <c r="A181" s="5">
        <v>-32026</v>
      </c>
      <c r="B181" s="2" t="s">
        <v>7845</v>
      </c>
      <c r="C181" s="2" t="s">
        <v>22308</v>
      </c>
      <c r="D181" s="3">
        <v>4</v>
      </c>
      <c r="E181" s="3">
        <v>10</v>
      </c>
      <c r="F181" s="3" t="str">
        <f>HYPERLINK("https://www.boe.es/gazeta/dias/1812/04/24/pdfs/GMD-1812-115.pdf","Abrir PDF")</f>
        <v>Abrir PDF</v>
      </c>
    </row>
    <row r="182" spans="1:6" ht="31.05" customHeight="1">
      <c r="A182" s="5">
        <v>-32025</v>
      </c>
      <c r="B182" s="2" t="s">
        <v>22309</v>
      </c>
      <c r="C182" s="2" t="s">
        <v>22310</v>
      </c>
      <c r="D182" s="3">
        <v>4</v>
      </c>
      <c r="E182" s="3">
        <v>0</v>
      </c>
      <c r="F182" s="3" t="str">
        <f>HYPERLINK("https://www.boe.es/gazeta/dias/1812/04/25/pdfs/GMD-1812-116.pdf","Abrir PDF")</f>
        <v>Abrir PDF</v>
      </c>
    </row>
    <row r="183" spans="1:6" ht="31.05" customHeight="1">
      <c r="A183" s="5">
        <v>-32025</v>
      </c>
      <c r="B183" s="2" t="s">
        <v>2323</v>
      </c>
      <c r="C183" s="2" t="s">
        <v>22311</v>
      </c>
      <c r="D183" s="3">
        <v>8</v>
      </c>
      <c r="E183" s="3">
        <v>45</v>
      </c>
      <c r="F183" s="3" t="str">
        <f>HYPERLINK("https://www.boe.es/gazeta/dias/1812/04/25/pdfs/GRE-1812-52.pdf","Abrir PDF")</f>
        <v>Abrir PDF</v>
      </c>
    </row>
    <row r="184" spans="1:6" ht="31.05" customHeight="1">
      <c r="A184" s="5">
        <v>-32025</v>
      </c>
      <c r="B184" s="2" t="s">
        <v>1122</v>
      </c>
      <c r="C184" s="2" t="s">
        <v>22312</v>
      </c>
      <c r="D184" s="3">
        <v>4</v>
      </c>
      <c r="E184" s="3">
        <v>11</v>
      </c>
      <c r="F184" s="3" t="str">
        <f>HYPERLINK("https://www.boe.es/gazeta/dias/1812/04/25/pdfs/GRE-F-1812-52.pdf","Abrir PDF")</f>
        <v>Abrir PDF</v>
      </c>
    </row>
    <row r="185" spans="1:6" ht="31.05" customHeight="1">
      <c r="A185" s="5">
        <v>-32024</v>
      </c>
      <c r="B185" s="2" t="s">
        <v>11824</v>
      </c>
      <c r="C185" s="2" t="s">
        <v>22313</v>
      </c>
      <c r="D185" s="3">
        <v>4</v>
      </c>
      <c r="E185" s="3">
        <v>3</v>
      </c>
      <c r="F185" s="3" t="str">
        <f>HYPERLINK("https://www.boe.es/gazeta/dias/1812/04/26/pdfs/GMD-1812-117.pdf","Abrir PDF")</f>
        <v>Abrir PDF</v>
      </c>
    </row>
    <row r="186" spans="1:6" ht="31.05" customHeight="1">
      <c r="A186" s="5">
        <v>-32023</v>
      </c>
      <c r="B186" s="2" t="s">
        <v>1537</v>
      </c>
      <c r="C186" s="2" t="s">
        <v>22314</v>
      </c>
      <c r="D186" s="3">
        <v>4</v>
      </c>
      <c r="E186" s="3">
        <v>4</v>
      </c>
      <c r="F186" s="3" t="str">
        <f>HYPERLINK("https://www.boe.es/gazeta/dias/1812/04/27/pdfs/GMD-1812-118.pdf","Abrir PDF")</f>
        <v>Abrir PDF</v>
      </c>
    </row>
    <row r="187" spans="1:6" ht="31.05" customHeight="1">
      <c r="A187" s="5">
        <v>-32022</v>
      </c>
      <c r="B187" s="2" t="s">
        <v>1554</v>
      </c>
      <c r="C187" s="2" t="s">
        <v>22315</v>
      </c>
      <c r="D187" s="3">
        <v>4</v>
      </c>
      <c r="E187" s="3">
        <v>8</v>
      </c>
      <c r="F187" s="3" t="str">
        <f>HYPERLINK("https://www.boe.es/gazeta/dias/1812/04/28/pdfs/GMD-1812-119.pdf","Abrir PDF")</f>
        <v>Abrir PDF</v>
      </c>
    </row>
    <row r="188" spans="1:6" ht="31.05" customHeight="1">
      <c r="A188" s="5">
        <v>-32022</v>
      </c>
      <c r="B188" s="2" t="s">
        <v>1186</v>
      </c>
      <c r="C188" s="2" t="s">
        <v>22316</v>
      </c>
      <c r="D188" s="3">
        <v>8</v>
      </c>
      <c r="E188" s="3">
        <v>49</v>
      </c>
      <c r="F188" s="3" t="str">
        <f>HYPERLINK("https://www.boe.es/gazeta/dias/1812/04/28/pdfs/GRE-1812-53.pdf","Abrir PDF")</f>
        <v>Abrir PDF</v>
      </c>
    </row>
    <row r="189" spans="1:6" ht="31.05" customHeight="1">
      <c r="A189" s="5">
        <v>-32021</v>
      </c>
      <c r="B189" s="2" t="s">
        <v>2236</v>
      </c>
      <c r="C189" s="2" t="s">
        <v>22317</v>
      </c>
      <c r="D189" s="3">
        <v>4</v>
      </c>
      <c r="E189" s="3">
        <v>2</v>
      </c>
      <c r="F189" s="3" t="str">
        <f>HYPERLINK("https://www.boe.es/gazeta/dias/1812/04/29/pdfs/GMD-1812-120.pdf","Abrir PDF")</f>
        <v>Abrir PDF</v>
      </c>
    </row>
    <row r="190" spans="1:6" ht="31.05" customHeight="1">
      <c r="A190" s="5">
        <v>-32020</v>
      </c>
      <c r="B190" s="2" t="s">
        <v>1860</v>
      </c>
      <c r="C190" s="2" t="s">
        <v>22318</v>
      </c>
      <c r="D190" s="3">
        <v>4</v>
      </c>
      <c r="E190" s="3">
        <v>13</v>
      </c>
      <c r="F190" s="3" t="str">
        <f>HYPERLINK("https://www.boe.es/gazeta/dias/1812/04/30/pdfs/GMD-1812-121.pdf","Abrir PDF")</f>
        <v>Abrir PDF</v>
      </c>
    </row>
    <row r="191" spans="1:6" ht="31.05" customHeight="1">
      <c r="A191" s="5">
        <v>-32020</v>
      </c>
      <c r="B191" s="2" t="s">
        <v>2818</v>
      </c>
      <c r="C191" s="2" t="s">
        <v>22319</v>
      </c>
      <c r="D191" s="3">
        <v>8</v>
      </c>
      <c r="E191" s="3">
        <v>12</v>
      </c>
      <c r="F191" s="3" t="str">
        <f>HYPERLINK("https://www.boe.es/gazeta/dias/1812/04/30/pdfs/GRE-1812-54.pdf","Abrir PDF")</f>
        <v>Abrir PDF</v>
      </c>
    </row>
    <row r="192" spans="1:6" ht="31.05" customHeight="1">
      <c r="A192" s="5">
        <v>-32019</v>
      </c>
      <c r="B192" s="2" t="s">
        <v>476</v>
      </c>
      <c r="C192" s="2" t="s">
        <v>22320</v>
      </c>
      <c r="D192" s="3">
        <v>4</v>
      </c>
      <c r="E192" s="3">
        <v>39</v>
      </c>
      <c r="F192" s="3" t="str">
        <f>HYPERLINK("https://www.boe.es/gazeta/dias/1812/05/01/pdfs/GMD-1812-122.pdf","Abrir PDF")</f>
        <v>Abrir PDF</v>
      </c>
    </row>
    <row r="193" spans="1:6" ht="31.05" customHeight="1">
      <c r="A193" s="5">
        <v>-32018</v>
      </c>
      <c r="B193" s="2" t="s">
        <v>1287</v>
      </c>
      <c r="C193" s="2" t="s">
        <v>22321</v>
      </c>
      <c r="D193" s="3">
        <v>4</v>
      </c>
      <c r="E193" s="3">
        <v>10</v>
      </c>
      <c r="F193" s="3" t="str">
        <f>HYPERLINK("https://www.boe.es/gazeta/dias/1812/05/02/pdfs/GMD-1812-123.pdf","Abrir PDF")</f>
        <v>Abrir PDF</v>
      </c>
    </row>
    <row r="194" spans="1:6" ht="31.05" customHeight="1">
      <c r="A194" s="5">
        <v>-32018</v>
      </c>
      <c r="B194" s="2" t="s">
        <v>365</v>
      </c>
      <c r="C194" s="2" t="s">
        <v>22322</v>
      </c>
      <c r="D194" s="3">
        <v>8</v>
      </c>
      <c r="E194" s="3">
        <v>76</v>
      </c>
      <c r="F194" s="3" t="str">
        <f>HYPERLINK("https://www.boe.es/gazeta/dias/1812/05/02/pdfs/GRE-1812-55.pdf","Abrir PDF")</f>
        <v>Abrir PDF</v>
      </c>
    </row>
    <row r="195" spans="1:6" ht="31.05" customHeight="1">
      <c r="A195" s="5">
        <v>-32017</v>
      </c>
      <c r="B195" s="2" t="s">
        <v>3446</v>
      </c>
      <c r="C195" s="2" t="s">
        <v>22323</v>
      </c>
      <c r="D195" s="3">
        <v>4</v>
      </c>
      <c r="E195" s="3">
        <v>8</v>
      </c>
      <c r="F195" s="3" t="str">
        <f>HYPERLINK("https://www.boe.es/gazeta/dias/1812/05/03/pdfs/GMD-1812-124.pdf","Abrir PDF")</f>
        <v>Abrir PDF</v>
      </c>
    </row>
    <row r="196" spans="1:6" ht="31.05" customHeight="1">
      <c r="A196" s="5">
        <v>-32016</v>
      </c>
      <c r="B196" s="2" t="s">
        <v>11319</v>
      </c>
      <c r="C196" s="2" t="s">
        <v>22324</v>
      </c>
      <c r="D196" s="3">
        <v>4</v>
      </c>
      <c r="E196" s="3">
        <v>2</v>
      </c>
      <c r="F196" s="3" t="str">
        <f>HYPERLINK("https://www.boe.es/gazeta/dias/1812/05/04/pdfs/GMD-1812-125.pdf","Abrir PDF")</f>
        <v>Abrir PDF</v>
      </c>
    </row>
    <row r="197" spans="1:6" ht="31.05" customHeight="1">
      <c r="A197" s="5">
        <v>-32015</v>
      </c>
      <c r="B197" s="2" t="s">
        <v>3703</v>
      </c>
      <c r="C197" s="2" t="s">
        <v>22325</v>
      </c>
      <c r="D197" s="3">
        <v>4</v>
      </c>
      <c r="E197" s="3">
        <v>2</v>
      </c>
      <c r="F197" s="3" t="str">
        <f>HYPERLINK("https://www.boe.es/gazeta/dias/1812/05/05/pdfs/GMD-1812-126.pdf","Abrir PDF")</f>
        <v>Abrir PDF</v>
      </c>
    </row>
    <row r="198" spans="1:6" ht="31.05" customHeight="1">
      <c r="A198" s="5">
        <v>-32015</v>
      </c>
      <c r="B198" s="2" t="s">
        <v>77</v>
      </c>
      <c r="C198" s="2" t="s">
        <v>22326</v>
      </c>
      <c r="D198" s="3">
        <v>8</v>
      </c>
      <c r="E198" s="3">
        <v>71</v>
      </c>
      <c r="F198" s="3" t="str">
        <f>HYPERLINK("https://www.boe.es/gazeta/dias/1812/05/05/pdfs/GRE-1812-56.pdf","Abrir PDF")</f>
        <v>Abrir PDF</v>
      </c>
    </row>
    <row r="199" spans="1:6" ht="31.05" customHeight="1">
      <c r="A199" s="5">
        <v>-32014</v>
      </c>
      <c r="B199" s="2" t="s">
        <v>5052</v>
      </c>
      <c r="C199" s="2" t="s">
        <v>22327</v>
      </c>
      <c r="D199" s="3">
        <v>4</v>
      </c>
      <c r="E199" s="3">
        <v>2</v>
      </c>
      <c r="F199" s="3" t="str">
        <f>HYPERLINK("https://www.boe.es/gazeta/dias/1812/05/06/pdfs/GMD-1812-127.pdf","Abrir PDF")</f>
        <v>Abrir PDF</v>
      </c>
    </row>
    <row r="200" spans="1:6" ht="31.05" customHeight="1">
      <c r="A200" s="5">
        <v>-32013</v>
      </c>
      <c r="B200" s="2" t="s">
        <v>15298</v>
      </c>
      <c r="C200" s="2" t="s">
        <v>22328</v>
      </c>
      <c r="D200" s="3">
        <v>4</v>
      </c>
      <c r="E200" s="3">
        <v>3</v>
      </c>
      <c r="F200" s="3" t="str">
        <f>HYPERLINK("https://www.boe.es/gazeta/dias/1812/05/07/pdfs/GMD-1812-128.pdf","Abrir PDF")</f>
        <v>Abrir PDF</v>
      </c>
    </row>
    <row r="201" spans="1:6" ht="31.05" customHeight="1">
      <c r="A201" s="5">
        <v>-32013</v>
      </c>
      <c r="B201" s="2" t="s">
        <v>849</v>
      </c>
      <c r="C201" s="2" t="s">
        <v>22329</v>
      </c>
      <c r="D201" s="3">
        <v>8</v>
      </c>
      <c r="E201" s="3">
        <v>39</v>
      </c>
      <c r="F201" s="3" t="str">
        <f>HYPERLINK("https://www.boe.es/gazeta/dias/1812/05/07/pdfs/GRE-1812-57.pdf","Abrir PDF")</f>
        <v>Abrir PDF</v>
      </c>
    </row>
    <row r="202" spans="1:6" ht="31.05" customHeight="1">
      <c r="A202" s="5">
        <v>-32012</v>
      </c>
      <c r="B202" s="2" t="s">
        <v>1090</v>
      </c>
      <c r="C202" s="2" t="s">
        <v>22330</v>
      </c>
      <c r="D202" s="3">
        <v>4</v>
      </c>
      <c r="E202" s="3">
        <v>5</v>
      </c>
      <c r="F202" s="3" t="str">
        <f>HYPERLINK("https://www.boe.es/gazeta/dias/1812/05/08/pdfs/GMD-1812-129.pdf","Abrir PDF")</f>
        <v>Abrir PDF</v>
      </c>
    </row>
    <row r="203" spans="1:6" ht="31.05" customHeight="1">
      <c r="A203" s="5">
        <v>-32011</v>
      </c>
      <c r="B203" s="2" t="s">
        <v>1656</v>
      </c>
      <c r="C203" s="2" t="s">
        <v>22331</v>
      </c>
      <c r="D203" s="3">
        <v>4</v>
      </c>
      <c r="E203" s="3">
        <v>20</v>
      </c>
      <c r="F203" s="3" t="str">
        <f>HYPERLINK("https://www.boe.es/gazeta/dias/1812/05/09/pdfs/GMD-1812-130.pdf","Abrir PDF")</f>
        <v>Abrir PDF</v>
      </c>
    </row>
    <row r="204" spans="1:6" ht="31.05" customHeight="1">
      <c r="A204" s="5">
        <v>-32011</v>
      </c>
      <c r="B204" s="2" t="s">
        <v>1233</v>
      </c>
      <c r="C204" s="2" t="s">
        <v>22332</v>
      </c>
      <c r="D204" s="3">
        <v>8</v>
      </c>
      <c r="E204" s="3">
        <v>20</v>
      </c>
      <c r="F204" s="3" t="str">
        <f>HYPERLINK("https://www.boe.es/gazeta/dias/1812/05/09/pdfs/GRE-1812-58.pdf","Abrir PDF")</f>
        <v>Abrir PDF</v>
      </c>
    </row>
    <row r="205" spans="1:6" ht="31.05" customHeight="1">
      <c r="A205" s="5">
        <v>-32010</v>
      </c>
      <c r="B205" s="2" t="s">
        <v>243</v>
      </c>
      <c r="C205" s="2" t="s">
        <v>22333</v>
      </c>
      <c r="D205" s="3">
        <v>4</v>
      </c>
      <c r="E205" s="3">
        <v>30</v>
      </c>
      <c r="F205" s="3" t="str">
        <f>HYPERLINK("https://www.boe.es/gazeta/dias/1812/05/10/pdfs/GMD-1812-131.pdf","Abrir PDF")</f>
        <v>Abrir PDF</v>
      </c>
    </row>
    <row r="206" spans="1:6" ht="31.05" customHeight="1">
      <c r="A206" s="5">
        <v>-32009</v>
      </c>
      <c r="B206" s="2" t="s">
        <v>8049</v>
      </c>
      <c r="C206" s="2" t="s">
        <v>22334</v>
      </c>
      <c r="D206" s="3">
        <v>4</v>
      </c>
      <c r="E206" s="3">
        <v>9</v>
      </c>
      <c r="F206" s="3" t="str">
        <f>HYPERLINK("https://www.boe.es/gazeta/dias/1812/05/11/pdfs/GMD-1812-132.pdf","Abrir PDF")</f>
        <v>Abrir PDF</v>
      </c>
    </row>
    <row r="207" spans="1:6" ht="31.05" customHeight="1">
      <c r="A207" s="5">
        <v>-32008</v>
      </c>
      <c r="B207" s="2" t="s">
        <v>15658</v>
      </c>
      <c r="C207" s="2" t="s">
        <v>22335</v>
      </c>
      <c r="D207" s="3">
        <v>4</v>
      </c>
      <c r="E207" s="3">
        <v>1</v>
      </c>
      <c r="F207" s="3" t="str">
        <f>HYPERLINK("https://www.boe.es/gazeta/dias/1812/05/12/pdfs/GMD-1812-133.pdf","Abrir PDF")</f>
        <v>Abrir PDF</v>
      </c>
    </row>
    <row r="208" spans="1:6" ht="31.05" customHeight="1">
      <c r="A208" s="5">
        <v>-32008</v>
      </c>
      <c r="B208" s="2" t="s">
        <v>8878</v>
      </c>
      <c r="C208" s="2" t="s">
        <v>22336</v>
      </c>
      <c r="D208" s="3">
        <v>8</v>
      </c>
      <c r="E208" s="3">
        <v>3</v>
      </c>
      <c r="F208" s="3" t="str">
        <f>HYPERLINK("https://www.boe.es/gazeta/dias/1812/05/12/pdfs/GRE-1812-59.pdf","Abrir PDF")</f>
        <v>Abrir PDF</v>
      </c>
    </row>
    <row r="209" spans="1:6" ht="31.05" customHeight="1">
      <c r="A209" s="5">
        <v>-32007</v>
      </c>
      <c r="B209" s="2" t="s">
        <v>11855</v>
      </c>
      <c r="C209" s="2" t="s">
        <v>22337</v>
      </c>
      <c r="D209" s="3">
        <v>4</v>
      </c>
      <c r="E209" s="3">
        <v>5</v>
      </c>
      <c r="F209" s="3" t="str">
        <f>HYPERLINK("https://www.boe.es/gazeta/dias/1812/05/13/pdfs/GMD-1812-134.pdf","Abrir PDF")</f>
        <v>Abrir PDF</v>
      </c>
    </row>
    <row r="210" spans="1:6" ht="31.05" customHeight="1">
      <c r="A210" s="5">
        <v>-32006</v>
      </c>
      <c r="B210" s="2" t="s">
        <v>1153</v>
      </c>
      <c r="C210" s="2" t="s">
        <v>22338</v>
      </c>
      <c r="D210" s="3">
        <v>4</v>
      </c>
      <c r="E210" s="3">
        <v>15</v>
      </c>
      <c r="F210" s="3" t="str">
        <f>HYPERLINK("https://www.boe.es/gazeta/dias/1812/05/14/pdfs/GMD-1812-135.pdf","Abrir PDF")</f>
        <v>Abrir PDF</v>
      </c>
    </row>
    <row r="211" spans="1:6" ht="31.05" customHeight="1">
      <c r="A211" s="5">
        <v>-32006</v>
      </c>
      <c r="B211" s="2" t="s">
        <v>190</v>
      </c>
      <c r="C211" s="2" t="s">
        <v>22339</v>
      </c>
      <c r="D211" s="3">
        <v>8</v>
      </c>
      <c r="E211" s="3">
        <v>22</v>
      </c>
      <c r="F211" s="3" t="str">
        <f>HYPERLINK("https://www.boe.es/gazeta/dias/1812/05/14/pdfs/GRE-1812-60.pdf","Abrir PDF")</f>
        <v>Abrir PDF</v>
      </c>
    </row>
    <row r="212" spans="1:6" ht="31.05" customHeight="1">
      <c r="A212" s="5">
        <v>-32005</v>
      </c>
      <c r="B212" s="2" t="s">
        <v>2696</v>
      </c>
      <c r="C212" s="2" t="s">
        <v>22340</v>
      </c>
      <c r="D212" s="3">
        <v>4</v>
      </c>
      <c r="E212" s="3">
        <v>10</v>
      </c>
      <c r="F212" s="3" t="str">
        <f>HYPERLINK("https://www.boe.es/gazeta/dias/1812/05/15/pdfs/GMD-1812-136.pdf","Abrir PDF")</f>
        <v>Abrir PDF</v>
      </c>
    </row>
    <row r="213" spans="1:6" ht="31.05" customHeight="1">
      <c r="A213" s="5">
        <v>-32004</v>
      </c>
      <c r="B213" s="2" t="s">
        <v>5305</v>
      </c>
      <c r="C213" s="2" t="s">
        <v>22341</v>
      </c>
      <c r="D213" s="3">
        <v>4</v>
      </c>
      <c r="E213" s="3">
        <v>9</v>
      </c>
      <c r="F213" s="3" t="str">
        <f>HYPERLINK("https://www.boe.es/gazeta/dias/1812/05/16/pdfs/GMD-1812-137.pdf","Abrir PDF")</f>
        <v>Abrir PDF</v>
      </c>
    </row>
    <row r="214" spans="1:6" ht="31.05" customHeight="1">
      <c r="A214" s="5">
        <v>-32004</v>
      </c>
      <c r="B214" s="2" t="s">
        <v>148</v>
      </c>
      <c r="C214" s="2" t="s">
        <v>22342</v>
      </c>
      <c r="D214" s="3">
        <v>8</v>
      </c>
      <c r="E214" s="3">
        <v>18</v>
      </c>
      <c r="F214" s="3" t="str">
        <f>HYPERLINK("https://www.boe.es/gazeta/dias/1812/05/16/pdfs/GRE-1812-61.pdf","Abrir PDF")</f>
        <v>Abrir PDF</v>
      </c>
    </row>
    <row r="215" spans="1:6" ht="31.05" customHeight="1">
      <c r="A215" s="5">
        <v>-32003</v>
      </c>
      <c r="B215" s="2" t="s">
        <v>585</v>
      </c>
      <c r="C215" s="2" t="s">
        <v>22343</v>
      </c>
      <c r="D215" s="3">
        <v>4</v>
      </c>
      <c r="E215" s="3">
        <v>16</v>
      </c>
      <c r="F215" s="3" t="str">
        <f>HYPERLINK("https://www.boe.es/gazeta/dias/1812/05/17/pdfs/GMD-1812-138.pdf","Abrir PDF")</f>
        <v>Abrir PDF</v>
      </c>
    </row>
    <row r="216" spans="1:6" ht="31.05" customHeight="1">
      <c r="A216" s="5">
        <v>-32002</v>
      </c>
      <c r="B216" s="2" t="s">
        <v>619</v>
      </c>
      <c r="C216" s="2" t="s">
        <v>22344</v>
      </c>
      <c r="D216" s="3">
        <v>4</v>
      </c>
      <c r="E216" s="3">
        <v>36</v>
      </c>
      <c r="F216" s="3" t="str">
        <f>HYPERLINK("https://www.boe.es/gazeta/dias/1812/05/18/pdfs/GMD-1812-139.pdf","Abrir PDF")</f>
        <v>Abrir PDF</v>
      </c>
    </row>
    <row r="217" spans="1:6" ht="31.05" customHeight="1">
      <c r="A217" s="5">
        <v>-32001</v>
      </c>
      <c r="B217" s="2" t="s">
        <v>1728</v>
      </c>
      <c r="C217" s="2" t="s">
        <v>22345</v>
      </c>
      <c r="D217" s="3">
        <v>4</v>
      </c>
      <c r="E217" s="3">
        <v>4</v>
      </c>
      <c r="F217" s="3" t="str">
        <f>HYPERLINK("https://www.boe.es/gazeta/dias/1812/05/19/pdfs/GMD-1812-140.pdf","Abrir PDF")</f>
        <v>Abrir PDF</v>
      </c>
    </row>
    <row r="218" spans="1:6" ht="31.05" customHeight="1">
      <c r="A218" s="5">
        <v>-32001</v>
      </c>
      <c r="B218" s="2" t="s">
        <v>1938</v>
      </c>
      <c r="C218" s="2" t="s">
        <v>22346</v>
      </c>
      <c r="D218" s="3">
        <v>8</v>
      </c>
      <c r="E218" s="3">
        <v>20</v>
      </c>
      <c r="F218" s="3" t="str">
        <f>HYPERLINK("https://www.boe.es/gazeta/dias/1812/05/19/pdfs/GRE-1812-62.pdf","Abrir PDF")</f>
        <v>Abrir PDF</v>
      </c>
    </row>
    <row r="219" spans="1:6" ht="31.05" customHeight="1">
      <c r="A219" s="5">
        <v>-32000</v>
      </c>
      <c r="B219" s="2" t="s">
        <v>878</v>
      </c>
      <c r="C219" s="2" t="s">
        <v>22347</v>
      </c>
      <c r="D219" s="3">
        <v>4</v>
      </c>
      <c r="E219" s="3">
        <v>62</v>
      </c>
      <c r="F219" s="3" t="str">
        <f>HYPERLINK("https://www.boe.es/gazeta/dias/1812/05/20/pdfs/GMD-1812-141.pdf","Abrir PDF")</f>
        <v>Abrir PDF</v>
      </c>
    </row>
    <row r="220" spans="1:6" ht="31.05" customHeight="1">
      <c r="A220" s="5">
        <v>-31999</v>
      </c>
      <c r="B220" s="2" t="s">
        <v>22348</v>
      </c>
      <c r="C220" s="2" t="s">
        <v>22349</v>
      </c>
      <c r="D220" s="3">
        <v>4</v>
      </c>
      <c r="E220" s="3">
        <v>0</v>
      </c>
      <c r="F220" s="3" t="str">
        <f>HYPERLINK("https://www.boe.es/gazeta/dias/1812/05/21/pdfs/GMD-1812-142.pdf","Abrir PDF")</f>
        <v>Abrir PDF</v>
      </c>
    </row>
    <row r="221" spans="1:6" ht="31.05" customHeight="1">
      <c r="A221" s="5">
        <v>-31999</v>
      </c>
      <c r="B221" s="2" t="s">
        <v>806</v>
      </c>
      <c r="C221" s="2" t="s">
        <v>22350</v>
      </c>
      <c r="D221" s="3">
        <v>8</v>
      </c>
      <c r="E221" s="3">
        <v>7</v>
      </c>
      <c r="F221" s="3" t="str">
        <f>HYPERLINK("https://www.boe.es/gazeta/dias/1812/05/21/pdfs/GRE-1812-63.pdf","Abrir PDF")</f>
        <v>Abrir PDF</v>
      </c>
    </row>
    <row r="222" spans="1:6" ht="31.05" customHeight="1">
      <c r="A222" s="5">
        <v>-31998</v>
      </c>
      <c r="B222" s="2" t="s">
        <v>7890</v>
      </c>
      <c r="C222" s="2" t="s">
        <v>22351</v>
      </c>
      <c r="D222" s="3">
        <v>4</v>
      </c>
      <c r="E222" s="3">
        <v>3</v>
      </c>
      <c r="F222" s="3" t="str">
        <f>HYPERLINK("https://www.boe.es/gazeta/dias/1812/05/22/pdfs/GMD-1812-143.pdf","Abrir PDF")</f>
        <v>Abrir PDF</v>
      </c>
    </row>
    <row r="223" spans="1:6" ht="31.05" customHeight="1">
      <c r="A223" s="5">
        <v>-31997</v>
      </c>
      <c r="B223" s="2" t="s">
        <v>22352</v>
      </c>
      <c r="C223" s="2" t="s">
        <v>22353</v>
      </c>
      <c r="D223" s="3">
        <v>4</v>
      </c>
      <c r="E223" s="3">
        <v>0</v>
      </c>
      <c r="F223" s="3" t="str">
        <f>HYPERLINK("https://www.boe.es/gazeta/dias/1812/05/23/pdfs/GMD-1812-144.pdf","Abrir PDF")</f>
        <v>Abrir PDF</v>
      </c>
    </row>
    <row r="224" spans="1:6" ht="31.05" customHeight="1">
      <c r="A224" s="5">
        <v>-31997</v>
      </c>
      <c r="B224" s="2" t="s">
        <v>6881</v>
      </c>
      <c r="C224" s="2" t="s">
        <v>22354</v>
      </c>
      <c r="D224" s="3">
        <v>8</v>
      </c>
      <c r="E224" s="3">
        <v>3</v>
      </c>
      <c r="F224" s="3" t="str">
        <f>HYPERLINK("https://www.boe.es/gazeta/dias/1812/05/23/pdfs/GRE-1812-64.pdf","Abrir PDF")</f>
        <v>Abrir PDF</v>
      </c>
    </row>
    <row r="225" spans="1:6" ht="31.05" customHeight="1">
      <c r="A225" s="5">
        <v>-31996</v>
      </c>
      <c r="B225" s="2" t="s">
        <v>3706</v>
      </c>
      <c r="C225" s="2" t="s">
        <v>22355</v>
      </c>
      <c r="D225" s="3">
        <v>4</v>
      </c>
      <c r="E225" s="3">
        <v>3</v>
      </c>
      <c r="F225" s="3" t="str">
        <f>HYPERLINK("https://www.boe.es/gazeta/dias/1812/05/24/pdfs/GMD-1812-145.pdf","Abrir PDF")</f>
        <v>Abrir PDF</v>
      </c>
    </row>
    <row r="226" spans="1:6" ht="31.05" customHeight="1">
      <c r="A226" s="5">
        <v>-31995</v>
      </c>
      <c r="B226" s="2" t="s">
        <v>100</v>
      </c>
      <c r="C226" s="2" t="s">
        <v>22356</v>
      </c>
      <c r="D226" s="3">
        <v>4</v>
      </c>
      <c r="E226" s="3">
        <v>16</v>
      </c>
      <c r="F226" s="3" t="str">
        <f>HYPERLINK("https://www.boe.es/gazeta/dias/1812/05/25/pdfs/GMD-1812-146.pdf","Abrir PDF")</f>
        <v>Abrir PDF</v>
      </c>
    </row>
    <row r="227" spans="1:6" ht="31.05" customHeight="1">
      <c r="A227" s="5">
        <v>-31994</v>
      </c>
      <c r="B227" s="2" t="s">
        <v>19225</v>
      </c>
      <c r="C227" s="2" t="s">
        <v>22357</v>
      </c>
      <c r="D227" s="3">
        <v>4</v>
      </c>
      <c r="E227" s="3">
        <v>1</v>
      </c>
      <c r="F227" s="3" t="str">
        <f>HYPERLINK("https://www.boe.es/gazeta/dias/1812/05/26/pdfs/GMD-1812-147.pdf","Abrir PDF")</f>
        <v>Abrir PDF</v>
      </c>
    </row>
    <row r="228" spans="1:6" ht="31.05" customHeight="1">
      <c r="A228" s="5">
        <v>-31994</v>
      </c>
      <c r="B228" s="2" t="s">
        <v>207</v>
      </c>
      <c r="C228" s="2" t="s">
        <v>22358</v>
      </c>
      <c r="D228" s="3">
        <v>8</v>
      </c>
      <c r="E228" s="3">
        <v>44</v>
      </c>
      <c r="F228" s="3" t="str">
        <f>HYPERLINK("https://www.boe.es/gazeta/dias/1812/05/26/pdfs/GRE-1812-65.pdf","Abrir PDF")</f>
        <v>Abrir PDF</v>
      </c>
    </row>
    <row r="229" spans="1:6" ht="31.05" customHeight="1">
      <c r="A229" s="5">
        <v>-31993</v>
      </c>
      <c r="B229" s="2" t="s">
        <v>10410</v>
      </c>
      <c r="C229" s="2" t="s">
        <v>22359</v>
      </c>
      <c r="D229" s="3">
        <v>4</v>
      </c>
      <c r="E229" s="3">
        <v>4</v>
      </c>
      <c r="F229" s="3" t="str">
        <f>HYPERLINK("https://www.boe.es/gazeta/dias/1812/05/27/pdfs/GMD-1812-148.pdf","Abrir PDF")</f>
        <v>Abrir PDF</v>
      </c>
    </row>
    <row r="230" spans="1:6" ht="31.05" customHeight="1">
      <c r="A230" s="5">
        <v>-31992</v>
      </c>
      <c r="B230" s="2" t="s">
        <v>2239</v>
      </c>
      <c r="C230" s="2" t="s">
        <v>22360</v>
      </c>
      <c r="D230" s="3">
        <v>4</v>
      </c>
      <c r="E230" s="3">
        <v>5</v>
      </c>
      <c r="F230" s="3" t="str">
        <f>HYPERLINK("https://www.boe.es/gazeta/dias/1812/05/28/pdfs/GMD-1812-149.pdf","Abrir PDF")</f>
        <v>Abrir PDF</v>
      </c>
    </row>
    <row r="231" spans="1:6" ht="31.05" customHeight="1">
      <c r="A231" s="5">
        <v>-31992</v>
      </c>
      <c r="B231" s="2" t="s">
        <v>1292</v>
      </c>
      <c r="C231" s="2" t="s">
        <v>22361</v>
      </c>
      <c r="D231" s="3">
        <v>8</v>
      </c>
      <c r="E231" s="3">
        <v>52</v>
      </c>
      <c r="F231" s="3" t="str">
        <f>HYPERLINK("https://www.boe.es/gazeta/dias/1812/05/28/pdfs/GRE-1812-66.pdf","Abrir PDF")</f>
        <v>Abrir PDF</v>
      </c>
    </row>
    <row r="232" spans="1:6" ht="31.05" customHeight="1">
      <c r="A232" s="5">
        <v>-31991</v>
      </c>
      <c r="B232" s="2" t="s">
        <v>663</v>
      </c>
      <c r="C232" s="2" t="s">
        <v>22362</v>
      </c>
      <c r="D232" s="3">
        <v>4</v>
      </c>
      <c r="E232" s="3">
        <v>18</v>
      </c>
      <c r="F232" s="3" t="str">
        <f>HYPERLINK("https://www.boe.es/gazeta/dias/1812/05/29/pdfs/GMD-1812-150.pdf","Abrir PDF")</f>
        <v>Abrir PDF</v>
      </c>
    </row>
    <row r="233" spans="1:6" ht="31.05" customHeight="1">
      <c r="A233" s="5">
        <v>-31990</v>
      </c>
      <c r="B233" s="2" t="s">
        <v>629</v>
      </c>
      <c r="C233" s="2" t="s">
        <v>22363</v>
      </c>
      <c r="D233" s="3">
        <v>4</v>
      </c>
      <c r="E233" s="3">
        <v>11</v>
      </c>
      <c r="F233" s="3" t="str">
        <f>HYPERLINK("https://www.boe.es/gazeta/dias/1812/05/30/pdfs/GMD-1812-151.pdf","Abrir PDF")</f>
        <v>Abrir PDF</v>
      </c>
    </row>
    <row r="234" spans="1:6" ht="31.05" customHeight="1">
      <c r="A234" s="5">
        <v>-31990</v>
      </c>
      <c r="B234" s="2" t="s">
        <v>5078</v>
      </c>
      <c r="C234" s="2" t="s">
        <v>22364</v>
      </c>
      <c r="D234" s="3">
        <v>8</v>
      </c>
      <c r="E234" s="3">
        <v>16</v>
      </c>
      <c r="F234" s="3" t="str">
        <f>HYPERLINK("https://www.boe.es/gazeta/dias/1812/05/30/pdfs/GRE-1812-67.pdf","Abrir PDF")</f>
        <v>Abrir PDF</v>
      </c>
    </row>
    <row r="235" spans="1:6" ht="31.05" customHeight="1">
      <c r="A235" s="5">
        <v>-31989</v>
      </c>
      <c r="B235" s="2" t="s">
        <v>263</v>
      </c>
      <c r="C235" s="2" t="s">
        <v>22365</v>
      </c>
      <c r="D235" s="3">
        <v>4</v>
      </c>
      <c r="E235" s="3">
        <v>9</v>
      </c>
      <c r="F235" s="3" t="str">
        <f>HYPERLINK("https://www.boe.es/gazeta/dias/1812/05/31/pdfs/GMD-1812-152.pdf","Abrir PDF")</f>
        <v>Abrir PDF</v>
      </c>
    </row>
    <row r="236" spans="1:6" ht="31.05" customHeight="1">
      <c r="A236" s="5">
        <v>-31988</v>
      </c>
      <c r="B236" s="2" t="s">
        <v>1094</v>
      </c>
      <c r="C236" s="2" t="s">
        <v>22366</v>
      </c>
      <c r="D236" s="3">
        <v>4</v>
      </c>
      <c r="E236" s="3">
        <v>32</v>
      </c>
      <c r="F236" s="3" t="str">
        <f>HYPERLINK("https://www.boe.es/gazeta/dias/1812/06/01/pdfs/GMD-1812-153.pdf","Abrir PDF")</f>
        <v>Abrir PDF</v>
      </c>
    </row>
    <row r="237" spans="1:6" ht="31.05" customHeight="1">
      <c r="A237" s="5">
        <v>-31987</v>
      </c>
      <c r="B237" s="2" t="s">
        <v>2309</v>
      </c>
      <c r="C237" s="2" t="s">
        <v>22367</v>
      </c>
      <c r="D237" s="3">
        <v>4</v>
      </c>
      <c r="E237" s="3">
        <v>5</v>
      </c>
      <c r="F237" s="3" t="str">
        <f>HYPERLINK("https://www.boe.es/gazeta/dias/1812/06/02/pdfs/GMD-1812-154.pdf","Abrir PDF")</f>
        <v>Abrir PDF</v>
      </c>
    </row>
    <row r="238" spans="1:6" ht="31.05" customHeight="1">
      <c r="A238" s="5">
        <v>-31987</v>
      </c>
      <c r="B238" s="2" t="s">
        <v>3031</v>
      </c>
      <c r="C238" s="2" t="s">
        <v>22368</v>
      </c>
      <c r="D238" s="3">
        <v>8</v>
      </c>
      <c r="E238" s="3">
        <v>6</v>
      </c>
      <c r="F238" s="3" t="str">
        <f>HYPERLINK("https://www.boe.es/gazeta/dias/1812/06/02/pdfs/GRE-1812-68.pdf","Abrir PDF")</f>
        <v>Abrir PDF</v>
      </c>
    </row>
    <row r="239" spans="1:6" ht="31.05" customHeight="1">
      <c r="A239" s="5">
        <v>-31986</v>
      </c>
      <c r="B239" s="2" t="s">
        <v>5062</v>
      </c>
      <c r="C239" s="2" t="s">
        <v>22369</v>
      </c>
      <c r="D239" s="3">
        <v>4</v>
      </c>
      <c r="E239" s="3">
        <v>2</v>
      </c>
      <c r="F239" s="3" t="str">
        <f>HYPERLINK("https://www.boe.es/gazeta/dias/1812/06/03/pdfs/GMD-1812-155.pdf","Abrir PDF")</f>
        <v>Abrir PDF</v>
      </c>
    </row>
    <row r="240" spans="1:6" ht="31.05" customHeight="1">
      <c r="A240" s="5">
        <v>-31985</v>
      </c>
      <c r="B240" s="2" t="s">
        <v>2770</v>
      </c>
      <c r="C240" s="2" t="s">
        <v>22370</v>
      </c>
      <c r="D240" s="3">
        <v>4</v>
      </c>
      <c r="E240" s="3">
        <v>4</v>
      </c>
      <c r="F240" s="3" t="str">
        <f>HYPERLINK("https://www.boe.es/gazeta/dias/1812/06/04/pdfs/GMD-1812-156.pdf","Abrir PDF")</f>
        <v>Abrir PDF</v>
      </c>
    </row>
    <row r="241" spans="1:6" ht="31.05" customHeight="1">
      <c r="A241" s="5">
        <v>-31985</v>
      </c>
      <c r="B241" s="2" t="s">
        <v>1942</v>
      </c>
      <c r="C241" s="2" t="s">
        <v>22371</v>
      </c>
      <c r="D241" s="3">
        <v>8</v>
      </c>
      <c r="E241" s="3">
        <v>9</v>
      </c>
      <c r="F241" s="3" t="str">
        <f>HYPERLINK("https://www.boe.es/gazeta/dias/1812/06/04/pdfs/GRE-1812-69.pdf","Abrir PDF")</f>
        <v>Abrir PDF</v>
      </c>
    </row>
    <row r="242" spans="1:6" ht="31.05" customHeight="1">
      <c r="A242" s="5">
        <v>-31984</v>
      </c>
      <c r="B242" s="2" t="s">
        <v>5154</v>
      </c>
      <c r="C242" s="2" t="s">
        <v>22372</v>
      </c>
      <c r="D242" s="3">
        <v>6</v>
      </c>
      <c r="E242" s="3">
        <v>7</v>
      </c>
      <c r="F242" s="3" t="str">
        <f>HYPERLINK("https://www.boe.es/gazeta/dias/1812/06/05/pdfs/GMD-1812-157.pdf","Abrir PDF")</f>
        <v>Abrir PDF</v>
      </c>
    </row>
    <row r="243" spans="1:6" ht="31.05" customHeight="1">
      <c r="A243" s="5">
        <v>-31983</v>
      </c>
      <c r="B243" s="2" t="s">
        <v>3615</v>
      </c>
      <c r="C243" s="2" t="s">
        <v>22373</v>
      </c>
      <c r="D243" s="3">
        <v>4</v>
      </c>
      <c r="E243" s="3">
        <v>1</v>
      </c>
      <c r="F243" s="3" t="str">
        <f>HYPERLINK("https://www.boe.es/gazeta/dias/1812/06/06/pdfs/GMD-1812-158.pdf","Abrir PDF")</f>
        <v>Abrir PDF</v>
      </c>
    </row>
    <row r="244" spans="1:6" ht="31.05" customHeight="1">
      <c r="A244" s="5">
        <v>-31983</v>
      </c>
      <c r="B244" s="2" t="s">
        <v>809</v>
      </c>
      <c r="C244" s="2" t="s">
        <v>22374</v>
      </c>
      <c r="D244" s="3">
        <v>8</v>
      </c>
      <c r="E244" s="3">
        <v>13</v>
      </c>
      <c r="F244" s="3" t="str">
        <f>HYPERLINK("https://www.boe.es/gazeta/dias/1812/06/06/pdfs/GRE-1812-70.pdf","Abrir PDF")</f>
        <v>Abrir PDF</v>
      </c>
    </row>
    <row r="245" spans="1:6" ht="31.05" customHeight="1">
      <c r="A245" s="5">
        <v>-31983</v>
      </c>
      <c r="B245" s="2" t="s">
        <v>1437</v>
      </c>
      <c r="C245" s="2" t="s">
        <v>22375</v>
      </c>
      <c r="D245" s="3">
        <v>4</v>
      </c>
      <c r="E245" s="3">
        <v>46</v>
      </c>
      <c r="F245" s="3" t="str">
        <f>HYPERLINK("https://www.boe.es/gazeta/dias/1812/06/06/pdfs/GRE-F-1812-70.pdf","Abrir PDF")</f>
        <v>Abrir PDF</v>
      </c>
    </row>
    <row r="246" spans="1:6" ht="31.05" customHeight="1">
      <c r="A246" s="5">
        <v>-31982</v>
      </c>
      <c r="B246" s="2" t="s">
        <v>1630</v>
      </c>
      <c r="C246" s="2" t="s">
        <v>22376</v>
      </c>
      <c r="D246" s="3">
        <v>4</v>
      </c>
      <c r="E246" s="3">
        <v>23</v>
      </c>
      <c r="F246" s="3" t="str">
        <f>HYPERLINK("https://www.boe.es/gazeta/dias/1812/06/07/pdfs/GMD-1812-159.pdf","Abrir PDF")</f>
        <v>Abrir PDF</v>
      </c>
    </row>
    <row r="247" spans="1:6" ht="31.05" customHeight="1">
      <c r="A247" s="5">
        <v>-31981</v>
      </c>
      <c r="B247" s="2" t="s">
        <v>5059</v>
      </c>
      <c r="C247" s="2" t="s">
        <v>22377</v>
      </c>
      <c r="D247" s="3">
        <v>4</v>
      </c>
      <c r="E247" s="3">
        <v>12</v>
      </c>
      <c r="F247" s="3" t="str">
        <f>HYPERLINK("https://www.boe.es/gazeta/dias/1812/06/08/pdfs/GMD-1812-160.pdf","Abrir PDF")</f>
        <v>Abrir PDF</v>
      </c>
    </row>
    <row r="248" spans="1:6" ht="31.05" customHeight="1">
      <c r="A248" s="5">
        <v>-31980</v>
      </c>
      <c r="B248" s="2" t="s">
        <v>2667</v>
      </c>
      <c r="C248" s="2" t="s">
        <v>22378</v>
      </c>
      <c r="D248" s="3">
        <v>4</v>
      </c>
      <c r="E248" s="3">
        <v>4</v>
      </c>
      <c r="F248" s="3" t="str">
        <f>HYPERLINK("https://www.boe.es/gazeta/dias/1812/06/09/pdfs/GMD-1812-161.pdf","Abrir PDF")</f>
        <v>Abrir PDF</v>
      </c>
    </row>
    <row r="249" spans="1:6" ht="31.05" customHeight="1">
      <c r="A249" s="5">
        <v>-31980</v>
      </c>
      <c r="B249" s="2" t="s">
        <v>40</v>
      </c>
      <c r="C249" s="2" t="s">
        <v>22379</v>
      </c>
      <c r="D249" s="3">
        <v>8</v>
      </c>
      <c r="E249" s="3">
        <v>65</v>
      </c>
      <c r="F249" s="3" t="str">
        <f>HYPERLINK("https://www.boe.es/gazeta/dias/1812/06/09/pdfs/GRE-1812-71.pdf","Abrir PDF")</f>
        <v>Abrir PDF</v>
      </c>
    </row>
    <row r="250" spans="1:6" ht="31.05" customHeight="1">
      <c r="A250" s="5">
        <v>-31979</v>
      </c>
      <c r="B250" s="2" t="s">
        <v>11385</v>
      </c>
      <c r="C250" s="2" t="s">
        <v>22380</v>
      </c>
      <c r="D250" s="3">
        <v>4</v>
      </c>
      <c r="E250" s="3">
        <v>3</v>
      </c>
      <c r="F250" s="3" t="str">
        <f>HYPERLINK("https://www.boe.es/gazeta/dias/1812/06/10/pdfs/GMD-1812-162.pdf","Abrir PDF")</f>
        <v>Abrir PDF</v>
      </c>
    </row>
    <row r="251" spans="1:6" ht="31.05" customHeight="1">
      <c r="A251" s="5">
        <v>-31978</v>
      </c>
      <c r="B251" s="2" t="s">
        <v>527</v>
      </c>
      <c r="C251" s="2" t="s">
        <v>22381</v>
      </c>
      <c r="D251" s="3">
        <v>4</v>
      </c>
      <c r="E251" s="3">
        <v>4</v>
      </c>
      <c r="F251" s="3" t="str">
        <f>HYPERLINK("https://www.boe.es/gazeta/dias/1812/06/11/pdfs/GMD-1812-163.pdf","Abrir PDF")</f>
        <v>Abrir PDF</v>
      </c>
    </row>
    <row r="252" spans="1:6" ht="31.05" customHeight="1">
      <c r="A252" s="5">
        <v>-31978</v>
      </c>
      <c r="B252" s="2" t="s">
        <v>1790</v>
      </c>
      <c r="C252" s="2" t="s">
        <v>22382</v>
      </c>
      <c r="D252" s="3">
        <v>8</v>
      </c>
      <c r="E252" s="3">
        <v>29</v>
      </c>
      <c r="F252" s="3" t="str">
        <f>HYPERLINK("https://www.boe.es/gazeta/dias/1812/06/11/pdfs/GRE-1812-72.pdf","Abrir PDF")</f>
        <v>Abrir PDF</v>
      </c>
    </row>
    <row r="253" spans="1:6" ht="31.05" customHeight="1">
      <c r="A253" s="5">
        <v>-31977</v>
      </c>
      <c r="B253" s="2" t="s">
        <v>1566</v>
      </c>
      <c r="C253" s="2" t="s">
        <v>22383</v>
      </c>
      <c r="D253" s="3">
        <v>4</v>
      </c>
      <c r="E253" s="3">
        <v>15</v>
      </c>
      <c r="F253" s="3" t="str">
        <f>HYPERLINK("https://www.boe.es/gazeta/dias/1812/06/12/pdfs/GMD-1812-164.pdf","Abrir PDF")</f>
        <v>Abrir PDF</v>
      </c>
    </row>
    <row r="254" spans="1:6" ht="31.05" customHeight="1">
      <c r="A254" s="5">
        <v>-31976</v>
      </c>
      <c r="B254" s="2" t="s">
        <v>2250</v>
      </c>
      <c r="C254" s="2" t="s">
        <v>22384</v>
      </c>
      <c r="D254" s="3">
        <v>4</v>
      </c>
      <c r="E254" s="3">
        <v>5</v>
      </c>
      <c r="F254" s="3" t="str">
        <f>HYPERLINK("https://www.boe.es/gazeta/dias/1812/06/13/pdfs/GMD-1812-165.pdf","Abrir PDF")</f>
        <v>Abrir PDF</v>
      </c>
    </row>
    <row r="255" spans="1:6" ht="31.05" customHeight="1">
      <c r="A255" s="5">
        <v>-31976</v>
      </c>
      <c r="B255" s="2" t="s">
        <v>54</v>
      </c>
      <c r="C255" s="2" t="s">
        <v>22385</v>
      </c>
      <c r="D255" s="3">
        <v>8</v>
      </c>
      <c r="E255" s="3">
        <v>67</v>
      </c>
      <c r="F255" s="3" t="str">
        <f>HYPERLINK("https://www.boe.es/gazeta/dias/1812/06/13/pdfs/GRE-1812-73.pdf","Abrir PDF")</f>
        <v>Abrir PDF</v>
      </c>
    </row>
    <row r="256" spans="1:6" ht="31.05" customHeight="1">
      <c r="A256" s="5">
        <v>-31975</v>
      </c>
      <c r="B256" s="2" t="s">
        <v>9721</v>
      </c>
      <c r="C256" s="2" t="s">
        <v>22386</v>
      </c>
      <c r="D256" s="3">
        <v>4</v>
      </c>
      <c r="E256" s="3">
        <v>2</v>
      </c>
      <c r="F256" s="3" t="str">
        <f>HYPERLINK("https://www.boe.es/gazeta/dias/1812/06/14/pdfs/GMD-1812-166.pdf","Abrir PDF")</f>
        <v>Abrir PDF</v>
      </c>
    </row>
    <row r="257" spans="1:6" ht="31.05" customHeight="1">
      <c r="A257" s="5">
        <v>-31974</v>
      </c>
      <c r="B257" s="2" t="s">
        <v>2986</v>
      </c>
      <c r="C257" s="2" t="s">
        <v>22387</v>
      </c>
      <c r="D257" s="3">
        <v>4</v>
      </c>
      <c r="E257" s="3">
        <v>15</v>
      </c>
      <c r="F257" s="3" t="str">
        <f>HYPERLINK("https://www.boe.es/gazeta/dias/1812/06/15/pdfs/GMD-1812-167.pdf","Abrir PDF")</f>
        <v>Abrir PDF</v>
      </c>
    </row>
    <row r="258" spans="1:6" ht="31.05" customHeight="1">
      <c r="A258" s="5">
        <v>-31973</v>
      </c>
      <c r="B258" s="2" t="s">
        <v>11499</v>
      </c>
      <c r="C258" s="2" t="s">
        <v>22388</v>
      </c>
      <c r="D258" s="3">
        <v>4</v>
      </c>
      <c r="E258" s="3">
        <v>1</v>
      </c>
      <c r="F258" s="3" t="str">
        <f>HYPERLINK("https://www.boe.es/gazeta/dias/1812/06/16/pdfs/GMD-1812-168.pdf","Abrir PDF")</f>
        <v>Abrir PDF</v>
      </c>
    </row>
    <row r="259" spans="1:6" ht="31.05" customHeight="1">
      <c r="A259" s="5">
        <v>-31973</v>
      </c>
      <c r="B259" s="2" t="s">
        <v>1735</v>
      </c>
      <c r="C259" s="2" t="s">
        <v>22389</v>
      </c>
      <c r="D259" s="3">
        <v>8</v>
      </c>
      <c r="E259" s="3">
        <v>19</v>
      </c>
      <c r="F259" s="3" t="str">
        <f>HYPERLINK("https://www.boe.es/gazeta/dias/1812/06/16/pdfs/GRE-1812-74.pdf","Abrir PDF")</f>
        <v>Abrir PDF</v>
      </c>
    </row>
    <row r="260" spans="1:6" ht="31.05" customHeight="1">
      <c r="A260" s="5">
        <v>-31972</v>
      </c>
      <c r="B260" s="2" t="s">
        <v>4596</v>
      </c>
      <c r="C260" s="2" t="s">
        <v>22390</v>
      </c>
      <c r="D260" s="3">
        <v>4</v>
      </c>
      <c r="E260" s="3">
        <v>3</v>
      </c>
      <c r="F260" s="3" t="str">
        <f>HYPERLINK("https://www.boe.es/gazeta/dias/1812/06/17/pdfs/GMD-1812-169.pdf","Abrir PDF")</f>
        <v>Abrir PDF</v>
      </c>
    </row>
    <row r="261" spans="1:6" ht="31.05" customHeight="1">
      <c r="A261" s="5">
        <v>-31971</v>
      </c>
      <c r="B261" s="2" t="s">
        <v>587</v>
      </c>
      <c r="C261" s="2" t="s">
        <v>22391</v>
      </c>
      <c r="D261" s="3">
        <v>4</v>
      </c>
      <c r="E261" s="3">
        <v>4</v>
      </c>
      <c r="F261" s="3" t="str">
        <f>HYPERLINK("https://www.boe.es/gazeta/dias/1812/06/18/pdfs/GMD-1812-170.pdf","Abrir PDF")</f>
        <v>Abrir PDF</v>
      </c>
    </row>
    <row r="262" spans="1:6" ht="31.05" customHeight="1">
      <c r="A262" s="5">
        <v>-31971</v>
      </c>
      <c r="B262" s="2" t="s">
        <v>686</v>
      </c>
      <c r="C262" s="2" t="s">
        <v>22392</v>
      </c>
      <c r="D262" s="3">
        <v>8</v>
      </c>
      <c r="E262" s="3">
        <v>11</v>
      </c>
      <c r="F262" s="3" t="str">
        <f>HYPERLINK("https://www.boe.es/gazeta/dias/1812/06/18/pdfs/GRE-1812-75.pdf","Abrir PDF")</f>
        <v>Abrir PDF</v>
      </c>
    </row>
    <row r="263" spans="1:6" ht="31.05" customHeight="1">
      <c r="A263" s="5">
        <v>-31970</v>
      </c>
      <c r="B263" s="2" t="s">
        <v>10445</v>
      </c>
      <c r="C263" s="2" t="s">
        <v>22393</v>
      </c>
      <c r="D263" s="3">
        <v>4</v>
      </c>
      <c r="E263" s="3">
        <v>4</v>
      </c>
      <c r="F263" s="3" t="str">
        <f>HYPERLINK("https://www.boe.es/gazeta/dias/1812/06/19/pdfs/GMD-1812-171.pdf","Abrir PDF")</f>
        <v>Abrir PDF</v>
      </c>
    </row>
    <row r="264" spans="1:6" ht="31.05" customHeight="1">
      <c r="A264" s="5">
        <v>-31969</v>
      </c>
      <c r="B264" s="2" t="s">
        <v>5481</v>
      </c>
      <c r="C264" s="2" t="s">
        <v>22394</v>
      </c>
      <c r="D264" s="3">
        <v>4</v>
      </c>
      <c r="E264" s="3">
        <v>4</v>
      </c>
      <c r="F264" s="3" t="str">
        <f>HYPERLINK("https://www.boe.es/gazeta/dias/1812/06/20/pdfs/GMD-1812-172.pdf","Abrir PDF")</f>
        <v>Abrir PDF</v>
      </c>
    </row>
    <row r="265" spans="1:6" ht="31.05" customHeight="1">
      <c r="A265" s="5">
        <v>-31969</v>
      </c>
      <c r="B265" s="2" t="s">
        <v>83</v>
      </c>
      <c r="C265" s="2" t="s">
        <v>22395</v>
      </c>
      <c r="D265" s="3">
        <v>8</v>
      </c>
      <c r="E265" s="3">
        <v>68</v>
      </c>
      <c r="F265" s="3" t="str">
        <f>HYPERLINK("https://www.boe.es/gazeta/dias/1812/06/20/pdfs/GRE-1812-76.pdf","Abrir PDF")</f>
        <v>Abrir PDF</v>
      </c>
    </row>
    <row r="266" spans="1:6" ht="31.05" customHeight="1">
      <c r="A266" s="5">
        <v>-31968</v>
      </c>
      <c r="B266" s="2" t="s">
        <v>4011</v>
      </c>
      <c r="C266" s="2" t="s">
        <v>22396</v>
      </c>
      <c r="D266" s="3">
        <v>4</v>
      </c>
      <c r="E266" s="3">
        <v>5</v>
      </c>
      <c r="F266" s="3" t="str">
        <f>HYPERLINK("https://www.boe.es/gazeta/dias/1812/06/21/pdfs/GMD-1812-173.pdf","Abrir PDF")</f>
        <v>Abrir PDF</v>
      </c>
    </row>
    <row r="267" spans="1:6" ht="31.05" customHeight="1">
      <c r="A267" s="5">
        <v>-31967</v>
      </c>
      <c r="B267" s="2" t="s">
        <v>1635</v>
      </c>
      <c r="C267" s="2" t="s">
        <v>22397</v>
      </c>
      <c r="D267" s="3">
        <v>4</v>
      </c>
      <c r="E267" s="3">
        <v>10</v>
      </c>
      <c r="F267" s="3" t="str">
        <f>HYPERLINK("https://www.boe.es/gazeta/dias/1812/06/22/pdfs/GMD-1812-174.pdf","Abrir PDF")</f>
        <v>Abrir PDF</v>
      </c>
    </row>
    <row r="268" spans="1:6" ht="31.05" customHeight="1">
      <c r="A268" s="5">
        <v>-31966</v>
      </c>
      <c r="B268" s="2" t="s">
        <v>387</v>
      </c>
      <c r="C268" s="2" t="s">
        <v>22398</v>
      </c>
      <c r="D268" s="3">
        <v>4</v>
      </c>
      <c r="E268" s="3">
        <v>21</v>
      </c>
      <c r="F268" s="3" t="str">
        <f>HYPERLINK("https://www.boe.es/gazeta/dias/1812/06/23/pdfs/GMD-1812-175.pdf","Abrir PDF")</f>
        <v>Abrir PDF</v>
      </c>
    </row>
    <row r="269" spans="1:6" ht="31.05" customHeight="1">
      <c r="A269" s="5">
        <v>-31966</v>
      </c>
      <c r="B269" s="2" t="s">
        <v>3665</v>
      </c>
      <c r="C269" s="2" t="s">
        <v>22399</v>
      </c>
      <c r="D269" s="3">
        <v>8</v>
      </c>
      <c r="E269" s="3">
        <v>21</v>
      </c>
      <c r="F269" s="3" t="str">
        <f>HYPERLINK("https://www.boe.es/gazeta/dias/1812/06/23/pdfs/GRE-1812-77.pdf","Abrir PDF")</f>
        <v>Abrir PDF</v>
      </c>
    </row>
    <row r="270" spans="1:6" ht="31.05" customHeight="1">
      <c r="A270" s="5">
        <v>-31965</v>
      </c>
      <c r="B270" s="2" t="s">
        <v>1180</v>
      </c>
      <c r="C270" s="2" t="s">
        <v>22400</v>
      </c>
      <c r="D270" s="3">
        <v>4</v>
      </c>
      <c r="E270" s="3">
        <v>41</v>
      </c>
      <c r="F270" s="3" t="str">
        <f>HYPERLINK("https://www.boe.es/gazeta/dias/1812/06/24/pdfs/GMD-1812-176.pdf","Abrir PDF")</f>
        <v>Abrir PDF</v>
      </c>
    </row>
    <row r="271" spans="1:6" ht="31.05" customHeight="1">
      <c r="A271" s="5">
        <v>-31964</v>
      </c>
      <c r="B271" s="2" t="s">
        <v>305</v>
      </c>
      <c r="C271" s="2" t="s">
        <v>22401</v>
      </c>
      <c r="D271" s="3">
        <v>4</v>
      </c>
      <c r="E271" s="3">
        <v>118</v>
      </c>
      <c r="F271" s="3" t="str">
        <f>HYPERLINK("https://www.boe.es/gazeta/dias/1812/06/25/pdfs/GMD-1812-177.pdf","Abrir PDF")</f>
        <v>Abrir PDF</v>
      </c>
    </row>
    <row r="272" spans="1:6" ht="31.05" customHeight="1">
      <c r="A272" s="5">
        <v>-31964</v>
      </c>
      <c r="B272" s="2" t="s">
        <v>93</v>
      </c>
      <c r="C272" s="2" t="s">
        <v>22402</v>
      </c>
      <c r="D272" s="3">
        <v>8</v>
      </c>
      <c r="E272" s="3">
        <v>37</v>
      </c>
      <c r="F272" s="3" t="str">
        <f>HYPERLINK("https://www.boe.es/gazeta/dias/1812/06/25/pdfs/GRE-1812-78.pdf","Abrir PDF")</f>
        <v>Abrir PDF</v>
      </c>
    </row>
    <row r="273" spans="1:6" ht="31.05" customHeight="1">
      <c r="A273" s="5">
        <v>-31963</v>
      </c>
      <c r="B273" s="2" t="s">
        <v>171</v>
      </c>
      <c r="C273" s="2" t="s">
        <v>22403</v>
      </c>
      <c r="D273" s="3">
        <v>4</v>
      </c>
      <c r="E273" s="3">
        <v>58</v>
      </c>
      <c r="F273" s="3" t="str">
        <f>HYPERLINK("https://www.boe.es/gazeta/dias/1812/06/26/pdfs/GMD-1812-178.pdf","Abrir PDF")</f>
        <v>Abrir PDF</v>
      </c>
    </row>
    <row r="274" spans="1:6" ht="31.05" customHeight="1">
      <c r="A274" s="5">
        <v>-31962</v>
      </c>
      <c r="B274" s="2" t="s">
        <v>643</v>
      </c>
      <c r="C274" s="2" t="s">
        <v>22404</v>
      </c>
      <c r="D274" s="3">
        <v>4</v>
      </c>
      <c r="E274" s="3">
        <v>23</v>
      </c>
      <c r="F274" s="3" t="str">
        <f>HYPERLINK("https://www.boe.es/gazeta/dias/1812/06/27/pdfs/GMD-1812-179.pdf","Abrir PDF")</f>
        <v>Abrir PDF</v>
      </c>
    </row>
    <row r="275" spans="1:6" ht="31.05" customHeight="1">
      <c r="A275" s="5">
        <v>-31962</v>
      </c>
      <c r="B275" s="2" t="s">
        <v>153</v>
      </c>
      <c r="C275" s="2" t="s">
        <v>22405</v>
      </c>
      <c r="D275" s="3">
        <v>8</v>
      </c>
      <c r="E275" s="3">
        <v>29</v>
      </c>
      <c r="F275" s="3" t="str">
        <f>HYPERLINK("https://www.boe.es/gazeta/dias/1812/06/27/pdfs/GRE-1812-79.pdf","Abrir PDF")</f>
        <v>Abrir PDF</v>
      </c>
    </row>
    <row r="276" spans="1:6" ht="31.05" customHeight="1">
      <c r="A276" s="5">
        <v>-31961</v>
      </c>
      <c r="B276" s="2" t="s">
        <v>1193</v>
      </c>
      <c r="C276" s="2" t="s">
        <v>22406</v>
      </c>
      <c r="D276" s="3">
        <v>4</v>
      </c>
      <c r="E276" s="3">
        <v>10</v>
      </c>
      <c r="F276" s="3" t="str">
        <f>HYPERLINK("https://www.boe.es/gazeta/dias/1812/06/28/pdfs/GMD-1812-180.pdf","Abrir PDF")</f>
        <v>Abrir PDF</v>
      </c>
    </row>
    <row r="277" spans="1:6" ht="31.05" customHeight="1">
      <c r="A277" s="5">
        <v>-31960</v>
      </c>
      <c r="B277" s="2" t="s">
        <v>22407</v>
      </c>
      <c r="C277" s="2" t="s">
        <v>22408</v>
      </c>
      <c r="D277" s="3">
        <v>4</v>
      </c>
      <c r="E277" s="3">
        <v>0</v>
      </c>
      <c r="F277" s="3" t="str">
        <f>HYPERLINK("https://www.boe.es/gazeta/dias/1812/06/29/pdfs/GMD-1812-181.pdf","Abrir PDF")</f>
        <v>Abrir PDF</v>
      </c>
    </row>
    <row r="278" spans="1:6" ht="31.05" customHeight="1">
      <c r="A278" s="5">
        <v>-31959</v>
      </c>
      <c r="B278" s="2" t="s">
        <v>9160</v>
      </c>
      <c r="C278" s="2" t="s">
        <v>22409</v>
      </c>
      <c r="D278" s="3">
        <v>4</v>
      </c>
      <c r="E278" s="3">
        <v>3</v>
      </c>
      <c r="F278" s="3" t="str">
        <f>HYPERLINK("https://www.boe.es/gazeta/dias/1812/06/30/pdfs/GMD-1812-182.pdf","Abrir PDF")</f>
        <v>Abrir PDF</v>
      </c>
    </row>
    <row r="279" spans="1:6" ht="31.05" customHeight="1">
      <c r="A279" s="5">
        <v>-31959</v>
      </c>
      <c r="B279" s="2" t="s">
        <v>1035</v>
      </c>
      <c r="C279" s="2" t="s">
        <v>22410</v>
      </c>
      <c r="D279" s="3">
        <v>8</v>
      </c>
      <c r="E279" s="3">
        <v>21</v>
      </c>
      <c r="F279" s="3" t="str">
        <f>HYPERLINK("https://www.boe.es/gazeta/dias/1812/06/30/pdfs/GRE-1812-80.pdf","Abrir PDF")</f>
        <v>Abrir PDF</v>
      </c>
    </row>
    <row r="280" spans="1:6" ht="31.05" customHeight="1">
      <c r="A280" s="5">
        <v>-31958</v>
      </c>
      <c r="B280" s="2" t="s">
        <v>12674</v>
      </c>
      <c r="C280" s="2" t="s">
        <v>22411</v>
      </c>
      <c r="D280" s="3">
        <v>4</v>
      </c>
      <c r="E280" s="3">
        <v>3</v>
      </c>
      <c r="F280" s="3" t="str">
        <f>HYPERLINK("https://www.boe.es/gazeta/dias/1812/07/01/pdfs/GMD-1812-183.pdf","Abrir PDF")</f>
        <v>Abrir PDF</v>
      </c>
    </row>
    <row r="281" spans="1:6" ht="31.05" customHeight="1">
      <c r="A281" s="5">
        <v>-31957</v>
      </c>
      <c r="B281" s="2" t="s">
        <v>598</v>
      </c>
      <c r="C281" s="2" t="s">
        <v>22412</v>
      </c>
      <c r="D281" s="3">
        <v>4</v>
      </c>
      <c r="E281" s="3">
        <v>13</v>
      </c>
      <c r="F281" s="3" t="str">
        <f>HYPERLINK("https://www.boe.es/gazeta/dias/1812/07/02/pdfs/GMD-1812-184.pdf","Abrir PDF")</f>
        <v>Abrir PDF</v>
      </c>
    </row>
    <row r="282" spans="1:6" ht="31.05" customHeight="1">
      <c r="A282" s="5">
        <v>-31957</v>
      </c>
      <c r="B282" s="2" t="s">
        <v>2173</v>
      </c>
      <c r="C282" s="2" t="s">
        <v>22413</v>
      </c>
      <c r="D282" s="3">
        <v>8</v>
      </c>
      <c r="E282" s="3">
        <v>27</v>
      </c>
      <c r="F282" s="3" t="str">
        <f>HYPERLINK("https://www.boe.es/gazeta/dias/1812/07/02/pdfs/GRE-1812-81.pdf","Abrir PDF")</f>
        <v>Abrir PDF</v>
      </c>
    </row>
    <row r="283" spans="1:6" ht="31.05" customHeight="1">
      <c r="A283" s="5">
        <v>-31956</v>
      </c>
      <c r="B283" s="2" t="s">
        <v>19</v>
      </c>
      <c r="C283" s="2" t="s">
        <v>22414</v>
      </c>
      <c r="D283" s="3">
        <v>4</v>
      </c>
      <c r="E283" s="3">
        <v>14</v>
      </c>
      <c r="F283" s="3" t="str">
        <f>HYPERLINK("https://www.boe.es/gazeta/dias/1812/07/03/pdfs/GMD-1812-185.pdf","Abrir PDF")</f>
        <v>Abrir PDF</v>
      </c>
    </row>
    <row r="284" spans="1:6" ht="31.05" customHeight="1">
      <c r="A284" s="5">
        <v>-31955</v>
      </c>
      <c r="B284" s="2" t="s">
        <v>1195</v>
      </c>
      <c r="C284" s="2" t="s">
        <v>22415</v>
      </c>
      <c r="D284" s="3">
        <v>4</v>
      </c>
      <c r="E284" s="3">
        <v>7</v>
      </c>
      <c r="F284" s="3" t="str">
        <f>HYPERLINK("https://www.boe.es/gazeta/dias/1812/07/04/pdfs/GMD-1812-186.pdf","Abrir PDF")</f>
        <v>Abrir PDF</v>
      </c>
    </row>
    <row r="285" spans="1:6" ht="31.05" customHeight="1">
      <c r="A285" s="5">
        <v>-31955</v>
      </c>
      <c r="B285" s="2" t="s">
        <v>789</v>
      </c>
      <c r="C285" s="2" t="s">
        <v>22416</v>
      </c>
      <c r="D285" s="3">
        <v>8</v>
      </c>
      <c r="E285" s="3">
        <v>41</v>
      </c>
      <c r="F285" s="3" t="str">
        <f>HYPERLINK("https://www.boe.es/gazeta/dias/1812/07/04/pdfs/GRE-1812-82.pdf","Abrir PDF")</f>
        <v>Abrir PDF</v>
      </c>
    </row>
    <row r="286" spans="1:6" ht="31.05" customHeight="1">
      <c r="A286" s="5">
        <v>-31955</v>
      </c>
      <c r="B286" s="2" t="s">
        <v>135</v>
      </c>
      <c r="C286" s="2" t="s">
        <v>22417</v>
      </c>
      <c r="D286" s="3">
        <v>8</v>
      </c>
      <c r="E286" s="3">
        <v>71</v>
      </c>
      <c r="F286" s="3" t="str">
        <f>HYPERLINK("https://www.boe.es/gazeta/dias/1812/07/04/pdfs/GRE-F-1812-82.pdf","Abrir PDF")</f>
        <v>Abrir PDF</v>
      </c>
    </row>
    <row r="287" spans="1:6" ht="31.05" customHeight="1">
      <c r="A287" s="5">
        <v>-31954</v>
      </c>
      <c r="B287" s="2" t="s">
        <v>692</v>
      </c>
      <c r="C287" s="2" t="s">
        <v>22418</v>
      </c>
      <c r="D287" s="3">
        <v>4</v>
      </c>
      <c r="E287" s="3">
        <v>5</v>
      </c>
      <c r="F287" s="3" t="str">
        <f>HYPERLINK("https://www.boe.es/gazeta/dias/1812/07/05/pdfs/GMD-1812-187.pdf","Abrir PDF")</f>
        <v>Abrir PDF</v>
      </c>
    </row>
    <row r="288" spans="1:6" ht="31.05" customHeight="1">
      <c r="A288" s="5">
        <v>-31953</v>
      </c>
      <c r="B288" s="2" t="s">
        <v>2940</v>
      </c>
      <c r="C288" s="2" t="s">
        <v>22419</v>
      </c>
      <c r="D288" s="3">
        <v>4</v>
      </c>
      <c r="E288" s="3">
        <v>3</v>
      </c>
      <c r="F288" s="3" t="str">
        <f>HYPERLINK("https://www.boe.es/gazeta/dias/1812/07/06/pdfs/GMD-1812-188.pdf","Abrir PDF")</f>
        <v>Abrir PDF</v>
      </c>
    </row>
    <row r="289" spans="1:6" ht="31.05" customHeight="1">
      <c r="A289" s="5">
        <v>-31952</v>
      </c>
      <c r="B289" s="2" t="s">
        <v>694</v>
      </c>
      <c r="C289" s="2" t="s">
        <v>22420</v>
      </c>
      <c r="D289" s="3">
        <v>4</v>
      </c>
      <c r="E289" s="3">
        <v>12</v>
      </c>
      <c r="F289" s="3" t="str">
        <f>HYPERLINK("https://www.boe.es/gazeta/dias/1812/07/07/pdfs/GMD-1812-189.pdf","Abrir PDF")</f>
        <v>Abrir PDF</v>
      </c>
    </row>
    <row r="290" spans="1:6" ht="31.05" customHeight="1">
      <c r="A290" s="5">
        <v>-31952</v>
      </c>
      <c r="B290" s="2" t="s">
        <v>210</v>
      </c>
      <c r="C290" s="2" t="s">
        <v>22421</v>
      </c>
      <c r="D290" s="3">
        <v>8</v>
      </c>
      <c r="E290" s="3">
        <v>13</v>
      </c>
      <c r="F290" s="3" t="str">
        <f>HYPERLINK("https://www.boe.es/gazeta/dias/1812/07/07/pdfs/GRE-1812-83.pdf","Abrir PDF")</f>
        <v>Abrir PDF</v>
      </c>
    </row>
    <row r="291" spans="1:6" ht="31.05" customHeight="1">
      <c r="A291" s="5">
        <v>-31952</v>
      </c>
      <c r="B291" s="2" t="s">
        <v>1541</v>
      </c>
      <c r="C291" s="2" t="s">
        <v>22422</v>
      </c>
      <c r="D291" s="3">
        <v>4</v>
      </c>
      <c r="E291" s="3">
        <v>13</v>
      </c>
      <c r="F291" s="3" t="str">
        <f>HYPERLINK("https://www.boe.es/gazeta/dias/1812/07/07/pdfs/GRE-F-1812-83.pdf","Abrir PDF")</f>
        <v>Abrir PDF</v>
      </c>
    </row>
    <row r="292" spans="1:6" ht="31.05" customHeight="1">
      <c r="A292" s="5">
        <v>-31951</v>
      </c>
      <c r="B292" s="2" t="s">
        <v>1603</v>
      </c>
      <c r="C292" s="2" t="s">
        <v>22423</v>
      </c>
      <c r="D292" s="3">
        <v>4</v>
      </c>
      <c r="E292" s="3">
        <v>20</v>
      </c>
      <c r="F292" s="3" t="str">
        <f>HYPERLINK("https://www.boe.es/gazeta/dias/1812/07/08/pdfs/GMD-1812-190.pdf","Abrir PDF")</f>
        <v>Abrir PDF</v>
      </c>
    </row>
    <row r="293" spans="1:6" ht="31.05" customHeight="1">
      <c r="A293" s="5">
        <v>-31950</v>
      </c>
      <c r="B293" s="2" t="s">
        <v>22424</v>
      </c>
      <c r="C293" s="2" t="s">
        <v>22425</v>
      </c>
      <c r="D293" s="3">
        <v>4</v>
      </c>
      <c r="E293" s="3">
        <v>0</v>
      </c>
      <c r="F293" s="3" t="str">
        <f>HYPERLINK("https://www.boe.es/gazeta/dias/1812/07/09/pdfs/GMD-1812-191.pdf","Abrir PDF")</f>
        <v>Abrir PDF</v>
      </c>
    </row>
    <row r="294" spans="1:6" ht="31.05" customHeight="1">
      <c r="A294" s="5">
        <v>-31950</v>
      </c>
      <c r="B294" s="2" t="s">
        <v>1024</v>
      </c>
      <c r="C294" s="2" t="s">
        <v>22426</v>
      </c>
      <c r="D294" s="3">
        <v>8</v>
      </c>
      <c r="E294" s="3">
        <v>29</v>
      </c>
      <c r="F294" s="3" t="str">
        <f>HYPERLINK("https://www.boe.es/gazeta/dias/1812/07/09/pdfs/GRE-1812-84.pdf","Abrir PDF")</f>
        <v>Abrir PDF</v>
      </c>
    </row>
    <row r="295" spans="1:6" ht="31.05" customHeight="1">
      <c r="A295" s="5">
        <v>-31950</v>
      </c>
      <c r="B295" s="2" t="s">
        <v>2822</v>
      </c>
      <c r="C295" s="2" t="s">
        <v>22427</v>
      </c>
      <c r="D295" s="3">
        <v>3</v>
      </c>
      <c r="E295" s="3">
        <v>7</v>
      </c>
      <c r="F295" s="3" t="str">
        <f>HYPERLINK("https://www.boe.es/gazeta/dias/1812/07/09/pdfs/GRE-1812-85E.pdf","Abrir PDF")</f>
        <v>Abrir PDF</v>
      </c>
    </row>
    <row r="296" spans="1:6" ht="31.05" customHeight="1">
      <c r="A296" s="5">
        <v>-31949</v>
      </c>
      <c r="B296" s="2" t="s">
        <v>2291</v>
      </c>
      <c r="C296" s="2" t="s">
        <v>22428</v>
      </c>
      <c r="D296" s="3">
        <v>4</v>
      </c>
      <c r="E296" s="3">
        <v>2</v>
      </c>
      <c r="F296" s="3" t="str">
        <f>HYPERLINK("https://www.boe.es/gazeta/dias/1812/07/10/pdfs/GMD-1812-192.pdf","Abrir PDF")</f>
        <v>Abrir PDF</v>
      </c>
    </row>
    <row r="297" spans="1:6" ht="31.05" customHeight="1">
      <c r="A297" s="5">
        <v>-31948</v>
      </c>
      <c r="B297" s="2" t="s">
        <v>6870</v>
      </c>
      <c r="C297" s="2" t="s">
        <v>22429</v>
      </c>
      <c r="D297" s="3">
        <v>4</v>
      </c>
      <c r="E297" s="3">
        <v>4</v>
      </c>
      <c r="F297" s="3" t="str">
        <f>HYPERLINK("https://www.boe.es/gazeta/dias/1812/07/11/pdfs/GMD-1812-193.pdf","Abrir PDF")</f>
        <v>Abrir PDF</v>
      </c>
    </row>
    <row r="298" spans="1:6" ht="31.05" customHeight="1">
      <c r="A298" s="5">
        <v>-31948</v>
      </c>
      <c r="B298" s="2" t="s">
        <v>431</v>
      </c>
      <c r="C298" s="2" t="s">
        <v>22430</v>
      </c>
      <c r="D298" s="3">
        <v>8</v>
      </c>
      <c r="E298" s="3">
        <v>15</v>
      </c>
      <c r="F298" s="3" t="str">
        <f>HYPERLINK("https://www.boe.es/gazeta/dias/1812/07/11/pdfs/GRE-1812-86.pdf","Abrir PDF")</f>
        <v>Abrir PDF</v>
      </c>
    </row>
    <row r="299" spans="1:6" ht="31.05" customHeight="1">
      <c r="A299" s="5">
        <v>-31947</v>
      </c>
      <c r="B299" s="2" t="s">
        <v>22431</v>
      </c>
      <c r="C299" s="2" t="s">
        <v>22432</v>
      </c>
      <c r="D299" s="3">
        <v>4</v>
      </c>
      <c r="E299" s="3">
        <v>0</v>
      </c>
      <c r="F299" s="3" t="str">
        <f>HYPERLINK("https://www.boe.es/gazeta/dias/1812/07/12/pdfs/GMD-1812-194.pdf","Abrir PDF")</f>
        <v>Abrir PDF</v>
      </c>
    </row>
    <row r="300" spans="1:6" ht="31.05" customHeight="1">
      <c r="A300" s="5">
        <v>-31947</v>
      </c>
      <c r="B300" s="2" t="s">
        <v>3647</v>
      </c>
      <c r="C300" s="2" t="s">
        <v>22433</v>
      </c>
      <c r="D300" s="3">
        <v>4</v>
      </c>
      <c r="E300" s="3">
        <v>3</v>
      </c>
      <c r="F300" s="3" t="str">
        <f>HYPERLINK("https://www.boe.es/gazeta/dias/1812/07/12/pdfs/GRE-1812-87E.pdf","Abrir PDF")</f>
        <v>Abrir PDF</v>
      </c>
    </row>
    <row r="301" spans="1:6" ht="31.05" customHeight="1">
      <c r="A301" s="5">
        <v>-31947</v>
      </c>
      <c r="B301" s="2" t="s">
        <v>10381</v>
      </c>
      <c r="C301" s="2" t="s">
        <v>22434</v>
      </c>
      <c r="D301" s="3">
        <v>4</v>
      </c>
      <c r="E301" s="3">
        <v>2</v>
      </c>
      <c r="F301" s="3" t="str">
        <f>HYPERLINK("https://www.boe.es/gazeta/dias/1812/07/12/pdfs/GRE-F-1812-87E.pdf","Abrir PDF")</f>
        <v>Abrir PDF</v>
      </c>
    </row>
    <row r="302" spans="1:6" ht="31.05" customHeight="1">
      <c r="A302" s="5">
        <v>-31946</v>
      </c>
      <c r="B302" s="2" t="s">
        <v>9017</v>
      </c>
      <c r="C302" s="2" t="s">
        <v>22435</v>
      </c>
      <c r="D302" s="3">
        <v>4</v>
      </c>
      <c r="E302" s="3">
        <v>2</v>
      </c>
      <c r="F302" s="3" t="str">
        <f>HYPERLINK("https://www.boe.es/gazeta/dias/1812/07/13/pdfs/GMD-1812-195.pdf","Abrir PDF")</f>
        <v>Abrir PDF</v>
      </c>
    </row>
    <row r="303" spans="1:6" ht="31.05" customHeight="1">
      <c r="A303" s="5">
        <v>-31945</v>
      </c>
      <c r="B303" s="2" t="s">
        <v>9880</v>
      </c>
      <c r="C303" s="2" t="s">
        <v>22436</v>
      </c>
      <c r="D303" s="3">
        <v>4</v>
      </c>
      <c r="E303" s="3">
        <v>5</v>
      </c>
      <c r="F303" s="3" t="str">
        <f>HYPERLINK("https://www.boe.es/gazeta/dias/1812/07/14/pdfs/GMD-1812-196.pdf","Abrir PDF")</f>
        <v>Abrir PDF</v>
      </c>
    </row>
    <row r="304" spans="1:6" ht="31.05" customHeight="1">
      <c r="A304" s="5">
        <v>-31945</v>
      </c>
      <c r="B304" s="2" t="s">
        <v>1485</v>
      </c>
      <c r="C304" s="2" t="s">
        <v>22437</v>
      </c>
      <c r="D304" s="3">
        <v>8</v>
      </c>
      <c r="E304" s="3">
        <v>56</v>
      </c>
      <c r="F304" s="3" t="str">
        <f>HYPERLINK("https://www.boe.es/gazeta/dias/1812/07/14/pdfs/GRE-1812-88.pdf","Abrir PDF")</f>
        <v>Abrir PDF</v>
      </c>
    </row>
    <row r="305" spans="1:6" ht="31.05" customHeight="1">
      <c r="A305" s="5">
        <v>-31944</v>
      </c>
      <c r="B305" s="2" t="s">
        <v>5796</v>
      </c>
      <c r="C305" s="2" t="s">
        <v>22438</v>
      </c>
      <c r="D305" s="3">
        <v>4</v>
      </c>
      <c r="E305" s="3">
        <v>8</v>
      </c>
      <c r="F305" s="3" t="str">
        <f>HYPERLINK("https://www.boe.es/gazeta/dias/1812/07/15/pdfs/GMD-1812-197.pdf","Abrir PDF")</f>
        <v>Abrir PDF</v>
      </c>
    </row>
    <row r="306" spans="1:6" ht="31.05" customHeight="1">
      <c r="A306" s="5">
        <v>-31943</v>
      </c>
      <c r="B306" s="2" t="s">
        <v>8719</v>
      </c>
      <c r="C306" s="2" t="s">
        <v>22439</v>
      </c>
      <c r="D306" s="3">
        <v>4</v>
      </c>
      <c r="E306" s="3">
        <v>3</v>
      </c>
      <c r="F306" s="3" t="str">
        <f>HYPERLINK("https://www.boe.es/gazeta/dias/1812/07/16/pdfs/GMD-1812-198.pdf","Abrir PDF")</f>
        <v>Abrir PDF</v>
      </c>
    </row>
    <row r="307" spans="1:6" ht="31.05" customHeight="1">
      <c r="A307" s="5">
        <v>-31943</v>
      </c>
      <c r="B307" s="2" t="s">
        <v>2825</v>
      </c>
      <c r="C307" s="2" t="s">
        <v>22440</v>
      </c>
      <c r="D307" s="3">
        <v>8</v>
      </c>
      <c r="E307" s="3">
        <v>9</v>
      </c>
      <c r="F307" s="3" t="str">
        <f>HYPERLINK("https://www.boe.es/gazeta/dias/1812/07/16/pdfs/GRE-1812-89.pdf","Abrir PDF")</f>
        <v>Abrir PDF</v>
      </c>
    </row>
    <row r="308" spans="1:6" ht="31.05" customHeight="1">
      <c r="A308" s="5">
        <v>-31942</v>
      </c>
      <c r="B308" s="2" t="s">
        <v>3065</v>
      </c>
      <c r="C308" s="2" t="s">
        <v>22441</v>
      </c>
      <c r="D308" s="3">
        <v>4</v>
      </c>
      <c r="E308" s="3">
        <v>26</v>
      </c>
      <c r="F308" s="3" t="str">
        <f>HYPERLINK("https://www.boe.es/gazeta/dias/1812/07/17/pdfs/GMD-1812-199.pdf","Abrir PDF")</f>
        <v>Abrir PDF</v>
      </c>
    </row>
    <row r="309" spans="1:6" ht="31.05" customHeight="1">
      <c r="A309" s="5">
        <v>-31941</v>
      </c>
      <c r="B309" s="2" t="s">
        <v>57</v>
      </c>
      <c r="C309" s="2" t="s">
        <v>22442</v>
      </c>
      <c r="D309" s="3">
        <v>4</v>
      </c>
      <c r="E309" s="3">
        <v>22</v>
      </c>
      <c r="F309" s="3" t="str">
        <f>HYPERLINK("https://www.boe.es/gazeta/dias/1812/07/18/pdfs/GMD-1812-200.pdf","Abrir PDF")</f>
        <v>Abrir PDF</v>
      </c>
    </row>
    <row r="310" spans="1:6" ht="31.05" customHeight="1">
      <c r="A310" s="5">
        <v>-31941</v>
      </c>
      <c r="B310" s="2" t="s">
        <v>2048</v>
      </c>
      <c r="C310" s="2" t="s">
        <v>22443</v>
      </c>
      <c r="D310" s="3">
        <v>8</v>
      </c>
      <c r="E310" s="3">
        <v>18</v>
      </c>
      <c r="F310" s="3" t="str">
        <f>HYPERLINK("https://www.boe.es/gazeta/dias/1812/07/18/pdfs/GRE-1812-90.pdf","Abrir PDF")</f>
        <v>Abrir PDF</v>
      </c>
    </row>
    <row r="311" spans="1:6" ht="31.05" customHeight="1">
      <c r="A311" s="5">
        <v>-31940</v>
      </c>
      <c r="B311" s="2" t="s">
        <v>187</v>
      </c>
      <c r="C311" s="2" t="s">
        <v>22444</v>
      </c>
      <c r="D311" s="3">
        <v>4</v>
      </c>
      <c r="E311" s="3">
        <v>114</v>
      </c>
      <c r="F311" s="3" t="str">
        <f>HYPERLINK("https://www.boe.es/gazeta/dias/1812/07/19/pdfs/GMD-1812-201.pdf","Abrir PDF")</f>
        <v>Abrir PDF</v>
      </c>
    </row>
    <row r="312" spans="1:6" ht="31.05" customHeight="1">
      <c r="A312" s="5">
        <v>-31939</v>
      </c>
      <c r="B312" s="2" t="s">
        <v>408</v>
      </c>
      <c r="C312" s="2" t="s">
        <v>22445</v>
      </c>
      <c r="D312" s="3">
        <v>4</v>
      </c>
      <c r="E312" s="3">
        <v>92</v>
      </c>
      <c r="F312" s="3" t="str">
        <f>HYPERLINK("https://www.boe.es/gazeta/dias/1812/07/20/pdfs/GMD-1812-202.pdf","Abrir PDF")</f>
        <v>Abrir PDF</v>
      </c>
    </row>
    <row r="313" spans="1:6" ht="31.05" customHeight="1">
      <c r="A313" s="5">
        <v>-31938</v>
      </c>
      <c r="B313" s="2" t="s">
        <v>324</v>
      </c>
      <c r="C313" s="2" t="s">
        <v>22446</v>
      </c>
      <c r="D313" s="3">
        <v>4</v>
      </c>
      <c r="E313" s="3">
        <v>221</v>
      </c>
      <c r="F313" s="3" t="str">
        <f>HYPERLINK("https://www.boe.es/gazeta/dias/1812/07/21/pdfs/GMD-1812-203.pdf","Abrir PDF")</f>
        <v>Abrir PDF</v>
      </c>
    </row>
    <row r="314" spans="1:6" ht="31.05" customHeight="1">
      <c r="A314" s="5">
        <v>-31938</v>
      </c>
      <c r="B314" s="2" t="s">
        <v>370</v>
      </c>
      <c r="C314" s="2" t="s">
        <v>22447</v>
      </c>
      <c r="D314" s="3">
        <v>8</v>
      </c>
      <c r="E314" s="3">
        <v>44</v>
      </c>
      <c r="F314" s="3" t="str">
        <f>HYPERLINK("https://www.boe.es/gazeta/dias/1812/07/21/pdfs/GRE-1812-91.pdf","Abrir PDF")</f>
        <v>Abrir PDF</v>
      </c>
    </row>
    <row r="315" spans="1:6" ht="31.05" customHeight="1">
      <c r="A315" s="5">
        <v>-31937</v>
      </c>
      <c r="B315" s="2" t="s">
        <v>1198</v>
      </c>
      <c r="C315" s="2" t="s">
        <v>22448</v>
      </c>
      <c r="D315" s="3">
        <v>4</v>
      </c>
      <c r="E315" s="3">
        <v>26</v>
      </c>
      <c r="F315" s="3" t="str">
        <f>HYPERLINK("https://www.boe.es/gazeta/dias/1812/07/22/pdfs/GMD-1812-204.pdf","Abrir PDF")</f>
        <v>Abrir PDF</v>
      </c>
    </row>
    <row r="316" spans="1:6" ht="31.05" customHeight="1">
      <c r="A316" s="5">
        <v>-31936</v>
      </c>
      <c r="B316" s="2" t="s">
        <v>603</v>
      </c>
      <c r="C316" s="2" t="s">
        <v>22449</v>
      </c>
      <c r="D316" s="3">
        <v>4</v>
      </c>
      <c r="E316" s="3">
        <v>34</v>
      </c>
      <c r="F316" s="3" t="str">
        <f>HYPERLINK("https://www.boe.es/gazeta/dias/1812/07/23/pdfs/GMD-1812-205.pdf","Abrir PDF")</f>
        <v>Abrir PDF</v>
      </c>
    </row>
    <row r="317" spans="1:6" ht="31.05" customHeight="1">
      <c r="A317" s="5">
        <v>-31936</v>
      </c>
      <c r="B317" s="2" t="s">
        <v>614</v>
      </c>
      <c r="C317" s="2" t="s">
        <v>22450</v>
      </c>
      <c r="D317" s="3">
        <v>8</v>
      </c>
      <c r="E317" s="3">
        <v>67</v>
      </c>
      <c r="F317" s="3" t="str">
        <f>HYPERLINK("https://www.boe.es/gazeta/dias/1812/07/23/pdfs/GRE-1812-92.pdf","Abrir PDF")</f>
        <v>Abrir PDF</v>
      </c>
    </row>
    <row r="318" spans="1:6" ht="31.05" customHeight="1">
      <c r="A318" s="5">
        <v>-31935</v>
      </c>
      <c r="B318" s="2" t="s">
        <v>2678</v>
      </c>
      <c r="C318" s="2" t="s">
        <v>22451</v>
      </c>
      <c r="D318" s="3">
        <v>4</v>
      </c>
      <c r="E318" s="3">
        <v>9</v>
      </c>
      <c r="F318" s="3" t="str">
        <f>HYPERLINK("https://www.boe.es/gazeta/dias/1812/07/24/pdfs/GMD-1812-206.pdf","Abrir PDF")</f>
        <v>Abrir PDF</v>
      </c>
    </row>
    <row r="319" spans="1:6" ht="31.05" customHeight="1">
      <c r="A319" s="5">
        <v>-31934</v>
      </c>
      <c r="B319" s="2" t="s">
        <v>6490</v>
      </c>
      <c r="C319" s="2" t="s">
        <v>22452</v>
      </c>
      <c r="D319" s="3">
        <v>4</v>
      </c>
      <c r="E319" s="3">
        <v>10</v>
      </c>
      <c r="F319" s="3" t="str">
        <f>HYPERLINK("https://www.boe.es/gazeta/dias/1812/07/25/pdfs/GMD-1812-207.pdf","Abrir PDF")</f>
        <v>Abrir PDF</v>
      </c>
    </row>
    <row r="320" spans="1:6" ht="31.05" customHeight="1">
      <c r="A320" s="5">
        <v>-31934</v>
      </c>
      <c r="B320" s="2" t="s">
        <v>509</v>
      </c>
      <c r="C320" s="2" t="s">
        <v>22453</v>
      </c>
      <c r="D320" s="3">
        <v>8</v>
      </c>
      <c r="E320" s="3">
        <v>30</v>
      </c>
      <c r="F320" s="3" t="str">
        <f>HYPERLINK("https://www.boe.es/gazeta/dias/1812/07/25/pdfs/GRE-1812-93.pdf","Abrir PDF")</f>
        <v>Abrir PDF</v>
      </c>
    </row>
    <row r="321" spans="1:6" ht="31.05" customHeight="1">
      <c r="A321" s="5">
        <v>-31933</v>
      </c>
      <c r="B321" s="2" t="s">
        <v>1946</v>
      </c>
      <c r="C321" s="2" t="s">
        <v>22454</v>
      </c>
      <c r="D321" s="3">
        <v>4</v>
      </c>
      <c r="E321" s="3">
        <v>8</v>
      </c>
      <c r="F321" s="3" t="str">
        <f>HYPERLINK("https://www.boe.es/gazeta/dias/1812/07/26/pdfs/GMD-1812-208.pdf","Abrir PDF")</f>
        <v>Abrir PDF</v>
      </c>
    </row>
    <row r="322" spans="1:6" ht="31.05" customHeight="1">
      <c r="A322" s="5">
        <v>-31932</v>
      </c>
      <c r="B322" s="2" t="s">
        <v>3710</v>
      </c>
      <c r="C322" s="2" t="s">
        <v>22455</v>
      </c>
      <c r="D322" s="3">
        <v>4</v>
      </c>
      <c r="E322" s="3">
        <v>5</v>
      </c>
      <c r="F322" s="3" t="str">
        <f>HYPERLINK("https://www.boe.es/gazeta/dias/1812/07/27/pdfs/GMD-1812-209.pdf","Abrir PDF")</f>
        <v>Abrir PDF</v>
      </c>
    </row>
    <row r="323" spans="1:6" ht="31.05" customHeight="1">
      <c r="A323" s="5">
        <v>-31931</v>
      </c>
      <c r="B323" s="2" t="s">
        <v>2350</v>
      </c>
      <c r="C323" s="2" t="s">
        <v>22456</v>
      </c>
      <c r="D323" s="3">
        <v>4</v>
      </c>
      <c r="E323" s="3">
        <v>10</v>
      </c>
      <c r="F323" s="3" t="str">
        <f>HYPERLINK("https://www.boe.es/gazeta/dias/1812/07/28/pdfs/GMD-1812-210.pdf","Abrir PDF")</f>
        <v>Abrir PDF</v>
      </c>
    </row>
    <row r="324" spans="1:6" ht="31.05" customHeight="1">
      <c r="A324" s="5">
        <v>-31931</v>
      </c>
      <c r="B324" s="2" t="s">
        <v>4174</v>
      </c>
      <c r="C324" s="2" t="s">
        <v>22457</v>
      </c>
      <c r="D324" s="3">
        <v>8</v>
      </c>
      <c r="E324" s="3">
        <v>18</v>
      </c>
      <c r="F324" s="3" t="str">
        <f>HYPERLINK("https://www.boe.es/gazeta/dias/1812/07/28/pdfs/GRE-1812-94.pdf","Abrir PDF")</f>
        <v>Abrir PDF</v>
      </c>
    </row>
    <row r="325" spans="1:6" ht="31.05" customHeight="1">
      <c r="A325" s="5">
        <v>-31930</v>
      </c>
      <c r="B325" s="2" t="s">
        <v>10059</v>
      </c>
      <c r="C325" s="2" t="s">
        <v>22458</v>
      </c>
      <c r="D325" s="3">
        <v>4</v>
      </c>
      <c r="E325" s="3">
        <v>1</v>
      </c>
      <c r="F325" s="3" t="str">
        <f>HYPERLINK("https://www.boe.es/gazeta/dias/1812/07/29/pdfs/GMD-1812-211.pdf","Abrir PDF")</f>
        <v>Abrir PDF</v>
      </c>
    </row>
    <row r="326" spans="1:6" ht="31.05" customHeight="1">
      <c r="A326" s="5">
        <v>-31929</v>
      </c>
      <c r="B326" s="2" t="s">
        <v>2786</v>
      </c>
      <c r="C326" s="2" t="s">
        <v>22459</v>
      </c>
      <c r="D326" s="3">
        <v>4</v>
      </c>
      <c r="E326" s="3">
        <v>5</v>
      </c>
      <c r="F326" s="3" t="str">
        <f>HYPERLINK("https://www.boe.es/gazeta/dias/1812/07/30/pdfs/GMD-1812-212.pdf","Abrir PDF")</f>
        <v>Abrir PDF</v>
      </c>
    </row>
    <row r="327" spans="1:6" ht="31.05" customHeight="1">
      <c r="A327" s="5">
        <v>-31929</v>
      </c>
      <c r="B327" s="2" t="s">
        <v>1148</v>
      </c>
      <c r="C327" s="2" t="s">
        <v>22460</v>
      </c>
      <c r="D327" s="3">
        <v>8</v>
      </c>
      <c r="E327" s="3">
        <v>23</v>
      </c>
      <c r="F327" s="3" t="str">
        <f>HYPERLINK("https://www.boe.es/gazeta/dias/1812/07/30/pdfs/GRE-1812-95.pdf","Abrir PDF")</f>
        <v>Abrir PDF</v>
      </c>
    </row>
    <row r="328" spans="1:6" ht="31.05" customHeight="1">
      <c r="A328" s="5">
        <v>-31928</v>
      </c>
      <c r="B328" s="2" t="s">
        <v>7417</v>
      </c>
      <c r="C328" s="2" t="s">
        <v>22461</v>
      </c>
      <c r="D328" s="3">
        <v>4</v>
      </c>
      <c r="E328" s="3">
        <v>10</v>
      </c>
      <c r="F328" s="3" t="str">
        <f>HYPERLINK("https://www.boe.es/gazeta/dias/1812/07/31/pdfs/GMD-1812-213.pdf","Abrir PDF")</f>
        <v>Abrir PDF</v>
      </c>
    </row>
    <row r="329" spans="1:6" ht="31.05" customHeight="1">
      <c r="A329" s="5">
        <v>-31928</v>
      </c>
      <c r="B329" s="2" t="s">
        <v>3638</v>
      </c>
      <c r="C329" s="2" t="s">
        <v>22462</v>
      </c>
      <c r="D329" s="3">
        <v>4</v>
      </c>
      <c r="E329" s="3">
        <v>6</v>
      </c>
      <c r="F329" s="3" t="str">
        <f>HYPERLINK("https://www.boe.es/gazeta/dias/1812/07/31/pdfs/GRE-1812-96E.pdf","Abrir PDF")</f>
        <v>Abrir PDF</v>
      </c>
    </row>
    <row r="330" spans="1:6" ht="31.05" customHeight="1">
      <c r="A330" s="5">
        <v>-31927</v>
      </c>
      <c r="B330" s="2" t="s">
        <v>16304</v>
      </c>
      <c r="C330" s="2" t="s">
        <v>22463</v>
      </c>
      <c r="D330" s="3">
        <v>4</v>
      </c>
      <c r="E330" s="3">
        <v>2</v>
      </c>
      <c r="F330" s="3" t="str">
        <f>HYPERLINK("https://www.boe.es/gazeta/dias/1812/08/01/pdfs/GMD-1812-214.pdf","Abrir PDF")</f>
        <v>Abrir PDF</v>
      </c>
    </row>
    <row r="331" spans="1:6" ht="31.05" customHeight="1">
      <c r="A331" s="5">
        <v>-31927</v>
      </c>
      <c r="B331" s="2" t="s">
        <v>1160</v>
      </c>
      <c r="C331" s="2" t="s">
        <v>22464</v>
      </c>
      <c r="D331" s="3">
        <v>8</v>
      </c>
      <c r="E331" s="3">
        <v>8</v>
      </c>
      <c r="F331" s="3" t="str">
        <f>HYPERLINK("https://www.boe.es/gazeta/dias/1812/08/01/pdfs/GRE-1812-97.pdf","Abrir PDF")</f>
        <v>Abrir PDF</v>
      </c>
    </row>
    <row r="332" spans="1:6" ht="31.05" customHeight="1">
      <c r="A332" s="5">
        <v>-31926</v>
      </c>
      <c r="B332" s="2" t="s">
        <v>17496</v>
      </c>
      <c r="C332" s="2" t="s">
        <v>22465</v>
      </c>
      <c r="D332" s="3">
        <v>4</v>
      </c>
      <c r="E332" s="3">
        <v>1</v>
      </c>
      <c r="F332" s="3" t="str">
        <f>HYPERLINK("https://www.boe.es/gazeta/dias/1812/08/02/pdfs/GMD-1812-215.pdf","Abrir PDF")</f>
        <v>Abrir PDF</v>
      </c>
    </row>
    <row r="333" spans="1:6" ht="31.05" customHeight="1">
      <c r="A333" s="5">
        <v>-31925</v>
      </c>
      <c r="B333" s="2" t="s">
        <v>20836</v>
      </c>
      <c r="C333" s="2" t="s">
        <v>22466</v>
      </c>
      <c r="D333" s="3">
        <v>4</v>
      </c>
      <c r="E333" s="3">
        <v>1</v>
      </c>
      <c r="F333" s="3" t="str">
        <f>HYPERLINK("https://www.boe.es/gazeta/dias/1812/08/03/pdfs/GMD-1812-216.pdf","Abrir PDF")</f>
        <v>Abrir PDF</v>
      </c>
    </row>
    <row r="334" spans="1:6" ht="31.05" customHeight="1">
      <c r="A334" s="5">
        <v>-31925</v>
      </c>
      <c r="B334" s="2" t="s">
        <v>2435</v>
      </c>
      <c r="C334" s="2" t="s">
        <v>22467</v>
      </c>
      <c r="D334" s="3">
        <v>3</v>
      </c>
      <c r="E334" s="3">
        <v>4</v>
      </c>
      <c r="F334" s="3" t="str">
        <f>HYPERLINK("https://www.boe.es/gazeta/dias/1812/08/03/pdfs/GRE-1812-98E.pdf","Abrir PDF")</f>
        <v>Abrir PDF</v>
      </c>
    </row>
    <row r="335" spans="1:6" ht="31.05" customHeight="1">
      <c r="A335" s="5">
        <v>-31924</v>
      </c>
      <c r="B335" s="2" t="s">
        <v>8183</v>
      </c>
      <c r="C335" s="2" t="s">
        <v>22468</v>
      </c>
      <c r="D335" s="3">
        <v>4</v>
      </c>
      <c r="E335" s="3">
        <v>3</v>
      </c>
      <c r="F335" s="3" t="str">
        <f>HYPERLINK("https://www.boe.es/gazeta/dias/1812/08/04/pdfs/GMD-1812-217.pdf","Abrir PDF")</f>
        <v>Abrir PDF</v>
      </c>
    </row>
    <row r="336" spans="1:6" ht="31.05" customHeight="1">
      <c r="A336" s="5">
        <v>-31924</v>
      </c>
      <c r="B336" s="2" t="s">
        <v>1948</v>
      </c>
      <c r="C336" s="2" t="s">
        <v>22469</v>
      </c>
      <c r="D336" s="3">
        <v>8</v>
      </c>
      <c r="E336" s="3">
        <v>6</v>
      </c>
      <c r="F336" s="3" t="str">
        <f>HYPERLINK("https://www.boe.es/gazeta/dias/1812/08/04/pdfs/GRE-1812-99.pdf","Abrir PDF")</f>
        <v>Abrir PDF</v>
      </c>
    </row>
    <row r="337" spans="1:6" ht="31.05" customHeight="1">
      <c r="A337" s="5">
        <v>-31923</v>
      </c>
      <c r="B337" s="2" t="s">
        <v>22470</v>
      </c>
      <c r="C337" s="2" t="s">
        <v>22471</v>
      </c>
      <c r="D337" s="3">
        <v>4</v>
      </c>
      <c r="E337" s="3">
        <v>0</v>
      </c>
      <c r="F337" s="3" t="str">
        <f>HYPERLINK("https://www.boe.es/gazeta/dias/1812/08/05/pdfs/GMD-1812-218.pdf","Abrir PDF")</f>
        <v>Abrir PDF</v>
      </c>
    </row>
    <row r="338" spans="1:6" ht="31.05" customHeight="1">
      <c r="A338" s="5">
        <v>-31922</v>
      </c>
      <c r="B338" s="2" t="s">
        <v>622</v>
      </c>
      <c r="C338" s="2" t="s">
        <v>22472</v>
      </c>
      <c r="D338" s="3">
        <v>4</v>
      </c>
      <c r="E338" s="3">
        <v>53</v>
      </c>
      <c r="F338" s="3" t="str">
        <f>HYPERLINK("https://www.boe.es/gazeta/dias/1812/08/06/pdfs/GMD-1812-219.pdf","Abrir PDF")</f>
        <v>Abrir PDF</v>
      </c>
    </row>
    <row r="339" spans="1:6" ht="31.05" customHeight="1">
      <c r="A339" s="5">
        <v>-31922</v>
      </c>
      <c r="B339" s="2" t="s">
        <v>375</v>
      </c>
      <c r="C339" s="2" t="s">
        <v>22473</v>
      </c>
      <c r="D339" s="3">
        <v>8</v>
      </c>
      <c r="E339" s="3">
        <v>57</v>
      </c>
      <c r="F339" s="3" t="str">
        <f>HYPERLINK("https://www.boe.es/gazeta/dias/1812/08/06/pdfs/GRE-1812-100.pdf","Abrir PDF")</f>
        <v>Abrir PDF</v>
      </c>
    </row>
    <row r="340" spans="1:6" ht="31.05" customHeight="1">
      <c r="A340" s="5">
        <v>-31921</v>
      </c>
      <c r="B340" s="2" t="s">
        <v>22474</v>
      </c>
      <c r="C340" s="2" t="s">
        <v>22475</v>
      </c>
      <c r="D340" s="3">
        <v>4</v>
      </c>
      <c r="E340" s="3">
        <v>0</v>
      </c>
      <c r="F340" s="3" t="str">
        <f>HYPERLINK("https://www.boe.es/gazeta/dias/1812/08/07/pdfs/GMD-1812-220.pdf","Abrir PDF")</f>
        <v>Abrir PDF</v>
      </c>
    </row>
    <row r="341" spans="1:6" ht="31.05" customHeight="1">
      <c r="A341" s="5">
        <v>-31921</v>
      </c>
      <c r="B341" s="2" t="s">
        <v>785</v>
      </c>
      <c r="C341" s="2" t="s">
        <v>22476</v>
      </c>
      <c r="D341" s="3">
        <v>8</v>
      </c>
      <c r="E341" s="3">
        <v>65</v>
      </c>
      <c r="F341" s="3" t="str">
        <f>HYPERLINK("https://www.boe.es/gazeta/dias/1812/08/07/pdfs/GRE-1812-101E.pdf","Abrir PDF")</f>
        <v>Abrir PDF</v>
      </c>
    </row>
    <row r="342" spans="1:6" ht="31.05" customHeight="1">
      <c r="A342" s="5">
        <v>-31920</v>
      </c>
      <c r="B342" s="2" t="s">
        <v>3204</v>
      </c>
      <c r="C342" s="2" t="s">
        <v>22477</v>
      </c>
      <c r="D342" s="3">
        <v>4</v>
      </c>
      <c r="E342" s="3">
        <v>3</v>
      </c>
      <c r="F342" s="3" t="str">
        <f>HYPERLINK("https://www.boe.es/gazeta/dias/1812/08/08/pdfs/GMD-1812-221.pdf","Abrir PDF")</f>
        <v>Abrir PDF</v>
      </c>
    </row>
    <row r="343" spans="1:6" ht="31.05" customHeight="1">
      <c r="A343" s="5">
        <v>-31920</v>
      </c>
      <c r="B343" s="2" t="s">
        <v>8503</v>
      </c>
      <c r="C343" s="2" t="s">
        <v>22478</v>
      </c>
      <c r="D343" s="3">
        <v>8</v>
      </c>
      <c r="E343" s="3">
        <v>8</v>
      </c>
      <c r="F343" s="3" t="str">
        <f>HYPERLINK("https://www.boe.es/gazeta/dias/1812/08/08/pdfs/GRE-1812-102.pdf","Abrir PDF")</f>
        <v>Abrir PDF</v>
      </c>
    </row>
    <row r="344" spans="1:6" ht="31.05" customHeight="1">
      <c r="A344" s="5">
        <v>-31919</v>
      </c>
      <c r="B344" s="2" t="s">
        <v>22479</v>
      </c>
      <c r="C344" s="2" t="s">
        <v>22480</v>
      </c>
      <c r="D344" s="3">
        <v>4</v>
      </c>
      <c r="E344" s="3">
        <v>0</v>
      </c>
      <c r="F344" s="3" t="str">
        <f>HYPERLINK("https://www.boe.es/gazeta/dias/1812/08/09/pdfs/GMD-1812-222.pdf","Abrir PDF")</f>
        <v>Abrir PDF</v>
      </c>
    </row>
    <row r="345" spans="1:6" ht="31.05" customHeight="1">
      <c r="A345" s="5">
        <v>-31918</v>
      </c>
      <c r="B345" s="2" t="s">
        <v>14915</v>
      </c>
      <c r="C345" s="2" t="s">
        <v>22481</v>
      </c>
      <c r="D345" s="3">
        <v>4</v>
      </c>
      <c r="E345" s="3">
        <v>1</v>
      </c>
      <c r="F345" s="3" t="str">
        <f>HYPERLINK("https://www.boe.es/gazeta/dias/1812/08/10/pdfs/GMD-1812-223.pdf","Abrir PDF")</f>
        <v>Abrir PDF</v>
      </c>
    </row>
    <row r="346" spans="1:6" ht="31.05" customHeight="1">
      <c r="A346" s="5">
        <v>-31917</v>
      </c>
      <c r="B346" s="2" t="s">
        <v>946</v>
      </c>
      <c r="C346" s="2" t="s">
        <v>22482</v>
      </c>
      <c r="D346" s="3">
        <v>8</v>
      </c>
      <c r="E346" s="3">
        <v>36</v>
      </c>
      <c r="F346" s="3" t="str">
        <f>HYPERLINK("https://www.boe.es/gazeta/dias/1812/08/11/pdfs/GRE-1812-103.pdf","Abrir PDF")</f>
        <v>Abrir PDF</v>
      </c>
    </row>
    <row r="347" spans="1:6" ht="31.05" customHeight="1">
      <c r="A347" s="5">
        <v>-31915</v>
      </c>
      <c r="B347" s="2" t="s">
        <v>1592</v>
      </c>
      <c r="C347" s="2" t="s">
        <v>22483</v>
      </c>
      <c r="D347" s="3">
        <v>8</v>
      </c>
      <c r="E347" s="3">
        <v>13</v>
      </c>
      <c r="F347" s="3" t="str">
        <f>HYPERLINK("https://www.boe.es/gazeta/dias/1812/08/13/pdfs/GRE-1812-104.pdf","Abrir PDF")</f>
        <v>Abrir PDF</v>
      </c>
    </row>
    <row r="348" spans="1:6" ht="31.05" customHeight="1">
      <c r="A348" s="5">
        <v>-31915</v>
      </c>
      <c r="B348" s="2" t="s">
        <v>2827</v>
      </c>
      <c r="C348" s="2" t="s">
        <v>22484</v>
      </c>
      <c r="D348" s="3">
        <v>4</v>
      </c>
      <c r="E348" s="3">
        <v>5</v>
      </c>
      <c r="F348" s="3" t="str">
        <f>HYPERLINK("https://www.boe.es/gazeta/dias/1812/08/13/pdfs/GRE-F-1812-104.pdf","Abrir PDF")</f>
        <v>Abrir PDF</v>
      </c>
    </row>
    <row r="349" spans="1:6" ht="31.05" customHeight="1">
      <c r="A349" s="5">
        <v>-31913</v>
      </c>
      <c r="B349" s="2" t="s">
        <v>450</v>
      </c>
      <c r="C349" s="2" t="s">
        <v>22485</v>
      </c>
      <c r="D349" s="3">
        <v>8</v>
      </c>
      <c r="E349" s="3">
        <v>28</v>
      </c>
      <c r="F349" s="3" t="str">
        <f>HYPERLINK("https://www.boe.es/gazeta/dias/1812/08/15/pdfs/GRE-1812-105.pdf","Abrir PDF")</f>
        <v>Abrir PDF</v>
      </c>
    </row>
    <row r="350" spans="1:6" ht="31.05" customHeight="1">
      <c r="A350" s="5">
        <v>-31913</v>
      </c>
      <c r="B350" s="2" t="s">
        <v>22486</v>
      </c>
      <c r="C350" s="2" t="s">
        <v>22487</v>
      </c>
      <c r="D350" s="3">
        <v>1</v>
      </c>
      <c r="E350" s="3">
        <v>0</v>
      </c>
      <c r="F350" s="3" t="str">
        <f>HYPERLINK("https://www.boe.es/gazeta/dias/1812/08/15/pdfs/GRE-F-1812-105.pdf","Abrir PDF")</f>
        <v>Abrir PDF</v>
      </c>
    </row>
    <row r="351" spans="1:6" ht="31.05" customHeight="1">
      <c r="A351" s="5">
        <v>-31911</v>
      </c>
      <c r="B351" s="2" t="s">
        <v>1950</v>
      </c>
      <c r="C351" s="2" t="s">
        <v>22488</v>
      </c>
      <c r="D351" s="3">
        <v>7</v>
      </c>
      <c r="E351" s="3">
        <v>3</v>
      </c>
      <c r="F351" s="3" t="str">
        <f>HYPERLINK("https://www.boe.es/gazeta/dias/1812/08/17/pdfs/GMR-1812-1.pdf","Abrir PDF")</f>
        <v>Abrir PDF</v>
      </c>
    </row>
    <row r="352" spans="1:6" ht="31.05" customHeight="1">
      <c r="A352" s="5">
        <v>-31910</v>
      </c>
      <c r="B352" s="2" t="s">
        <v>72</v>
      </c>
      <c r="C352" s="2" t="s">
        <v>22489</v>
      </c>
      <c r="D352" s="3">
        <v>8</v>
      </c>
      <c r="E352" s="3">
        <v>13</v>
      </c>
      <c r="F352" s="3" t="str">
        <f>HYPERLINK("https://www.boe.es/gazeta/dias/1812/08/18/pdfs/GRE-1812-106.pdf","Abrir PDF")</f>
        <v>Abrir PDF</v>
      </c>
    </row>
    <row r="353" spans="1:6" ht="31.05" customHeight="1">
      <c r="A353" s="5">
        <v>-31910</v>
      </c>
      <c r="B353" s="2" t="s">
        <v>2149</v>
      </c>
      <c r="C353" s="2" t="s">
        <v>22490</v>
      </c>
      <c r="D353" s="3">
        <v>4</v>
      </c>
      <c r="E353" s="3">
        <v>10</v>
      </c>
      <c r="F353" s="3" t="str">
        <f>HYPERLINK("https://www.boe.es/gazeta/dias/1812/08/18/pdfs/GRE-F-1812-106.pdf","Abrir PDF")</f>
        <v>Abrir PDF</v>
      </c>
    </row>
    <row r="354" spans="1:6" ht="31.05" customHeight="1">
      <c r="A354" s="5">
        <v>-31909</v>
      </c>
      <c r="B354" s="2" t="s">
        <v>2735</v>
      </c>
      <c r="C354" s="2" t="s">
        <v>22491</v>
      </c>
      <c r="D354" s="3">
        <v>8</v>
      </c>
      <c r="E354" s="3">
        <v>7</v>
      </c>
      <c r="F354" s="3" t="str">
        <f>HYPERLINK("https://www.boe.es/gazeta/dias/1812/08/19/pdfs/GMR-1812-2.pdf","Abrir PDF")</f>
        <v>Abrir PDF</v>
      </c>
    </row>
    <row r="355" spans="1:6" ht="31.05" customHeight="1">
      <c r="A355" s="5">
        <v>-31908</v>
      </c>
      <c r="B355" s="2" t="s">
        <v>835</v>
      </c>
      <c r="C355" s="2" t="s">
        <v>22492</v>
      </c>
      <c r="D355" s="3">
        <v>8</v>
      </c>
      <c r="E355" s="3">
        <v>20</v>
      </c>
      <c r="F355" s="3" t="str">
        <f>HYPERLINK("https://www.boe.es/gazeta/dias/1812/08/20/pdfs/GRE-1812-107.pdf","Abrir PDF")</f>
        <v>Abrir PDF</v>
      </c>
    </row>
    <row r="356" spans="1:6" ht="31.05" customHeight="1">
      <c r="A356" s="5">
        <v>-31907</v>
      </c>
      <c r="B356" s="2" t="s">
        <v>5536</v>
      </c>
      <c r="C356" s="2" t="s">
        <v>22493</v>
      </c>
      <c r="D356" s="3">
        <v>1</v>
      </c>
      <c r="E356" s="3">
        <v>1</v>
      </c>
      <c r="F356" s="3" t="str">
        <f>HYPERLINK("https://www.boe.es/gazeta/dias/1812/08/21/pdfs/GRE-1812-108E.pdf","Abrir PDF")</f>
        <v>Abrir PDF</v>
      </c>
    </row>
    <row r="357" spans="1:6" ht="31.05" customHeight="1">
      <c r="A357" s="5">
        <v>-31906</v>
      </c>
      <c r="B357" s="2" t="s">
        <v>1815</v>
      </c>
      <c r="C357" s="2" t="s">
        <v>22494</v>
      </c>
      <c r="D357" s="3">
        <v>8</v>
      </c>
      <c r="E357" s="3">
        <v>14</v>
      </c>
      <c r="F357" s="3" t="str">
        <f>HYPERLINK("https://www.boe.es/gazeta/dias/1812/08/22/pdfs/GMR-1812-3.pdf","Abrir PDF")</f>
        <v>Abrir PDF</v>
      </c>
    </row>
    <row r="358" spans="1:6" ht="31.05" customHeight="1">
      <c r="A358" s="5">
        <v>-31906</v>
      </c>
      <c r="B358" s="2" t="s">
        <v>124</v>
      </c>
      <c r="C358" s="2" t="s">
        <v>22495</v>
      </c>
      <c r="D358" s="3">
        <v>8</v>
      </c>
      <c r="E358" s="3">
        <v>7</v>
      </c>
      <c r="F358" s="3" t="str">
        <f>HYPERLINK("https://www.boe.es/gazeta/dias/1812/08/22/pdfs/GRE-1812-109.pdf","Abrir PDF")</f>
        <v>Abrir PDF</v>
      </c>
    </row>
    <row r="359" spans="1:6" ht="31.05" customHeight="1">
      <c r="A359" s="5">
        <v>-31905</v>
      </c>
      <c r="B359" s="2" t="s">
        <v>855</v>
      </c>
      <c r="C359" s="2" t="s">
        <v>22496</v>
      </c>
      <c r="D359" s="3">
        <v>12</v>
      </c>
      <c r="E359" s="3">
        <v>51</v>
      </c>
      <c r="F359" s="3" t="str">
        <f>HYPERLINK("https://www.boe.es/gazeta/dias/1812/08/23/pdfs/GMR-1812-4.pdf","Abrir PDF")</f>
        <v>Abrir PDF</v>
      </c>
    </row>
    <row r="360" spans="1:6" ht="31.05" customHeight="1">
      <c r="A360" s="5">
        <v>-31903</v>
      </c>
      <c r="B360" s="2" t="s">
        <v>626</v>
      </c>
      <c r="C360" s="2" t="s">
        <v>22497</v>
      </c>
      <c r="D360" s="3">
        <v>12</v>
      </c>
      <c r="E360" s="3">
        <v>14</v>
      </c>
      <c r="F360" s="3" t="str">
        <f>HYPERLINK("https://www.boe.es/gazeta/dias/1812/08/25/pdfs/GMR-1812-5.pdf","Abrir PDF")</f>
        <v>Abrir PDF</v>
      </c>
    </row>
    <row r="361" spans="1:6" ht="31.05" customHeight="1">
      <c r="A361" s="5">
        <v>-31903</v>
      </c>
      <c r="B361" s="2" t="s">
        <v>2720</v>
      </c>
      <c r="C361" s="2" t="s">
        <v>22498</v>
      </c>
      <c r="D361" s="3">
        <v>8</v>
      </c>
      <c r="E361" s="3">
        <v>16</v>
      </c>
      <c r="F361" s="3" t="str">
        <f>HYPERLINK("https://www.boe.es/gazeta/dias/1812/08/25/pdfs/GRE-1812-110.pdf","Abrir PDF")</f>
        <v>Abrir PDF</v>
      </c>
    </row>
    <row r="362" spans="1:6" ht="31.05" customHeight="1">
      <c r="A362" s="5">
        <v>-31901</v>
      </c>
      <c r="B362" s="2" t="s">
        <v>590</v>
      </c>
      <c r="C362" s="2" t="s">
        <v>22499</v>
      </c>
      <c r="D362" s="3">
        <v>8</v>
      </c>
      <c r="E362" s="3">
        <v>33</v>
      </c>
      <c r="F362" s="3" t="str">
        <f>HYPERLINK("https://www.boe.es/gazeta/dias/1812/08/27/pdfs/GMR-1812-6.pdf","Abrir PDF")</f>
        <v>Abrir PDF</v>
      </c>
    </row>
    <row r="363" spans="1:6" ht="31.05" customHeight="1">
      <c r="A363" s="5">
        <v>-31901</v>
      </c>
      <c r="B363" s="2" t="s">
        <v>2199</v>
      </c>
      <c r="C363" s="2" t="s">
        <v>22500</v>
      </c>
      <c r="D363" s="3">
        <v>8</v>
      </c>
      <c r="E363" s="3">
        <v>22</v>
      </c>
      <c r="F363" s="3" t="str">
        <f>HYPERLINK("https://www.boe.es/gazeta/dias/1812/08/27/pdfs/GRE-1812-111.pdf","Abrir PDF")</f>
        <v>Abrir PDF</v>
      </c>
    </row>
    <row r="364" spans="1:6" ht="31.05" customHeight="1">
      <c r="A364" s="5">
        <v>-31901</v>
      </c>
      <c r="B364" s="2" t="s">
        <v>17063</v>
      </c>
      <c r="C364" s="2" t="s">
        <v>22501</v>
      </c>
      <c r="D364" s="3">
        <v>4</v>
      </c>
      <c r="E364" s="3">
        <v>1</v>
      </c>
      <c r="F364" s="3" t="str">
        <f>HYPERLINK("https://www.boe.es/gazeta/dias/1812/08/27/pdfs/GRE-1812-112E.pdf","Abrir PDF")</f>
        <v>Abrir PDF</v>
      </c>
    </row>
    <row r="365" spans="1:6" ht="31.05" customHeight="1">
      <c r="A365" s="5">
        <v>-31900</v>
      </c>
      <c r="B365" s="2" t="s">
        <v>276</v>
      </c>
      <c r="C365" s="2" t="s">
        <v>22502</v>
      </c>
      <c r="D365" s="3">
        <v>8</v>
      </c>
      <c r="E365" s="3">
        <v>81</v>
      </c>
      <c r="F365" s="3" t="str">
        <f>HYPERLINK("https://www.boe.es/gazeta/dias/1812/08/28/pdfs/GRE-1812-113E.pdf","Abrir PDF")</f>
        <v>Abrir PDF</v>
      </c>
    </row>
    <row r="366" spans="1:6" ht="31.05" customHeight="1">
      <c r="A366" s="5">
        <v>-31899</v>
      </c>
      <c r="B366" s="2" t="s">
        <v>1396</v>
      </c>
      <c r="C366" s="2" t="s">
        <v>22503</v>
      </c>
      <c r="D366" s="3">
        <v>8</v>
      </c>
      <c r="E366" s="3">
        <v>20</v>
      </c>
      <c r="F366" s="3" t="str">
        <f>HYPERLINK("https://www.boe.es/gazeta/dias/1812/08/29/pdfs/GMR-1812-7.pdf","Abrir PDF")</f>
        <v>Abrir PDF</v>
      </c>
    </row>
    <row r="367" spans="1:6" ht="31.05" customHeight="1">
      <c r="A367" s="5">
        <v>-31899</v>
      </c>
      <c r="B367" s="2" t="s">
        <v>8917</v>
      </c>
      <c r="C367" s="2" t="s">
        <v>22504</v>
      </c>
      <c r="D367" s="3">
        <v>8</v>
      </c>
      <c r="E367" s="3">
        <v>3</v>
      </c>
      <c r="F367" s="3" t="str">
        <f>HYPERLINK("https://www.boe.es/gazeta/dias/1812/08/29/pdfs/GRE-1812-114.pdf","Abrir PDF")</f>
        <v>Abrir PDF</v>
      </c>
    </row>
    <row r="368" spans="1:6" ht="31.05" customHeight="1">
      <c r="A368" s="5">
        <v>-31899</v>
      </c>
      <c r="B368" s="2" t="s">
        <v>22505</v>
      </c>
      <c r="C368" s="2" t="s">
        <v>22506</v>
      </c>
      <c r="D368" s="3">
        <v>3</v>
      </c>
      <c r="E368" s="3">
        <v>0</v>
      </c>
      <c r="F368" s="3" t="str">
        <f>HYPERLINK("https://www.boe.es/gazeta/dias/1812/08/29/pdfs/GRE-1812-115E.pdf","Abrir PDF")</f>
        <v>Abrir PDF</v>
      </c>
    </row>
    <row r="369" spans="1:6" ht="31.05" customHeight="1">
      <c r="A369" s="5">
        <v>-31898</v>
      </c>
      <c r="B369" s="2" t="s">
        <v>1952</v>
      </c>
      <c r="C369" s="2" t="s">
        <v>22507</v>
      </c>
      <c r="D369" s="3">
        <v>8</v>
      </c>
      <c r="E369" s="3">
        <v>15</v>
      </c>
      <c r="F369" s="3" t="str">
        <f>HYPERLINK("https://www.boe.es/gazeta/dias/1812/08/30/pdfs/GRE-1812-116E.pdf","Abrir PDF")</f>
        <v>Abrir PDF</v>
      </c>
    </row>
    <row r="370" spans="1:6" ht="31.05" customHeight="1">
      <c r="A370" s="5">
        <v>-31896</v>
      </c>
      <c r="B370" s="2" t="s">
        <v>1808</v>
      </c>
      <c r="C370" s="2" t="s">
        <v>22508</v>
      </c>
      <c r="D370" s="3">
        <v>12</v>
      </c>
      <c r="E370" s="3">
        <v>21</v>
      </c>
      <c r="F370" s="3" t="str">
        <f>HYPERLINK("https://www.boe.es/gazeta/dias/1812/09/01/pdfs/GMR-1812-8.pdf","Abrir PDF")</f>
        <v>Abrir PDF</v>
      </c>
    </row>
    <row r="371" spans="1:6" ht="31.05" customHeight="1">
      <c r="A371" s="5">
        <v>-31896</v>
      </c>
      <c r="B371" s="2" t="s">
        <v>3158</v>
      </c>
      <c r="C371" s="2" t="s">
        <v>22509</v>
      </c>
      <c r="D371" s="3">
        <v>8</v>
      </c>
      <c r="E371" s="3">
        <v>11</v>
      </c>
      <c r="F371" s="3" t="str">
        <f>HYPERLINK("https://www.boe.es/gazeta/dias/1812/09/01/pdfs/GRE-1812-117.pdf","Abrir PDF")</f>
        <v>Abrir PDF</v>
      </c>
    </row>
    <row r="372" spans="1:6" ht="31.05" customHeight="1">
      <c r="A372" s="5">
        <v>-31896</v>
      </c>
      <c r="B372" s="2" t="s">
        <v>2506</v>
      </c>
      <c r="C372" s="2" t="s">
        <v>22510</v>
      </c>
      <c r="D372" s="3">
        <v>4</v>
      </c>
      <c r="E372" s="3">
        <v>11</v>
      </c>
      <c r="F372" s="3" t="str">
        <f>HYPERLINK("https://www.boe.es/gazeta/dias/1812/09/01/pdfs/GRE-F-1812-117.pdf","Abrir PDF")</f>
        <v>Abrir PDF</v>
      </c>
    </row>
    <row r="373" spans="1:6" ht="31.05" customHeight="1">
      <c r="A373" s="5">
        <v>-31895</v>
      </c>
      <c r="B373" s="2" t="s">
        <v>3980</v>
      </c>
      <c r="C373" s="2" t="s">
        <v>22511</v>
      </c>
      <c r="D373" s="3">
        <v>4</v>
      </c>
      <c r="E373" s="3">
        <v>6</v>
      </c>
      <c r="F373" s="3" t="str">
        <f>HYPERLINK("https://www.boe.es/gazeta/dias/1812/09/02/pdfs/GRE-1812-118E.pdf","Abrir PDF")</f>
        <v>Abrir PDF</v>
      </c>
    </row>
    <row r="374" spans="1:6" ht="31.05" customHeight="1">
      <c r="A374" s="5">
        <v>-31894</v>
      </c>
      <c r="B374" s="2" t="s">
        <v>3953</v>
      </c>
      <c r="C374" s="2" t="s">
        <v>22512</v>
      </c>
      <c r="D374" s="3">
        <v>8</v>
      </c>
      <c r="E374" s="3">
        <v>7</v>
      </c>
      <c r="F374" s="3" t="str">
        <f>HYPERLINK("https://www.boe.es/gazeta/dias/1812/09/03/pdfs/GMR-1812-9.pdf","Abrir PDF")</f>
        <v>Abrir PDF</v>
      </c>
    </row>
    <row r="375" spans="1:6" ht="31.05" customHeight="1">
      <c r="A375" s="5">
        <v>-31894</v>
      </c>
      <c r="B375" s="2" t="s">
        <v>793</v>
      </c>
      <c r="C375" s="2" t="s">
        <v>22513</v>
      </c>
      <c r="D375" s="3">
        <v>8</v>
      </c>
      <c r="E375" s="3">
        <v>22</v>
      </c>
      <c r="F375" s="3" t="str">
        <f>HYPERLINK("https://www.boe.es/gazeta/dias/1812/09/03/pdfs/GRE-1812-119.pdf","Abrir PDF")</f>
        <v>Abrir PDF</v>
      </c>
    </row>
    <row r="376" spans="1:6" ht="31.05" customHeight="1">
      <c r="A376" s="5">
        <v>-31892</v>
      </c>
      <c r="B376" s="2" t="s">
        <v>1825</v>
      </c>
      <c r="C376" s="2" t="s">
        <v>22514</v>
      </c>
      <c r="D376" s="3">
        <v>12</v>
      </c>
      <c r="E376" s="3">
        <v>26</v>
      </c>
      <c r="F376" s="3" t="str">
        <f>HYPERLINK("https://www.boe.es/gazeta/dias/1812/09/05/pdfs/GMR-1812-10.pdf","Abrir PDF")</f>
        <v>Abrir PDF</v>
      </c>
    </row>
    <row r="377" spans="1:6" ht="31.05" customHeight="1">
      <c r="A377" s="5">
        <v>-31892</v>
      </c>
      <c r="B377" s="2" t="s">
        <v>2760</v>
      </c>
      <c r="C377" s="2" t="s">
        <v>22515</v>
      </c>
      <c r="D377" s="3">
        <v>8</v>
      </c>
      <c r="E377" s="3">
        <v>5</v>
      </c>
      <c r="F377" s="3" t="str">
        <f>HYPERLINK("https://www.boe.es/gazeta/dias/1812/09/05/pdfs/GRE-1812-120.pdf","Abrir PDF")</f>
        <v>Abrir PDF</v>
      </c>
    </row>
    <row r="378" spans="1:6" ht="31.05" customHeight="1">
      <c r="A378" s="5">
        <v>-31889</v>
      </c>
      <c r="B378" s="2" t="s">
        <v>699</v>
      </c>
      <c r="C378" s="2" t="s">
        <v>22516</v>
      </c>
      <c r="D378" s="3">
        <v>8</v>
      </c>
      <c r="E378" s="3">
        <v>25</v>
      </c>
      <c r="F378" s="3" t="str">
        <f>HYPERLINK("https://www.boe.es/gazeta/dias/1812/09/08/pdfs/GMR-1812-11.pdf","Abrir PDF")</f>
        <v>Abrir PDF</v>
      </c>
    </row>
    <row r="379" spans="1:6" ht="31.05" customHeight="1">
      <c r="A379" s="5">
        <v>-31889</v>
      </c>
      <c r="B379" s="2" t="s">
        <v>424</v>
      </c>
      <c r="C379" s="2" t="s">
        <v>22517</v>
      </c>
      <c r="D379" s="3">
        <v>8</v>
      </c>
      <c r="E379" s="3">
        <v>10</v>
      </c>
      <c r="F379" s="3" t="str">
        <f>HYPERLINK("https://www.boe.es/gazeta/dias/1812/09/08/pdfs/GRE-1812-121.pdf","Abrir PDF")</f>
        <v>Abrir PDF</v>
      </c>
    </row>
    <row r="380" spans="1:6" ht="31.05" customHeight="1">
      <c r="A380" s="5">
        <v>-31889</v>
      </c>
      <c r="B380" s="2" t="s">
        <v>1973</v>
      </c>
      <c r="C380" s="2" t="s">
        <v>22518</v>
      </c>
      <c r="D380" s="3">
        <v>4</v>
      </c>
      <c r="E380" s="3">
        <v>2</v>
      </c>
      <c r="F380" s="3" t="str">
        <f>HYPERLINK("https://www.boe.es/gazeta/dias/1812/09/08/pdfs/GRE-F-1812-121.pdf","Abrir PDF")</f>
        <v>Abrir PDF</v>
      </c>
    </row>
    <row r="381" spans="1:6" ht="31.05" customHeight="1">
      <c r="A381" s="5">
        <v>-31887</v>
      </c>
      <c r="B381" s="2" t="s">
        <v>701</v>
      </c>
      <c r="C381" s="2" t="s">
        <v>22519</v>
      </c>
      <c r="D381" s="3">
        <v>8</v>
      </c>
      <c r="E381" s="3">
        <v>10</v>
      </c>
      <c r="F381" s="3" t="str">
        <f>HYPERLINK("https://www.boe.es/gazeta/dias/1812/09/10/pdfs/GMR-1812-12.pdf","Abrir PDF")</f>
        <v>Abrir PDF</v>
      </c>
    </row>
    <row r="382" spans="1:6" ht="31.05" customHeight="1">
      <c r="A382" s="5">
        <v>-31887</v>
      </c>
      <c r="B382" s="2" t="s">
        <v>703</v>
      </c>
      <c r="C382" s="2" t="s">
        <v>22520</v>
      </c>
      <c r="D382" s="3">
        <v>8</v>
      </c>
      <c r="E382" s="3">
        <v>6</v>
      </c>
      <c r="F382" s="3" t="str">
        <f>HYPERLINK("https://www.boe.es/gazeta/dias/1812/09/10/pdfs/GRE-1812-122.pdf","Abrir PDF")</f>
        <v>Abrir PDF</v>
      </c>
    </row>
    <row r="383" spans="1:6" ht="31.05" customHeight="1">
      <c r="A383" s="5">
        <v>-31887</v>
      </c>
      <c r="B383" s="2" t="s">
        <v>22521</v>
      </c>
      <c r="C383" s="2" t="s">
        <v>22522</v>
      </c>
      <c r="D383" s="3">
        <v>4</v>
      </c>
      <c r="E383" s="3">
        <v>0</v>
      </c>
      <c r="F383" s="3" t="str">
        <f>HYPERLINK("https://www.boe.es/gazeta/dias/1812/09/10/pdfs/GRE-1812-123E.pdf","Abrir PDF")</f>
        <v>Abrir PDF</v>
      </c>
    </row>
    <row r="384" spans="1:6" ht="31.05" customHeight="1">
      <c r="A384" s="5">
        <v>-31885</v>
      </c>
      <c r="B384" s="2" t="s">
        <v>750</v>
      </c>
      <c r="C384" s="2" t="s">
        <v>22523</v>
      </c>
      <c r="D384" s="3">
        <v>8</v>
      </c>
      <c r="E384" s="3">
        <v>27</v>
      </c>
      <c r="F384" s="3" t="str">
        <f>HYPERLINK("https://www.boe.es/gazeta/dias/1812/09/12/pdfs/GMR-1812-13.pdf","Abrir PDF")</f>
        <v>Abrir PDF</v>
      </c>
    </row>
    <row r="385" spans="1:6" ht="31.05" customHeight="1">
      <c r="A385" s="5">
        <v>-31885</v>
      </c>
      <c r="B385" s="2" t="s">
        <v>609</v>
      </c>
      <c r="C385" s="2" t="s">
        <v>22524</v>
      </c>
      <c r="D385" s="3">
        <v>8</v>
      </c>
      <c r="E385" s="3">
        <v>10</v>
      </c>
      <c r="F385" s="3" t="str">
        <f>HYPERLINK("https://www.boe.es/gazeta/dias/1812/09/12/pdfs/GRE-1812-124.pdf","Abrir PDF")</f>
        <v>Abrir PDF</v>
      </c>
    </row>
    <row r="386" spans="1:6" ht="31.05" customHeight="1">
      <c r="A386" s="5">
        <v>-31882</v>
      </c>
      <c r="B386" s="2" t="s">
        <v>1798</v>
      </c>
      <c r="C386" s="2" t="s">
        <v>22525</v>
      </c>
      <c r="D386" s="3">
        <v>16</v>
      </c>
      <c r="E386" s="3">
        <v>34</v>
      </c>
      <c r="F386" s="3" t="str">
        <f>HYPERLINK("https://www.boe.es/gazeta/dias/1812/09/15/pdfs/GMR-1812-14.pdf","Abrir PDF")</f>
        <v>Abrir PDF</v>
      </c>
    </row>
    <row r="387" spans="1:6" ht="31.05" customHeight="1">
      <c r="A387" s="5">
        <v>-31882</v>
      </c>
      <c r="B387" s="2" t="s">
        <v>1200</v>
      </c>
      <c r="C387" s="2" t="s">
        <v>22526</v>
      </c>
      <c r="D387" s="3">
        <v>8</v>
      </c>
      <c r="E387" s="3">
        <v>7</v>
      </c>
      <c r="F387" s="3" t="str">
        <f>HYPERLINK("https://www.boe.es/gazeta/dias/1812/09/15/pdfs/GRE-1812-125.pdf","Abrir PDF")</f>
        <v>Abrir PDF</v>
      </c>
    </row>
    <row r="388" spans="1:6" ht="31.05" customHeight="1">
      <c r="A388" s="5">
        <v>-31880</v>
      </c>
      <c r="B388" s="2" t="s">
        <v>705</v>
      </c>
      <c r="C388" s="2" t="s">
        <v>22527</v>
      </c>
      <c r="D388" s="3">
        <v>8</v>
      </c>
      <c r="E388" s="3">
        <v>13</v>
      </c>
      <c r="F388" s="3" t="str">
        <f>HYPERLINK("https://www.boe.es/gazeta/dias/1812/09/17/pdfs/GMR-1812-15.pdf","Abrir PDF")</f>
        <v>Abrir PDF</v>
      </c>
    </row>
    <row r="389" spans="1:6" ht="31.05" customHeight="1">
      <c r="A389" s="5">
        <v>-31880</v>
      </c>
      <c r="B389" s="2" t="s">
        <v>3148</v>
      </c>
      <c r="C389" s="2" t="s">
        <v>22528</v>
      </c>
      <c r="D389" s="3">
        <v>8</v>
      </c>
      <c r="E389" s="3">
        <v>12</v>
      </c>
      <c r="F389" s="3" t="str">
        <f>HYPERLINK("https://www.boe.es/gazeta/dias/1812/09/17/pdfs/GRE-1812-126.pdf","Abrir PDF")</f>
        <v>Abrir PDF</v>
      </c>
    </row>
    <row r="390" spans="1:6" ht="31.05" customHeight="1">
      <c r="A390" s="5">
        <v>-31880</v>
      </c>
      <c r="B390" s="2" t="s">
        <v>9383</v>
      </c>
      <c r="C390" s="2" t="s">
        <v>22529</v>
      </c>
      <c r="D390" s="3">
        <v>4</v>
      </c>
      <c r="E390" s="3">
        <v>6</v>
      </c>
      <c r="F390" s="3" t="str">
        <f>HYPERLINK("https://www.boe.es/gazeta/dias/1812/09/17/pdfs/GRE-F-1812-126.pdf","Abrir PDF")</f>
        <v>Abrir PDF</v>
      </c>
    </row>
    <row r="391" spans="1:6" ht="31.05" customHeight="1">
      <c r="A391" s="5">
        <v>-31878</v>
      </c>
      <c r="B391" s="2" t="s">
        <v>1831</v>
      </c>
      <c r="C391" s="2" t="s">
        <v>22530</v>
      </c>
      <c r="D391" s="3">
        <v>12</v>
      </c>
      <c r="E391" s="3">
        <v>23</v>
      </c>
      <c r="F391" s="3" t="str">
        <f>HYPERLINK("https://www.boe.es/gazeta/dias/1812/09/19/pdfs/GMR-1812-16.pdf","Abrir PDF")</f>
        <v>Abrir PDF</v>
      </c>
    </row>
    <row r="392" spans="1:6" ht="31.05" customHeight="1">
      <c r="A392" s="5">
        <v>-31878</v>
      </c>
      <c r="B392" s="2" t="s">
        <v>2891</v>
      </c>
      <c r="C392" s="2" t="s">
        <v>22531</v>
      </c>
      <c r="D392" s="3">
        <v>8</v>
      </c>
      <c r="E392" s="3">
        <v>21</v>
      </c>
      <c r="F392" s="3" t="str">
        <f>HYPERLINK("https://www.boe.es/gazeta/dias/1812/09/19/pdfs/GRE-1812-127.pdf","Abrir PDF")</f>
        <v>Abrir PDF</v>
      </c>
    </row>
    <row r="393" spans="1:6" ht="31.05" customHeight="1">
      <c r="A393" s="5">
        <v>-31875</v>
      </c>
      <c r="B393" s="2" t="s">
        <v>708</v>
      </c>
      <c r="C393" s="2" t="s">
        <v>22532</v>
      </c>
      <c r="D393" s="3">
        <v>16</v>
      </c>
      <c r="E393" s="3">
        <v>18</v>
      </c>
      <c r="F393" s="3" t="str">
        <f>HYPERLINK("https://www.boe.es/gazeta/dias/1812/09/22/pdfs/GMR-1812-17.pdf","Abrir PDF")</f>
        <v>Abrir PDF</v>
      </c>
    </row>
    <row r="394" spans="1:6" ht="31.05" customHeight="1">
      <c r="A394" s="5">
        <v>-31875</v>
      </c>
      <c r="B394" s="2" t="s">
        <v>110</v>
      </c>
      <c r="C394" s="2" t="s">
        <v>22533</v>
      </c>
      <c r="D394" s="3">
        <v>8</v>
      </c>
      <c r="E394" s="3">
        <v>22</v>
      </c>
      <c r="F394" s="3" t="str">
        <f>HYPERLINK("https://www.boe.es/gazeta/dias/1812/09/22/pdfs/GRE-1812-128.pdf","Abrir PDF")</f>
        <v>Abrir PDF</v>
      </c>
    </row>
    <row r="395" spans="1:6" ht="31.05" customHeight="1">
      <c r="A395" s="5">
        <v>-31874</v>
      </c>
      <c r="B395" s="2" t="s">
        <v>1697</v>
      </c>
      <c r="C395" s="2" t="s">
        <v>22534</v>
      </c>
      <c r="D395" s="3">
        <v>4</v>
      </c>
      <c r="E395" s="3">
        <v>10</v>
      </c>
      <c r="F395" s="3" t="str">
        <f>HYPERLINK("https://www.boe.es/gazeta/dias/1812/09/23/pdfs/GRE-1812-129E.pdf","Abrir PDF")</f>
        <v>Abrir PDF</v>
      </c>
    </row>
    <row r="396" spans="1:6" ht="31.05" customHeight="1">
      <c r="A396" s="5">
        <v>-31873</v>
      </c>
      <c r="B396" s="2" t="s">
        <v>213</v>
      </c>
      <c r="C396" s="2" t="s">
        <v>22535</v>
      </c>
      <c r="D396" s="3">
        <v>8</v>
      </c>
      <c r="E396" s="3">
        <v>11</v>
      </c>
      <c r="F396" s="3" t="str">
        <f>HYPERLINK("https://www.boe.es/gazeta/dias/1812/09/24/pdfs/GMR-1812-18.pdf","Abrir PDF")</f>
        <v>Abrir PDF</v>
      </c>
    </row>
    <row r="397" spans="1:6" ht="31.05" customHeight="1">
      <c r="A397" s="5">
        <v>-31873</v>
      </c>
      <c r="B397" s="2" t="s">
        <v>654</v>
      </c>
      <c r="C397" s="2" t="s">
        <v>22536</v>
      </c>
      <c r="D397" s="3">
        <v>8</v>
      </c>
      <c r="E397" s="3">
        <v>10</v>
      </c>
      <c r="F397" s="3" t="str">
        <f>HYPERLINK("https://www.boe.es/gazeta/dias/1812/09/24/pdfs/GRE-1812-130.pdf","Abrir PDF")</f>
        <v>Abrir PDF</v>
      </c>
    </row>
    <row r="398" spans="1:6" ht="31.05" customHeight="1">
      <c r="A398" s="5">
        <v>-31871</v>
      </c>
      <c r="B398" s="2" t="s">
        <v>1399</v>
      </c>
      <c r="C398" s="2" t="s">
        <v>22537</v>
      </c>
      <c r="D398" s="3">
        <v>12</v>
      </c>
      <c r="E398" s="3">
        <v>10</v>
      </c>
      <c r="F398" s="3" t="str">
        <f>HYPERLINK("https://www.boe.es/gazeta/dias/1812/09/26/pdfs/GMR-1812-19.pdf","Abrir PDF")</f>
        <v>Abrir PDF</v>
      </c>
    </row>
    <row r="399" spans="1:6" ht="31.05" customHeight="1">
      <c r="A399" s="5">
        <v>-31871</v>
      </c>
      <c r="B399" s="2" t="s">
        <v>5985</v>
      </c>
      <c r="C399" s="2" t="s">
        <v>22538</v>
      </c>
      <c r="D399" s="3">
        <v>8</v>
      </c>
      <c r="E399" s="3">
        <v>6</v>
      </c>
      <c r="F399" s="3" t="str">
        <f>HYPERLINK("https://www.boe.es/gazeta/dias/1812/09/26/pdfs/GRE-1812-131.pdf","Abrir PDF")</f>
        <v>Abrir PDF</v>
      </c>
    </row>
    <row r="400" spans="1:6" ht="31.05" customHeight="1">
      <c r="A400" s="5">
        <v>-31868</v>
      </c>
      <c r="B400" s="2" t="s">
        <v>1833</v>
      </c>
      <c r="C400" s="2" t="s">
        <v>22539</v>
      </c>
      <c r="D400" s="3">
        <v>16</v>
      </c>
      <c r="E400" s="3">
        <v>26</v>
      </c>
      <c r="F400" s="3" t="str">
        <f>HYPERLINK("https://www.boe.es/gazeta/dias/1812/09/29/pdfs/GMR-1812-20.pdf","Abrir PDF")</f>
        <v>Abrir PDF</v>
      </c>
    </row>
    <row r="401" spans="1:6" ht="31.05" customHeight="1">
      <c r="A401" s="5">
        <v>-31868</v>
      </c>
      <c r="B401" s="2" t="s">
        <v>711</v>
      </c>
      <c r="C401" s="2" t="s">
        <v>22540</v>
      </c>
      <c r="D401" s="3">
        <v>8</v>
      </c>
      <c r="E401" s="3">
        <v>15</v>
      </c>
      <c r="F401" s="3" t="str">
        <f>HYPERLINK("https://www.boe.es/gazeta/dias/1812/09/29/pdfs/GRE-1812-132.pdf","Abrir PDF")</f>
        <v>Abrir PDF</v>
      </c>
    </row>
    <row r="402" spans="1:6" ht="31.05" customHeight="1">
      <c r="A402" s="5">
        <v>-31866</v>
      </c>
      <c r="B402" s="2" t="s">
        <v>2438</v>
      </c>
      <c r="C402" s="2" t="s">
        <v>22541</v>
      </c>
      <c r="D402" s="3">
        <v>12</v>
      </c>
      <c r="E402" s="3">
        <v>16</v>
      </c>
      <c r="F402" s="3" t="str">
        <f>HYPERLINK("https://www.boe.es/gazeta/dias/1812/10/01/pdfs/GMR-1812-21.pdf","Abrir PDF")</f>
        <v>Abrir PDF</v>
      </c>
    </row>
    <row r="403" spans="1:6" ht="31.05" customHeight="1">
      <c r="A403" s="5">
        <v>-31866</v>
      </c>
      <c r="B403" s="2" t="s">
        <v>845</v>
      </c>
      <c r="C403" s="2" t="s">
        <v>22542</v>
      </c>
      <c r="D403" s="3">
        <v>8</v>
      </c>
      <c r="E403" s="3">
        <v>21</v>
      </c>
      <c r="F403" s="3" t="str">
        <f>HYPERLINK("https://www.boe.es/gazeta/dias/1812/10/01/pdfs/GRE-1812-133.pdf","Abrir PDF")</f>
        <v>Abrir PDF</v>
      </c>
    </row>
    <row r="404" spans="1:6" ht="31.05" customHeight="1">
      <c r="A404" s="5">
        <v>-31864</v>
      </c>
      <c r="B404" s="2" t="s">
        <v>4258</v>
      </c>
      <c r="C404" s="2" t="s">
        <v>22543</v>
      </c>
      <c r="D404" s="3">
        <v>8</v>
      </c>
      <c r="E404" s="3">
        <v>14</v>
      </c>
      <c r="F404" s="3" t="str">
        <f>HYPERLINK("https://www.boe.es/gazeta/dias/1812/10/03/pdfs/GMR-1812-22.pdf","Abrir PDF")</f>
        <v>Abrir PDF</v>
      </c>
    </row>
    <row r="405" spans="1:6" ht="31.05" customHeight="1">
      <c r="A405" s="5">
        <v>-31864</v>
      </c>
      <c r="B405" s="2" t="s">
        <v>3014</v>
      </c>
      <c r="C405" s="2" t="s">
        <v>22544</v>
      </c>
      <c r="D405" s="3">
        <v>8</v>
      </c>
      <c r="E405" s="3">
        <v>17</v>
      </c>
      <c r="F405" s="3" t="str">
        <f>HYPERLINK("https://www.boe.es/gazeta/dias/1812/10/03/pdfs/GRE-1812-134.pdf","Abrir PDF")</f>
        <v>Abrir PDF</v>
      </c>
    </row>
    <row r="406" spans="1:6" ht="31.05" customHeight="1">
      <c r="A406" s="5">
        <v>-31861</v>
      </c>
      <c r="B406" s="2" t="s">
        <v>1080</v>
      </c>
      <c r="C406" s="2" t="s">
        <v>22545</v>
      </c>
      <c r="D406" s="3">
        <v>16</v>
      </c>
      <c r="E406" s="3">
        <v>41</v>
      </c>
      <c r="F406" s="3" t="str">
        <f>HYPERLINK("https://www.boe.es/gazeta/dias/1812/10/06/pdfs/GMR-1812-23.pdf","Abrir PDF")</f>
        <v>Abrir PDF</v>
      </c>
    </row>
    <row r="407" spans="1:6" ht="31.05" customHeight="1">
      <c r="A407" s="5">
        <v>-31861</v>
      </c>
      <c r="B407" s="2" t="s">
        <v>216</v>
      </c>
      <c r="C407" s="2" t="s">
        <v>22546</v>
      </c>
      <c r="D407" s="3">
        <v>8</v>
      </c>
      <c r="E407" s="3">
        <v>11</v>
      </c>
      <c r="F407" s="3" t="str">
        <f>HYPERLINK("https://www.boe.es/gazeta/dias/1812/10/06/pdfs/GRE-1812-135.pdf","Abrir PDF")</f>
        <v>Abrir PDF</v>
      </c>
    </row>
    <row r="408" spans="1:6" ht="31.05" customHeight="1">
      <c r="A408" s="5">
        <v>-31859</v>
      </c>
      <c r="B408" s="2" t="s">
        <v>158</v>
      </c>
      <c r="C408" s="2" t="s">
        <v>22547</v>
      </c>
      <c r="D408" s="3">
        <v>12</v>
      </c>
      <c r="E408" s="3">
        <v>29</v>
      </c>
      <c r="F408" s="3" t="str">
        <f>HYPERLINK("https://www.boe.es/gazeta/dias/1812/10/08/pdfs/GMR-1812-24.pdf","Abrir PDF")</f>
        <v>Abrir PDF</v>
      </c>
    </row>
    <row r="409" spans="1:6" ht="31.05" customHeight="1">
      <c r="A409" s="5">
        <v>-31859</v>
      </c>
      <c r="B409" s="2" t="s">
        <v>3024</v>
      </c>
      <c r="C409" s="2" t="s">
        <v>22548</v>
      </c>
      <c r="D409" s="3">
        <v>8</v>
      </c>
      <c r="E409" s="3">
        <v>17</v>
      </c>
      <c r="F409" s="3" t="str">
        <f>HYPERLINK("https://www.boe.es/gazeta/dias/1812/10/08/pdfs/GRE-1812-136.pdf","Abrir PDF")</f>
        <v>Abrir PDF</v>
      </c>
    </row>
    <row r="410" spans="1:6" ht="31.05" customHeight="1">
      <c r="A410" s="5">
        <v>-31857</v>
      </c>
      <c r="B410" s="2" t="s">
        <v>2176</v>
      </c>
      <c r="C410" s="2" t="s">
        <v>22549</v>
      </c>
      <c r="D410" s="3">
        <v>8</v>
      </c>
      <c r="E410" s="3">
        <v>21</v>
      </c>
      <c r="F410" s="3" t="str">
        <f>HYPERLINK("https://www.boe.es/gazeta/dias/1812/10/10/pdfs/GMR-1812-25.pdf","Abrir PDF")</f>
        <v>Abrir PDF</v>
      </c>
    </row>
    <row r="411" spans="1:6" ht="31.05" customHeight="1">
      <c r="A411" s="5">
        <v>-31857</v>
      </c>
      <c r="B411" s="2" t="s">
        <v>1000</v>
      </c>
      <c r="C411" s="2" t="s">
        <v>22550</v>
      </c>
      <c r="D411" s="3">
        <v>8</v>
      </c>
      <c r="E411" s="3">
        <v>68</v>
      </c>
      <c r="F411" s="3" t="str">
        <f>HYPERLINK("https://www.boe.es/gazeta/dias/1812/10/10/pdfs/GRE-1812-137.pdf","Abrir PDF")</f>
        <v>Abrir PDF</v>
      </c>
    </row>
    <row r="412" spans="1:6" ht="31.05" customHeight="1">
      <c r="A412" s="5">
        <v>-31854</v>
      </c>
      <c r="B412" s="2" t="s">
        <v>1574</v>
      </c>
      <c r="C412" s="2" t="s">
        <v>22551</v>
      </c>
      <c r="D412" s="3">
        <v>12</v>
      </c>
      <c r="E412" s="3">
        <v>21</v>
      </c>
      <c r="F412" s="3" t="str">
        <f>HYPERLINK("https://www.boe.es/gazeta/dias/1812/10/13/pdfs/GMR-1812-26.pdf","Abrir PDF")</f>
        <v>Abrir PDF</v>
      </c>
    </row>
    <row r="413" spans="1:6" ht="31.05" customHeight="1">
      <c r="A413" s="5">
        <v>-31854</v>
      </c>
      <c r="B413" s="2" t="s">
        <v>717</v>
      </c>
      <c r="C413" s="2" t="s">
        <v>22552</v>
      </c>
      <c r="D413" s="3">
        <v>8</v>
      </c>
      <c r="E413" s="3">
        <v>12</v>
      </c>
      <c r="F413" s="3" t="str">
        <f>HYPERLINK("https://www.boe.es/gazeta/dias/1812/10/13/pdfs/GRE-1812-138.pdf","Abrir PDF")</f>
        <v>Abrir PDF</v>
      </c>
    </row>
    <row r="414" spans="1:6" ht="31.05" customHeight="1">
      <c r="A414" s="5">
        <v>-31852</v>
      </c>
      <c r="B414" s="2" t="s">
        <v>4370</v>
      </c>
      <c r="C414" s="2" t="s">
        <v>22553</v>
      </c>
      <c r="D414" s="3">
        <v>8</v>
      </c>
      <c r="E414" s="3">
        <v>11</v>
      </c>
      <c r="F414" s="3" t="str">
        <f>HYPERLINK("https://www.boe.es/gazeta/dias/1812/10/15/pdfs/GMR-1812-27.pdf","Abrir PDF")</f>
        <v>Abrir PDF</v>
      </c>
    </row>
    <row r="415" spans="1:6" ht="31.05" customHeight="1">
      <c r="A415" s="5">
        <v>-31852</v>
      </c>
      <c r="B415" s="2" t="s">
        <v>2145</v>
      </c>
      <c r="C415" s="2" t="s">
        <v>22554</v>
      </c>
      <c r="D415" s="3">
        <v>8</v>
      </c>
      <c r="E415" s="3">
        <v>10</v>
      </c>
      <c r="F415" s="3" t="str">
        <f>HYPERLINK("https://www.boe.es/gazeta/dias/1812/10/15/pdfs/GRE-1812-139.pdf","Abrir PDF")</f>
        <v>Abrir PDF</v>
      </c>
    </row>
    <row r="416" spans="1:6" ht="31.05" customHeight="1">
      <c r="A416" s="5">
        <v>-31850</v>
      </c>
      <c r="B416" s="2" t="s">
        <v>719</v>
      </c>
      <c r="C416" s="2" t="s">
        <v>22555</v>
      </c>
      <c r="D416" s="3">
        <v>12</v>
      </c>
      <c r="E416" s="3">
        <v>27</v>
      </c>
      <c r="F416" s="3" t="str">
        <f>HYPERLINK("https://www.boe.es/gazeta/dias/1812/10/17/pdfs/GMR-1812-28.pdf","Abrir PDF")</f>
        <v>Abrir PDF</v>
      </c>
    </row>
    <row r="417" spans="1:6" ht="31.05" customHeight="1">
      <c r="A417" s="5">
        <v>-31850</v>
      </c>
      <c r="B417" s="2" t="s">
        <v>2178</v>
      </c>
      <c r="C417" s="2" t="s">
        <v>22556</v>
      </c>
      <c r="D417" s="3">
        <v>8</v>
      </c>
      <c r="E417" s="3">
        <v>21</v>
      </c>
      <c r="F417" s="3" t="str">
        <f>HYPERLINK("https://www.boe.es/gazeta/dias/1812/10/17/pdfs/GRE-1812-140.pdf","Abrir PDF")</f>
        <v>Abrir PDF</v>
      </c>
    </row>
    <row r="418" spans="1:6" ht="31.05" customHeight="1">
      <c r="A418" s="5">
        <v>-31847</v>
      </c>
      <c r="B418" s="2" t="s">
        <v>4133</v>
      </c>
      <c r="C418" s="2" t="s">
        <v>22557</v>
      </c>
      <c r="D418" s="3">
        <v>12</v>
      </c>
      <c r="E418" s="3">
        <v>11</v>
      </c>
      <c r="F418" s="3" t="str">
        <f>HYPERLINK("https://www.boe.es/gazeta/dias/1812/10/20/pdfs/GMR-1812-29.pdf","Abrir PDF")</f>
        <v>Abrir PDF</v>
      </c>
    </row>
    <row r="419" spans="1:6" ht="31.05" customHeight="1">
      <c r="A419" s="5">
        <v>-31847</v>
      </c>
      <c r="B419" s="2" t="s">
        <v>219</v>
      </c>
      <c r="C419" s="2" t="s">
        <v>22558</v>
      </c>
      <c r="D419" s="3">
        <v>8</v>
      </c>
      <c r="E419" s="3">
        <v>18</v>
      </c>
      <c r="F419" s="3" t="str">
        <f>HYPERLINK("https://www.boe.es/gazeta/dias/1812/10/20/pdfs/GRE-1812-141.pdf","Abrir PDF")</f>
        <v>Abrir PDF</v>
      </c>
    </row>
    <row r="420" spans="1:6" ht="31.05" customHeight="1">
      <c r="A420" s="5">
        <v>-31845</v>
      </c>
      <c r="B420" s="2" t="s">
        <v>723</v>
      </c>
      <c r="C420" s="2" t="s">
        <v>22559</v>
      </c>
      <c r="D420" s="3">
        <v>8</v>
      </c>
      <c r="E420" s="3">
        <v>10</v>
      </c>
      <c r="F420" s="3" t="str">
        <f>HYPERLINK("https://www.boe.es/gazeta/dias/1812/10/22/pdfs/GMR-1812-30.pdf","Abrir PDF")</f>
        <v>Abrir PDF</v>
      </c>
    </row>
    <row r="421" spans="1:6" ht="31.05" customHeight="1">
      <c r="A421" s="5">
        <v>-31845</v>
      </c>
      <c r="B421" s="2" t="s">
        <v>726</v>
      </c>
      <c r="C421" s="2" t="s">
        <v>22560</v>
      </c>
      <c r="D421" s="3">
        <v>8</v>
      </c>
      <c r="E421" s="3">
        <v>3</v>
      </c>
      <c r="F421" s="3" t="str">
        <f>HYPERLINK("https://www.boe.es/gazeta/dias/1812/10/22/pdfs/GRE-1812-142.pdf","Abrir PDF")</f>
        <v>Abrir PDF</v>
      </c>
    </row>
    <row r="422" spans="1:6" ht="31.05" customHeight="1">
      <c r="A422" s="5">
        <v>-31843</v>
      </c>
      <c r="B422" s="2" t="s">
        <v>3493</v>
      </c>
      <c r="C422" s="2" t="s">
        <v>22561</v>
      </c>
      <c r="D422" s="3">
        <v>8</v>
      </c>
      <c r="E422" s="3">
        <v>20</v>
      </c>
      <c r="F422" s="3" t="str">
        <f>HYPERLINK("https://www.boe.es/gazeta/dias/1812/10/24/pdfs/GMR-1812-31.pdf","Abrir PDF")</f>
        <v>Abrir PDF</v>
      </c>
    </row>
    <row r="423" spans="1:6" ht="31.05" customHeight="1">
      <c r="A423" s="5">
        <v>-31843</v>
      </c>
      <c r="B423" s="2" t="s">
        <v>6436</v>
      </c>
      <c r="C423" s="2" t="s">
        <v>22562</v>
      </c>
      <c r="D423" s="3">
        <v>8</v>
      </c>
      <c r="E423" s="3">
        <v>18</v>
      </c>
      <c r="F423" s="3" t="str">
        <f>HYPERLINK("https://www.boe.es/gazeta/dias/1812/10/24/pdfs/GRE-1812-143.pdf","Abrir PDF")</f>
        <v>Abrir PDF</v>
      </c>
    </row>
    <row r="424" spans="1:6" ht="31.05" customHeight="1">
      <c r="A424" s="5">
        <v>-31840</v>
      </c>
      <c r="B424" s="2" t="s">
        <v>2181</v>
      </c>
      <c r="C424" s="2" t="s">
        <v>22563</v>
      </c>
      <c r="D424" s="3">
        <v>12</v>
      </c>
      <c r="E424" s="3">
        <v>13</v>
      </c>
      <c r="F424" s="3" t="str">
        <f>HYPERLINK("https://www.boe.es/gazeta/dias/1812/10/27/pdfs/GMR-1812-32.pdf","Abrir PDF")</f>
        <v>Abrir PDF</v>
      </c>
    </row>
    <row r="425" spans="1:6" ht="31.05" customHeight="1">
      <c r="A425" s="5">
        <v>-31840</v>
      </c>
      <c r="B425" s="2" t="s">
        <v>7112</v>
      </c>
      <c r="C425" s="2" t="s">
        <v>22564</v>
      </c>
      <c r="D425" s="3">
        <v>8</v>
      </c>
      <c r="E425" s="3">
        <v>7</v>
      </c>
      <c r="F425" s="3" t="str">
        <f>HYPERLINK("https://www.boe.es/gazeta/dias/1812/10/27/pdfs/GRE-1812-144.pdf","Abrir PDF")</f>
        <v>Abrir PDF</v>
      </c>
    </row>
    <row r="426" spans="1:6" ht="31.05" customHeight="1">
      <c r="A426" s="5">
        <v>-31838</v>
      </c>
      <c r="B426" s="2" t="s">
        <v>1452</v>
      </c>
      <c r="C426" s="2" t="s">
        <v>22565</v>
      </c>
      <c r="D426" s="3">
        <v>8</v>
      </c>
      <c r="E426" s="3">
        <v>23</v>
      </c>
      <c r="F426" s="3" t="str">
        <f>HYPERLINK("https://www.boe.es/gazeta/dias/1812/10/29/pdfs/GMR-1812-33.pdf","Abrir PDF")</f>
        <v>Abrir PDF</v>
      </c>
    </row>
    <row r="427" spans="1:6" ht="31.05" customHeight="1">
      <c r="A427" s="5">
        <v>-31838</v>
      </c>
      <c r="B427" s="2" t="s">
        <v>1960</v>
      </c>
      <c r="C427" s="2" t="s">
        <v>22566</v>
      </c>
      <c r="D427" s="3">
        <v>8</v>
      </c>
      <c r="E427" s="3">
        <v>20</v>
      </c>
      <c r="F427" s="3" t="str">
        <f>HYPERLINK("https://www.boe.es/gazeta/dias/1812/10/29/pdfs/GRE-1812-145.pdf","Abrir PDF")</f>
        <v>Abrir PDF</v>
      </c>
    </row>
    <row r="428" spans="1:6" ht="31.05" customHeight="1">
      <c r="A428" s="5">
        <v>-31836</v>
      </c>
      <c r="B428" s="2" t="s">
        <v>729</v>
      </c>
      <c r="C428" s="2" t="s">
        <v>22567</v>
      </c>
      <c r="D428" s="3">
        <v>8</v>
      </c>
      <c r="E428" s="3">
        <v>14</v>
      </c>
      <c r="F428" s="3" t="str">
        <f>HYPERLINK("https://www.boe.es/gazeta/dias/1812/10/31/pdfs/GRE-1812-146.pdf","Abrir PDF")</f>
        <v>Abrir PDF</v>
      </c>
    </row>
    <row r="429" spans="1:6" ht="31.05" customHeight="1">
      <c r="A429" s="5">
        <v>-31833</v>
      </c>
      <c r="B429" s="2" t="s">
        <v>267</v>
      </c>
      <c r="C429" s="2" t="s">
        <v>22568</v>
      </c>
      <c r="D429" s="3">
        <v>8</v>
      </c>
      <c r="E429" s="3">
        <v>48</v>
      </c>
      <c r="F429" s="3" t="str">
        <f>HYPERLINK("https://www.boe.es/gazeta/dias/1812/11/03/pdfs/GRE-1812-147.pdf","Abrir PDF")</f>
        <v>Abrir PDF</v>
      </c>
    </row>
    <row r="430" spans="1:6" ht="31.05" customHeight="1">
      <c r="A430" s="5">
        <v>-31832</v>
      </c>
      <c r="B430" s="2" t="s">
        <v>732</v>
      </c>
      <c r="C430" s="2" t="s">
        <v>22569</v>
      </c>
      <c r="D430" s="3">
        <v>4</v>
      </c>
      <c r="E430" s="3">
        <v>3</v>
      </c>
      <c r="F430" s="3" t="str">
        <f>HYPERLINK("https://www.boe.es/gazeta/dias/1812/11/04/pdfs/GMD-1812-224.pdf","Abrir PDF")</f>
        <v>Abrir PDF</v>
      </c>
    </row>
    <row r="431" spans="1:6" ht="31.05" customHeight="1">
      <c r="A431" s="5">
        <v>-31831</v>
      </c>
      <c r="B431" s="2" t="s">
        <v>11847</v>
      </c>
      <c r="C431" s="2" t="s">
        <v>22570</v>
      </c>
      <c r="D431" s="3">
        <v>4</v>
      </c>
      <c r="E431" s="3">
        <v>6</v>
      </c>
      <c r="F431" s="3" t="str">
        <f>HYPERLINK("https://www.boe.es/gazeta/dias/1812/11/05/pdfs/GMD-1812-225.pdf","Abrir PDF")</f>
        <v>Abrir PDF</v>
      </c>
    </row>
    <row r="432" spans="1:6" ht="31.05" customHeight="1">
      <c r="A432" s="5">
        <v>-31831</v>
      </c>
      <c r="B432" s="2" t="s">
        <v>1963</v>
      </c>
      <c r="C432" s="2" t="s">
        <v>22571</v>
      </c>
      <c r="D432" s="3">
        <v>8</v>
      </c>
      <c r="E432" s="3">
        <v>14</v>
      </c>
      <c r="F432" s="3" t="str">
        <f>HYPERLINK("https://www.boe.es/gazeta/dias/1812/11/05/pdfs/GRE-1812-148.pdf","Abrir PDF")</f>
        <v>Abrir PDF</v>
      </c>
    </row>
    <row r="433" spans="1:6" ht="31.05" customHeight="1">
      <c r="A433" s="5">
        <v>-31831</v>
      </c>
      <c r="B433" s="2" t="s">
        <v>8937</v>
      </c>
      <c r="C433" s="2" t="s">
        <v>22572</v>
      </c>
      <c r="D433" s="3">
        <v>16</v>
      </c>
      <c r="E433" s="3">
        <v>4</v>
      </c>
      <c r="F433" s="3" t="str">
        <f>HYPERLINK("https://www.boe.es/gazeta/dias/1812/11/05/pdfs/GRE-F-1812-148.pdf","Abrir PDF")</f>
        <v>Abrir PDF</v>
      </c>
    </row>
    <row r="434" spans="1:6" ht="31.05" customHeight="1">
      <c r="A434" s="5">
        <v>-31830</v>
      </c>
      <c r="B434" s="2" t="s">
        <v>1839</v>
      </c>
      <c r="C434" s="2" t="s">
        <v>22573</v>
      </c>
      <c r="D434" s="3">
        <v>4</v>
      </c>
      <c r="E434" s="3">
        <v>6</v>
      </c>
      <c r="F434" s="3" t="str">
        <f>HYPERLINK("https://www.boe.es/gazeta/dias/1812/11/06/pdfs/GMD-1812-226.pdf","Abrir PDF")</f>
        <v>Abrir PDF</v>
      </c>
    </row>
    <row r="435" spans="1:6" ht="31.05" customHeight="1">
      <c r="A435" s="5">
        <v>-31829</v>
      </c>
      <c r="B435" s="2" t="s">
        <v>328</v>
      </c>
      <c r="C435" s="2" t="s">
        <v>22574</v>
      </c>
      <c r="D435" s="3">
        <v>4</v>
      </c>
      <c r="E435" s="3">
        <v>28</v>
      </c>
      <c r="F435" s="3" t="str">
        <f>HYPERLINK("https://www.boe.es/gazeta/dias/1812/11/07/pdfs/GMD-1812-227.pdf","Abrir PDF")</f>
        <v>Abrir PDF</v>
      </c>
    </row>
    <row r="436" spans="1:6" ht="31.05" customHeight="1">
      <c r="A436" s="5">
        <v>-31829</v>
      </c>
      <c r="B436" s="2" t="s">
        <v>3229</v>
      </c>
      <c r="C436" s="2" t="s">
        <v>22575</v>
      </c>
      <c r="D436" s="3">
        <v>8</v>
      </c>
      <c r="E436" s="3">
        <v>12</v>
      </c>
      <c r="F436" s="3" t="str">
        <f>HYPERLINK("https://www.boe.es/gazeta/dias/1812/11/07/pdfs/GRE-1812-149.pdf","Abrir PDF")</f>
        <v>Abrir PDF</v>
      </c>
    </row>
    <row r="437" spans="1:6" ht="31.05" customHeight="1">
      <c r="A437" s="5">
        <v>-31826</v>
      </c>
      <c r="B437" s="2" t="s">
        <v>7488</v>
      </c>
      <c r="C437" s="2" t="s">
        <v>22576</v>
      </c>
      <c r="D437" s="3">
        <v>8</v>
      </c>
      <c r="E437" s="3">
        <v>14</v>
      </c>
      <c r="F437" s="3" t="str">
        <f>HYPERLINK("https://www.boe.es/gazeta/dias/1812/11/10/pdfs/GRE-1812-150.pdf","Abrir PDF")</f>
        <v>Abrir PDF</v>
      </c>
    </row>
    <row r="438" spans="1:6" ht="31.05" customHeight="1">
      <c r="A438" s="5">
        <v>-31824</v>
      </c>
      <c r="B438" s="2" t="s">
        <v>3123</v>
      </c>
      <c r="C438" s="2" t="s">
        <v>22577</v>
      </c>
      <c r="D438" s="3">
        <v>8</v>
      </c>
      <c r="E438" s="3">
        <v>25</v>
      </c>
      <c r="F438" s="3" t="str">
        <f>HYPERLINK("https://www.boe.es/gazeta/dias/1812/11/12/pdfs/GRE-1812-151.pdf","Abrir PDF")</f>
        <v>Abrir PDF</v>
      </c>
    </row>
    <row r="439" spans="1:6" ht="31.05" customHeight="1">
      <c r="A439" s="5">
        <v>-31822</v>
      </c>
      <c r="B439" s="2" t="s">
        <v>541</v>
      </c>
      <c r="C439" s="2" t="s">
        <v>22578</v>
      </c>
      <c r="D439" s="3">
        <v>8</v>
      </c>
      <c r="E439" s="3">
        <v>68</v>
      </c>
      <c r="F439" s="3" t="str">
        <f>HYPERLINK("https://www.boe.es/gazeta/dias/1812/11/14/pdfs/GRE-1812-152.pdf","Abrir PDF")</f>
        <v>Abrir PDF</v>
      </c>
    </row>
    <row r="440" spans="1:6" ht="31.05" customHeight="1">
      <c r="A440" s="5">
        <v>-31821</v>
      </c>
      <c r="B440" s="2" t="s">
        <v>1979</v>
      </c>
      <c r="C440" s="2" t="s">
        <v>22579</v>
      </c>
      <c r="D440" s="3">
        <v>8</v>
      </c>
      <c r="E440" s="3">
        <v>22</v>
      </c>
      <c r="F440" s="3" t="str">
        <f>HYPERLINK("https://www.boe.es/gazeta/dias/1812/11/15/pdfs/GMR-1812-34.pdf","Abrir PDF")</f>
        <v>Abrir PDF</v>
      </c>
    </row>
    <row r="441" spans="1:6" ht="31.05" customHeight="1">
      <c r="A441" s="5">
        <v>-31819</v>
      </c>
      <c r="B441" s="2" t="s">
        <v>1856</v>
      </c>
      <c r="C441" s="2" t="s">
        <v>22580</v>
      </c>
      <c r="D441" s="3">
        <v>8</v>
      </c>
      <c r="E441" s="3">
        <v>14</v>
      </c>
      <c r="F441" s="3" t="str">
        <f>HYPERLINK("https://www.boe.es/gazeta/dias/1812/11/17/pdfs/GMR-1812-35.pdf","Abrir PDF")</f>
        <v>Abrir PDF</v>
      </c>
    </row>
    <row r="442" spans="1:6" ht="31.05" customHeight="1">
      <c r="A442" s="5">
        <v>-31819</v>
      </c>
      <c r="B442" s="2" t="s">
        <v>1770</v>
      </c>
      <c r="C442" s="2" t="s">
        <v>22581</v>
      </c>
      <c r="D442" s="3">
        <v>8</v>
      </c>
      <c r="E442" s="3">
        <v>23</v>
      </c>
      <c r="F442" s="3" t="str">
        <f>HYPERLINK("https://www.boe.es/gazeta/dias/1812/11/17/pdfs/GRE-1812-153.pdf","Abrir PDF")</f>
        <v>Abrir PDF</v>
      </c>
    </row>
    <row r="443" spans="1:6" ht="31.05" customHeight="1">
      <c r="A443" s="5">
        <v>-31817</v>
      </c>
      <c r="B443" s="2" t="s">
        <v>454</v>
      </c>
      <c r="C443" s="2" t="s">
        <v>22582</v>
      </c>
      <c r="D443" s="3">
        <v>8</v>
      </c>
      <c r="E443" s="3">
        <v>13</v>
      </c>
      <c r="F443" s="3" t="str">
        <f>HYPERLINK("https://www.boe.es/gazeta/dias/1812/11/19/pdfs/GRE-1812-154.pdf","Abrir PDF")</f>
        <v>Abrir PDF</v>
      </c>
    </row>
    <row r="444" spans="1:6" ht="31.05" customHeight="1">
      <c r="A444" s="5">
        <v>-31816</v>
      </c>
      <c r="B444" s="2" t="s">
        <v>270</v>
      </c>
      <c r="C444" s="2" t="s">
        <v>22583</v>
      </c>
      <c r="D444" s="3">
        <v>8</v>
      </c>
      <c r="E444" s="3">
        <v>50</v>
      </c>
      <c r="F444" s="3" t="str">
        <f>HYPERLINK("https://www.boe.es/gazeta/dias/1812/11/20/pdfs/GMR-1812-36.pdf","Abrir PDF")</f>
        <v>Abrir PDF</v>
      </c>
    </row>
    <row r="445" spans="1:6" ht="31.05" customHeight="1">
      <c r="A445" s="5">
        <v>-31815</v>
      </c>
      <c r="B445" s="2" t="s">
        <v>1167</v>
      </c>
      <c r="C445" s="2" t="s">
        <v>22584</v>
      </c>
      <c r="D445" s="3">
        <v>8</v>
      </c>
      <c r="E445" s="3">
        <v>9</v>
      </c>
      <c r="F445" s="3" t="str">
        <f>HYPERLINK("https://www.boe.es/gazeta/dias/1812/11/21/pdfs/GRE-1812-155.pdf","Abrir PDF")</f>
        <v>Abrir PDF</v>
      </c>
    </row>
    <row r="446" spans="1:6" ht="31.05" customHeight="1">
      <c r="A446" s="5">
        <v>-31812</v>
      </c>
      <c r="B446" s="2" t="s">
        <v>1533</v>
      </c>
      <c r="C446" s="2" t="s">
        <v>22585</v>
      </c>
      <c r="D446" s="3">
        <v>8</v>
      </c>
      <c r="E446" s="3">
        <v>22</v>
      </c>
      <c r="F446" s="3" t="str">
        <f>HYPERLINK("https://www.boe.es/gazeta/dias/1812/11/24/pdfs/GMR-1812-37.pdf","Abrir PDF")</f>
        <v>Abrir PDF</v>
      </c>
    </row>
    <row r="447" spans="1:6" ht="31.05" customHeight="1">
      <c r="A447" s="5">
        <v>-31812</v>
      </c>
      <c r="B447" s="2" t="s">
        <v>6528</v>
      </c>
      <c r="C447" s="2" t="s">
        <v>22586</v>
      </c>
      <c r="D447" s="3">
        <v>8</v>
      </c>
      <c r="E447" s="3">
        <v>5</v>
      </c>
      <c r="F447" s="3" t="str">
        <f>HYPERLINK("https://www.boe.es/gazeta/dias/1812/11/24/pdfs/GRE-1812-156.pdf","Abrir PDF")</f>
        <v>Abrir PDF</v>
      </c>
    </row>
    <row r="448" spans="1:6" ht="31.05" customHeight="1">
      <c r="A448" s="5">
        <v>-31810</v>
      </c>
      <c r="B448" s="2" t="s">
        <v>2305</v>
      </c>
      <c r="C448" s="2" t="s">
        <v>22587</v>
      </c>
      <c r="D448" s="3">
        <v>8</v>
      </c>
      <c r="E448" s="3">
        <v>13</v>
      </c>
      <c r="F448" s="3" t="str">
        <f>HYPERLINK("https://www.boe.es/gazeta/dias/1812/11/26/pdfs/GRE-1812-157.pdf","Abrir PDF")</f>
        <v>Abrir PDF</v>
      </c>
    </row>
    <row r="449" spans="1:6" ht="31.05" customHeight="1">
      <c r="A449" s="5">
        <v>-31809</v>
      </c>
      <c r="B449" s="2" t="s">
        <v>116</v>
      </c>
      <c r="C449" s="2" t="s">
        <v>22588</v>
      </c>
      <c r="D449" s="3">
        <v>8</v>
      </c>
      <c r="E449" s="3">
        <v>6</v>
      </c>
      <c r="F449" s="3" t="str">
        <f>HYPERLINK("https://www.boe.es/gazeta/dias/1812/11/27/pdfs/GMR-1812-38.pdf","Abrir PDF")</f>
        <v>Abrir PDF</v>
      </c>
    </row>
    <row r="450" spans="1:6" ht="31.05" customHeight="1">
      <c r="A450" s="5">
        <v>-31808</v>
      </c>
      <c r="B450" s="2" t="s">
        <v>416</v>
      </c>
      <c r="C450" s="2" t="s">
        <v>22589</v>
      </c>
      <c r="D450" s="3">
        <v>8</v>
      </c>
      <c r="E450" s="3">
        <v>20</v>
      </c>
      <c r="F450" s="3" t="str">
        <f>HYPERLINK("https://www.boe.es/gazeta/dias/1812/11/28/pdfs/GRE-1812-158.pdf","Abrir PDF")</f>
        <v>Abrir PDF</v>
      </c>
    </row>
    <row r="451" spans="1:6" ht="31.05" customHeight="1">
      <c r="A451" s="5">
        <v>-31805</v>
      </c>
      <c r="B451" s="2" t="s">
        <v>895</v>
      </c>
      <c r="C451" s="2" t="s">
        <v>22590</v>
      </c>
      <c r="D451" s="3">
        <v>16</v>
      </c>
      <c r="E451" s="3">
        <v>29</v>
      </c>
      <c r="F451" s="3" t="str">
        <f>HYPERLINK("https://www.boe.es/gazeta/dias/1812/12/01/pdfs/GMR-1812-39.pdf","Abrir PDF")</f>
        <v>Abrir PDF</v>
      </c>
    </row>
    <row r="452" spans="1:6" ht="31.05" customHeight="1">
      <c r="A452" s="5">
        <v>-31805</v>
      </c>
      <c r="B452" s="2" t="s">
        <v>4346</v>
      </c>
      <c r="C452" s="2" t="s">
        <v>22591</v>
      </c>
      <c r="D452" s="3">
        <v>8</v>
      </c>
      <c r="E452" s="3">
        <v>16</v>
      </c>
      <c r="F452" s="3" t="str">
        <f>HYPERLINK("https://www.boe.es/gazeta/dias/1812/12/01/pdfs/GRE-1812-159.pdf","Abrir PDF")</f>
        <v>Abrir PDF</v>
      </c>
    </row>
    <row r="453" spans="1:6" ht="31.05" customHeight="1">
      <c r="A453" s="5">
        <v>-31803</v>
      </c>
      <c r="B453" s="2" t="s">
        <v>221</v>
      </c>
      <c r="C453" s="2" t="s">
        <v>22592</v>
      </c>
      <c r="D453" s="3">
        <v>8</v>
      </c>
      <c r="E453" s="3">
        <v>12</v>
      </c>
      <c r="F453" s="3" t="str">
        <f>HYPERLINK("https://www.boe.es/gazeta/dias/1812/12/03/pdfs/GRE-1812-160.pdf","Abrir PDF")</f>
        <v>Abrir PDF</v>
      </c>
    </row>
    <row r="454" spans="1:6" ht="31.05" customHeight="1">
      <c r="A454" s="5">
        <v>-31801</v>
      </c>
      <c r="B454" s="2" t="s">
        <v>632</v>
      </c>
      <c r="C454" s="2" t="s">
        <v>22593</v>
      </c>
      <c r="D454" s="3">
        <v>4</v>
      </c>
      <c r="E454" s="3">
        <v>10</v>
      </c>
      <c r="F454" s="3" t="str">
        <f>HYPERLINK("https://www.boe.es/gazeta/dias/1812/12/05/pdfs/GMD-1812-228.pdf","Abrir PDF")</f>
        <v>Abrir PDF</v>
      </c>
    </row>
    <row r="455" spans="1:6" ht="31.05" customHeight="1">
      <c r="A455" s="5">
        <v>-31801</v>
      </c>
      <c r="B455" s="2" t="s">
        <v>1914</v>
      </c>
      <c r="C455" s="2" t="s">
        <v>22594</v>
      </c>
      <c r="D455" s="3">
        <v>8</v>
      </c>
      <c r="E455" s="3">
        <v>20</v>
      </c>
      <c r="F455" s="3" t="str">
        <f>HYPERLINK("https://www.boe.es/gazeta/dias/1812/12/05/pdfs/GRE-1812-161.pdf","Abrir PDF")</f>
        <v>Abrir PDF</v>
      </c>
    </row>
    <row r="456" spans="1:6" ht="31.05" customHeight="1">
      <c r="A456" s="5">
        <v>-31800</v>
      </c>
      <c r="B456" s="2" t="s">
        <v>593</v>
      </c>
      <c r="C456" s="2" t="s">
        <v>22595</v>
      </c>
      <c r="D456" s="3">
        <v>4</v>
      </c>
      <c r="E456" s="3">
        <v>13</v>
      </c>
      <c r="F456" s="3" t="str">
        <f>HYPERLINK("https://www.boe.es/gazeta/dias/1812/12/06/pdfs/GMD-1812-229.pdf","Abrir PDF")</f>
        <v>Abrir PDF</v>
      </c>
    </row>
    <row r="457" spans="1:6" ht="31.05" customHeight="1">
      <c r="A457" s="5">
        <v>-31799</v>
      </c>
      <c r="B457" s="2" t="s">
        <v>736</v>
      </c>
      <c r="C457" s="2" t="s">
        <v>22596</v>
      </c>
      <c r="D457" s="3">
        <v>4</v>
      </c>
      <c r="E457" s="3">
        <v>9</v>
      </c>
      <c r="F457" s="3" t="str">
        <f>HYPERLINK("https://www.boe.es/gazeta/dias/1812/12/07/pdfs/GMD-1812-230.pdf","Abrir PDF")</f>
        <v>Abrir PDF</v>
      </c>
    </row>
    <row r="458" spans="1:6" ht="31.05" customHeight="1">
      <c r="A458" s="5">
        <v>-31798</v>
      </c>
      <c r="B458" s="2" t="s">
        <v>1849</v>
      </c>
      <c r="C458" s="2" t="s">
        <v>22597</v>
      </c>
      <c r="D458" s="3">
        <v>4</v>
      </c>
      <c r="E458" s="3">
        <v>32</v>
      </c>
      <c r="F458" s="3" t="str">
        <f>HYPERLINK("https://www.boe.es/gazeta/dias/1812/12/08/pdfs/GMD-1812-231.pdf","Abrir PDF")</f>
        <v>Abrir PDF</v>
      </c>
    </row>
    <row r="459" spans="1:6" ht="31.05" customHeight="1">
      <c r="A459" s="5">
        <v>-31798</v>
      </c>
      <c r="B459" s="2" t="s">
        <v>2194</v>
      </c>
      <c r="C459" s="2" t="s">
        <v>22598</v>
      </c>
      <c r="D459" s="3">
        <v>8</v>
      </c>
      <c r="E459" s="3">
        <v>11</v>
      </c>
      <c r="F459" s="3" t="str">
        <f>HYPERLINK("https://www.boe.es/gazeta/dias/1812/12/08/pdfs/GRE-1812-162.pdf","Abrir PDF")</f>
        <v>Abrir PDF</v>
      </c>
    </row>
    <row r="460" spans="1:6" ht="31.05" customHeight="1">
      <c r="A460" s="5">
        <v>-31797</v>
      </c>
      <c r="B460" s="2" t="s">
        <v>738</v>
      </c>
      <c r="C460" s="2" t="s">
        <v>22599</v>
      </c>
      <c r="D460" s="3">
        <v>4</v>
      </c>
      <c r="E460" s="3">
        <v>5</v>
      </c>
      <c r="F460" s="3" t="str">
        <f>HYPERLINK("https://www.boe.es/gazeta/dias/1812/12/09/pdfs/GMD-1812-232.pdf","Abrir PDF")</f>
        <v>Abrir PDF</v>
      </c>
    </row>
    <row r="461" spans="1:6" ht="31.05" customHeight="1">
      <c r="A461" s="5">
        <v>-31796</v>
      </c>
      <c r="B461" s="2" t="s">
        <v>649</v>
      </c>
      <c r="C461" s="2" t="s">
        <v>22600</v>
      </c>
      <c r="D461" s="3">
        <v>4</v>
      </c>
      <c r="E461" s="3">
        <v>10</v>
      </c>
      <c r="F461" s="3" t="str">
        <f>HYPERLINK("https://www.boe.es/gazeta/dias/1812/12/10/pdfs/GMD-1812-233.pdf","Abrir PDF")</f>
        <v>Abrir PDF</v>
      </c>
    </row>
    <row r="462" spans="1:6" ht="31.05" customHeight="1">
      <c r="A462" s="5">
        <v>-31796</v>
      </c>
      <c r="B462" s="2" t="s">
        <v>741</v>
      </c>
      <c r="C462" s="2" t="s">
        <v>22601</v>
      </c>
      <c r="D462" s="3">
        <v>8</v>
      </c>
      <c r="E462" s="3">
        <v>8</v>
      </c>
      <c r="F462" s="3" t="str">
        <f>HYPERLINK("https://www.boe.es/gazeta/dias/1812/12/10/pdfs/GRE-1812-163.pdf","Abrir PDF")</f>
        <v>Abrir PDF</v>
      </c>
    </row>
    <row r="463" spans="1:6" ht="31.05" customHeight="1">
      <c r="A463" s="5">
        <v>-31795</v>
      </c>
      <c r="B463" s="2" t="s">
        <v>2344</v>
      </c>
      <c r="C463" s="2" t="s">
        <v>22602</v>
      </c>
      <c r="D463" s="3">
        <v>4</v>
      </c>
      <c r="E463" s="3">
        <v>15</v>
      </c>
      <c r="F463" s="3" t="str">
        <f>HYPERLINK("https://www.boe.es/gazeta/dias/1812/12/11/pdfs/GMD-1812-234.pdf","Abrir PDF")</f>
        <v>Abrir PDF</v>
      </c>
    </row>
    <row r="464" spans="1:6" ht="31.05" customHeight="1">
      <c r="A464" s="5">
        <v>-31794</v>
      </c>
      <c r="B464" s="2" t="s">
        <v>254</v>
      </c>
      <c r="C464" s="2" t="s">
        <v>22603</v>
      </c>
      <c r="D464" s="3">
        <v>4</v>
      </c>
      <c r="E464" s="3">
        <v>11</v>
      </c>
      <c r="F464" s="3" t="str">
        <f>HYPERLINK("https://www.boe.es/gazeta/dias/1812/12/12/pdfs/GMD-1812-235.pdf","Abrir PDF")</f>
        <v>Abrir PDF</v>
      </c>
    </row>
    <row r="465" spans="1:6" ht="31.05" customHeight="1">
      <c r="A465" s="5">
        <v>-31794</v>
      </c>
      <c r="B465" s="2" t="s">
        <v>3308</v>
      </c>
      <c r="C465" s="2" t="s">
        <v>22604</v>
      </c>
      <c r="D465" s="3">
        <v>8</v>
      </c>
      <c r="E465" s="3">
        <v>15</v>
      </c>
      <c r="F465" s="3" t="str">
        <f>HYPERLINK("https://www.boe.es/gazeta/dias/1812/12/12/pdfs/GRE-1812-164.pdf","Abrir PDF")</f>
        <v>Abrir PDF</v>
      </c>
    </row>
    <row r="466" spans="1:6" ht="31.05" customHeight="1">
      <c r="A466" s="5">
        <v>-31793</v>
      </c>
      <c r="B466" s="2" t="s">
        <v>2570</v>
      </c>
      <c r="C466" s="2" t="s">
        <v>22605</v>
      </c>
      <c r="D466" s="3">
        <v>4</v>
      </c>
      <c r="E466" s="3">
        <v>20</v>
      </c>
      <c r="F466" s="3" t="str">
        <f>HYPERLINK("https://www.boe.es/gazeta/dias/1812/12/13/pdfs/GMD-1812-236.pdf","Abrir PDF")</f>
        <v>Abrir PDF</v>
      </c>
    </row>
    <row r="467" spans="1:6" ht="31.05" customHeight="1">
      <c r="A467" s="5">
        <v>-31792</v>
      </c>
      <c r="B467" s="2" t="s">
        <v>744</v>
      </c>
      <c r="C467" s="2" t="s">
        <v>22606</v>
      </c>
      <c r="D467" s="3">
        <v>4</v>
      </c>
      <c r="E467" s="3">
        <v>6</v>
      </c>
      <c r="F467" s="3" t="str">
        <f>HYPERLINK("https://www.boe.es/gazeta/dias/1812/12/14/pdfs/GMD-1812-237.pdf","Abrir PDF")</f>
        <v>Abrir PDF</v>
      </c>
    </row>
    <row r="468" spans="1:6" ht="31.05" customHeight="1">
      <c r="A468" s="5">
        <v>-31791</v>
      </c>
      <c r="B468" s="2" t="s">
        <v>1668</v>
      </c>
      <c r="C468" s="2" t="s">
        <v>22607</v>
      </c>
      <c r="D468" s="3">
        <v>4</v>
      </c>
      <c r="E468" s="3">
        <v>17</v>
      </c>
      <c r="F468" s="3" t="str">
        <f>HYPERLINK("https://www.boe.es/gazeta/dias/1812/12/15/pdfs/GMD-1812-238.pdf","Abrir PDF")</f>
        <v>Abrir PDF</v>
      </c>
    </row>
    <row r="469" spans="1:6" ht="31.05" customHeight="1">
      <c r="A469" s="5">
        <v>-31791</v>
      </c>
      <c r="B469" s="2" t="s">
        <v>905</v>
      </c>
      <c r="C469" s="2" t="s">
        <v>22608</v>
      </c>
      <c r="D469" s="3">
        <v>8</v>
      </c>
      <c r="E469" s="3">
        <v>22</v>
      </c>
      <c r="F469" s="3" t="str">
        <f>HYPERLINK("https://www.boe.es/gazeta/dias/1812/12/15/pdfs/GRE-1812-165.pdf","Abrir PDF")</f>
        <v>Abrir PDF</v>
      </c>
    </row>
    <row r="470" spans="1:6" ht="31.05" customHeight="1">
      <c r="A470" s="5">
        <v>-31790</v>
      </c>
      <c r="B470" s="2" t="s">
        <v>11238</v>
      </c>
      <c r="C470" s="2" t="s">
        <v>22609</v>
      </c>
      <c r="D470" s="3">
        <v>4</v>
      </c>
      <c r="E470" s="3">
        <v>1</v>
      </c>
      <c r="F470" s="3" t="str">
        <f>HYPERLINK("https://www.boe.es/gazeta/dias/1812/12/16/pdfs/GMD-1812-239.pdf","Abrir PDF")</f>
        <v>Abrir PDF</v>
      </c>
    </row>
    <row r="471" spans="1:6" ht="31.05" customHeight="1">
      <c r="A471" s="5">
        <v>-31789</v>
      </c>
      <c r="B471" s="2" t="s">
        <v>873</v>
      </c>
      <c r="C471" s="2" t="s">
        <v>22610</v>
      </c>
      <c r="D471" s="3">
        <v>4</v>
      </c>
      <c r="E471" s="3">
        <v>21</v>
      </c>
      <c r="F471" s="3" t="str">
        <f>HYPERLINK("https://www.boe.es/gazeta/dias/1812/12/17/pdfs/GMD-1812-240.pdf","Abrir PDF")</f>
        <v>Abrir PDF</v>
      </c>
    </row>
    <row r="472" spans="1:6" ht="31.05" customHeight="1">
      <c r="A472" s="5">
        <v>-31789</v>
      </c>
      <c r="B472" s="2" t="s">
        <v>350</v>
      </c>
      <c r="C472" s="2" t="s">
        <v>22611</v>
      </c>
      <c r="D472" s="3">
        <v>8</v>
      </c>
      <c r="E472" s="3">
        <v>11</v>
      </c>
      <c r="F472" s="3" t="str">
        <f>HYPERLINK("https://www.boe.es/gazeta/dias/1812/12/17/pdfs/GRE-1812-166.pdf","Abrir PDF")</f>
        <v>Abrir PDF</v>
      </c>
    </row>
    <row r="473" spans="1:6" ht="31.05" customHeight="1">
      <c r="A473" s="5">
        <v>-31788</v>
      </c>
      <c r="B473" s="2" t="s">
        <v>22612</v>
      </c>
      <c r="C473" s="2" t="s">
        <v>22613</v>
      </c>
      <c r="D473" s="3">
        <v>4</v>
      </c>
      <c r="E473" s="3">
        <v>0</v>
      </c>
      <c r="F473" s="3" t="str">
        <f>HYPERLINK("https://www.boe.es/gazeta/dias/1812/12/18/pdfs/GMD-1812-241.pdf","Abrir PDF")</f>
        <v>Abrir PDF</v>
      </c>
    </row>
    <row r="474" spans="1:6" ht="31.05" customHeight="1">
      <c r="A474" s="5">
        <v>-31787</v>
      </c>
      <c r="B474" s="2" t="s">
        <v>7656</v>
      </c>
      <c r="C474" s="2" t="s">
        <v>22614</v>
      </c>
      <c r="D474" s="3">
        <v>4</v>
      </c>
      <c r="E474" s="3">
        <v>4</v>
      </c>
      <c r="F474" s="3" t="str">
        <f>HYPERLINK("https://www.boe.es/gazeta/dias/1812/12/19/pdfs/GMD-1812-242.pdf","Abrir PDF")</f>
        <v>Abrir PDF</v>
      </c>
    </row>
    <row r="475" spans="1:6" ht="31.05" customHeight="1">
      <c r="A475" s="5">
        <v>-31787</v>
      </c>
      <c r="B475" s="2" t="s">
        <v>1560</v>
      </c>
      <c r="C475" s="2" t="s">
        <v>22615</v>
      </c>
      <c r="D475" s="3">
        <v>8</v>
      </c>
      <c r="E475" s="3">
        <v>19</v>
      </c>
      <c r="F475" s="3" t="str">
        <f>HYPERLINK("https://www.boe.es/gazeta/dias/1812/12/19/pdfs/GRE-1812-167.pdf","Abrir PDF")</f>
        <v>Abrir PDF</v>
      </c>
    </row>
    <row r="476" spans="1:6" ht="31.05" customHeight="1">
      <c r="A476" s="5">
        <v>-31786</v>
      </c>
      <c r="B476" s="2" t="s">
        <v>7690</v>
      </c>
      <c r="C476" s="2" t="s">
        <v>22616</v>
      </c>
      <c r="D476" s="3">
        <v>4</v>
      </c>
      <c r="E476" s="3">
        <v>7</v>
      </c>
      <c r="F476" s="3" t="str">
        <f>HYPERLINK("https://www.boe.es/gazeta/dias/1812/12/20/pdfs/GMD-1812-243.pdf","Abrir PDF")</f>
        <v>Abrir PDF</v>
      </c>
    </row>
    <row r="477" spans="1:6" ht="31.05" customHeight="1">
      <c r="A477" s="5">
        <v>-31785</v>
      </c>
      <c r="B477" s="2" t="s">
        <v>6632</v>
      </c>
      <c r="C477" s="2" t="s">
        <v>22617</v>
      </c>
      <c r="D477" s="3">
        <v>4</v>
      </c>
      <c r="E477" s="3">
        <v>6</v>
      </c>
      <c r="F477" s="3" t="str">
        <f>HYPERLINK("https://www.boe.es/gazeta/dias/1812/12/21/pdfs/GMD-1812-244.pdf","Abrir PDF")</f>
        <v>Abrir PDF</v>
      </c>
    </row>
    <row r="478" spans="1:6" ht="31.05" customHeight="1">
      <c r="A478" s="5">
        <v>-31784</v>
      </c>
      <c r="B478" s="2" t="s">
        <v>1648</v>
      </c>
      <c r="C478" s="2" t="s">
        <v>22618</v>
      </c>
      <c r="D478" s="3">
        <v>4</v>
      </c>
      <c r="E478" s="3">
        <v>15</v>
      </c>
      <c r="F478" s="3" t="str">
        <f>HYPERLINK("https://www.boe.es/gazeta/dias/1812/12/22/pdfs/GMD-1812-245.pdf","Abrir PDF")</f>
        <v>Abrir PDF</v>
      </c>
    </row>
    <row r="479" spans="1:6" ht="31.05" customHeight="1">
      <c r="A479" s="5">
        <v>-31784</v>
      </c>
      <c r="B479" s="2" t="s">
        <v>6524</v>
      </c>
      <c r="C479" s="2" t="s">
        <v>22619</v>
      </c>
      <c r="D479" s="3">
        <v>8</v>
      </c>
      <c r="E479" s="3">
        <v>9</v>
      </c>
      <c r="F479" s="3" t="str">
        <f>HYPERLINK("https://www.boe.es/gazeta/dias/1812/12/22/pdfs/GRE-1812-168.pdf","Abrir PDF")</f>
        <v>Abrir PDF</v>
      </c>
    </row>
    <row r="480" spans="1:6" ht="31.05" customHeight="1">
      <c r="A480" s="5">
        <v>-31783</v>
      </c>
      <c r="B480" s="2" t="s">
        <v>2074</v>
      </c>
      <c r="C480" s="2" t="s">
        <v>22620</v>
      </c>
      <c r="D480" s="3">
        <v>4</v>
      </c>
      <c r="E480" s="3">
        <v>13</v>
      </c>
      <c r="F480" s="3" t="str">
        <f>HYPERLINK("https://www.boe.es/gazeta/dias/1812/12/23/pdfs/GMD-1812-246.pdf","Abrir PDF")</f>
        <v>Abrir PDF</v>
      </c>
    </row>
    <row r="481" spans="1:6" ht="31.05" customHeight="1">
      <c r="A481" s="5">
        <v>-31782</v>
      </c>
      <c r="B481" s="2" t="s">
        <v>4408</v>
      </c>
      <c r="C481" s="2" t="s">
        <v>22621</v>
      </c>
      <c r="D481" s="3">
        <v>4</v>
      </c>
      <c r="E481" s="3">
        <v>16</v>
      </c>
      <c r="F481" s="3" t="str">
        <f>HYPERLINK("https://www.boe.es/gazeta/dias/1812/12/24/pdfs/GMD-1812-247.pdf","Abrir PDF")</f>
        <v>Abrir PDF</v>
      </c>
    </row>
    <row r="482" spans="1:6" ht="31.05" customHeight="1">
      <c r="A482" s="5">
        <v>-31782</v>
      </c>
      <c r="B482" s="2" t="s">
        <v>860</v>
      </c>
      <c r="C482" s="2" t="s">
        <v>22622</v>
      </c>
      <c r="D482" s="3">
        <v>8</v>
      </c>
      <c r="E482" s="3">
        <v>22</v>
      </c>
      <c r="F482" s="3" t="str">
        <f>HYPERLINK("https://www.boe.es/gazeta/dias/1812/12/24/pdfs/GRE-1812-169.pdf","Abrir PDF")</f>
        <v>Abrir PDF</v>
      </c>
    </row>
    <row r="483" spans="1:6" ht="31.05" customHeight="1">
      <c r="A483" s="5">
        <v>-31781</v>
      </c>
      <c r="B483" s="2" t="s">
        <v>2414</v>
      </c>
      <c r="C483" s="2" t="s">
        <v>22623</v>
      </c>
      <c r="D483" s="3">
        <v>4</v>
      </c>
      <c r="E483" s="3">
        <v>8</v>
      </c>
      <c r="F483" s="3" t="str">
        <f>HYPERLINK("https://www.boe.es/gazeta/dias/1812/12/25/pdfs/GMD-1812-248.pdf","Abrir PDF")</f>
        <v>Abrir PDF</v>
      </c>
    </row>
    <row r="484" spans="1:6" ht="31.05" customHeight="1">
      <c r="A484" s="5">
        <v>-31780</v>
      </c>
      <c r="B484" s="2" t="s">
        <v>4192</v>
      </c>
      <c r="C484" s="2" t="s">
        <v>22624</v>
      </c>
      <c r="D484" s="3">
        <v>4</v>
      </c>
      <c r="E484" s="3">
        <v>5</v>
      </c>
      <c r="F484" s="3" t="str">
        <f>HYPERLINK("https://www.boe.es/gazeta/dias/1812/12/26/pdfs/GMD-1812-249.pdf","Abrir PDF")</f>
        <v>Abrir PDF</v>
      </c>
    </row>
    <row r="485" spans="1:6" ht="31.05" customHeight="1">
      <c r="A485" s="5">
        <v>-31780</v>
      </c>
      <c r="B485" s="2" t="s">
        <v>3317</v>
      </c>
      <c r="C485" s="2" t="s">
        <v>22625</v>
      </c>
      <c r="D485" s="3">
        <v>8</v>
      </c>
      <c r="E485" s="3">
        <v>17</v>
      </c>
      <c r="F485" s="3" t="str">
        <f>HYPERLINK("https://www.boe.es/gazeta/dias/1812/12/26/pdfs/GRE-1812-170.pdf","Abrir PDF")</f>
        <v>Abrir PDF</v>
      </c>
    </row>
    <row r="486" spans="1:6" ht="31.05" customHeight="1">
      <c r="A486" s="5">
        <v>-31779</v>
      </c>
      <c r="B486" s="2" t="s">
        <v>11039</v>
      </c>
      <c r="C486" s="2" t="s">
        <v>22626</v>
      </c>
      <c r="D486" s="3">
        <v>4</v>
      </c>
      <c r="E486" s="3">
        <v>5</v>
      </c>
      <c r="F486" s="3" t="str">
        <f>HYPERLINK("https://www.boe.es/gazeta/dias/1812/12/27/pdfs/GMD-1812-250.pdf","Abrir PDF")</f>
        <v>Abrir PDF</v>
      </c>
    </row>
    <row r="487" spans="1:6" ht="31.05" customHeight="1">
      <c r="A487" s="5">
        <v>-31778</v>
      </c>
      <c r="B487" s="2" t="s">
        <v>1966</v>
      </c>
      <c r="C487" s="2" t="s">
        <v>22627</v>
      </c>
      <c r="D487" s="3">
        <v>4</v>
      </c>
      <c r="E487" s="3">
        <v>14</v>
      </c>
      <c r="F487" s="3" t="str">
        <f>HYPERLINK("https://www.boe.es/gazeta/dias/1812/12/28/pdfs/GMD-1812-251.pdf","Abrir PDF")</f>
        <v>Abrir PDF</v>
      </c>
    </row>
    <row r="488" spans="1:6" ht="31.05" customHeight="1">
      <c r="A488" s="5">
        <v>-31777</v>
      </c>
      <c r="B488" s="2" t="s">
        <v>960</v>
      </c>
      <c r="C488" s="2" t="s">
        <v>22628</v>
      </c>
      <c r="D488" s="3">
        <v>4</v>
      </c>
      <c r="E488" s="3">
        <v>13</v>
      </c>
      <c r="F488" s="3" t="str">
        <f>HYPERLINK("https://www.boe.es/gazeta/dias/1812/12/29/pdfs/GMD-1812-252.pdf","Abrir PDF")</f>
        <v>Abrir PDF</v>
      </c>
    </row>
    <row r="489" spans="1:6" ht="31.05" customHeight="1">
      <c r="A489" s="5">
        <v>-31777</v>
      </c>
      <c r="B489" s="2" t="s">
        <v>1118</v>
      </c>
      <c r="C489" s="2" t="s">
        <v>22629</v>
      </c>
      <c r="D489" s="3">
        <v>8</v>
      </c>
      <c r="E489" s="3">
        <v>12</v>
      </c>
      <c r="F489" s="3" t="str">
        <f>HYPERLINK("https://www.boe.es/gazeta/dias/1812/12/29/pdfs/GRE-1812-171.pdf","Abrir PDF")</f>
        <v>Abrir PDF</v>
      </c>
    </row>
    <row r="490" spans="1:6" ht="31.05" customHeight="1">
      <c r="A490" s="5">
        <v>-31776</v>
      </c>
      <c r="B490" s="2" t="s">
        <v>3296</v>
      </c>
      <c r="C490" s="2" t="s">
        <v>22630</v>
      </c>
      <c r="D490" s="3">
        <v>4</v>
      </c>
      <c r="E490" s="3">
        <v>3</v>
      </c>
      <c r="F490" s="3" t="str">
        <f>HYPERLINK("https://www.boe.es/gazeta/dias/1812/12/30/pdfs/GMD-1812-253.pdf","Abrir PDF")</f>
        <v>Abrir PDF</v>
      </c>
    </row>
    <row r="491" spans="1:6" ht="31.05" customHeight="1">
      <c r="A491" s="5">
        <v>-31775</v>
      </c>
      <c r="B491" s="2" t="s">
        <v>3760</v>
      </c>
      <c r="C491" s="2" t="s">
        <v>22631</v>
      </c>
      <c r="D491" s="3">
        <v>4</v>
      </c>
      <c r="E491" s="3">
        <v>4</v>
      </c>
      <c r="F491" s="3" t="str">
        <f>HYPERLINK("https://www.boe.es/gazeta/dias/1812/12/31/pdfs/GMD-1812-254.pdf","Abrir PDF")</f>
        <v>Abrir PDF</v>
      </c>
    </row>
    <row r="492" spans="1:6" ht="31.05" customHeight="1">
      <c r="A492" s="5">
        <v>-31775</v>
      </c>
      <c r="B492" s="2" t="s">
        <v>660</v>
      </c>
      <c r="C492" s="2" t="s">
        <v>22632</v>
      </c>
      <c r="D492" s="3">
        <v>8</v>
      </c>
      <c r="E492" s="3">
        <v>29</v>
      </c>
      <c r="F492" s="3" t="str">
        <f>HYPERLINK("https://www.boe.es/gazeta/dias/1812/12/31/pdfs/GRE-1812-172.pdf","Abrir PDF")</f>
        <v>Abrir PDF</v>
      </c>
    </row>
    <row r="495" spans="1:6" ht="24" customHeight="1">
      <c r="A495" s="12" t="s">
        <v>22633</v>
      </c>
      <c r="B495" s="12"/>
      <c r="C495" s="12"/>
      <c r="D495" s="12"/>
      <c r="E495" s="12"/>
      <c r="F495" s="12"/>
    </row>
    <row r="496" spans="1:6" ht="42" customHeight="1">
      <c r="A496" s="6" t="s">
        <v>22634</v>
      </c>
      <c r="B496" s="13" t="s">
        <v>22635</v>
      </c>
      <c r="C496" s="13"/>
      <c r="D496" s="13"/>
      <c r="E496" s="13"/>
      <c r="F496" s="13"/>
    </row>
    <row r="497" spans="1:6" ht="42" customHeight="1">
      <c r="A497" s="6" t="s">
        <v>22636</v>
      </c>
      <c r="B497" s="13" t="s">
        <v>22637</v>
      </c>
      <c r="C497" s="13"/>
      <c r="D497" s="13"/>
      <c r="E497" s="13"/>
      <c r="F497" s="13"/>
    </row>
    <row r="498" spans="1:6" ht="42" customHeight="1">
      <c r="A498" s="6" t="s">
        <v>22638</v>
      </c>
      <c r="B498" s="13" t="s">
        <v>22639</v>
      </c>
      <c r="C498" s="13"/>
      <c r="D498" s="13"/>
      <c r="E498" s="13"/>
      <c r="F498" s="13"/>
    </row>
    <row r="499" spans="1:6" ht="42" customHeight="1">
      <c r="A499" s="6" t="s">
        <v>22640</v>
      </c>
      <c r="B499" s="13" t="s">
        <v>22641</v>
      </c>
      <c r="C499" s="13"/>
      <c r="D499" s="13"/>
      <c r="E499" s="13"/>
      <c r="F499" s="13"/>
    </row>
    <row r="500" spans="1:6" ht="42" customHeight="1">
      <c r="A500" s="6" t="s">
        <v>15754</v>
      </c>
      <c r="B500" s="13" t="s">
        <v>22642</v>
      </c>
      <c r="C500" s="13"/>
      <c r="D500" s="13"/>
      <c r="E500" s="13"/>
      <c r="F500" s="13"/>
    </row>
    <row r="501" spans="1:6" ht="42" customHeight="1">
      <c r="A501" s="6" t="s">
        <v>10</v>
      </c>
      <c r="B501" s="13" t="s">
        <v>22643</v>
      </c>
      <c r="C501" s="13"/>
      <c r="D501" s="13"/>
      <c r="E501" s="13"/>
      <c r="F501" s="13"/>
    </row>
    <row r="502" spans="1:6" ht="42" customHeight="1">
      <c r="A502" s="6" t="s">
        <v>22644</v>
      </c>
      <c r="B502" s="13" t="s">
        <v>22645</v>
      </c>
      <c r="C502" s="13"/>
      <c r="D502" s="13"/>
      <c r="E502" s="13"/>
      <c r="F502" s="13"/>
    </row>
    <row r="503" spans="1:6" ht="42" customHeight="1">
      <c r="A503" s="6" t="s">
        <v>22646</v>
      </c>
      <c r="B503" s="13" t="s">
        <v>22647</v>
      </c>
      <c r="C503" s="13"/>
      <c r="D503" s="13"/>
      <c r="E503" s="13"/>
      <c r="F503" s="13"/>
    </row>
    <row r="504" spans="1:6" ht="42" customHeight="1">
      <c r="A504" s="6" t="s">
        <v>22648</v>
      </c>
      <c r="B504" s="13" t="s">
        <v>22649</v>
      </c>
      <c r="C504" s="13"/>
      <c r="D504" s="13"/>
      <c r="E504" s="13"/>
      <c r="F504" s="13"/>
    </row>
  </sheetData>
  <mergeCells count="12">
    <mergeCell ref="B503:F503"/>
    <mergeCell ref="B504:F504"/>
    <mergeCell ref="B498:F498"/>
    <mergeCell ref="B499:F499"/>
    <mergeCell ref="B500:F500"/>
    <mergeCell ref="B501:F501"/>
    <mergeCell ref="B502:F502"/>
    <mergeCell ref="A1:F1"/>
    <mergeCell ref="A2:F2"/>
    <mergeCell ref="A495:F495"/>
    <mergeCell ref="B496:F496"/>
    <mergeCell ref="B497:F49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2026-09-28T08:54:37Z</dcterms:created>
  <dcterms:modified xsi:type="dcterms:W3CDTF">2026-09-28T08:54:37Z</dcterms:modified>
</cp:coreProperties>
</file>